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15870" windowHeight="12825" tabRatio="860" activeTab="2"/>
  </bookViews>
  <sheets>
    <sheet name="CRONOGRAMA" sheetId="3" r:id="rId1"/>
    <sheet name="ORÇAMENTO" sheetId="1" r:id="rId2"/>
    <sheet name="BDI " sheetId="9" r:id="rId3"/>
    <sheet name="COMPOSIÇÕES_ARQ" sheetId="2" r:id="rId4"/>
    <sheet name="COMPOSIÇÕES_ELET" sheetId="18" r:id="rId5"/>
    <sheet name="COMPOSIÇÕES_PPCI" sheetId="16" r:id="rId6"/>
    <sheet name="CURVA ABC" sheetId="12" r:id="rId7"/>
    <sheet name="Memorial de Cálculo" sheetId="14" r:id="rId8"/>
    <sheet name="Pesquisa de Mercado" sheetId="6" r:id="rId9"/>
  </sheets>
  <definedNames>
    <definedName name="_xlnm._FilterDatabase" localSheetId="1" hidden="1">ORÇAMENTO!$B$1:$F$121</definedName>
    <definedName name="_xlnm.Print_Area" localSheetId="2">'BDI '!$A$1:$D$55</definedName>
    <definedName name="_xlnm.Print_Area" localSheetId="3">COMPOSIÇÕES_ARQ!$A$1:$F$398</definedName>
    <definedName name="_xlnm.Print_Area" localSheetId="4">COMPOSIÇÕES_ELET!$A$1:$H$23</definedName>
    <definedName name="_xlnm.Print_Area" localSheetId="5">COMPOSIÇÕES_PPCI!$A$1:$H$23</definedName>
    <definedName name="_xlnm.Print_Area" localSheetId="0">CRONOGRAMA!$A$1:$M$67</definedName>
    <definedName name="_xlnm.Print_Area" localSheetId="1">ORÇAMENTO!$A$1:$M$121</definedName>
    <definedName name="_xlnm.Print_Titles" localSheetId="0">CRONOGRAMA!$A:$B,CRONOGRAMA!$9:$11</definedName>
    <definedName name="_xlnm.Print_Titles" localSheetId="1">ORÇAMENTO!$14:$14</definedName>
  </definedNames>
  <calcPr calcId="145621"/>
</workbook>
</file>

<file path=xl/calcChain.xml><?xml version="1.0" encoding="utf-8"?>
<calcChain xmlns="http://schemas.openxmlformats.org/spreadsheetml/2006/main">
  <c r="G31" i="9" l="1"/>
  <c r="G32" i="9" s="1"/>
  <c r="K16" i="1" l="1"/>
  <c r="M107" i="1" l="1"/>
  <c r="M103" i="1"/>
  <c r="M99" i="1"/>
  <c r="M95" i="1"/>
  <c r="M91" i="1"/>
  <c r="M87" i="1"/>
  <c r="M79" i="1"/>
  <c r="K54" i="1"/>
  <c r="L54" i="1" s="1"/>
  <c r="M51" i="1" s="1"/>
  <c r="K55" i="1"/>
  <c r="L55" i="1" s="1"/>
  <c r="L16" i="1"/>
  <c r="K17" i="1"/>
  <c r="L17" i="1" s="1"/>
  <c r="H15" i="18"/>
  <c r="G15" i="18"/>
  <c r="H14" i="18"/>
  <c r="E14" i="18"/>
  <c r="G14" i="18" s="1"/>
  <c r="G16" i="18" s="1"/>
  <c r="C41" i="9"/>
  <c r="C48" i="9" s="1"/>
  <c r="C49" i="9" s="1"/>
  <c r="A8" i="9"/>
  <c r="A2" i="9"/>
  <c r="A3" i="9"/>
  <c r="A4" i="9"/>
  <c r="A6" i="9"/>
  <c r="A7" i="9"/>
  <c r="A1" i="9"/>
  <c r="A51" i="9"/>
  <c r="C54" i="9"/>
  <c r="C55" i="9"/>
  <c r="C53" i="9"/>
  <c r="F5" i="12"/>
  <c r="G5" i="12"/>
  <c r="B4" i="12"/>
  <c r="C4" i="12"/>
  <c r="D4" i="12"/>
  <c r="E4" i="12"/>
  <c r="F4" i="12"/>
  <c r="A4" i="12"/>
  <c r="C1" i="2"/>
  <c r="C1" i="16" s="1"/>
  <c r="C2" i="2"/>
  <c r="C2" i="18" s="1"/>
  <c r="C3" i="2"/>
  <c r="C3" i="18" s="1"/>
  <c r="C7" i="2"/>
  <c r="C7" i="18" s="1"/>
  <c r="A2" i="2"/>
  <c r="A2" i="16" s="1"/>
  <c r="A3" i="2"/>
  <c r="A3" i="18" s="1"/>
  <c r="A4" i="2"/>
  <c r="A4" i="18" s="1"/>
  <c r="A6" i="2"/>
  <c r="A6" i="18" s="1"/>
  <c r="A7" i="2"/>
  <c r="A7" i="16" s="1"/>
  <c r="A7" i="3"/>
  <c r="E7" i="3"/>
  <c r="A6" i="3"/>
  <c r="E1" i="3"/>
  <c r="E2" i="3"/>
  <c r="E3" i="3"/>
  <c r="A2" i="3"/>
  <c r="A3" i="3"/>
  <c r="A4" i="3"/>
  <c r="A1" i="3"/>
  <c r="F63" i="3"/>
  <c r="J66" i="3"/>
  <c r="J67" i="3"/>
  <c r="J65" i="3"/>
  <c r="C50" i="3"/>
  <c r="C54" i="3"/>
  <c r="C56" i="3"/>
  <c r="C58" i="3"/>
  <c r="B56" i="3"/>
  <c r="B58" i="3"/>
  <c r="B50" i="3"/>
  <c r="B52" i="3"/>
  <c r="B54" i="3"/>
  <c r="B44" i="3"/>
  <c r="B48" i="3"/>
  <c r="B46" i="3"/>
  <c r="B42" i="3"/>
  <c r="B40" i="3"/>
  <c r="B38" i="3"/>
  <c r="B36" i="3"/>
  <c r="B34" i="3"/>
  <c r="B32" i="3"/>
  <c r="B30" i="3"/>
  <c r="B28" i="3"/>
  <c r="B26" i="3"/>
  <c r="B24" i="3"/>
  <c r="B22" i="3"/>
  <c r="B20" i="3"/>
  <c r="B18" i="3"/>
  <c r="B16" i="3"/>
  <c r="K91" i="1"/>
  <c r="L91" i="1" s="1"/>
  <c r="C48" i="3"/>
  <c r="K87" i="1"/>
  <c r="L87" i="1" s="1"/>
  <c r="K70" i="1"/>
  <c r="L70" i="1" s="1"/>
  <c r="M67" i="1" s="1"/>
  <c r="K71" i="1"/>
  <c r="L71" i="1" s="1"/>
  <c r="K26" i="1"/>
  <c r="L26" i="1" s="1"/>
  <c r="K23" i="1"/>
  <c r="L23" i="1" s="1"/>
  <c r="H16" i="18" l="1"/>
  <c r="G17" i="18" s="1"/>
  <c r="M23" i="1"/>
  <c r="C16" i="3" s="1"/>
  <c r="C1" i="18"/>
  <c r="A7" i="18"/>
  <c r="A2" i="18"/>
  <c r="A3" i="16"/>
  <c r="C2" i="16"/>
  <c r="A4" i="16"/>
  <c r="C3" i="16"/>
  <c r="A6" i="16"/>
  <c r="C7" i="16"/>
  <c r="D344" i="2" l="1"/>
  <c r="D356" i="2"/>
  <c r="H4" i="12" l="1"/>
  <c r="F386" i="2"/>
  <c r="E385" i="2" l="1"/>
  <c r="F385" i="2" s="1"/>
  <c r="F387" i="2"/>
  <c r="F384" i="2"/>
  <c r="F383" i="2"/>
  <c r="F388" i="2" l="1"/>
  <c r="F376" i="2" l="1"/>
  <c r="F377" i="2"/>
  <c r="F378" i="2"/>
  <c r="F379" i="2" l="1"/>
  <c r="K66" i="1" l="1"/>
  <c r="G15" i="16"/>
  <c r="H15" i="16"/>
  <c r="H14" i="16"/>
  <c r="E14" i="16"/>
  <c r="G14" i="16" s="1"/>
  <c r="G16" i="16" s="1"/>
  <c r="L66" i="1" l="1"/>
  <c r="M63" i="1" s="1"/>
  <c r="H16" i="16"/>
  <c r="G17" i="16" s="1"/>
  <c r="A1" i="2"/>
  <c r="A1" i="18" s="1"/>
  <c r="A1" i="16" l="1"/>
  <c r="K99" i="1" l="1"/>
  <c r="K18" i="1"/>
  <c r="K19" i="1"/>
  <c r="K22" i="1"/>
  <c r="K27" i="1"/>
  <c r="K30" i="1"/>
  <c r="K31" i="1"/>
  <c r="K34" i="1"/>
  <c r="K35" i="1"/>
  <c r="K38" i="1"/>
  <c r="K39" i="1"/>
  <c r="K42" i="1"/>
  <c r="K43" i="1"/>
  <c r="K46" i="1"/>
  <c r="K47" i="1"/>
  <c r="K50" i="1"/>
  <c r="K51" i="1"/>
  <c r="K58" i="1"/>
  <c r="K59" i="1"/>
  <c r="K62" i="1"/>
  <c r="K63" i="1"/>
  <c r="K67" i="1"/>
  <c r="K74" i="1"/>
  <c r="K75" i="1"/>
  <c r="K78" i="1"/>
  <c r="K79" i="1"/>
  <c r="K83" i="1"/>
  <c r="K86" i="1"/>
  <c r="K95" i="1"/>
  <c r="F363" i="2"/>
  <c r="D364" i="2"/>
  <c r="E362" i="2"/>
  <c r="F357" i="2"/>
  <c r="F356" i="2"/>
  <c r="F354" i="2"/>
  <c r="F353" i="2"/>
  <c r="F352" i="2"/>
  <c r="D351" i="2"/>
  <c r="F351" i="2" s="1"/>
  <c r="E350" i="2"/>
  <c r="F350" i="2" s="1"/>
  <c r="D339" i="2"/>
  <c r="E338" i="2"/>
  <c r="L79" i="1" l="1"/>
  <c r="L67" i="1"/>
  <c r="L34" i="1"/>
  <c r="M31" i="1" s="1"/>
  <c r="L47" i="1"/>
  <c r="L95" i="1"/>
  <c r="L62" i="1"/>
  <c r="M59" i="1" s="1"/>
  <c r="L51" i="1"/>
  <c r="L39" i="1"/>
  <c r="L35" i="1"/>
  <c r="L27" i="1"/>
  <c r="L22" i="1"/>
  <c r="M19" i="1" s="1"/>
  <c r="L18" i="1"/>
  <c r="M15" i="1" s="1"/>
  <c r="C12" i="3" s="1"/>
  <c r="L86" i="1"/>
  <c r="M83" i="1" s="1"/>
  <c r="L75" i="1"/>
  <c r="L59" i="1"/>
  <c r="L50" i="1"/>
  <c r="M47" i="1" s="1"/>
  <c r="L38" i="1"/>
  <c r="M35" i="1" s="1"/>
  <c r="L78" i="1"/>
  <c r="M75" i="1" s="1"/>
  <c r="L74" i="1"/>
  <c r="M71" i="1" s="1"/>
  <c r="L58" i="1"/>
  <c r="M55" i="1" s="1"/>
  <c r="L43" i="1"/>
  <c r="L31" i="1"/>
  <c r="L99" i="1"/>
  <c r="L83" i="1"/>
  <c r="L63" i="1"/>
  <c r="L46" i="1"/>
  <c r="M43" i="1" s="1"/>
  <c r="L42" i="1"/>
  <c r="M39" i="1" s="1"/>
  <c r="L30" i="1"/>
  <c r="M27" i="1" s="1"/>
  <c r="L19" i="1"/>
  <c r="C40" i="3" l="1"/>
  <c r="C52" i="3"/>
  <c r="C36" i="3"/>
  <c r="D33" i="2"/>
  <c r="C30" i="3"/>
  <c r="E312" i="2"/>
  <c r="F312" i="2" s="1"/>
  <c r="F316" i="2"/>
  <c r="I315" i="2"/>
  <c r="F315" i="2"/>
  <c r="H315" i="2" s="1"/>
  <c r="I314" i="2"/>
  <c r="F314" i="2"/>
  <c r="H314" i="2" s="1"/>
  <c r="I313" i="2"/>
  <c r="F313" i="2"/>
  <c r="E311" i="2"/>
  <c r="F311" i="2" s="1"/>
  <c r="E310" i="2"/>
  <c r="I310" i="2"/>
  <c r="D290" i="2"/>
  <c r="D300" i="2"/>
  <c r="I300" i="2" s="1"/>
  <c r="F305" i="2"/>
  <c r="D304" i="2"/>
  <c r="F304" i="2" s="1"/>
  <c r="F303" i="2"/>
  <c r="F302" i="2"/>
  <c r="F301" i="2"/>
  <c r="F300" i="2" l="1"/>
  <c r="F306" i="2" s="1"/>
  <c r="H313" i="2"/>
  <c r="F310" i="2"/>
  <c r="F317" i="2" s="1"/>
  <c r="F295" i="2"/>
  <c r="D294" i="2"/>
  <c r="F294" i="2" s="1"/>
  <c r="F293" i="2"/>
  <c r="F292" i="2"/>
  <c r="F227" i="2"/>
  <c r="F291" i="2"/>
  <c r="F290" i="2"/>
  <c r="F284" i="2"/>
  <c r="E283" i="2"/>
  <c r="F283" i="2" s="1"/>
  <c r="F285" i="2"/>
  <c r="D233" i="2"/>
  <c r="H300" i="2" l="1"/>
  <c r="F296" i="2"/>
  <c r="H310" i="2"/>
  <c r="H290" i="2"/>
  <c r="I290" i="2"/>
  <c r="F286" i="2"/>
  <c r="D146" i="2"/>
  <c r="F146" i="2" s="1"/>
  <c r="F148" i="2"/>
  <c r="F147" i="2"/>
  <c r="F145" i="2"/>
  <c r="F136" i="2"/>
  <c r="F138" i="2"/>
  <c r="F137" i="2"/>
  <c r="F125" i="2"/>
  <c r="F128" i="2"/>
  <c r="F126" i="2"/>
  <c r="F127" i="2"/>
  <c r="F130" i="2" l="1"/>
  <c r="F131" i="2" s="1"/>
  <c r="F150" i="2"/>
  <c r="F151" i="2" s="1"/>
  <c r="F135" i="2"/>
  <c r="F140" i="2" s="1"/>
  <c r="F141" i="2" s="1"/>
  <c r="F33" i="2"/>
  <c r="D333" i="2" l="1"/>
  <c r="H332" i="2"/>
  <c r="E331" i="2" s="1"/>
  <c r="F208" i="2" l="1"/>
  <c r="F209" i="2"/>
  <c r="F210" i="2"/>
  <c r="F211" i="2"/>
  <c r="F213" i="2"/>
  <c r="E202" i="2"/>
  <c r="F202" i="2" s="1"/>
  <c r="E201" i="2"/>
  <c r="F201" i="2" s="1"/>
  <c r="F203" i="2" l="1"/>
  <c r="F160" i="2" l="1"/>
  <c r="F156" i="2"/>
  <c r="F157" i="2"/>
  <c r="F158" i="2"/>
  <c r="F159" i="2"/>
  <c r="F155" i="2"/>
  <c r="F161" i="2" l="1"/>
  <c r="C34" i="3" l="1"/>
  <c r="D101" i="2" l="1"/>
  <c r="F101" i="2" s="1"/>
  <c r="D100" i="2"/>
  <c r="F100" i="2" s="1"/>
  <c r="D99" i="2"/>
  <c r="F99" i="2" s="1"/>
  <c r="D98" i="2"/>
  <c r="F98" i="2" s="1"/>
  <c r="D110" i="2"/>
  <c r="F110" i="2" s="1"/>
  <c r="D109" i="2"/>
  <c r="F109" i="2" s="1"/>
  <c r="D108" i="2"/>
  <c r="D107" i="2"/>
  <c r="D92" i="2"/>
  <c r="D91" i="2"/>
  <c r="D90" i="2"/>
  <c r="D89" i="2"/>
  <c r="D83" i="2"/>
  <c r="F83" i="2" s="1"/>
  <c r="D82" i="2"/>
  <c r="F82" i="2" s="1"/>
  <c r="D81" i="2"/>
  <c r="F81" i="2" s="1"/>
  <c r="D80" i="2"/>
  <c r="F80" i="2" s="1"/>
  <c r="D74" i="2"/>
  <c r="F74" i="2" s="1"/>
  <c r="D73" i="2"/>
  <c r="F73" i="2" s="1"/>
  <c r="D72" i="2"/>
  <c r="F72" i="2" s="1"/>
  <c r="D71" i="2"/>
  <c r="F71" i="2" s="1"/>
  <c r="F84" i="2" l="1"/>
  <c r="F85" i="2" s="1"/>
  <c r="F75" i="2"/>
  <c r="F76" i="2" s="1"/>
  <c r="F89" i="2"/>
  <c r="F90" i="2"/>
  <c r="F91" i="2"/>
  <c r="F92" i="2"/>
  <c r="F93" i="2" l="1"/>
  <c r="F94" i="2" s="1"/>
  <c r="D118" i="2" l="1"/>
  <c r="D119" i="2"/>
  <c r="D117" i="2"/>
  <c r="D116" i="2"/>
  <c r="D65" i="2"/>
  <c r="F65" i="2" s="1"/>
  <c r="D64" i="2"/>
  <c r="F64" i="2" s="1"/>
  <c r="D63" i="2"/>
  <c r="F63" i="2" s="1"/>
  <c r="D62" i="2"/>
  <c r="F62" i="2" s="1"/>
  <c r="D56" i="2"/>
  <c r="F56" i="2" s="1"/>
  <c r="D51" i="2"/>
  <c r="F51" i="2" s="1"/>
  <c r="F57" i="2"/>
  <c r="F55" i="2"/>
  <c r="F54" i="2"/>
  <c r="F53" i="2"/>
  <c r="F52" i="2"/>
  <c r="F66" i="2" l="1"/>
  <c r="F67" i="2" s="1"/>
  <c r="F58" i="2"/>
  <c r="F118" i="2" l="1"/>
  <c r="F117" i="2"/>
  <c r="F108" i="2"/>
  <c r="F107" i="2"/>
  <c r="F102" i="2" l="1"/>
  <c r="F103" i="2" s="1"/>
  <c r="F120" i="2"/>
  <c r="F121" i="2" s="1"/>
  <c r="F111" i="2"/>
  <c r="F112" i="2" s="1"/>
  <c r="D189" i="2" l="1"/>
  <c r="C20" i="3" l="1"/>
  <c r="E29" i="2" l="1"/>
  <c r="F31" i="2"/>
  <c r="F32" i="2"/>
  <c r="F27" i="2"/>
  <c r="E30" i="2"/>
  <c r="F30" i="2" s="1"/>
  <c r="B14" i="3"/>
  <c r="B12" i="3"/>
  <c r="C31" i="9" l="1"/>
  <c r="C32" i="9" s="1"/>
  <c r="F344" i="2"/>
  <c r="E28" i="2" l="1"/>
  <c r="F28" i="2" s="1"/>
  <c r="F29" i="2"/>
  <c r="F34" i="2" l="1"/>
  <c r="F370" i="2"/>
  <c r="F369" i="2"/>
  <c r="F371" i="2"/>
  <c r="C28" i="3" l="1"/>
  <c r="C18" i="3"/>
  <c r="F372" i="2"/>
  <c r="F364" i="2" l="1"/>
  <c r="F362" i="2"/>
  <c r="F355" i="2"/>
  <c r="F333" i="2"/>
  <c r="F332" i="2"/>
  <c r="F331" i="2"/>
  <c r="F339" i="2"/>
  <c r="F340" i="2"/>
  <c r="F341" i="2"/>
  <c r="F342" i="2"/>
  <c r="F343" i="2"/>
  <c r="F345" i="2"/>
  <c r="F338" i="2"/>
  <c r="F322" i="2"/>
  <c r="F323" i="2"/>
  <c r="F324" i="2"/>
  <c r="F325" i="2"/>
  <c r="F326" i="2"/>
  <c r="F321" i="2"/>
  <c r="F358" i="2" l="1"/>
  <c r="F365" i="2"/>
  <c r="F334" i="2"/>
  <c r="F346" i="2"/>
  <c r="F327" i="2"/>
  <c r="F175" i="2"/>
  <c r="F276" i="2" l="1"/>
  <c r="F277" i="2"/>
  <c r="F271" i="2"/>
  <c r="F270" i="2"/>
  <c r="F269" i="2"/>
  <c r="E268" i="2"/>
  <c r="F268" i="2" s="1"/>
  <c r="F263" i="2"/>
  <c r="F262" i="2"/>
  <c r="F261" i="2"/>
  <c r="F260" i="2"/>
  <c r="F255" i="2"/>
  <c r="F254" i="2"/>
  <c r="F253" i="2"/>
  <c r="F252" i="2"/>
  <c r="F251" i="2"/>
  <c r="C46" i="3" l="1"/>
  <c r="F278" i="2"/>
  <c r="F279" i="2" s="1"/>
  <c r="F256" i="2"/>
  <c r="F272" i="2"/>
  <c r="F264" i="2"/>
  <c r="F46" i="2" l="1"/>
  <c r="F45" i="2"/>
  <c r="F242" i="2"/>
  <c r="H242" i="2" s="1"/>
  <c r="F243" i="2"/>
  <c r="F244" i="2"/>
  <c r="H244" i="2" s="1"/>
  <c r="F245" i="2"/>
  <c r="H245" i="2" s="1"/>
  <c r="F246" i="2"/>
  <c r="H246" i="2" s="1"/>
  <c r="F241" i="2"/>
  <c r="I246" i="2"/>
  <c r="I245" i="2"/>
  <c r="I244" i="2"/>
  <c r="I242" i="2"/>
  <c r="I241" i="2"/>
  <c r="F228" i="2"/>
  <c r="H228" i="2" s="1"/>
  <c r="F229" i="2"/>
  <c r="H229" i="2" s="1"/>
  <c r="F230" i="2"/>
  <c r="H230" i="2" s="1"/>
  <c r="F231" i="2"/>
  <c r="H231" i="2" s="1"/>
  <c r="F232" i="2"/>
  <c r="H232" i="2" s="1"/>
  <c r="F234" i="2"/>
  <c r="F235" i="2"/>
  <c r="F236" i="2"/>
  <c r="H236" i="2" s="1"/>
  <c r="F226" i="2"/>
  <c r="F233" i="2"/>
  <c r="I226" i="2"/>
  <c r="I228" i="2"/>
  <c r="I229" i="2"/>
  <c r="I230" i="2"/>
  <c r="I231" i="2"/>
  <c r="I232" i="2"/>
  <c r="I236" i="2"/>
  <c r="D212" i="2"/>
  <c r="F212" i="2" s="1"/>
  <c r="F207" i="2"/>
  <c r="C38" i="3" l="1"/>
  <c r="F47" i="2"/>
  <c r="H226" i="2"/>
  <c r="F237" i="2"/>
  <c r="F247" i="2"/>
  <c r="F214" i="2"/>
  <c r="H241" i="2"/>
  <c r="H233" i="2"/>
  <c r="I233" i="2"/>
  <c r="C42" i="3" l="1"/>
  <c r="F187" i="2"/>
  <c r="F189" i="2"/>
  <c r="F188" i="2"/>
  <c r="F195" i="2"/>
  <c r="F194" i="2"/>
  <c r="F182" i="2"/>
  <c r="F181" i="2"/>
  <c r="F180" i="2"/>
  <c r="D196" i="2"/>
  <c r="F196" i="2" s="1"/>
  <c r="F221" i="2"/>
  <c r="F220" i="2"/>
  <c r="F219" i="2"/>
  <c r="F218" i="2"/>
  <c r="F197" i="2" l="1"/>
  <c r="F183" i="2"/>
  <c r="F190" i="2"/>
  <c r="F222" i="2"/>
  <c r="C44" i="3" l="1"/>
  <c r="C32" i="3"/>
  <c r="D174" i="2" l="1"/>
  <c r="F174" i="2" s="1"/>
  <c r="F176" i="2" s="1"/>
  <c r="C24" i="3" l="1"/>
  <c r="F166" i="2" l="1"/>
  <c r="F167" i="2"/>
  <c r="F168" i="2"/>
  <c r="F169" i="2"/>
  <c r="F165" i="2"/>
  <c r="F170" i="2" l="1"/>
  <c r="F39" i="2" l="1"/>
  <c r="F40" i="2"/>
  <c r="F38" i="2"/>
  <c r="F22" i="2"/>
  <c r="F21" i="2"/>
  <c r="F20" i="2"/>
  <c r="F14" i="2"/>
  <c r="F15" i="2"/>
  <c r="F23" i="2" l="1"/>
  <c r="F41" i="2"/>
  <c r="C26" i="3"/>
  <c r="F13" i="2"/>
  <c r="F16" i="2" l="1"/>
  <c r="C14" i="3" l="1"/>
  <c r="C22" i="3" l="1"/>
  <c r="M111" i="1" l="1"/>
  <c r="C2" i="12" s="1"/>
  <c r="C61" i="3" l="1"/>
</calcChain>
</file>

<file path=xl/comments1.xml><?xml version="1.0" encoding="utf-8"?>
<comments xmlns="http://schemas.openxmlformats.org/spreadsheetml/2006/main">
  <authors>
    <author>Cristina</author>
    <author>Coordenação de Engenharia e Arquitetura</author>
  </authors>
  <commentList>
    <comment ref="C18" authorId="0">
      <text>
        <r>
          <rPr>
            <sz val="9"/>
            <color indexed="81"/>
            <rFont val="Tahoma"/>
            <family val="2"/>
          </rPr>
          <t xml:space="preserve">Fonte: Orientações Para Elaboração De Planilhas Orçamentárias De Obras Públicas, Tribunal de Contas da União, 2014. Página 87 - BDI médio. </t>
        </r>
      </text>
    </comment>
    <comment ref="G18" authorId="0">
      <text>
        <r>
          <rPr>
            <sz val="9"/>
            <color indexed="81"/>
            <rFont val="Tahoma"/>
            <family val="2"/>
          </rPr>
          <t xml:space="preserve">Fonte: Orientações Para Elaboração De Planilhas Orçamentárias De Obras Públicas, Tribunal de Contas da União, 2014. Página 87 - BDI médio. </t>
        </r>
      </text>
    </comment>
    <comment ref="C28" authorId="1">
      <text>
        <r>
          <rPr>
            <b/>
            <sz val="9"/>
            <color indexed="81"/>
            <rFont val="Tahoma"/>
            <family val="2"/>
          </rPr>
          <t>Coordenação de Engenharia e Arquitetura:</t>
        </r>
        <r>
          <rPr>
            <sz val="9"/>
            <color indexed="81"/>
            <rFont val="Tahoma"/>
            <family val="2"/>
          </rPr>
          <t xml:space="preserve">
Varia de acordo com a combrança de cada Município.</t>
        </r>
      </text>
    </comment>
    <comment ref="G28" authorId="1">
      <text>
        <r>
          <rPr>
            <b/>
            <sz val="9"/>
            <color indexed="81"/>
            <rFont val="Tahoma"/>
            <family val="2"/>
          </rPr>
          <t>Coordenação de Engenharia e Arquitetura:</t>
        </r>
        <r>
          <rPr>
            <sz val="9"/>
            <color indexed="81"/>
            <rFont val="Tahoma"/>
            <family val="2"/>
          </rPr>
          <t xml:space="preserve">
Varia de acordo com a combrança de cada Município.</t>
        </r>
      </text>
    </comment>
    <comment ref="C35" authorId="0">
      <text>
        <r>
          <rPr>
            <sz val="9"/>
            <color indexed="81"/>
            <rFont val="Tahoma"/>
            <family val="2"/>
          </rPr>
          <t>GRUPO I –  CLASSE VII – Plenário
TC 025.990/2008-2</t>
        </r>
      </text>
    </comment>
  </commentList>
</comments>
</file>

<file path=xl/sharedStrings.xml><?xml version="1.0" encoding="utf-8"?>
<sst xmlns="http://schemas.openxmlformats.org/spreadsheetml/2006/main" count="1423" uniqueCount="542">
  <si>
    <t>PLANILHA ORÇAMENTÁRIA</t>
  </si>
  <si>
    <t>ITEM</t>
  </si>
  <si>
    <t>UNID.</t>
  </si>
  <si>
    <t>1</t>
  </si>
  <si>
    <t>Unid.</t>
  </si>
  <si>
    <t>m²</t>
  </si>
  <si>
    <t>unid.</t>
  </si>
  <si>
    <t>2</t>
  </si>
  <si>
    <t>MOVIMENTO DE TERRA</t>
  </si>
  <si>
    <t>Componentes</t>
  </si>
  <si>
    <t>Consumo</t>
  </si>
  <si>
    <t>Subtotais</t>
  </si>
  <si>
    <t>h</t>
  </si>
  <si>
    <t>Mês</t>
  </si>
  <si>
    <t>Tarifa de consumo de energia eletrica comercial, baixa tensão.</t>
  </si>
  <si>
    <t>kWh</t>
  </si>
  <si>
    <t>PESQUISA DE MERCADO</t>
  </si>
  <si>
    <t>Consumo de água</t>
  </si>
  <si>
    <t>COMPOSIÇÃO 01</t>
  </si>
  <si>
    <t>Valor Unitário</t>
  </si>
  <si>
    <t>COMPOSIÇÃO 02</t>
  </si>
  <si>
    <t>Instalações Provisórias de Obra - Inclui Escritório, Banheiro (vaso sanitário e chuveiro inclusos), Vestiário, Refeitório, Depósito e Telheiro - Total: 90,00m².</t>
  </si>
  <si>
    <t>COMPOSIÇÃO 03</t>
  </si>
  <si>
    <t>Total</t>
  </si>
  <si>
    <t>Memorial de Cálculo</t>
  </si>
  <si>
    <t>m³</t>
  </si>
  <si>
    <t>COMPOSIÇÃO 04</t>
  </si>
  <si>
    <t>3</t>
  </si>
  <si>
    <t>Pesquisa de Mercado</t>
  </si>
  <si>
    <t>Material</t>
  </si>
  <si>
    <t>m</t>
  </si>
  <si>
    <t xml:space="preserve"> Este item depende da obra e local, caso a energia seja fornecida pela UNIPAMPA retirmos o pagamento deste item (verificar qual a melhor opção)</t>
  </si>
  <si>
    <t>TOTAL</t>
  </si>
  <si>
    <t>COMPOSIÇÃO 05</t>
  </si>
  <si>
    <t>kg</t>
  </si>
  <si>
    <t>COMPOSIÇÃO 06</t>
  </si>
  <si>
    <t>SUPERESTRUTURA</t>
  </si>
  <si>
    <t>4</t>
  </si>
  <si>
    <t>COMPOSIÇÃO 07</t>
  </si>
  <si>
    <t>5</t>
  </si>
  <si>
    <t>ESQUADRIAS</t>
  </si>
  <si>
    <t>6</t>
  </si>
  <si>
    <t>COBERTURA</t>
  </si>
  <si>
    <t>COMPOSIÇÃO 08</t>
  </si>
  <si>
    <t>SINAPI C-74254/2</t>
  </si>
  <si>
    <t>Armação aço CA-50, diâmetro 6,3 a 12,5 mm - Fornecimento / corte (perda de 10%) / dobra / colocação</t>
  </si>
  <si>
    <t>INSTALAÇÕES ELÉTRICAS</t>
  </si>
  <si>
    <t>7</t>
  </si>
  <si>
    <t>8</t>
  </si>
  <si>
    <t>9</t>
  </si>
  <si>
    <t>10</t>
  </si>
  <si>
    <t>Referência</t>
  </si>
  <si>
    <t>SINAPI C-87373</t>
  </si>
  <si>
    <t>Kg</t>
  </si>
  <si>
    <t>Total (m²)</t>
  </si>
  <si>
    <t>SINAPI C-73805/1</t>
  </si>
  <si>
    <t>SINAPI C-74242/1</t>
  </si>
  <si>
    <t>SINAPI C-73803/1</t>
  </si>
  <si>
    <t>SINAPI C-74220/1</t>
  </si>
  <si>
    <t>SINAPI I-1351</t>
  </si>
  <si>
    <t>SINAPI I-1357</t>
  </si>
  <si>
    <t>SINAPI C-79488</t>
  </si>
  <si>
    <t>SINAPI C-72844</t>
  </si>
  <si>
    <t>SINAPI C-72887</t>
  </si>
  <si>
    <t>SINAPI C-88274</t>
  </si>
  <si>
    <t>SINAPI C-88316</t>
  </si>
  <si>
    <t>SINAPI I-1380</t>
  </si>
  <si>
    <t>SINAPI I-11794</t>
  </si>
  <si>
    <t>SINAPI C-88309</t>
  </si>
  <si>
    <t>SINAPI I-6077</t>
  </si>
  <si>
    <t>SINAPI I-14250</t>
  </si>
  <si>
    <t>SINAPI I-2706</t>
  </si>
  <si>
    <t>COMPOSIÇÃO 09</t>
  </si>
  <si>
    <t>COMPOSIÇÃO 10</t>
  </si>
  <si>
    <t>COMPOSIÇÃO 11</t>
  </si>
  <si>
    <t>12</t>
  </si>
  <si>
    <t>INSTALAÇÕES DE COMBATE A INCÊNDIOS</t>
  </si>
  <si>
    <t>11</t>
  </si>
  <si>
    <t xml:space="preserve">REVESTIMENTOS </t>
  </si>
  <si>
    <t>PINTURA</t>
  </si>
  <si>
    <t>VIDROS</t>
  </si>
  <si>
    <t>SERVIÇOS COMPLEMENTARES</t>
  </si>
  <si>
    <t>13</t>
  </si>
  <si>
    <t>14</t>
  </si>
  <si>
    <t>15</t>
  </si>
  <si>
    <t>Custo unitário</t>
  </si>
  <si>
    <t>SINAPI C-74071/2</t>
  </si>
  <si>
    <t>COMPOSIÇÃO 12</t>
  </si>
  <si>
    <t>COMPOSIÇÃO 13</t>
  </si>
  <si>
    <t>COMPOSIÇÃO 14</t>
  </si>
  <si>
    <t>COMPOSIÇÃO 19</t>
  </si>
  <si>
    <t>COMPOSIÇÃO 16</t>
  </si>
  <si>
    <t>Prendedor de porta em latão</t>
  </si>
  <si>
    <t>SINAPI I - 11572</t>
  </si>
  <si>
    <t>SINAPI I - 7568</t>
  </si>
  <si>
    <t>Mercado</t>
  </si>
  <si>
    <t>SINAPI C - 88315</t>
  </si>
  <si>
    <t>H</t>
  </si>
  <si>
    <t>COMPOSIÇÃO 15</t>
  </si>
  <si>
    <t>SINAPI C-73910/10</t>
  </si>
  <si>
    <t>SINAPI C-74070</t>
  </si>
  <si>
    <t>ORSE-576</t>
  </si>
  <si>
    <t xml:space="preserve">Chapa aço inoxidável nº22 </t>
  </si>
  <si>
    <t>COMPOSIÇÃO 17</t>
  </si>
  <si>
    <t>SINAPI C-73910/11</t>
  </si>
  <si>
    <t>SINAPI C-73809/1</t>
  </si>
  <si>
    <t>SINAPI C - 87373</t>
  </si>
  <si>
    <t>M3</t>
  </si>
  <si>
    <t>SINAPI C - 88309</t>
  </si>
  <si>
    <t>SINAPI C - 88316</t>
  </si>
  <si>
    <t>SINAPI I - 567</t>
  </si>
  <si>
    <t>SINAPI I - 1327</t>
  </si>
  <si>
    <t>SINAPI I - 11447</t>
  </si>
  <si>
    <t>und</t>
  </si>
  <si>
    <t>COMPOSIÇÃO 18</t>
  </si>
  <si>
    <t>COMPOSIÇÃO 20</t>
  </si>
  <si>
    <t>SINAPI C-88248</t>
  </si>
  <si>
    <t>SINAPI C-88267</t>
  </si>
  <si>
    <t>SINAPI I - 6157</t>
  </si>
  <si>
    <t>SINAPI I-3146</t>
  </si>
  <si>
    <t>SINAPI I-20261</t>
  </si>
  <si>
    <t>SINAPI C-86957</t>
  </si>
  <si>
    <t>SINAPI I-7568</t>
  </si>
  <si>
    <t>SINAPI C-86901</t>
  </si>
  <si>
    <t>COMPOSIÇÃO 21</t>
  </si>
  <si>
    <t>Tanque de polipropileno (largura: 60 cm, profundidade: 54cm, altura: 46 cm), de primeira qualidade, completo e instalado, cor branca, ref. Tigre ou equivalente técnico (Unidade: Unidade). Composição Base: 74055/2.</t>
  </si>
  <si>
    <t>I - 4351</t>
  </si>
  <si>
    <t>I - 6152</t>
  </si>
  <si>
    <t>Pesquisa Mercado</t>
  </si>
  <si>
    <t>COMPOSIÇÃO 22</t>
  </si>
  <si>
    <t>16</t>
  </si>
  <si>
    <t/>
  </si>
  <si>
    <t>COMPOSIÇÃO 30</t>
  </si>
  <si>
    <t>COMPOSIÇÃO 31</t>
  </si>
  <si>
    <t>Gerenciamento e descarte de resíduos (PGRCC)</t>
  </si>
  <si>
    <t>t</t>
  </si>
  <si>
    <t>SINAPI C-85253</t>
  </si>
  <si>
    <t>ORSE 10039</t>
  </si>
  <si>
    <t>COMPOSIÇÃO 26</t>
  </si>
  <si>
    <t>COMPOSIÇÃO 28</t>
  </si>
  <si>
    <t>COMPOSIÇÃO 27</t>
  </si>
  <si>
    <t>Custo Unitário</t>
  </si>
  <si>
    <t xml:space="preserve">Total </t>
  </si>
  <si>
    <t>SINAPI I-1381</t>
  </si>
  <si>
    <t>SINAPI C - 88274</t>
  </si>
  <si>
    <t>Basalto polido e= 2,5cm</t>
  </si>
  <si>
    <t>COMPOSIÇÃO 29</t>
  </si>
  <si>
    <t>COMPOSIÇÃO 32</t>
  </si>
  <si>
    <t>SINAPI C-72117</t>
  </si>
  <si>
    <t>COMPOSIÇÃO 33</t>
  </si>
  <si>
    <t>SINAPI C - 87301</t>
  </si>
  <si>
    <t>SINAPI I-11457</t>
  </si>
  <si>
    <t xml:space="preserve"> SINAPI I - 25951</t>
  </si>
  <si>
    <t xml:space="preserve"> SINAPI C-88316</t>
  </si>
  <si>
    <t xml:space="preserve"> SINAPI C-88441</t>
  </si>
  <si>
    <t xml:space="preserve"> SINAPI I-159</t>
  </si>
  <si>
    <t xml:space="preserve"> SINAPI I-25963</t>
  </si>
  <si>
    <t>ORSE - 11005</t>
  </si>
  <si>
    <t>COMPOSIÇÃO 37</t>
  </si>
  <si>
    <t>COMPOSIÇÃO 38</t>
  </si>
  <si>
    <t>SINAPI C-88260</t>
  </si>
  <si>
    <t>Piso em bloco de concreto, intertravado, cor colorido, dim. 10x20cm, e = 6,0 cm (vibro-prensado) (GRAFITE)</t>
  </si>
  <si>
    <t>SINAPI I-366</t>
  </si>
  <si>
    <t>m³Xkm</t>
  </si>
  <si>
    <t xml:space="preserve"> SINAPI I-1443</t>
  </si>
  <si>
    <t>SINAPI C-74164/4</t>
  </si>
  <si>
    <t>COMPOSIÇÃO 39</t>
  </si>
  <si>
    <t xml:space="preserve">SINAPI C-79488 </t>
  </si>
  <si>
    <t>COMPOSIÇÃO 40</t>
  </si>
  <si>
    <t>COMPOSIÇÃO 41</t>
  </si>
  <si>
    <t>17</t>
  </si>
  <si>
    <t>AR CONDICIONADO</t>
  </si>
  <si>
    <t>Convenção Coletiva</t>
  </si>
  <si>
    <t>depende, se a empresa vai ligar a água da corsan ou será fornecida pela UNIPAMPA</t>
  </si>
  <si>
    <t>salário base 1.985,00 (convenção coletiva) com 47,71% de encargos sociais conforme planilha SINAPI JUL/2014</t>
  </si>
  <si>
    <t>BDI - EXECUÇÃO DE OBRA</t>
  </si>
  <si>
    <t>BDI - EQUIPAMENTOS</t>
  </si>
  <si>
    <t>COMPOSIÇÃO 42</t>
  </si>
  <si>
    <t xml:space="preserve"> SINAPI C-88248</t>
  </si>
  <si>
    <t xml:space="preserve"> SINAPI C-88267</t>
  </si>
  <si>
    <t>salário base 1.111,00 (convenção coletiva) com 47,71% de encargos sociais conforme planilha SINAPI JUL/2014, 20% de insalubridade e R$165,00 do premio assiduidade</t>
  </si>
  <si>
    <t>18</t>
  </si>
  <si>
    <t xml:space="preserve">Contato telefônico - Betonart </t>
  </si>
  <si>
    <t>txkm</t>
  </si>
  <si>
    <t xml:space="preserve"> SINAPI C-72840</t>
  </si>
  <si>
    <t>Contato telefônico - Betonart  e Pronto MIX</t>
  </si>
  <si>
    <t>foi considerado o transporte de 300km, considerando que cada carga tranporta 150m²</t>
  </si>
  <si>
    <t>PIS</t>
  </si>
  <si>
    <t>Cofins</t>
  </si>
  <si>
    <t>ISS</t>
  </si>
  <si>
    <t>Observações</t>
  </si>
  <si>
    <t>TOTAL DO ITEM</t>
  </si>
  <si>
    <t>DESCRIÇÃO</t>
  </si>
  <si>
    <t xml:space="preserve">R$ TOTAL </t>
  </si>
  <si>
    <t>PARCELA 1</t>
  </si>
  <si>
    <t>PARCELA 2</t>
  </si>
  <si>
    <t>PARCELA 3</t>
  </si>
  <si>
    <t>PARCELA 4</t>
  </si>
  <si>
    <t>PARCELA 5</t>
  </si>
  <si>
    <t>30 dias</t>
  </si>
  <si>
    <t>R$</t>
  </si>
  <si>
    <t>60 dias</t>
  </si>
  <si>
    <t>90 dias</t>
  </si>
  <si>
    <t>120 dias</t>
  </si>
  <si>
    <t>150 dias</t>
  </si>
  <si>
    <t>TOTAL ACUMULADO</t>
  </si>
  <si>
    <t>Auxiliar de produção (8h/dia) Considerado 20 % de insalubridade, R$ 165,00 como prêmio assiduidade, e encargos sociais mensalista desonerado 47,71% (limpeza permanente)</t>
  </si>
  <si>
    <t>Mestre/Encarregado (8h/dia) Considerado 20 % de insalubridade, R$ 165,00 como prêmio assiduidade, e encargos sociais mensalista desonerado 47,71% (limpeza permanente)</t>
  </si>
  <si>
    <t>mês</t>
  </si>
  <si>
    <t>Administração local estão incluídos gastos com pessoal técnico, administrativo e de apoio, compreendendo o supervisor, o engenheiro responsável técnico, o mestre de obras, encarregados, técnico de produção, apontador, almoxarife, motorista, porteiro, equipe de escritório, vigias e serventes de canteiro, mecânicos de manutenção, topografia e de medicina e segurança do trabalho etc., bem como os equipamentos de proteção coletiva de toda a obra, controle tecnológico de qualidade dos materiais e da obra; e transporte. (Unidade: % de excecutada do cronograma)</t>
  </si>
  <si>
    <t>COMPOSIÇÕES PROJETO ARQUITETÔNICO</t>
  </si>
  <si>
    <t>SINAPI C-84957</t>
  </si>
  <si>
    <t>CPRB</t>
  </si>
  <si>
    <t>Totais</t>
  </si>
  <si>
    <t>% Participação</t>
  </si>
  <si>
    <t>% Participação Acumulada</t>
  </si>
  <si>
    <t>Itens</t>
  </si>
  <si>
    <t>SINAPI   C-5651</t>
  </si>
  <si>
    <t>Forma tábua para concreto em fundação c/ reaproveitamento 5X</t>
  </si>
  <si>
    <t>SINAPI C 88238</t>
  </si>
  <si>
    <t>SINAPI C88245</t>
  </si>
  <si>
    <t>SINAPI C 88309</t>
  </si>
  <si>
    <t>SINAPI C 88316</t>
  </si>
  <si>
    <t>SINAPI I 33</t>
  </si>
  <si>
    <t>SINAPI I 337</t>
  </si>
  <si>
    <t>Total/m</t>
  </si>
  <si>
    <t>SINAPI C 74138/3</t>
  </si>
  <si>
    <t>Concreto usinado bombeado Fck=25MPa, inclusive lançamento e adensamento</t>
  </si>
  <si>
    <t>Total/m³</t>
  </si>
  <si>
    <t>Armação aço CA-60, diâmetro 7 a 8 mm - Fornecimento / corte (perda de 10%) / dobra / colocação</t>
  </si>
  <si>
    <t>SINAPI C-73942/1</t>
  </si>
  <si>
    <t>Blocos de Fundação 60x60. Concreto armado 25MPa. Inclusive Formas, Bombeado, lançamento e adençamento. (Unidade m³)</t>
  </si>
  <si>
    <t>Viga baldrame de concreto armado 25MPA inclusive formas, bombeado, lançamento e adençamento. (Unidade m³)</t>
  </si>
  <si>
    <t>SINAPI C 74138/2</t>
  </si>
  <si>
    <t>Pilares de arranque do bloco de fundação. Concreto armado 25MPa. Inclusive Formas, Bombeado, lançamento e adençamento. (Unidade m³)</t>
  </si>
  <si>
    <t>Pilares. Concreto armado 25MPa. Inclusive Formas, Bombeado, lançamento e adençamento. (Unidade m³)</t>
  </si>
  <si>
    <t>Vigas de forro. Concreto armado 25MPA inclusive formas, bombeado, lançamento e adençamento. (Unidade m³)</t>
  </si>
  <si>
    <t>Vigas de cintamento de platibanda. Concreto armado 25MPA inclusive formas, bombeado, lançamento e adençamento. (Unidade m³)</t>
  </si>
  <si>
    <t>Pilares de platibanda. Concreto armado 25MPa. Inclusive Formas, Bombeado, lançamento e adençamento. (Unidade m³)</t>
  </si>
  <si>
    <t>SINAPI I-7271</t>
  </si>
  <si>
    <t>SINAPI I-7324</t>
  </si>
  <si>
    <t>SINAPI I-22</t>
  </si>
  <si>
    <t>Alvenaria tijolos crêmicos furados 9x19x19cm, 1 vez (espessura de 19 cm), assentado em argamessa traço 1:4 (cim:areia média não peneirada) juntade 1cm. (Referência: SINAPI C-87509) (Unidade: m²)</t>
  </si>
  <si>
    <t>á area de parede é igial portanto usa mesmo número de tijolos, o que muda é o tijolo de 6 e 8 furos)</t>
  </si>
  <si>
    <t>SINAPI C-74070/1</t>
  </si>
  <si>
    <t>SINAPI C-74070/2</t>
  </si>
  <si>
    <t>PI3 - 90x210 cm - Porta interna semi-oca de compensado de pinho e reforço interno de 10 cm em todo o seu perímetro em cedro, com 35mm de espessura c/ 01 folha para pintura, inclusive marco, guarnição, ferragens, revestimento anti-impacto Chapa aço inoxidável nº22. (faixa de 40 cm) fechadura padrão superior - completa e instalada, conforme especificação e caderno de encargos</t>
  </si>
  <si>
    <t>PI4 - 90x210 cm - Porta interna semi-oca de compensado de pinho e reforço interno de 10 cm em todo o seu perímetro em cedro, com 35mm de espessura c/ 01 folhas para pintura, inclusive marco, guarnição, ferragens, fechadura padrão superior e visor de vidro liso 5mm - completa e instalada, conforme especificação e caderno de encargos.</t>
  </si>
  <si>
    <t>PI5 - 150 x 210 cm - Porta interna semi-oca de compensado de pinho e reforço interno de 10 cm em todo o seu perímetro em cedro, com 35mm de espessura c/ 02 folhas (60x210 e 90x210cm) para pintura, inclusive marco, guarnição, ferragens, fechadura padrão superior e visor de vidro liso 5mm completa e instalada, conforme especificação e caderno de encargos.</t>
  </si>
  <si>
    <t>JE3 - 410X154cm  - Janela externa de alumínio maxim-ar com pintura eletrostática bronze 1001 especificações conforme projeto de esquadrias e caderno de encargos, incluindo contramarco e assentamento. NÃO INCLUSO VIDRO FUME 6MM E PELÍCULA - VER ITEM VIDROS</t>
  </si>
  <si>
    <t>Lastro de brita nº 2 para contrapiso e calçada de concreto, espessura 10  cm, inclusive espalhamento, compactação manual e transporte para CAMPUS SÃO GABRIEL. (Unidade: m²)</t>
  </si>
  <si>
    <t>R$45,20/ton</t>
  </si>
  <si>
    <t>1 cami de 8m³ transp 13,5ton</t>
  </si>
  <si>
    <t>então</t>
  </si>
  <si>
    <t>é igual a 1 ton</t>
  </si>
  <si>
    <t>Piso de basalto cinza fosco (meia-lixa), 40x40cm, e= 2cm, inclusive argamassa de assentamento e rejunte - Acesso coberto. (Unidade: m²) - Composição considera perda de 5%</t>
  </si>
  <si>
    <t>SINAPI C-85002</t>
  </si>
  <si>
    <t>Peitoril em basalto, largura de 15cm, assentado com argamassa traço 1:4 (cimento e areia media), preparo manual da argamassa. (Referência: SINAPI C- 84088) - Todas as Janelas Externas</t>
  </si>
  <si>
    <t>Soleira em basalto, largura de 23 cm, assentado com argamassa traço 1:4 (cimento e areia media), preparo manual da argamassa. (Referência SINAPI C- 84088) - Portas de entrada</t>
  </si>
  <si>
    <t>Lab. Civil UNIPAMPA</t>
  </si>
  <si>
    <t>Rompimento de corpo de prova de concreto - 10 x 20 cm - c/laudo.</t>
  </si>
  <si>
    <t>Divisória em granito amarelo ornamental, esp = 3cm, assentado com argamassa traço 1:4, arremate em cimento branco inclusive ferragem. (Unidade: m²) (Referência: SINAPI C-79627)Sanitários</t>
  </si>
  <si>
    <t>Porta de abrir em alumínio 175x60cm pintura eletrostática branca venezianada, com guarnição para divisórias de granito e targeta livre/ocupado (Unidade: unid.)</t>
  </si>
  <si>
    <t xml:space="preserve">Reservatório de fibra de vidro, capacidade p/ 2.000 litros c/ tampa, completo e instalado.  (Unidade: Unidade). </t>
  </si>
  <si>
    <t>SINAPI I-37104</t>
  </si>
  <si>
    <t>ORSE-3149</t>
  </si>
  <si>
    <t xml:space="preserve">Concreto usinado bombeado fck=20mpa, inclusive lançamento e adensamento </t>
  </si>
  <si>
    <t xml:space="preserve"> Ajudante de armador com encargos complementares </t>
  </si>
  <si>
    <t xml:space="preserve"> Armador com encargos complementares </t>
  </si>
  <si>
    <t xml:space="preserve"> Pedreiro com encargos complementares </t>
  </si>
  <si>
    <t xml:space="preserve"> Servente com encargos complementares </t>
  </si>
  <si>
    <t xml:space="preserve"> Aço ca-50 </t>
  </si>
  <si>
    <t xml:space="preserve"> Arame recozido 18 bwg, 1,25 mm (0,01 kg/m) </t>
  </si>
  <si>
    <t>SINAPI C 84216</t>
  </si>
  <si>
    <t xml:space="preserve">Forma para estruturas de concreto (pilar, viga e laje) em chapa de madeira compensada resinada, de 1,10 x 2,20, espessura = 12 mm, 03 utilizações. (fabricação, montagem e desmontagem) </t>
  </si>
  <si>
    <t>Escoramento formas de h=3,30 a 3,50 m, com madeira 3a qualidade, não aparelhada, aproveitamento tabuas 3x e prumos 4x.</t>
  </si>
  <si>
    <t>SINAPI C-82515</t>
  </si>
  <si>
    <t>Total/m²</t>
  </si>
  <si>
    <t>Laje de concreto armado maciça altura 10cm, fck=25MPa, inclusive ferragem, formas e escoramento. Terraço técnico. (Unidade: m²)</t>
  </si>
  <si>
    <t>Laje de concreto armado maciça altura 8cm, fck=25MPa, inclusive ferragem, formas e escoramento. Terraço técnico e marquises. (Unidade: m²)</t>
  </si>
  <si>
    <t>Laje pré-moldada altura 12cm, fck=25MPa, inclusive ferragem, formas e escoramento. (Unidade: m²)</t>
  </si>
  <si>
    <t>SINAPI C-83515</t>
  </si>
  <si>
    <t>Escoramento de laje prémoldada</t>
  </si>
  <si>
    <t>SINAPI C-74107/1</t>
  </si>
  <si>
    <t>SINAPI I-3745</t>
  </si>
  <si>
    <t>Laje pré-moldada de forro convencional sobrecarga 100kg/m² vão ate 5,00m</t>
  </si>
  <si>
    <t>Tampo de granito amarelo ornamental polido, 1,80x0,55m espessura 2 cm, com 2 cubas de louça ovais 35x50cm brancas de embutir, inclusive sifão, válvula de escoamento e rabicho (sustentação com mãos-francesas metálicas) - fornecimento e instalação. (Unidade: Unidade). WC FEM e MAS</t>
  </si>
  <si>
    <t xml:space="preserve">Encanador ou bombeiro hidráulico com encargos complementares </t>
  </si>
  <si>
    <t xml:space="preserve">Auxiliar de encanador ou bombeiro hidráulico com encargos complementares </t>
  </si>
  <si>
    <t xml:space="preserve">Válvula em metal cromado p/ lavatório </t>
  </si>
  <si>
    <t xml:space="preserve">Fita veda rosca em rolos 18mmx10m </t>
  </si>
  <si>
    <t xml:space="preserve">Sifão flexível p/ pia e lavatório 3/4" x 1 1/2" </t>
  </si>
  <si>
    <t xml:space="preserve">Mão francesa em barra de ferro chato retangular 2" x 1/4", reforçada, 40 x 30 cm </t>
  </si>
  <si>
    <t xml:space="preserve">Granito amarelo ornamental, polido p/ bancada e=2cm - fornecimento e instalação. </t>
  </si>
  <si>
    <t xml:space="preserve">Cimento branco </t>
  </si>
  <si>
    <t xml:space="preserve">Bucha nylon s-10 c/ parafuso aço zincado rosca soberbacab chata 5,5 x 65mm </t>
  </si>
  <si>
    <t xml:space="preserve">Cuba de embutir oval em louça branca, 35 x 50cm ou equivalente -fornecimento e instalação. Af_12/2013 </t>
  </si>
  <si>
    <t xml:space="preserve">Calco/prendedor latao cromado p/ porta </t>
  </si>
  <si>
    <t xml:space="preserve"> cj parafuso e bucha 8 mm </t>
  </si>
  <si>
    <t xml:space="preserve"> parafuso fenda  6 mm </t>
  </si>
  <si>
    <t xml:space="preserve"> serralheiro com encargos complementares </t>
  </si>
  <si>
    <t xml:space="preserve">Argamassa traço 1:4 (cimento e areia média) para contrapiso, preparo manual. Af_06/2014 </t>
  </si>
  <si>
    <t xml:space="preserve"> pedreiro com encargos complementares </t>
  </si>
  <si>
    <t xml:space="preserve"> servente com encargos complementares </t>
  </si>
  <si>
    <t xml:space="preserve"> antoneira ferro galv 1" x 1/8" - (1,20kg/m) </t>
  </si>
  <si>
    <t xml:space="preserve"> chapa aco fina a frio preta 24msg e = 0,61 mm - 4,89kg/m2 </t>
  </si>
  <si>
    <t xml:space="preserve"> dobradica latao cromado 3 x 3" c/ aneis </t>
  </si>
  <si>
    <t xml:space="preserve">auxiliar de encanador ou bombeiro hidráulico com encargos complementares </t>
  </si>
  <si>
    <t xml:space="preserve">fita veda rosca em rolos 18mmx10m </t>
  </si>
  <si>
    <t xml:space="preserve">parafuso niquelado p/ fixar peça sanitária </t>
  </si>
  <si>
    <t xml:space="preserve">válvula em plático branco 1 1/4" x 1 1/2" c/ saida </t>
  </si>
  <si>
    <t xml:space="preserve">tanque de polipropileno (60x54x46)cm de primiera qualidade. </t>
  </si>
  <si>
    <t>Vidro liso fume, espessura 6mm</t>
  </si>
  <si>
    <t>Aplicação de película Window Film 3M série FX com transparência de 5% em cima do vidro liso fume - JE3</t>
  </si>
  <si>
    <t>Vidro liso fume, espessura 6mm, com aplicação de película Window Film 3M série FX com transparência de 5%  - JE3 devido à especificidade do laboratório. Completo e instalado.</t>
  </si>
  <si>
    <t>Colocação cuba louca/aço inox exclusive cuba/complemento</t>
  </si>
  <si>
    <t>SINAPI C-73540</t>
  </si>
  <si>
    <t>Cuba Tramontina Retangular Aço Inox Maxi 50x40/21 brilhosa com válvula de Ø 4 1/2 " cromado e sifão cromado ou equivalente técnico. Instalação conforme projeto arquitetônico.</t>
  </si>
  <si>
    <t>Cuba Tramontina Retangular Aço Inox Maxi 50x40/21 inclusive válvula cromada</t>
  </si>
  <si>
    <t>SINAPI I-</t>
  </si>
  <si>
    <t>Sifão em metal cromado 1 x 1 1/2"</t>
  </si>
  <si>
    <t xml:space="preserve">Marmorista/graniteiro com encargos complementares </t>
  </si>
  <si>
    <t xml:space="preserve"> argamassa traço 1:4 (cimento e areia média) para contrapiso, preparo mecânico com betoneira 400 l. Af_06/2014 </t>
  </si>
  <si>
    <t>SINAPI C - 73406</t>
  </si>
  <si>
    <t xml:space="preserve">Concreto fck=15mpa (1:2,5:3) , incluído preparo mecânico, lançamento e adensamento </t>
  </si>
  <si>
    <t>Bancada de granito cinza andorinha polido com largura 70cm, espelho 10cm e borda de 3cm, espessura 2cm. Incuisive sustentação sobre laje maciça de 8cm. Fornecimento e instalação de acordo com projeto arquitetônico. (Unidade: m).</t>
  </si>
  <si>
    <t xml:space="preserve">Piso em basalto polido e= 2,5cm </t>
  </si>
  <si>
    <t xml:space="preserve"> marmorista/graniteiro com encargos complementares </t>
  </si>
  <si>
    <t xml:space="preserve">Piso em basalto polido 40x40cm e= 2cm </t>
  </si>
  <si>
    <t xml:space="preserve"> argamassa ou cimento colante em pó para fixação de peças cerâmicas </t>
  </si>
  <si>
    <t xml:space="preserve"> cimento branco </t>
  </si>
  <si>
    <t xml:space="preserve">Porta de madeira compensada lisa para pintura, 90x210x3,5cm, incluso aduela 2a, alizar 2a e dobradicas </t>
  </si>
  <si>
    <t xml:space="preserve"> fechadura de embutir completa, para portas internas, padrao de acabamento superior </t>
  </si>
  <si>
    <t xml:space="preserve"> vidro liso comum transparente, espessura 5mm </t>
  </si>
  <si>
    <t xml:space="preserve">Porta de madeira compensada lisa para pintura, 150x210x3,5cm, 2 folhas, incluso aduela 2a, alizar 2a e dobradiças </t>
  </si>
  <si>
    <t xml:space="preserve"> fechadura de embutir completa, para portas internas 2 folhas, padrão de acabamento superior </t>
  </si>
  <si>
    <t xml:space="preserve">  Janela de alumínio tipo maxim ar, incluso guarnições e vidro fantasia </t>
  </si>
  <si>
    <t xml:space="preserve"> vidro liso comum transparente, espessura 4mm </t>
  </si>
  <si>
    <t>Granito cinza andorinha polido p/bancada e=2,5 cm</t>
  </si>
  <si>
    <t>Bancada de granito cinza andorinha polido com largura 85cm, espelho 10cm e borda de 3cm, espessura 2cm. Incuisive sustentação sobre laje maciça de 8cm. Fornecimento e instalação de acordo com projeto arquitetônico. LABORATÓRIO DE ANÁLISES MOLECULARES (Unidade: m).</t>
  </si>
  <si>
    <t>Bica Alta Articulável de mesa modelo Docolmatic código 98719206, marca DOCOL</t>
  </si>
  <si>
    <t xml:space="preserve"> Acionador por Pedal Válvula para Piso ou Parede modelo Pedalmatic código 00490906 marca DOCOL</t>
  </si>
  <si>
    <t>Engate flexível para acionador mecânico com pedal  fabricado em metal cromado com 1,20 m de comprimento Cod. 43.010</t>
  </si>
  <si>
    <t xml:space="preserve">Servente com encargos complementares  </t>
  </si>
  <si>
    <t xml:space="preserve">grama em placa bermuda/esmeralda em placa </t>
  </si>
  <si>
    <t xml:space="preserve">calcário dolomítico a - posto pedreira </t>
  </si>
  <si>
    <t xml:space="preserve">fertilizante NPK 10:10:10 </t>
  </si>
  <si>
    <t>jardineiro com encargos complementares</t>
  </si>
  <si>
    <t>adubo bovino</t>
  </si>
  <si>
    <t xml:space="preserve">Plantio de grama bermuda/esmeralda em leiva inclusive calcário, adubo bovino, ferilizante e plantio. (Referência: SINAPI 74236/1) (Unidade: m²) </t>
  </si>
  <si>
    <t xml:space="preserve">Lastro de brita </t>
  </si>
  <si>
    <t xml:space="preserve"> Reaterro manual com apiloamento mecânico </t>
  </si>
  <si>
    <t xml:space="preserve"> Transporte comercial com caminhão basculante 6 m3, rodovia pavimentada. - 50km para h=10cm </t>
  </si>
  <si>
    <t xml:space="preserve">Pó-de-pedra - posto pedreira / fornecedor (sem frete) </t>
  </si>
  <si>
    <t>Transporte comercial com caminhão basculante 6 m3, rodovia pavimentada. - 50km para espessura de 8cm de pó-de-pedra</t>
  </si>
  <si>
    <t xml:space="preserve">Areia fina para rejunte de blocos de concreto intertravado durante compactação ( h=1,0cm) </t>
  </si>
  <si>
    <t xml:space="preserve">Calceteiro com encargos complementares </t>
  </si>
  <si>
    <t xml:space="preserve">Piso em bloco de concreto, intertravado, cor colorido, dim. 10x20cm, e = 6,0 cm (vibro-prensado) (grafite) </t>
  </si>
  <si>
    <t xml:space="preserve">Frete - transporte comercial com caminhão carroceria 9 t, rodovia pavimentada  </t>
  </si>
  <si>
    <t xml:space="preserve">Compactador de solo com placa vibratória 135 a 156kg - referência SINAPI C-73764/4 </t>
  </si>
  <si>
    <t xml:space="preserve">Base para pavimentação com brita graduada. </t>
  </si>
  <si>
    <t>Base para pavimentação com brita graduada com altura de 15cm, inclusive compactação e transporte. Para CAMPUS SÃO GABRIEL. (Unidade: m²)</t>
  </si>
  <si>
    <t xml:space="preserve">Compactador de solo com placa vibratória 135 a 156kg - referência sinapi c-73764/4  </t>
  </si>
  <si>
    <t xml:space="preserve"> encanador ou bombeiro hidráulico com encargos complementares </t>
  </si>
  <si>
    <t xml:space="preserve"> caixa d'agua fibra de vidro para 2000 litros, com tampa </t>
  </si>
  <si>
    <t>SINAPI</t>
  </si>
  <si>
    <t>MO</t>
  </si>
  <si>
    <t>Servente EC</t>
  </si>
  <si>
    <t>COMPOSIÇÕES PROJETO DE CLIMATIZAÇÃO</t>
  </si>
  <si>
    <t>Placa sinalização equipamentos incêndio (Extintores, mangotinho e botoeira) fotoluminescente certificada 30x30cm - Conforme NBR 13434 - Fornecimento e instalação</t>
  </si>
  <si>
    <t>Pesquisa mercado</t>
  </si>
  <si>
    <t>Placa sinalização extintor fotoluminescente 30x30cm</t>
  </si>
  <si>
    <t>C-88316</t>
  </si>
  <si>
    <t>Total / unid.</t>
  </si>
  <si>
    <t>PPCI COMPOSIÇÃO 01</t>
  </si>
  <si>
    <t>Totais Parciais</t>
  </si>
  <si>
    <t>Conjunto Fossa séptica e filtro anaeróbio, em fibra de vidro, Modelo 1.600litros/dia, Volume 1100 litros. REF. Bakof Tec  cor Preta- Completa e instalada.</t>
  </si>
  <si>
    <t>Conjunto Fossa séptica e filtro anaeróbio, em fibra de vidro, Modelo 1.600litros/dia, Volume 1100 litros. REF. Bakof Tec  cor Preta</t>
  </si>
  <si>
    <t>Valor de pesquisa de mercado menor que Insumo SINAPI 11887 - SINAPI não é o especificado</t>
  </si>
  <si>
    <t>TOTAL DO CONTRATO</t>
  </si>
  <si>
    <t>COMPOSIÇÃO 23</t>
  </si>
  <si>
    <t>COMPOSIÇÃO 24</t>
  </si>
  <si>
    <t>COMPOSIÇÃO 25</t>
  </si>
  <si>
    <t>COMPOSIÇÃO 34</t>
  </si>
  <si>
    <t>COMPOSIÇÃO 35</t>
  </si>
  <si>
    <t>COMPOSIÇÃO 36</t>
  </si>
  <si>
    <t>Engenheiro ou Arquiteto Auxiliar/Junior - DE OBRA</t>
  </si>
  <si>
    <t>Técnico em segurança</t>
  </si>
  <si>
    <t>Estaca a trado (broca) diâmetro 30cm em concreto armado moldada inloco, 20MPA. Comprimento médio de 4,5 m (Referência SINAPI C-72819). Concreto bombeado, lançamento e adensamento.</t>
  </si>
  <si>
    <t>Alçapão em ferro 100x100 cm, incluso ferragens (referência: SINAPI C-74073/2). 1unidade para acesso ao terraço e 1 unidade para proteção das descidas das colunas de água.</t>
  </si>
  <si>
    <t>Bica Alta Articulável de mesa modelo Docolmatic código 98719206, marca DOCOL com Acionador por Pedal Válvula para Piso ou Parede modelo Pedalmatic código 00490906 marca DOCOL. Inclusive 2 engates flexiveis em metal cromado de 1,2m de comprimento e conexões.  (Referência: 7229) (Unidade: unid).</t>
  </si>
  <si>
    <t>CRONOGRAMA FÍSICO-FINANCEIRO</t>
  </si>
  <si>
    <t>19</t>
  </si>
  <si>
    <t>COMPOSIÇÃO 43</t>
  </si>
  <si>
    <t xml:space="preserve">Eletricista com encargos complementares  </t>
  </si>
  <si>
    <t xml:space="preserve"> SINAPI C-88264</t>
  </si>
  <si>
    <t>Exaustor de parede Axial Industrial 25 cm, bivolt, marca Tron ou equivalente técnico, cor BRANCA, vazão de ar 550 m³/h</t>
  </si>
  <si>
    <t xml:space="preserve"> SINAPI I-2565</t>
  </si>
  <si>
    <t xml:space="preserve"> SINAPI I-12128</t>
  </si>
  <si>
    <t>Aterro e compactação c/ material de boa capacidade de suporte compactado em camadas de 20cm sem transporte. (Unidade: m³)</t>
  </si>
  <si>
    <t xml:space="preserve">Tapume de chapa de madeira compensada, e= 12mm, com pintura a cal, h=2,20m, inclusive escoras e barrotes - completo (unidade: m²) </t>
  </si>
  <si>
    <t xml:space="preserve">Barracão de obra para alojamento/escritorio/depósito/refeitório, piso em pinho 3a, paredesem compensado 10mm, cobertura em telha amianto 6mm, incluso instalações elétricas e esquadrias </t>
  </si>
  <si>
    <t xml:space="preserve">barracão de obra em chapa de madeira compensada com banheiro, cobertura em fibrocimento 4 mm, incluso instalacoes hidro-sanitarias e eletricas - a composição inclui bacia sanitária e chuveiro. </t>
  </si>
  <si>
    <t xml:space="preserve">galpão aberto para oficina e deposito de canteiro de obras, em madeira de lei - inclui telheiro para betoneira </t>
  </si>
  <si>
    <t xml:space="preserve">Tapume de chapa de madeira compensada, e= 6mm, com pintura a cal e reaproveitamento de 2x </t>
  </si>
  <si>
    <t xml:space="preserve">chapa madeira compensada resinada 2,2 x 1,1m x 6mm p/ forma concreto - retira-se o insumo e substitui peal chapa de 12mm </t>
  </si>
  <si>
    <t xml:space="preserve">chapa madeira compensada resinada 2,2 x 1,1m x 12mm p/ forma concreto </t>
  </si>
  <si>
    <t>unid/ mês</t>
  </si>
  <si>
    <t xml:space="preserve">Argila ou barro para aterro/reaterro (retirado na jazida, sem transporte) </t>
  </si>
  <si>
    <t xml:space="preserve"> Carga, manobras e descarga de areia, brita, pedra de mao e solos com caminhão basculante 6 m3 (descarga livre) </t>
  </si>
  <si>
    <t xml:space="preserve">Descarte de resíduos em área licenciada (considerando 30 t de resíduos) </t>
  </si>
  <si>
    <t xml:space="preserve"> Galpao aberto em canteiro de obra, com estrutura em madeira (reaproveitamento 3x) e telha ondulada 6mm, incluindo piso cimentado com preparo do terreno </t>
  </si>
  <si>
    <t xml:space="preserve">Pedreiro com encargos complementares </t>
  </si>
  <si>
    <t xml:space="preserve"> argamassa traço 1:4 (cimento e areia média) para contrapiso, preparo manual. </t>
  </si>
  <si>
    <t xml:space="preserve"> bloco cerâmico vedação 8 furos - 9 x 19 x 19 cm </t>
  </si>
  <si>
    <t xml:space="preserve"> aco ca-25, 6,3 mm, vergalhao </t>
  </si>
  <si>
    <t xml:space="preserve"> resina base epoxi </t>
  </si>
  <si>
    <t xml:space="preserve"> divisória em granito amarelo ornamentla esp=3cm com duas faces polidas incluindo cantoneira inox p/ fixação de divisórias em blindex/granito, c/ parafusos ou similar </t>
  </si>
  <si>
    <t xml:space="preserve">Porta de abrir em alumínio tipo veneziana, com guarnição </t>
  </si>
  <si>
    <t xml:space="preserve"> tarjeta tipo livre/ocupado p/ porta banheiro </t>
  </si>
  <si>
    <t xml:space="preserve">Interruptor sobrepor 1 tecla simples, tipo silentoque pial ou equiv </t>
  </si>
  <si>
    <t xml:space="preserve"> condulete tipo "e" em liga alumínio p/ eletroduto roscado 3/4" </t>
  </si>
  <si>
    <t>Exaustor de parede Axial Industrial 25 cm, bivolt, 60hz, marca Tron ou equivalente técnico, cor BRANCA, vazão de ar 550m³/h. Incluso chave liga/desliga e instalação completa. Para laboratório de Análises Moleculares e Laboratório de Preparo Sujo.</t>
  </si>
  <si>
    <t>Pavimentação de blocos de concreto tipo Holandês (10x20cm) cor GRAFITE e=6,0cm fck=25 assentado sobre colchão de PÓ-DE-PEDRA espessura de 8 cm incluso rejunte de areia fina, compactação com placa vibratória- fornecimento e instalação disposto conforme projeto arquitetônico. Incluso 5% de perdas  Frete para CAMPU SÃO GARIEL. Referência: ORSE: 09709 e SINAPI C-73764. (Unidade:m²)</t>
  </si>
  <si>
    <t>Pavimentação de blocos de concretoTÁTIL tipo Holandês (10x20cm) cor VERMELHO e=6,0cm fck=25 assentado sobre colchão de PÓ-DE-PEDRA espessura de 8 cm incluso rejunte de areia fina, compactação com placa vibratória- fornecimento e instalação disposto conforme projeto arquitetônico. Incluso 5% de perdas e Frete para CAMPU SÃO GABRIEL. Referência: ORSE: 09709 e SINAPI C-73764. (Unidade:m²)</t>
  </si>
  <si>
    <t>QUANTIDADE</t>
  </si>
  <si>
    <r>
      <t xml:space="preserve">PROJETO: </t>
    </r>
    <r>
      <rPr>
        <b/>
        <i/>
        <sz val="11"/>
        <color rgb="FFFF0000"/>
        <rFont val="Arial"/>
        <family val="2"/>
      </rPr>
      <t>XXXXXXXXXXXXXXX</t>
    </r>
  </si>
  <si>
    <r>
      <t>CAMPUS</t>
    </r>
    <r>
      <rPr>
        <b/>
        <i/>
        <sz val="11"/>
        <color rgb="FFFF0000"/>
        <rFont val="Arial"/>
        <family val="2"/>
      </rPr>
      <t xml:space="preserve"> XXXXXXXXXXXXXX</t>
    </r>
  </si>
  <si>
    <r>
      <t xml:space="preserve">Endereço da Obra: </t>
    </r>
    <r>
      <rPr>
        <i/>
        <sz val="11"/>
        <color rgb="FFFF0000"/>
        <rFont val="Arial"/>
        <family val="2"/>
      </rPr>
      <t>XXXXXXXXXXXXXXXXXXXXXXXXX</t>
    </r>
  </si>
  <si>
    <r>
      <t xml:space="preserve">Área Total: </t>
    </r>
    <r>
      <rPr>
        <i/>
        <sz val="11"/>
        <color rgb="FFFF0000"/>
        <rFont val="Arial"/>
        <family val="2"/>
      </rPr>
      <t>XXXXXXXX</t>
    </r>
  </si>
  <si>
    <r>
      <t xml:space="preserve">Fontes: </t>
    </r>
    <r>
      <rPr>
        <i/>
        <sz val="10"/>
        <color rgb="FFFF0000"/>
        <rFont val="Arial"/>
        <family val="2"/>
      </rPr>
      <t>XXXXXXXXXX</t>
    </r>
  </si>
  <si>
    <r>
      <t xml:space="preserve">            </t>
    </r>
    <r>
      <rPr>
        <i/>
        <sz val="10"/>
        <color rgb="FFFF0000"/>
        <rFont val="Arial"/>
        <family val="2"/>
      </rPr>
      <t>XXXXXXXXXX</t>
    </r>
  </si>
  <si>
    <t>Responsável Técnico:</t>
  </si>
  <si>
    <t>CREA/CAU:</t>
  </si>
  <si>
    <t>TOTAL SERVIÇO      COM BDI</t>
  </si>
  <si>
    <t>INFRAESTRUTURA / FUNDAÇÕES SIMPLES</t>
  </si>
  <si>
    <t>SERVIÇOS PRELIMINARES / TÉCNICOS</t>
  </si>
  <si>
    <t>FUNDAÇÕES ESPECIAIS</t>
  </si>
  <si>
    <t>ALVENARIA / VEDAÇÃO / DIVISÓRIA</t>
  </si>
  <si>
    <t>INSTALAÇÕES HIDRÁULICAS E SANITÁRIAS</t>
  </si>
  <si>
    <t>IMPERMEABILIZAÇÃO, ISOLAÇÃO TÉRMICA E ACÚSTICA</t>
  </si>
  <si>
    <t>INSTALAÇÕES LÓGICA /TELEFÔNICA</t>
  </si>
  <si>
    <t>EQUIPAMENTOS</t>
  </si>
  <si>
    <t>GERENCIAMENTO DE OBRA  / FISCALIZAÇÃO</t>
  </si>
  <si>
    <t>PAISAGISMO  / URBANIZAÇÃO</t>
  </si>
  <si>
    <t>FORRO</t>
  </si>
  <si>
    <t>PISO</t>
  </si>
  <si>
    <t>INSTALAÇÕES ESPECIAIS (SOM, ALARME, CFTV, DENTRE OUTROS)</t>
  </si>
  <si>
    <t>Local, xx de xxxxxxxxxxxxx de 20xx.</t>
  </si>
  <si>
    <t>Eng. XXXXXXXXXXXXXXXXXX</t>
  </si>
  <si>
    <t>cargo</t>
  </si>
  <si>
    <t>20</t>
  </si>
  <si>
    <t>21</t>
  </si>
  <si>
    <t>22</t>
  </si>
  <si>
    <t>23</t>
  </si>
  <si>
    <t>24</t>
  </si>
  <si>
    <r>
      <t xml:space="preserve">Data Base: </t>
    </r>
    <r>
      <rPr>
        <i/>
        <sz val="10"/>
        <color rgb="FFFF0000"/>
        <rFont val="Arial"/>
        <family val="2"/>
      </rPr>
      <t>XXXXXXXXXXX</t>
    </r>
  </si>
  <si>
    <t xml:space="preserve">Fonte: Orientações Para Elaboração De Planilhas Orçamentárias De Obras Públicas, Tribunal de Contas da União, 2014. Página 91. </t>
  </si>
  <si>
    <t>AC</t>
  </si>
  <si>
    <t>S</t>
  </si>
  <si>
    <t>R</t>
  </si>
  <si>
    <t>G</t>
  </si>
  <si>
    <t>DF</t>
  </si>
  <si>
    <t>L</t>
  </si>
  <si>
    <t>I</t>
  </si>
  <si>
    <t>Administração Central</t>
  </si>
  <si>
    <t>Seguro</t>
  </si>
  <si>
    <t>Garantia</t>
  </si>
  <si>
    <t>Despesas Financeiras</t>
  </si>
  <si>
    <t>Lucro bruto</t>
  </si>
  <si>
    <t>BDI Calculado</t>
  </si>
  <si>
    <t>BDI Adotado</t>
  </si>
  <si>
    <t>DETALHAMENTO DO CÁLCULO DO BDI</t>
  </si>
  <si>
    <t>EXECUÇÃO DE OBRAS</t>
  </si>
  <si>
    <t>INSTALAÇÃO DE EQUIPAMENTOS</t>
  </si>
  <si>
    <t>Para instalações de equipamentos com BDI diferenciado utiliza-se:</t>
  </si>
  <si>
    <t>%</t>
  </si>
  <si>
    <t>Valores Atualizados em</t>
  </si>
  <si>
    <t xml:space="preserve"> 04 de janeiro de 2016.</t>
  </si>
  <si>
    <r>
      <t xml:space="preserve">ART/RRT de orçamento nº: </t>
    </r>
    <r>
      <rPr>
        <i/>
        <sz val="10"/>
        <color rgb="FFFF0000"/>
        <rFont val="Arial"/>
        <family val="2"/>
      </rPr>
      <t>XXXXXXX</t>
    </r>
  </si>
  <si>
    <t>CREA/CAU XXXXXXXXXXXX</t>
  </si>
  <si>
    <t>COMPOSIÇÕES PROJETO ELÉTRICO</t>
  </si>
  <si>
    <t>ELE COMPOSIÇÃO 01</t>
  </si>
  <si>
    <t>1.1</t>
  </si>
  <si>
    <t>1.2</t>
  </si>
  <si>
    <t>2.1</t>
  </si>
  <si>
    <t>2.2</t>
  </si>
  <si>
    <t>3.1</t>
  </si>
  <si>
    <t>3.2</t>
  </si>
  <si>
    <t>4.1</t>
  </si>
  <si>
    <t>4.2</t>
  </si>
  <si>
    <t>CÓDIGO DE REFERÊNCIA</t>
  </si>
  <si>
    <t>5.1</t>
  </si>
  <si>
    <t>5.2</t>
  </si>
  <si>
    <t>6.1</t>
  </si>
  <si>
    <t>6.2</t>
  </si>
  <si>
    <t>7.1</t>
  </si>
  <si>
    <t>7.2</t>
  </si>
  <si>
    <t>8.1</t>
  </si>
  <si>
    <t>8.2</t>
  </si>
  <si>
    <t>9.1</t>
  </si>
  <si>
    <t>9.2</t>
  </si>
  <si>
    <t>10.1</t>
  </si>
  <si>
    <t>10.2</t>
  </si>
  <si>
    <t>11.1</t>
  </si>
  <si>
    <t>11.2</t>
  </si>
  <si>
    <t>12.1</t>
  </si>
  <si>
    <t>12.2</t>
  </si>
  <si>
    <t>13.1</t>
  </si>
  <si>
    <t>13.2</t>
  </si>
  <si>
    <t>14.1</t>
  </si>
  <si>
    <t>14.2</t>
  </si>
  <si>
    <t>15.1</t>
  </si>
  <si>
    <t>15.2</t>
  </si>
  <si>
    <t>16.1</t>
  </si>
  <si>
    <t>16.2</t>
  </si>
  <si>
    <t>17.1</t>
  </si>
  <si>
    <t>17.2</t>
  </si>
  <si>
    <t>18.1</t>
  </si>
  <si>
    <t>18.2</t>
  </si>
  <si>
    <t>19.1</t>
  </si>
  <si>
    <t>19.2</t>
  </si>
  <si>
    <t>20.1</t>
  </si>
  <si>
    <t>20.2</t>
  </si>
  <si>
    <t>21.1</t>
  </si>
  <si>
    <t>21.2</t>
  </si>
  <si>
    <t>22.1</t>
  </si>
  <si>
    <t>22.2</t>
  </si>
  <si>
    <t>23.1</t>
  </si>
  <si>
    <t>23.2</t>
  </si>
  <si>
    <t>24.1</t>
  </si>
  <si>
    <t>24.2</t>
  </si>
  <si>
    <t>PREÇO UNITÁRIO SEM BDI</t>
  </si>
  <si>
    <t>PREÇO UNITÁRIO COM BDI</t>
  </si>
  <si>
    <t>MATERIAL</t>
  </si>
  <si>
    <t>MÃO DE OBRA</t>
  </si>
  <si>
    <t>TOTAL COM BDI</t>
  </si>
  <si>
    <t>TOTAL SEM BDI</t>
  </si>
  <si>
    <t>Risco e Imprevistos</t>
  </si>
  <si>
    <r>
      <t>Tributos incidentes sobre o preço de venda (</t>
    </r>
    <r>
      <rPr>
        <b/>
        <sz val="10"/>
        <rFont val="Times New Roman"/>
        <family val="1"/>
      </rPr>
      <t>I</t>
    </r>
    <r>
      <rPr>
        <b/>
        <sz val="10"/>
        <rFont val="Arial"/>
        <family val="2"/>
      </rPr>
      <t>)</t>
    </r>
  </si>
  <si>
    <r>
      <t>Para a execução de obras com orçamento elaborado com a planilha SINAPI "</t>
    </r>
    <r>
      <rPr>
        <b/>
        <sz val="10"/>
        <rFont val="Arial"/>
        <family val="2"/>
      </rPr>
      <t>COM DESONERAÇÃO</t>
    </r>
    <r>
      <rPr>
        <sz val="10"/>
        <rFont val="Arial"/>
        <family val="2"/>
      </rPr>
      <t>" utiliza-se o seguinte cálculo de BDI:</t>
    </r>
  </si>
  <si>
    <r>
      <t>Para a execução de obras com orçamento elaborado com a planilha SINAPI "</t>
    </r>
    <r>
      <rPr>
        <b/>
        <sz val="10"/>
        <rFont val="Arial"/>
        <family val="2"/>
      </rPr>
      <t>SEM DESONERAÇÃO</t>
    </r>
    <r>
      <rPr>
        <sz val="10"/>
        <rFont val="Arial"/>
        <family val="2"/>
      </rPr>
      <t>" utiliza-se o seguinte cálculo de BDI: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</si>
</sst>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\-??_);_(@_)"/>
    <numFmt numFmtId="165" formatCode="_(* #,##0.00_);_(* \(#,##0.00\);_(* &quot;-&quot;??_);_(@_)"/>
    <numFmt numFmtId="166" formatCode="_(* #,##0.0000_);_(* \(#,##0.0000\);_(* \-??_);_(@_)"/>
    <numFmt numFmtId="167" formatCode="_(* #,##0.000_);_(* \(#,##0.000\);_(* \-??_);_(@_)"/>
    <numFmt numFmtId="168" formatCode="0.000"/>
    <numFmt numFmtId="169" formatCode="0.00000%"/>
    <numFmt numFmtId="170" formatCode="_-* #,##0.0000_-;\-* #,##0.0000_-;_-* &quot;-&quot;??_-;_-@_-"/>
  </numFmts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ZapfHumnst BT"/>
      <family val="2"/>
    </font>
    <font>
      <b/>
      <sz val="10"/>
      <color theme="0"/>
      <name val="Arial"/>
      <family val="2"/>
    </font>
    <font>
      <b/>
      <sz val="10"/>
      <name val="ZapfHumnst BT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b/>
      <sz val="15"/>
      <color indexed="56"/>
      <name val="Calibri"/>
      <family val="2"/>
    </font>
    <font>
      <sz val="10"/>
      <name val="Arial"/>
      <family val="2"/>
    </font>
    <font>
      <sz val="10"/>
      <color rgb="FF1E7420"/>
      <name val="Arial"/>
      <family val="2"/>
    </font>
    <font>
      <i/>
      <sz val="10"/>
      <name val="Arial"/>
      <family val="2"/>
    </font>
    <font>
      <sz val="10"/>
      <color rgb="FFFF0000"/>
      <name val="ZapfHumnst BT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i/>
      <sz val="11"/>
      <name val="ZapfHumnst BT"/>
      <family val="2"/>
    </font>
    <font>
      <b/>
      <sz val="12"/>
      <name val="ZapfHumnst BT"/>
      <family val="2"/>
    </font>
    <font>
      <sz val="11"/>
      <color rgb="FFFF0000"/>
      <name val="Calibri"/>
      <family val="2"/>
      <scheme val="minor"/>
    </font>
    <font>
      <i/>
      <sz val="11"/>
      <name val="Arial"/>
      <family val="2"/>
    </font>
    <font>
      <b/>
      <sz val="15"/>
      <color rgb="FF003366"/>
      <name val="Calibri"/>
      <family val="2"/>
      <charset val="1"/>
    </font>
    <font>
      <sz val="12"/>
      <color rgb="FF000000"/>
      <name val="Verdana"/>
      <family val="2"/>
    </font>
    <font>
      <b/>
      <i/>
      <sz val="11"/>
      <color rgb="FFFF0000"/>
      <name val="Arial"/>
      <family val="2"/>
    </font>
    <font>
      <i/>
      <sz val="11"/>
      <color rgb="FFFF0000"/>
      <name val="Arial"/>
      <family val="2"/>
    </font>
    <font>
      <i/>
      <sz val="10"/>
      <color rgb="FFFF0000"/>
      <name val="Arial"/>
      <family val="2"/>
    </font>
    <font>
      <i/>
      <sz val="10"/>
      <name val="ZapfHumnst BT"/>
      <family val="2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9"/>
      <color indexed="81"/>
      <name val="Tahoma"/>
      <family val="2"/>
    </font>
    <font>
      <sz val="9"/>
      <color rgb="FFFF0000"/>
      <name val="Arial"/>
      <family val="2"/>
      <charset val="1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sz val="9"/>
      <color rgb="FFFF0000"/>
      <name val="Arial"/>
      <family val="2"/>
    </font>
    <font>
      <b/>
      <sz val="9"/>
      <color indexed="81"/>
      <name val="Tahoma"/>
      <family val="2"/>
    </font>
  </fonts>
  <fills count="1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1" tint="0.34998626667073579"/>
        <bgColor indexed="2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indexed="26"/>
      </patternFill>
    </fill>
    <fill>
      <patternFill patternType="solid">
        <fgColor theme="2" tint="-0.49998474074526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rgb="FF333399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1" fillId="0" borderId="0"/>
    <xf numFmtId="164" fontId="14" fillId="0" borderId="0" applyFill="0" applyBorder="0" applyAlignment="0" applyProtection="0"/>
    <xf numFmtId="9" fontId="3" fillId="0" borderId="0" applyFill="0" applyBorder="0" applyAlignment="0" applyProtection="0"/>
    <xf numFmtId="0" fontId="15" fillId="0" borderId="24" applyNumberFormat="0" applyFill="0" applyAlignment="0" applyProtection="0"/>
    <xf numFmtId="0" fontId="16" fillId="0" borderId="0"/>
    <xf numFmtId="44" fontId="1" fillId="0" borderId="0" applyFont="0" applyFill="0" applyBorder="0" applyAlignment="0" applyProtection="0"/>
    <xf numFmtId="0" fontId="26" fillId="0" borderId="53"/>
    <xf numFmtId="0" fontId="27" fillId="0" borderId="0"/>
  </cellStyleXfs>
  <cellXfs count="426">
    <xf numFmtId="0" fontId="0" fillId="0" borderId="0" xfId="0"/>
    <xf numFmtId="0" fontId="2" fillId="0" borderId="0" xfId="0" applyFont="1"/>
    <xf numFmtId="0" fontId="9" fillId="0" borderId="5" xfId="0" applyNumberFormat="1" applyFont="1" applyFill="1" applyBorder="1" applyAlignment="1">
      <alignment horizontal="justify" vertical="top" wrapText="1"/>
    </xf>
    <xf numFmtId="0" fontId="3" fillId="0" borderId="5" xfId="0" applyNumberFormat="1" applyFont="1" applyFill="1" applyBorder="1" applyAlignment="1">
      <alignment horizontal="justify" vertical="top" wrapText="1"/>
    </xf>
    <xf numFmtId="0" fontId="2" fillId="0" borderId="0" xfId="0" applyFont="1" applyAlignment="1">
      <alignment vertical="top" wrapText="1"/>
    </xf>
    <xf numFmtId="165" fontId="3" fillId="0" borderId="0" xfId="0" applyNumberFormat="1" applyFont="1" applyFill="1" applyBorder="1" applyAlignment="1">
      <alignment horizontal="left" vertical="top"/>
    </xf>
    <xf numFmtId="49" fontId="3" fillId="0" borderId="0" xfId="0" applyNumberFormat="1" applyFont="1" applyBorder="1" applyAlignment="1">
      <alignment horizontal="center" vertical="top"/>
    </xf>
    <xf numFmtId="165" fontId="3" fillId="0" borderId="0" xfId="0" applyNumberFormat="1" applyFont="1" applyBorder="1" applyAlignment="1">
      <alignment horizontal="right" vertical="top"/>
    </xf>
    <xf numFmtId="165" fontId="3" fillId="0" borderId="0" xfId="0" applyNumberFormat="1" applyFont="1" applyFill="1" applyBorder="1" applyAlignment="1">
      <alignment horizontal="right" vertical="top"/>
    </xf>
    <xf numFmtId="0" fontId="5" fillId="0" borderId="0" xfId="0" applyFont="1" applyBorder="1" applyAlignment="1">
      <alignment vertical="top"/>
    </xf>
    <xf numFmtId="49" fontId="3" fillId="0" borderId="0" xfId="0" applyNumberFormat="1" applyFont="1" applyFill="1" applyBorder="1" applyAlignment="1">
      <alignment horizontal="right" vertical="top"/>
    </xf>
    <xf numFmtId="0" fontId="5" fillId="0" borderId="0" xfId="0" applyFont="1" applyFill="1" applyBorder="1" applyAlignment="1">
      <alignment vertical="top"/>
    </xf>
    <xf numFmtId="165" fontId="3" fillId="0" borderId="0" xfId="0" applyNumberFormat="1" applyFont="1" applyBorder="1" applyAlignment="1">
      <alignment horizontal="left" vertical="top"/>
    </xf>
    <xf numFmtId="0" fontId="7" fillId="2" borderId="0" xfId="0" applyFont="1" applyFill="1" applyBorder="1" applyAlignment="1">
      <alignment vertical="top"/>
    </xf>
    <xf numFmtId="165" fontId="3" fillId="0" borderId="5" xfId="0" applyNumberFormat="1" applyFont="1" applyFill="1" applyBorder="1" applyAlignment="1">
      <alignment horizontal="center" vertical="top"/>
    </xf>
    <xf numFmtId="165" fontId="3" fillId="0" borderId="5" xfId="0" applyNumberFormat="1" applyFont="1" applyFill="1" applyBorder="1" applyAlignment="1">
      <alignment horizontal="right" vertical="top"/>
    </xf>
    <xf numFmtId="165" fontId="3" fillId="0" borderId="5" xfId="0" applyNumberFormat="1" applyFont="1" applyFill="1" applyBorder="1" applyAlignment="1" applyProtection="1">
      <alignment horizontal="center" vertical="top"/>
      <protection locked="0"/>
    </xf>
    <xf numFmtId="165" fontId="3" fillId="0" borderId="5" xfId="0" applyNumberFormat="1" applyFont="1" applyFill="1" applyBorder="1" applyAlignment="1" applyProtection="1">
      <alignment horizontal="right" vertical="top"/>
      <protection locked="0"/>
    </xf>
    <xf numFmtId="0" fontId="1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165" fontId="2" fillId="0" borderId="0" xfId="0" applyNumberFormat="1" applyFont="1" applyAlignment="1">
      <alignment vertical="top"/>
    </xf>
    <xf numFmtId="165" fontId="9" fillId="0" borderId="5" xfId="1" applyNumberFormat="1" applyFont="1" applyFill="1" applyBorder="1" applyAlignment="1">
      <alignment horizontal="center" vertical="top"/>
    </xf>
    <xf numFmtId="165" fontId="3" fillId="0" borderId="5" xfId="1" applyNumberFormat="1" applyFont="1" applyFill="1" applyBorder="1" applyAlignment="1">
      <alignment horizontal="center" vertical="top"/>
    </xf>
    <xf numFmtId="165" fontId="3" fillId="0" borderId="5" xfId="3" applyNumberFormat="1" applyFont="1" applyFill="1" applyBorder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3" fillId="0" borderId="5" xfId="4" applyNumberFormat="1" applyFont="1" applyFill="1" applyBorder="1" applyAlignment="1">
      <alignment horizontal="left" vertical="top" wrapText="1"/>
    </xf>
    <xf numFmtId="49" fontId="3" fillId="0" borderId="5" xfId="0" applyNumberFormat="1" applyFont="1" applyFill="1" applyBorder="1" applyAlignment="1">
      <alignment horizontal="center" vertical="top" wrapText="1"/>
    </xf>
    <xf numFmtId="165" fontId="3" fillId="0" borderId="5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>
      <alignment horizontal="left" vertical="top"/>
    </xf>
    <xf numFmtId="9" fontId="4" fillId="0" borderId="0" xfId="2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4"/>
    <xf numFmtId="10" fontId="3" fillId="0" borderId="0" xfId="8" applyNumberFormat="1" applyFont="1"/>
    <xf numFmtId="0" fontId="3" fillId="0" borderId="0" xfId="4" applyBorder="1"/>
    <xf numFmtId="10" fontId="3" fillId="0" borderId="0" xfId="8" applyNumberFormat="1" applyFont="1" applyBorder="1"/>
    <xf numFmtId="2" fontId="3" fillId="0" borderId="0" xfId="0" applyNumberFormat="1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left" vertical="top"/>
    </xf>
    <xf numFmtId="165" fontId="5" fillId="0" borderId="0" xfId="0" applyNumberFormat="1" applyFont="1" applyFill="1" applyBorder="1" applyAlignment="1">
      <alignment vertical="top"/>
    </xf>
    <xf numFmtId="165" fontId="5" fillId="0" borderId="0" xfId="0" applyNumberFormat="1" applyFont="1" applyBorder="1" applyAlignment="1">
      <alignment vertical="top"/>
    </xf>
    <xf numFmtId="165" fontId="17" fillId="0" borderId="5" xfId="0" applyNumberFormat="1" applyFont="1" applyFill="1" applyBorder="1" applyAlignment="1" applyProtection="1">
      <alignment horizontal="right" vertical="top"/>
      <protection locked="0"/>
    </xf>
    <xf numFmtId="165" fontId="17" fillId="0" borderId="5" xfId="0" applyNumberFormat="1" applyFont="1" applyFill="1" applyBorder="1" applyAlignment="1">
      <alignment horizontal="right" vertical="top" wrapText="1"/>
    </xf>
    <xf numFmtId="0" fontId="18" fillId="0" borderId="0" xfId="0" applyFont="1" applyFill="1" applyBorder="1" applyAlignment="1">
      <alignment horizontal="left" vertical="top"/>
    </xf>
    <xf numFmtId="0" fontId="4" fillId="0" borderId="0" xfId="0" applyFont="1" applyBorder="1" applyAlignment="1">
      <alignment wrapText="1"/>
    </xf>
    <xf numFmtId="49" fontId="3" fillId="0" borderId="0" xfId="0" applyNumberFormat="1" applyFont="1" applyBorder="1" applyAlignment="1">
      <alignment horizontal="left" wrapText="1"/>
    </xf>
    <xf numFmtId="43" fontId="3" fillId="0" borderId="0" xfId="1" applyFont="1" applyFill="1" applyBorder="1" applyAlignment="1">
      <alignment horizontal="right" wrapText="1"/>
    </xf>
    <xf numFmtId="2" fontId="3" fillId="0" borderId="0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wrapText="1"/>
    </xf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3" fillId="0" borderId="0" xfId="0" applyNumberFormat="1" applyFont="1" applyBorder="1" applyAlignment="1">
      <alignment horizontal="center" wrapText="1"/>
    </xf>
    <xf numFmtId="0" fontId="9" fillId="0" borderId="0" xfId="0" applyFont="1" applyFill="1" applyAlignment="1">
      <alignment vertical="top"/>
    </xf>
    <xf numFmtId="0" fontId="5" fillId="0" borderId="0" xfId="0" applyFont="1" applyBorder="1" applyAlignment="1">
      <alignment horizontal="right" vertical="top"/>
    </xf>
    <xf numFmtId="0" fontId="19" fillId="0" borderId="0" xfId="0" applyFont="1" applyFill="1" applyBorder="1" applyAlignment="1">
      <alignment vertical="top"/>
    </xf>
    <xf numFmtId="0" fontId="3" fillId="0" borderId="5" xfId="0" applyFont="1" applyFill="1" applyBorder="1" applyAlignment="1">
      <alignment horizontal="center" vertical="top" wrapText="1"/>
    </xf>
    <xf numFmtId="0" fontId="3" fillId="7" borderId="5" xfId="0" applyFont="1" applyFill="1" applyBorder="1" applyAlignment="1">
      <alignment horizontal="left" vertical="top" wrapText="1"/>
    </xf>
    <xf numFmtId="165" fontId="3" fillId="7" borderId="5" xfId="0" applyNumberFormat="1" applyFont="1" applyFill="1" applyBorder="1" applyAlignment="1" applyProtection="1">
      <alignment horizontal="right" vertical="top" wrapText="1"/>
      <protection locked="0"/>
    </xf>
    <xf numFmtId="165" fontId="3" fillId="7" borderId="5" xfId="0" applyNumberFormat="1" applyFont="1" applyFill="1" applyBorder="1" applyAlignment="1" applyProtection="1">
      <alignment horizontal="center" vertical="top" wrapText="1"/>
      <protection locked="0"/>
    </xf>
    <xf numFmtId="2" fontId="3" fillId="9" borderId="0" xfId="0" applyNumberFormat="1" applyFont="1" applyFill="1" applyBorder="1" applyAlignment="1">
      <alignment horizontal="right" vertical="top"/>
    </xf>
    <xf numFmtId="165" fontId="3" fillId="0" borderId="0" xfId="0" applyNumberFormat="1" applyFont="1" applyAlignment="1">
      <alignment horizontal="left" vertical="top"/>
    </xf>
    <xf numFmtId="165" fontId="11" fillId="0" borderId="0" xfId="0" applyNumberFormat="1" applyFont="1" applyAlignment="1">
      <alignment vertical="top"/>
    </xf>
    <xf numFmtId="0" fontId="11" fillId="0" borderId="0" xfId="0" applyFont="1" applyAlignment="1">
      <alignment vertical="top"/>
    </xf>
    <xf numFmtId="165" fontId="17" fillId="0" borderId="0" xfId="0" applyNumberFormat="1" applyFont="1" applyAlignment="1">
      <alignment horizontal="right" vertical="top"/>
    </xf>
    <xf numFmtId="165" fontId="12" fillId="0" borderId="0" xfId="0" applyNumberFormat="1" applyFont="1" applyFill="1" applyBorder="1" applyAlignment="1">
      <alignment horizontal="left" vertical="top"/>
    </xf>
    <xf numFmtId="165" fontId="12" fillId="0" borderId="0" xfId="0" applyNumberFormat="1" applyFont="1" applyFill="1" applyBorder="1" applyAlignment="1">
      <alignment horizontal="right" vertical="top"/>
    </xf>
    <xf numFmtId="165" fontId="12" fillId="0" borderId="0" xfId="0" applyNumberFormat="1" applyFont="1" applyBorder="1" applyAlignment="1">
      <alignment horizontal="right" vertical="top"/>
    </xf>
    <xf numFmtId="165" fontId="12" fillId="0" borderId="6" xfId="0" applyNumberFormat="1" applyFont="1" applyFill="1" applyBorder="1" applyAlignment="1">
      <alignment horizontal="right" vertical="top"/>
    </xf>
    <xf numFmtId="9" fontId="8" fillId="0" borderId="0" xfId="2" applyFont="1" applyFill="1" applyBorder="1" applyAlignment="1">
      <alignment horizontal="left" vertical="top"/>
    </xf>
    <xf numFmtId="0" fontId="8" fillId="0" borderId="0" xfId="0" applyNumberFormat="1" applyFont="1" applyFill="1" applyBorder="1" applyAlignment="1">
      <alignment horizontal="left" vertical="top"/>
    </xf>
    <xf numFmtId="0" fontId="23" fillId="0" borderId="0" xfId="0" applyFont="1" applyBorder="1" applyAlignment="1">
      <alignment horizontal="right" vertical="top"/>
    </xf>
    <xf numFmtId="165" fontId="8" fillId="0" borderId="0" xfId="0" applyNumberFormat="1" applyFont="1" applyBorder="1" applyAlignment="1">
      <alignment horizontal="left" vertical="top"/>
    </xf>
    <xf numFmtId="49" fontId="8" fillId="0" borderId="0" xfId="0" applyNumberFormat="1" applyFont="1" applyBorder="1" applyAlignment="1">
      <alignment horizontal="center" vertical="top"/>
    </xf>
    <xf numFmtId="165" fontId="8" fillId="0" borderId="0" xfId="0" applyNumberFormat="1" applyFont="1" applyBorder="1" applyAlignment="1">
      <alignment horizontal="right" vertical="top"/>
    </xf>
    <xf numFmtId="0" fontId="23" fillId="0" borderId="0" xfId="0" applyFont="1" applyBorder="1" applyAlignment="1">
      <alignment vertical="top"/>
    </xf>
    <xf numFmtId="0" fontId="9" fillId="0" borderId="5" xfId="4" applyNumberFormat="1" applyFont="1" applyFill="1" applyBorder="1" applyAlignment="1">
      <alignment horizontal="left" vertical="top" wrapText="1"/>
    </xf>
    <xf numFmtId="165" fontId="9" fillId="0" borderId="5" xfId="0" applyNumberFormat="1" applyFont="1" applyFill="1" applyBorder="1" applyAlignment="1">
      <alignment horizontal="center" vertical="top" wrapText="1"/>
    </xf>
    <xf numFmtId="165" fontId="9" fillId="7" borderId="5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right" vertical="top"/>
    </xf>
    <xf numFmtId="165" fontId="9" fillId="0" borderId="0" xfId="0" applyNumberFormat="1" applyFont="1" applyAlignment="1">
      <alignment vertical="top"/>
    </xf>
    <xf numFmtId="0" fontId="10" fillId="0" borderId="0" xfId="0" applyFont="1"/>
    <xf numFmtId="0" fontId="2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165" fontId="12" fillId="0" borderId="0" xfId="0" applyNumberFormat="1" applyFont="1" applyAlignment="1">
      <alignment horizontal="left" vertical="top"/>
    </xf>
    <xf numFmtId="0" fontId="18" fillId="0" borderId="0" xfId="0" applyFont="1" applyAlignment="1">
      <alignment horizontal="left" vertical="top"/>
    </xf>
    <xf numFmtId="10" fontId="3" fillId="0" borderId="5" xfId="2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>
      <alignment vertical="top" wrapText="1"/>
    </xf>
    <xf numFmtId="165" fontId="3" fillId="0" borderId="0" xfId="0" applyNumberFormat="1" applyFont="1" applyAlignment="1">
      <alignment vertical="top"/>
    </xf>
    <xf numFmtId="165" fontId="1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165" fontId="3" fillId="0" borderId="0" xfId="0" applyNumberFormat="1" applyFont="1" applyAlignment="1">
      <alignment horizontal="right" vertical="top"/>
    </xf>
    <xf numFmtId="2" fontId="3" fillId="0" borderId="0" xfId="0" applyNumberFormat="1" applyFont="1" applyFill="1" applyBorder="1" applyAlignment="1">
      <alignment horizontal="center" vertical="top"/>
    </xf>
    <xf numFmtId="0" fontId="5" fillId="9" borderId="0" xfId="0" applyNumberFormat="1" applyFont="1" applyFill="1" applyBorder="1" applyAlignment="1">
      <alignment horizontal="left" vertical="top"/>
    </xf>
    <xf numFmtId="2" fontId="3" fillId="9" borderId="0" xfId="0" applyNumberFormat="1" applyFont="1" applyFill="1" applyBorder="1" applyAlignment="1">
      <alignment vertical="top"/>
    </xf>
    <xf numFmtId="49" fontId="3" fillId="9" borderId="0" xfId="0" applyNumberFormat="1" applyFont="1" applyFill="1" applyBorder="1" applyAlignment="1">
      <alignment horizontal="center" vertical="top"/>
    </xf>
    <xf numFmtId="165" fontId="3" fillId="9" borderId="0" xfId="0" applyNumberFormat="1" applyFont="1" applyFill="1" applyBorder="1" applyAlignment="1">
      <alignment horizontal="right" vertical="top"/>
    </xf>
    <xf numFmtId="2" fontId="3" fillId="0" borderId="0" xfId="0" applyNumberFormat="1" applyFont="1" applyBorder="1" applyAlignment="1">
      <alignment horizontal="center"/>
    </xf>
    <xf numFmtId="0" fontId="9" fillId="0" borderId="0" xfId="0" applyFont="1" applyFill="1" applyAlignment="1">
      <alignment horizontal="left" vertical="top" wrapText="1"/>
    </xf>
    <xf numFmtId="165" fontId="13" fillId="0" borderId="0" xfId="0" applyNumberFormat="1" applyFont="1" applyAlignment="1">
      <alignment horizontal="left"/>
    </xf>
    <xf numFmtId="165" fontId="13" fillId="0" borderId="0" xfId="0" applyNumberFormat="1" applyFont="1"/>
    <xf numFmtId="165" fontId="11" fillId="0" borderId="0" xfId="0" applyNumberFormat="1" applyFont="1"/>
    <xf numFmtId="165" fontId="0" fillId="0" borderId="0" xfId="0" applyNumberFormat="1"/>
    <xf numFmtId="165" fontId="11" fillId="0" borderId="0" xfId="0" applyNumberFormat="1" applyFont="1" applyAlignment="1">
      <alignment horizontal="left"/>
    </xf>
    <xf numFmtId="0" fontId="12" fillId="0" borderId="0" xfId="0" applyFont="1" applyFill="1"/>
    <xf numFmtId="44" fontId="4" fillId="9" borderId="5" xfId="11" applyFont="1" applyFill="1" applyBorder="1" applyAlignment="1">
      <alignment horizontal="center" wrapText="1"/>
    </xf>
    <xf numFmtId="10" fontId="4" fillId="9" borderId="5" xfId="8" applyNumberFormat="1" applyFont="1" applyFill="1" applyBorder="1" applyAlignment="1"/>
    <xf numFmtId="43" fontId="4" fillId="9" borderId="5" xfId="1" applyFont="1" applyFill="1" applyBorder="1" applyAlignment="1"/>
    <xf numFmtId="165" fontId="4" fillId="9" borderId="8" xfId="0" applyNumberFormat="1" applyFont="1" applyFill="1" applyBorder="1" applyAlignment="1">
      <alignment horizontal="center" wrapText="1"/>
    </xf>
    <xf numFmtId="10" fontId="4" fillId="9" borderId="8" xfId="8" applyNumberFormat="1" applyFont="1" applyFill="1" applyBorder="1" applyAlignment="1"/>
    <xf numFmtId="165" fontId="4" fillId="9" borderId="8" xfId="1" applyNumberFormat="1" applyFont="1" applyFill="1" applyBorder="1" applyAlignment="1"/>
    <xf numFmtId="165" fontId="9" fillId="0" borderId="5" xfId="3" applyNumberFormat="1" applyFont="1" applyFill="1" applyBorder="1" applyAlignment="1">
      <alignment horizontal="center" vertical="top"/>
    </xf>
    <xf numFmtId="165" fontId="9" fillId="0" borderId="5" xfId="0" applyNumberFormat="1" applyFont="1" applyFill="1" applyBorder="1" applyAlignment="1" applyProtection="1">
      <alignment horizontal="right" vertical="top"/>
      <protection locked="0"/>
    </xf>
    <xf numFmtId="165" fontId="9" fillId="0" borderId="5" xfId="0" applyNumberFormat="1" applyFont="1" applyFill="1" applyBorder="1" applyAlignment="1" applyProtection="1">
      <alignment horizontal="center" vertical="top"/>
      <protection locked="0"/>
    </xf>
    <xf numFmtId="165" fontId="9" fillId="0" borderId="5" xfId="0" applyNumberFormat="1" applyFont="1" applyFill="1" applyBorder="1" applyAlignment="1">
      <alignment horizontal="right" vertical="top"/>
    </xf>
    <xf numFmtId="165" fontId="10" fillId="0" borderId="6" xfId="0" applyNumberFormat="1" applyFont="1" applyFill="1" applyBorder="1" applyAlignment="1">
      <alignment horizontal="right" vertical="top"/>
    </xf>
    <xf numFmtId="165" fontId="9" fillId="0" borderId="5" xfId="2" applyNumberFormat="1" applyFont="1" applyFill="1" applyBorder="1" applyAlignment="1" applyProtection="1">
      <alignment horizontal="center" vertical="top"/>
      <protection locked="0"/>
    </xf>
    <xf numFmtId="0" fontId="25" fillId="0" borderId="0" xfId="0" applyFont="1" applyAlignment="1">
      <alignment horizontal="left" vertical="top"/>
    </xf>
    <xf numFmtId="165" fontId="3" fillId="0" borderId="5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 applyAlignment="1">
      <alignment vertical="top"/>
    </xf>
    <xf numFmtId="165" fontId="3" fillId="0" borderId="0" xfId="0" applyNumberFormat="1" applyFont="1" applyFill="1" applyBorder="1" applyAlignment="1">
      <alignment horizontal="center" vertical="top"/>
    </xf>
    <xf numFmtId="165" fontId="4" fillId="6" borderId="0" xfId="0" applyNumberFormat="1" applyFont="1" applyFill="1" applyBorder="1" applyAlignment="1">
      <alignment horizontal="right" vertical="top"/>
    </xf>
    <xf numFmtId="0" fontId="4" fillId="4" borderId="0" xfId="0" applyFont="1" applyFill="1" applyBorder="1" applyAlignment="1">
      <alignment horizontal="center" vertical="top" wrapText="1"/>
    </xf>
    <xf numFmtId="169" fontId="8" fillId="0" borderId="0" xfId="2" applyNumberFormat="1" applyFont="1" applyFill="1" applyBorder="1" applyAlignment="1">
      <alignment horizontal="right" vertical="top"/>
    </xf>
    <xf numFmtId="165" fontId="8" fillId="0" borderId="0" xfId="0" applyNumberFormat="1" applyFont="1" applyFill="1" applyBorder="1" applyAlignment="1">
      <alignment vertical="top"/>
    </xf>
    <xf numFmtId="169" fontId="2" fillId="0" borderId="0" xfId="2" applyNumberFormat="1" applyFont="1" applyFill="1" applyAlignment="1">
      <alignment vertical="top"/>
    </xf>
    <xf numFmtId="165" fontId="2" fillId="0" borderId="0" xfId="0" applyNumberFormat="1" applyFont="1" applyFill="1" applyAlignment="1">
      <alignment vertical="top"/>
    </xf>
    <xf numFmtId="0" fontId="2" fillId="0" borderId="0" xfId="0" applyFont="1" applyAlignment="1">
      <alignment vertical="center"/>
    </xf>
    <xf numFmtId="0" fontId="4" fillId="4" borderId="5" xfId="8" applyNumberFormat="1" applyFont="1" applyFill="1" applyBorder="1" applyAlignment="1">
      <alignment horizontal="center" vertical="center" wrapText="1"/>
    </xf>
    <xf numFmtId="43" fontId="4" fillId="4" borderId="5" xfId="1" applyFont="1" applyFill="1" applyBorder="1" applyAlignment="1">
      <alignment horizontal="center" vertical="center" wrapText="1"/>
    </xf>
    <xf numFmtId="0" fontId="4" fillId="13" borderId="2" xfId="0" applyNumberFormat="1" applyFont="1" applyFill="1" applyBorder="1" applyAlignment="1">
      <alignment horizontal="center" vertical="top" wrapText="1"/>
    </xf>
    <xf numFmtId="165" fontId="4" fillId="13" borderId="2" xfId="0" applyNumberFormat="1" applyFont="1" applyFill="1" applyBorder="1" applyAlignment="1">
      <alignment vertical="top"/>
    </xf>
    <xf numFmtId="49" fontId="4" fillId="13" borderId="2" xfId="0" applyNumberFormat="1" applyFont="1" applyFill="1" applyBorder="1" applyAlignment="1">
      <alignment vertical="top"/>
    </xf>
    <xf numFmtId="165" fontId="4" fillId="13" borderId="2" xfId="0" applyNumberFormat="1" applyFont="1" applyFill="1" applyBorder="1" applyAlignment="1">
      <alignment horizontal="right" vertical="top"/>
    </xf>
    <xf numFmtId="165" fontId="20" fillId="13" borderId="3" xfId="0" applyNumberFormat="1" applyFont="1" applyFill="1" applyBorder="1" applyAlignment="1">
      <alignment horizontal="right" vertical="top"/>
    </xf>
    <xf numFmtId="0" fontId="7" fillId="12" borderId="0" xfId="0" applyFont="1" applyFill="1" applyBorder="1" applyAlignment="1">
      <alignment vertical="top"/>
    </xf>
    <xf numFmtId="0" fontId="4" fillId="12" borderId="5" xfId="0" applyNumberFormat="1" applyFont="1" applyFill="1" applyBorder="1" applyAlignment="1">
      <alignment horizontal="left" vertical="top" wrapText="1"/>
    </xf>
    <xf numFmtId="165" fontId="4" fillId="12" borderId="5" xfId="0" applyNumberFormat="1" applyFont="1" applyFill="1" applyBorder="1" applyAlignment="1">
      <alignment vertical="top"/>
    </xf>
    <xf numFmtId="165" fontId="4" fillId="12" borderId="5" xfId="0" applyNumberFormat="1" applyFont="1" applyFill="1" applyBorder="1" applyAlignment="1">
      <alignment horizontal="center" vertical="top"/>
    </xf>
    <xf numFmtId="165" fontId="4" fillId="12" borderId="5" xfId="0" applyNumberFormat="1" applyFont="1" applyFill="1" applyBorder="1" applyAlignment="1">
      <alignment horizontal="right" vertical="top"/>
    </xf>
    <xf numFmtId="165" fontId="20" fillId="12" borderId="6" xfId="0" applyNumberFormat="1" applyFont="1" applyFill="1" applyBorder="1" applyAlignment="1">
      <alignment horizontal="right" vertical="top"/>
    </xf>
    <xf numFmtId="0" fontId="20" fillId="9" borderId="23" xfId="0" applyFont="1" applyFill="1" applyBorder="1" applyAlignment="1">
      <alignment wrapText="1"/>
    </xf>
    <xf numFmtId="0" fontId="20" fillId="9" borderId="13" xfId="0" applyFont="1" applyFill="1" applyBorder="1" applyAlignment="1">
      <alignment wrapText="1"/>
    </xf>
    <xf numFmtId="0" fontId="20" fillId="9" borderId="13" xfId="0" applyFont="1" applyFill="1" applyBorder="1" applyAlignment="1">
      <alignment horizontal="center"/>
    </xf>
    <xf numFmtId="0" fontId="12" fillId="0" borderId="0" xfId="0" applyFont="1"/>
    <xf numFmtId="10" fontId="10" fillId="0" borderId="0" xfId="0" applyNumberFormat="1" applyFont="1"/>
    <xf numFmtId="9" fontId="3" fillId="0" borderId="5" xfId="8" applyFont="1" applyFill="1" applyBorder="1" applyAlignment="1">
      <alignment horizontal="center"/>
    </xf>
    <xf numFmtId="43" fontId="3" fillId="0" borderId="5" xfId="1" applyFont="1" applyFill="1" applyBorder="1" applyAlignment="1"/>
    <xf numFmtId="9" fontId="3" fillId="11" borderId="5" xfId="8" applyFont="1" applyFill="1" applyBorder="1" applyAlignment="1">
      <alignment horizontal="center"/>
    </xf>
    <xf numFmtId="43" fontId="3" fillId="11" borderId="5" xfId="1" applyFont="1" applyFill="1" applyBorder="1" applyAlignment="1"/>
    <xf numFmtId="49" fontId="4" fillId="12" borderId="50" xfId="0" applyNumberFormat="1" applyFont="1" applyFill="1" applyBorder="1" applyAlignment="1">
      <alignment horizontal="right" vertical="top"/>
    </xf>
    <xf numFmtId="0" fontId="4" fillId="12" borderId="50" xfId="0" applyNumberFormat="1" applyFont="1" applyFill="1" applyBorder="1" applyAlignment="1">
      <alignment horizontal="left" vertical="top" wrapText="1"/>
    </xf>
    <xf numFmtId="165" fontId="4" fillId="12" borderId="50" xfId="0" applyNumberFormat="1" applyFont="1" applyFill="1" applyBorder="1" applyAlignment="1">
      <alignment vertical="top"/>
    </xf>
    <xf numFmtId="165" fontId="4" fillId="12" borderId="50" xfId="0" applyNumberFormat="1" applyFont="1" applyFill="1" applyBorder="1" applyAlignment="1">
      <alignment horizontal="center" vertical="top"/>
    </xf>
    <xf numFmtId="165" fontId="4" fillId="12" borderId="50" xfId="0" applyNumberFormat="1" applyFont="1" applyFill="1" applyBorder="1" applyAlignment="1">
      <alignment horizontal="right" vertical="top"/>
    </xf>
    <xf numFmtId="165" fontId="20" fillId="12" borderId="51" xfId="0" applyNumberFormat="1" applyFont="1" applyFill="1" applyBorder="1" applyAlignment="1">
      <alignment horizontal="right" vertical="top"/>
    </xf>
    <xf numFmtId="49" fontId="4" fillId="13" borderId="1" xfId="0" applyNumberFormat="1" applyFont="1" applyFill="1" applyBorder="1" applyAlignment="1">
      <alignment horizontal="right" vertical="top"/>
    </xf>
    <xf numFmtId="0" fontId="4" fillId="12" borderId="2" xfId="0" applyFont="1" applyFill="1" applyBorder="1" applyAlignment="1">
      <alignment horizontal="center" vertical="top" wrapText="1"/>
    </xf>
    <xf numFmtId="49" fontId="4" fillId="12" borderId="4" xfId="0" applyNumberFormat="1" applyFont="1" applyFill="1" applyBorder="1" applyAlignment="1">
      <alignment horizontal="right" vertical="top"/>
    </xf>
    <xf numFmtId="0" fontId="4" fillId="12" borderId="5" xfId="0" applyFont="1" applyFill="1" applyBorder="1" applyAlignment="1">
      <alignment horizontal="center" vertical="top" wrapText="1"/>
    </xf>
    <xf numFmtId="0" fontId="9" fillId="0" borderId="5" xfId="0" applyFont="1" applyFill="1" applyBorder="1" applyAlignment="1">
      <alignment horizontal="center" vertical="top" wrapText="1"/>
    </xf>
    <xf numFmtId="0" fontId="3" fillId="7" borderId="5" xfId="0" applyFont="1" applyFill="1" applyBorder="1" applyAlignment="1">
      <alignment horizontal="center" vertical="top" wrapText="1"/>
    </xf>
    <xf numFmtId="0" fontId="9" fillId="0" borderId="4" xfId="3" applyNumberFormat="1" applyFont="1" applyFill="1" applyBorder="1" applyAlignment="1">
      <alignment horizontal="right" vertical="top" wrapText="1"/>
    </xf>
    <xf numFmtId="0" fontId="5" fillId="0" borderId="5" xfId="0" applyFont="1" applyFill="1" applyBorder="1" applyAlignment="1">
      <alignment vertical="top"/>
    </xf>
    <xf numFmtId="0" fontId="31" fillId="0" borderId="0" xfId="0" applyFont="1" applyFill="1" applyBorder="1" applyAlignment="1">
      <alignment horizontal="left" vertical="top"/>
    </xf>
    <xf numFmtId="0" fontId="21" fillId="11" borderId="13" xfId="0" applyNumberFormat="1" applyFont="1" applyFill="1" applyBorder="1" applyAlignment="1">
      <alignment horizontal="left" vertical="top"/>
    </xf>
    <xf numFmtId="0" fontId="22" fillId="11" borderId="13" xfId="0" applyFont="1" applyFill="1" applyBorder="1" applyAlignment="1">
      <alignment vertical="top"/>
    </xf>
    <xf numFmtId="10" fontId="21" fillId="11" borderId="14" xfId="2" applyNumberFormat="1" applyFont="1" applyFill="1" applyBorder="1" applyAlignment="1">
      <alignment horizontal="left" vertical="top"/>
    </xf>
    <xf numFmtId="0" fontId="21" fillId="8" borderId="56" xfId="0" applyNumberFormat="1" applyFont="1" applyFill="1" applyBorder="1" applyAlignment="1">
      <alignment horizontal="left" vertical="top"/>
    </xf>
    <xf numFmtId="0" fontId="22" fillId="8" borderId="56" xfId="0" applyFont="1" applyFill="1" applyBorder="1" applyAlignment="1">
      <alignment vertical="top"/>
    </xf>
    <xf numFmtId="10" fontId="21" fillId="8" borderId="57" xfId="2" applyNumberFormat="1" applyFont="1" applyFill="1" applyBorder="1" applyAlignment="1">
      <alignment horizontal="left" vertical="top"/>
    </xf>
    <xf numFmtId="0" fontId="22" fillId="11" borderId="23" xfId="0" applyFont="1" applyFill="1" applyBorder="1" applyAlignment="1">
      <alignment horizontal="left" vertical="top"/>
    </xf>
    <xf numFmtId="0" fontId="22" fillId="8" borderId="55" xfId="0" applyFont="1" applyFill="1" applyBorder="1" applyAlignment="1">
      <alignment horizontal="left" vertical="top"/>
    </xf>
    <xf numFmtId="0" fontId="13" fillId="4" borderId="0" xfId="0" applyFont="1" applyFill="1" applyBorder="1" applyAlignment="1">
      <alignment horizontal="center" vertical="center" wrapText="1"/>
    </xf>
    <xf numFmtId="0" fontId="4" fillId="12" borderId="58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left" vertical="top"/>
    </xf>
    <xf numFmtId="2" fontId="9" fillId="0" borderId="0" xfId="0" applyNumberFormat="1" applyFont="1" applyFill="1" applyBorder="1" applyAlignment="1">
      <alignment horizontal="center" vertical="top"/>
    </xf>
    <xf numFmtId="0" fontId="4" fillId="2" borderId="60" xfId="0" applyFont="1" applyFill="1" applyBorder="1" applyAlignment="1">
      <alignment horizontal="center" vertical="top" wrapText="1"/>
    </xf>
    <xf numFmtId="49" fontId="6" fillId="3" borderId="61" xfId="0" applyNumberFormat="1" applyFont="1" applyFill="1" applyBorder="1" applyAlignment="1">
      <alignment horizontal="right" vertical="top"/>
    </xf>
    <xf numFmtId="0" fontId="6" fillId="3" borderId="61" xfId="0" applyNumberFormat="1" applyFont="1" applyFill="1" applyBorder="1" applyAlignment="1">
      <alignment horizontal="center" vertical="top" wrapText="1"/>
    </xf>
    <xf numFmtId="165" fontId="6" fillId="3" borderId="61" xfId="0" applyNumberFormat="1" applyFont="1" applyFill="1" applyBorder="1" applyAlignment="1">
      <alignment vertical="top"/>
    </xf>
    <xf numFmtId="49" fontId="6" fillId="3" borderId="61" xfId="0" applyNumberFormat="1" applyFont="1" applyFill="1" applyBorder="1" applyAlignment="1">
      <alignment vertical="top"/>
    </xf>
    <xf numFmtId="0" fontId="4" fillId="4" borderId="8" xfId="0" applyFont="1" applyFill="1" applyBorder="1" applyAlignment="1">
      <alignment vertical="top" wrapText="1"/>
    </xf>
    <xf numFmtId="0" fontId="3" fillId="0" borderId="0" xfId="4" applyFill="1" applyBorder="1"/>
    <xf numFmtId="0" fontId="4" fillId="0" borderId="0" xfId="4" applyFont="1" applyFill="1" applyBorder="1"/>
    <xf numFmtId="0" fontId="3" fillId="0" borderId="0" xfId="4" applyFill="1"/>
    <xf numFmtId="10" fontId="3" fillId="0" borderId="0" xfId="8" applyNumberFormat="1" applyFont="1" applyFill="1"/>
    <xf numFmtId="0" fontId="18" fillId="0" borderId="0" xfId="4" applyFont="1"/>
    <xf numFmtId="10" fontId="3" fillId="0" borderId="0" xfId="8" applyNumberFormat="1" applyFont="1" applyFill="1" applyBorder="1" applyAlignment="1">
      <alignment horizontal="center"/>
    </xf>
    <xf numFmtId="0" fontId="3" fillId="0" borderId="0" xfId="4" applyFont="1" applyFill="1" applyBorder="1" applyAlignment="1">
      <alignment horizontal="right"/>
    </xf>
    <xf numFmtId="10" fontId="3" fillId="0" borderId="20" xfId="8" applyNumberFormat="1" applyFont="1" applyFill="1" applyBorder="1" applyAlignment="1">
      <alignment horizontal="center"/>
    </xf>
    <xf numFmtId="0" fontId="3" fillId="0" borderId="21" xfId="4" applyFont="1" applyFill="1" applyBorder="1" applyAlignment="1">
      <alignment horizontal="right"/>
    </xf>
    <xf numFmtId="10" fontId="3" fillId="0" borderId="22" xfId="8" applyNumberFormat="1" applyFont="1" applyFill="1" applyBorder="1" applyAlignment="1">
      <alignment horizontal="center"/>
    </xf>
    <xf numFmtId="0" fontId="4" fillId="0" borderId="17" xfId="4" applyFont="1" applyFill="1" applyBorder="1"/>
    <xf numFmtId="10" fontId="4" fillId="0" borderId="18" xfId="8" applyNumberFormat="1" applyFont="1" applyFill="1" applyBorder="1" applyAlignment="1">
      <alignment horizontal="center"/>
    </xf>
    <xf numFmtId="10" fontId="4" fillId="0" borderId="20" xfId="8" applyNumberFormat="1" applyFont="1" applyFill="1" applyBorder="1" applyAlignment="1">
      <alignment horizontal="center"/>
    </xf>
    <xf numFmtId="0" fontId="33" fillId="0" borderId="15" xfId="4" applyFont="1" applyFill="1" applyBorder="1" applyAlignment="1">
      <alignment horizontal="center"/>
    </xf>
    <xf numFmtId="0" fontId="33" fillId="0" borderId="19" xfId="4" applyFont="1" applyFill="1" applyBorder="1" applyAlignment="1">
      <alignment horizontal="center"/>
    </xf>
    <xf numFmtId="0" fontId="18" fillId="0" borderId="19" xfId="4" applyFont="1" applyFill="1" applyBorder="1"/>
    <xf numFmtId="0" fontId="18" fillId="0" borderId="16" xfId="4" applyFont="1" applyFill="1" applyBorder="1"/>
    <xf numFmtId="0" fontId="18" fillId="0" borderId="0" xfId="4" applyFont="1" applyFill="1" applyBorder="1"/>
    <xf numFmtId="0" fontId="3" fillId="0" borderId="54" xfId="4" applyFill="1" applyBorder="1" applyAlignment="1">
      <alignment horizontal="right"/>
    </xf>
    <xf numFmtId="10" fontId="3" fillId="0" borderId="59" xfId="2" applyNumberFormat="1" applyFont="1" applyFill="1" applyBorder="1"/>
    <xf numFmtId="0" fontId="30" fillId="6" borderId="0" xfId="4" applyFont="1" applyFill="1"/>
    <xf numFmtId="0" fontId="20" fillId="9" borderId="14" xfId="0" applyFont="1" applyFill="1" applyBorder="1" applyAlignment="1">
      <alignment wrapText="1"/>
    </xf>
    <xf numFmtId="43" fontId="4" fillId="4" borderId="6" xfId="1" applyFont="1" applyFill="1" applyBorder="1" applyAlignment="1">
      <alignment horizontal="center" vertical="center" wrapText="1"/>
    </xf>
    <xf numFmtId="43" fontId="3" fillId="0" borderId="6" xfId="1" applyFont="1" applyFill="1" applyBorder="1" applyAlignment="1"/>
    <xf numFmtId="43" fontId="3" fillId="11" borderId="6" xfId="1" applyFont="1" applyFill="1" applyBorder="1" applyAlignment="1"/>
    <xf numFmtId="9" fontId="3" fillId="11" borderId="8" xfId="8" applyFont="1" applyFill="1" applyBorder="1" applyAlignment="1">
      <alignment horizontal="center"/>
    </xf>
    <xf numFmtId="43" fontId="3" fillId="11" borderId="8" xfId="1" applyFont="1" applyFill="1" applyBorder="1" applyAlignment="1"/>
    <xf numFmtId="43" fontId="3" fillId="11" borderId="9" xfId="1" applyFont="1" applyFill="1" applyBorder="1" applyAlignment="1"/>
    <xf numFmtId="0" fontId="4" fillId="0" borderId="1" xfId="0" applyNumberFormat="1" applyFont="1" applyBorder="1" applyAlignment="1">
      <alignment horizontal="left" vertical="top" wrapText="1"/>
    </xf>
    <xf numFmtId="0" fontId="4" fillId="0" borderId="2" xfId="0" applyNumberFormat="1" applyFont="1" applyBorder="1" applyAlignment="1">
      <alignment horizontal="left" vertical="top" wrapText="1"/>
    </xf>
    <xf numFmtId="44" fontId="4" fillId="0" borderId="2" xfId="11" applyFont="1" applyBorder="1" applyAlignment="1">
      <alignment horizontal="left" vertical="top" wrapText="1"/>
    </xf>
    <xf numFmtId="10" fontId="9" fillId="11" borderId="2" xfId="8" applyNumberFormat="1" applyFont="1" applyFill="1" applyBorder="1" applyAlignment="1">
      <alignment horizontal="center"/>
    </xf>
    <xf numFmtId="10" fontId="9" fillId="11" borderId="2" xfId="1" applyNumberFormat="1" applyFont="1" applyFill="1" applyBorder="1" applyAlignment="1"/>
    <xf numFmtId="10" fontId="9" fillId="11" borderId="3" xfId="1" applyNumberFormat="1" applyFont="1" applyFill="1" applyBorder="1" applyAlignment="1"/>
    <xf numFmtId="43" fontId="4" fillId="9" borderId="6" xfId="1" applyFont="1" applyFill="1" applyBorder="1" applyAlignment="1"/>
    <xf numFmtId="165" fontId="4" fillId="9" borderId="9" xfId="1" applyNumberFormat="1" applyFont="1" applyFill="1" applyBorder="1" applyAlignment="1"/>
    <xf numFmtId="0" fontId="9" fillId="6" borderId="0" xfId="4" applyFont="1" applyFill="1"/>
    <xf numFmtId="0" fontId="4" fillId="14" borderId="0" xfId="4" applyFont="1" applyFill="1"/>
    <xf numFmtId="0" fontId="4" fillId="14" borderId="0" xfId="4" applyFont="1" applyFill="1" applyAlignment="1">
      <alignment horizontal="center"/>
    </xf>
    <xf numFmtId="0" fontId="18" fillId="0" borderId="0" xfId="4" applyFont="1" applyAlignment="1">
      <alignment vertical="top"/>
    </xf>
    <xf numFmtId="0" fontId="4" fillId="12" borderId="23" xfId="4" applyFont="1" applyFill="1" applyBorder="1" applyAlignment="1">
      <alignment horizontal="center"/>
    </xf>
    <xf numFmtId="0" fontId="4" fillId="12" borderId="14" xfId="4" applyFont="1" applyFill="1" applyBorder="1"/>
    <xf numFmtId="0" fontId="12" fillId="0" borderId="0" xfId="4" applyFont="1"/>
    <xf numFmtId="0" fontId="20" fillId="12" borderId="55" xfId="4" applyFont="1" applyFill="1" applyBorder="1" applyAlignment="1">
      <alignment horizontal="right"/>
    </xf>
    <xf numFmtId="10" fontId="20" fillId="12" borderId="57" xfId="4" applyNumberFormat="1" applyFont="1" applyFill="1" applyBorder="1"/>
    <xf numFmtId="0" fontId="12" fillId="0" borderId="0" xfId="4" applyFont="1" applyBorder="1"/>
    <xf numFmtId="10" fontId="12" fillId="0" borderId="0" xfId="8" applyNumberFormat="1" applyFont="1"/>
    <xf numFmtId="0" fontId="28" fillId="0" borderId="0" xfId="0" applyFont="1" applyAlignment="1">
      <alignment vertical="top"/>
    </xf>
    <xf numFmtId="0" fontId="35" fillId="0" borderId="0" xfId="0" applyFont="1" applyAlignment="1">
      <alignment horizontal="left" vertical="top"/>
    </xf>
    <xf numFmtId="0" fontId="30" fillId="0" borderId="0" xfId="0" applyFont="1" applyAlignment="1">
      <alignment vertical="top"/>
    </xf>
    <xf numFmtId="0" fontId="35" fillId="0" borderId="0" xfId="0" applyFont="1" applyAlignment="1">
      <alignment vertical="top"/>
    </xf>
    <xf numFmtId="0" fontId="24" fillId="0" borderId="0" xfId="0" applyFont="1"/>
    <xf numFmtId="0" fontId="29" fillId="0" borderId="0" xfId="0" applyFont="1" applyAlignment="1">
      <alignment vertical="top"/>
    </xf>
    <xf numFmtId="0" fontId="30" fillId="0" borderId="0" xfId="0" applyFont="1" applyFill="1" applyBorder="1" applyAlignment="1">
      <alignment vertical="top"/>
    </xf>
    <xf numFmtId="0" fontId="24" fillId="0" borderId="0" xfId="0" applyFont="1" applyAlignment="1">
      <alignment vertical="top"/>
    </xf>
    <xf numFmtId="0" fontId="24" fillId="0" borderId="0" xfId="0" applyFont="1" applyAlignment="1">
      <alignment horizontal="left" vertical="top"/>
    </xf>
    <xf numFmtId="49" fontId="37" fillId="10" borderId="30" xfId="0" applyNumberFormat="1" applyFont="1" applyFill="1" applyBorder="1" applyAlignment="1">
      <alignment horizontal="center" vertical="top" wrapText="1"/>
    </xf>
    <xf numFmtId="0" fontId="37" fillId="10" borderId="34" xfId="0" applyFont="1" applyFill="1" applyBorder="1" applyAlignment="1">
      <alignment horizontal="center" vertical="top"/>
    </xf>
    <xf numFmtId="0" fontId="37" fillId="10" borderId="35" xfId="0" applyFont="1" applyFill="1" applyBorder="1" applyAlignment="1">
      <alignment horizontal="center" vertical="top"/>
    </xf>
    <xf numFmtId="0" fontId="37" fillId="10" borderId="35" xfId="0" applyFont="1" applyFill="1" applyBorder="1" applyAlignment="1">
      <alignment vertical="top"/>
    </xf>
    <xf numFmtId="168" fontId="37" fillId="10" borderId="35" xfId="0" applyNumberFormat="1" applyFont="1" applyFill="1" applyBorder="1" applyAlignment="1">
      <alignment vertical="top"/>
    </xf>
    <xf numFmtId="4" fontId="37" fillId="10" borderId="44" xfId="0" applyNumberFormat="1" applyFont="1" applyFill="1" applyBorder="1" applyAlignment="1">
      <alignment vertical="top"/>
    </xf>
    <xf numFmtId="4" fontId="37" fillId="10" borderId="46" xfId="0" applyNumberFormat="1" applyFont="1" applyFill="1" applyBorder="1" applyAlignment="1">
      <alignment vertical="top"/>
    </xf>
    <xf numFmtId="0" fontId="37" fillId="10" borderId="47" xfId="0" applyFont="1" applyFill="1" applyBorder="1" applyAlignment="1">
      <alignment vertical="top"/>
    </xf>
    <xf numFmtId="0" fontId="37" fillId="10" borderId="48" xfId="0" applyFont="1" applyFill="1" applyBorder="1" applyAlignment="1">
      <alignment horizontal="left" vertical="top"/>
    </xf>
    <xf numFmtId="0" fontId="37" fillId="10" borderId="48" xfId="0" applyFont="1" applyFill="1" applyBorder="1" applyAlignment="1">
      <alignment vertical="top"/>
    </xf>
    <xf numFmtId="168" fontId="37" fillId="10" borderId="48" xfId="0" applyNumberFormat="1" applyFont="1" applyFill="1" applyBorder="1" applyAlignment="1">
      <alignment vertical="top"/>
    </xf>
    <xf numFmtId="4" fontId="37" fillId="10" borderId="36" xfId="0" applyNumberFormat="1" applyFont="1" applyFill="1" applyBorder="1" applyAlignment="1">
      <alignment vertical="top"/>
    </xf>
    <xf numFmtId="4" fontId="37" fillId="10" borderId="37" xfId="0" applyNumberFormat="1" applyFont="1" applyFill="1" applyBorder="1" applyAlignment="1">
      <alignment vertical="top"/>
    </xf>
    <xf numFmtId="0" fontId="9" fillId="0" borderId="40" xfId="0" applyFont="1" applyFill="1" applyBorder="1" applyAlignment="1">
      <alignment vertical="top" wrapText="1"/>
    </xf>
    <xf numFmtId="0" fontId="9" fillId="0" borderId="36" xfId="0" applyFont="1" applyFill="1" applyBorder="1" applyAlignment="1">
      <alignment horizontal="left" vertical="top" wrapText="1"/>
    </xf>
    <xf numFmtId="0" fontId="9" fillId="0" borderId="36" xfId="0" applyFont="1" applyFill="1" applyBorder="1" applyAlignment="1">
      <alignment vertical="top"/>
    </xf>
    <xf numFmtId="170" fontId="9" fillId="0" borderId="36" xfId="0" applyNumberFormat="1" applyFont="1" applyFill="1" applyBorder="1" applyAlignment="1">
      <alignment vertical="top"/>
    </xf>
    <xf numFmtId="43" fontId="9" fillId="0" borderId="36" xfId="0" applyNumberFormat="1" applyFont="1" applyFill="1" applyBorder="1" applyAlignment="1">
      <alignment vertical="top"/>
    </xf>
    <xf numFmtId="43" fontId="9" fillId="0" borderId="37" xfId="0" applyNumberFormat="1" applyFont="1" applyFill="1" applyBorder="1" applyAlignment="1">
      <alignment vertical="top"/>
    </xf>
    <xf numFmtId="0" fontId="9" fillId="0" borderId="49" xfId="0" applyFont="1" applyFill="1" applyBorder="1" applyAlignment="1">
      <alignment vertical="top"/>
    </xf>
    <xf numFmtId="0" fontId="9" fillId="0" borderId="38" xfId="0" applyFont="1" applyFill="1" applyBorder="1" applyAlignment="1">
      <alignment horizontal="left" vertical="top"/>
    </xf>
    <xf numFmtId="0" fontId="9" fillId="0" borderId="38" xfId="0" applyFont="1" applyFill="1" applyBorder="1" applyAlignment="1">
      <alignment vertical="top"/>
    </xf>
    <xf numFmtId="43" fontId="9" fillId="0" borderId="38" xfId="0" applyNumberFormat="1" applyFont="1" applyFill="1" applyBorder="1" applyAlignment="1">
      <alignment vertical="top"/>
    </xf>
    <xf numFmtId="43" fontId="37" fillId="0" borderId="38" xfId="0" applyNumberFormat="1" applyFont="1" applyFill="1" applyBorder="1" applyAlignment="1">
      <alignment vertical="top"/>
    </xf>
    <xf numFmtId="43" fontId="37" fillId="0" borderId="39" xfId="0" applyNumberFormat="1" applyFont="1" applyFill="1" applyBorder="1" applyAlignment="1">
      <alignment vertical="top"/>
    </xf>
    <xf numFmtId="0" fontId="9" fillId="10" borderId="42" xfId="0" applyFont="1" applyFill="1" applyBorder="1" applyAlignment="1">
      <alignment vertical="top"/>
    </xf>
    <xf numFmtId="0" fontId="9" fillId="10" borderId="41" xfId="0" applyFont="1" applyFill="1" applyBorder="1" applyAlignment="1">
      <alignment horizontal="left" vertical="top"/>
    </xf>
    <xf numFmtId="0" fontId="9" fillId="10" borderId="41" xfId="0" applyFont="1" applyFill="1" applyBorder="1" applyAlignment="1">
      <alignment vertical="top"/>
    </xf>
    <xf numFmtId="168" fontId="9" fillId="10" borderId="41" xfId="0" applyNumberFormat="1" applyFont="1" applyFill="1" applyBorder="1" applyAlignment="1">
      <alignment vertical="top"/>
    </xf>
    <xf numFmtId="4" fontId="37" fillId="10" borderId="41" xfId="0" applyNumberFormat="1" applyFont="1" applyFill="1" applyBorder="1" applyAlignment="1">
      <alignment vertical="top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horizontal="left" vertical="top"/>
    </xf>
    <xf numFmtId="168" fontId="9" fillId="0" borderId="0" xfId="0" applyNumberFormat="1" applyFont="1" applyBorder="1" applyAlignment="1">
      <alignment vertical="top"/>
    </xf>
    <xf numFmtId="4" fontId="9" fillId="0" borderId="0" xfId="0" applyNumberFormat="1" applyFont="1" applyBorder="1" applyAlignment="1">
      <alignment vertical="top"/>
    </xf>
    <xf numFmtId="2" fontId="24" fillId="0" borderId="0" xfId="0" applyNumberFormat="1" applyFont="1" applyAlignment="1">
      <alignment horizontal="center" vertical="top"/>
    </xf>
    <xf numFmtId="0" fontId="28" fillId="0" borderId="0" xfId="0" applyFont="1" applyAlignment="1">
      <alignment horizontal="left" vertical="top"/>
    </xf>
    <xf numFmtId="0" fontId="30" fillId="0" borderId="0" xfId="0" applyFont="1" applyAlignment="1">
      <alignment horizontal="left" vertical="top"/>
    </xf>
    <xf numFmtId="0" fontId="29" fillId="0" borderId="0" xfId="0" applyFont="1" applyAlignment="1">
      <alignment horizontal="left" vertical="top"/>
    </xf>
    <xf numFmtId="0" fontId="37" fillId="0" borderId="0" xfId="0" applyFont="1" applyFill="1" applyBorder="1" applyAlignment="1">
      <alignment horizontal="center" vertical="top"/>
    </xf>
    <xf numFmtId="0" fontId="37" fillId="0" borderId="0" xfId="0" applyFont="1" applyFill="1" applyBorder="1" applyAlignment="1">
      <alignment horizontal="left" vertical="top" wrapText="1"/>
    </xf>
    <xf numFmtId="164" fontId="37" fillId="4" borderId="1" xfId="0" applyNumberFormat="1" applyFont="1" applyFill="1" applyBorder="1" applyAlignment="1">
      <alignment horizontal="center" vertical="top"/>
    </xf>
    <xf numFmtId="0" fontId="9" fillId="4" borderId="0" xfId="0" applyFont="1" applyFill="1" applyAlignment="1">
      <alignment vertical="top"/>
    </xf>
    <xf numFmtId="164" fontId="37" fillId="4" borderId="4" xfId="0" applyNumberFormat="1" applyFont="1" applyFill="1" applyBorder="1" applyAlignment="1">
      <alignment horizontal="center" vertical="top" wrapText="1"/>
    </xf>
    <xf numFmtId="164" fontId="37" fillId="4" borderId="5" xfId="0" applyNumberFormat="1" applyFont="1" applyFill="1" applyBorder="1" applyAlignment="1">
      <alignment horizontal="center" vertical="top" wrapText="1"/>
    </xf>
    <xf numFmtId="164" fontId="37" fillId="4" borderId="5" xfId="0" applyNumberFormat="1" applyFont="1" applyFill="1" applyBorder="1" applyAlignment="1">
      <alignment horizontal="center" vertical="top"/>
    </xf>
    <xf numFmtId="164" fontId="37" fillId="4" borderId="6" xfId="0" applyNumberFormat="1" applyFont="1" applyFill="1" applyBorder="1" applyAlignment="1">
      <alignment horizontal="center" vertical="top"/>
    </xf>
    <xf numFmtId="164" fontId="9" fillId="0" borderId="4" xfId="0" applyNumberFormat="1" applyFont="1" applyFill="1" applyBorder="1" applyAlignment="1">
      <alignment horizontal="center" vertical="top"/>
    </xf>
    <xf numFmtId="164" fontId="9" fillId="0" borderId="5" xfId="0" applyNumberFormat="1" applyFont="1" applyFill="1" applyBorder="1" applyAlignment="1">
      <alignment horizontal="left" vertical="top" wrapText="1"/>
    </xf>
    <xf numFmtId="164" fontId="9" fillId="0" borderId="5" xfId="0" applyNumberFormat="1" applyFont="1" applyFill="1" applyBorder="1" applyAlignment="1">
      <alignment horizontal="center" vertical="top"/>
    </xf>
    <xf numFmtId="164" fontId="9" fillId="0" borderId="6" xfId="0" applyNumberFormat="1" applyFont="1" applyFill="1" applyBorder="1" applyAlignment="1">
      <alignment horizontal="center" vertical="top"/>
    </xf>
    <xf numFmtId="164" fontId="9" fillId="0" borderId="4" xfId="0" applyNumberFormat="1" applyFont="1" applyFill="1" applyBorder="1" applyAlignment="1">
      <alignment horizontal="center" vertical="top" shrinkToFit="1"/>
    </xf>
    <xf numFmtId="164" fontId="9" fillId="0" borderId="7" xfId="0" applyNumberFormat="1" applyFont="1" applyFill="1" applyBorder="1" applyAlignment="1">
      <alignment horizontal="center" vertical="top" wrapText="1"/>
    </xf>
    <xf numFmtId="164" fontId="9" fillId="0" borderId="8" xfId="0" applyNumberFormat="1" applyFont="1" applyFill="1" applyBorder="1" applyAlignment="1">
      <alignment horizontal="left" vertical="top" wrapText="1"/>
    </xf>
    <xf numFmtId="164" fontId="9" fillId="0" borderId="8" xfId="0" applyNumberFormat="1" applyFont="1" applyFill="1" applyBorder="1" applyAlignment="1">
      <alignment horizontal="center" vertical="top"/>
    </xf>
    <xf numFmtId="0" fontId="9" fillId="0" borderId="8" xfId="0" applyFont="1" applyFill="1" applyBorder="1" applyAlignment="1">
      <alignment vertical="top"/>
    </xf>
    <xf numFmtId="164" fontId="37" fillId="0" borderId="8" xfId="0" applyNumberFormat="1" applyFont="1" applyFill="1" applyBorder="1" applyAlignment="1">
      <alignment horizontal="right" vertical="top"/>
    </xf>
    <xf numFmtId="164" fontId="37" fillId="0" borderId="9" xfId="0" applyNumberFormat="1" applyFont="1" applyFill="1" applyBorder="1" applyAlignment="1">
      <alignment horizontal="center" vertical="top"/>
    </xf>
    <xf numFmtId="164" fontId="9" fillId="0" borderId="4" xfId="0" applyNumberFormat="1" applyFont="1" applyFill="1" applyBorder="1" applyAlignment="1">
      <alignment horizontal="center" vertical="top" wrapText="1"/>
    </xf>
    <xf numFmtId="164" fontId="9" fillId="0" borderId="4" xfId="0" applyNumberFormat="1" applyFont="1" applyFill="1" applyBorder="1" applyAlignment="1">
      <alignment horizontal="center" vertical="top" wrapText="1" shrinkToFit="1"/>
    </xf>
    <xf numFmtId="164" fontId="9" fillId="0" borderId="0" xfId="0" applyNumberFormat="1" applyFont="1" applyFill="1" applyBorder="1" applyAlignment="1">
      <alignment horizontal="center" vertical="top" wrapText="1"/>
    </xf>
    <xf numFmtId="164" fontId="9" fillId="0" borderId="0" xfId="0" applyNumberFormat="1" applyFont="1" applyFill="1" applyBorder="1" applyAlignment="1">
      <alignment horizontal="left" vertical="top" wrapText="1"/>
    </xf>
    <xf numFmtId="164" fontId="9" fillId="0" borderId="0" xfId="0" applyNumberFormat="1" applyFont="1" applyFill="1" applyBorder="1" applyAlignment="1">
      <alignment horizontal="center" vertical="top"/>
    </xf>
    <xf numFmtId="0" fontId="9" fillId="0" borderId="0" xfId="0" applyFont="1" applyFill="1" applyBorder="1" applyAlignment="1">
      <alignment vertical="top"/>
    </xf>
    <xf numFmtId="164" fontId="37" fillId="0" borderId="0" xfId="0" applyNumberFormat="1" applyFont="1" applyFill="1" applyBorder="1" applyAlignment="1">
      <alignment horizontal="right" vertical="top"/>
    </xf>
    <xf numFmtId="164" fontId="37" fillId="0" borderId="0" xfId="0" applyNumberFormat="1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top" wrapText="1"/>
    </xf>
    <xf numFmtId="164" fontId="37" fillId="0" borderId="5" xfId="0" applyNumberFormat="1" applyFont="1" applyFill="1" applyBorder="1" applyAlignment="1">
      <alignment horizontal="center" vertical="top"/>
    </xf>
    <xf numFmtId="164" fontId="9" fillId="7" borderId="5" xfId="0" applyNumberFormat="1" applyFont="1" applyFill="1" applyBorder="1" applyAlignment="1">
      <alignment horizontal="center" vertical="top"/>
    </xf>
    <xf numFmtId="164" fontId="37" fillId="0" borderId="4" xfId="0" applyNumberFormat="1" applyFont="1" applyFill="1" applyBorder="1" applyAlignment="1">
      <alignment horizontal="center" vertical="top"/>
    </xf>
    <xf numFmtId="164" fontId="37" fillId="0" borderId="5" xfId="0" applyNumberFormat="1" applyFont="1" applyFill="1" applyBorder="1" applyAlignment="1">
      <alignment horizontal="left" vertical="top" wrapText="1"/>
    </xf>
    <xf numFmtId="164" fontId="37" fillId="7" borderId="5" xfId="0" applyNumberFormat="1" applyFont="1" applyFill="1" applyBorder="1" applyAlignment="1">
      <alignment horizontal="center" vertical="top"/>
    </xf>
    <xf numFmtId="164" fontId="37" fillId="0" borderId="6" xfId="0" applyNumberFormat="1" applyFont="1" applyFill="1" applyBorder="1" applyAlignment="1">
      <alignment horizontal="center" vertical="top"/>
    </xf>
    <xf numFmtId="0" fontId="37" fillId="0" borderId="0" xfId="0" applyFont="1" applyFill="1" applyAlignment="1">
      <alignment vertical="top"/>
    </xf>
    <xf numFmtId="164" fontId="9" fillId="0" borderId="25" xfId="0" applyNumberFormat="1" applyFont="1" applyFill="1" applyBorder="1" applyAlignment="1">
      <alignment horizontal="center" vertical="top"/>
    </xf>
    <xf numFmtId="164" fontId="9" fillId="0" borderId="10" xfId="0" applyNumberFormat="1" applyFont="1" applyFill="1" applyBorder="1" applyAlignment="1">
      <alignment horizontal="left" vertical="top" wrapText="1"/>
    </xf>
    <xf numFmtId="164" fontId="9" fillId="0" borderId="10" xfId="0" applyNumberFormat="1" applyFont="1" applyFill="1" applyBorder="1" applyAlignment="1">
      <alignment horizontal="center" vertical="top"/>
    </xf>
    <xf numFmtId="164" fontId="9" fillId="0" borderId="26" xfId="0" applyNumberFormat="1" applyFont="1" applyFill="1" applyBorder="1" applyAlignment="1">
      <alignment horizontal="center" vertical="top"/>
    </xf>
    <xf numFmtId="0" fontId="9" fillId="0" borderId="5" xfId="0" applyFont="1" applyFill="1" applyBorder="1" applyAlignment="1">
      <alignment vertical="top"/>
    </xf>
    <xf numFmtId="164" fontId="37" fillId="0" borderId="5" xfId="0" applyNumberFormat="1" applyFont="1" applyFill="1" applyBorder="1" applyAlignment="1">
      <alignment horizontal="right" vertical="top"/>
    </xf>
    <xf numFmtId="0" fontId="9" fillId="0" borderId="21" xfId="0" applyFont="1" applyFill="1" applyBorder="1" applyAlignment="1">
      <alignment vertical="top"/>
    </xf>
    <xf numFmtId="164" fontId="9" fillId="0" borderId="27" xfId="0" applyNumberFormat="1" applyFont="1" applyFill="1" applyBorder="1" applyAlignment="1">
      <alignment horizontal="center" vertical="top" wrapText="1"/>
    </xf>
    <xf numFmtId="164" fontId="9" fillId="0" borderId="28" xfId="0" applyNumberFormat="1" applyFont="1" applyFill="1" applyBorder="1" applyAlignment="1">
      <alignment horizontal="left" vertical="top" wrapText="1"/>
    </xf>
    <xf numFmtId="164" fontId="9" fillId="0" borderId="28" xfId="0" applyNumberFormat="1" applyFont="1" applyFill="1" applyBorder="1" applyAlignment="1">
      <alignment horizontal="center" vertical="top"/>
    </xf>
    <xf numFmtId="0" fontId="9" fillId="0" borderId="28" xfId="0" applyFont="1" applyFill="1" applyBorder="1" applyAlignment="1">
      <alignment vertical="top"/>
    </xf>
    <xf numFmtId="164" fontId="37" fillId="0" borderId="28" xfId="0" applyNumberFormat="1" applyFont="1" applyFill="1" applyBorder="1" applyAlignment="1">
      <alignment horizontal="right" vertical="top"/>
    </xf>
    <xf numFmtId="164" fontId="37" fillId="0" borderId="29" xfId="0" applyNumberFormat="1" applyFont="1" applyFill="1" applyBorder="1" applyAlignment="1">
      <alignment horizontal="center" vertical="top"/>
    </xf>
    <xf numFmtId="167" fontId="9" fillId="0" borderId="5" xfId="0" applyNumberFormat="1" applyFont="1" applyFill="1" applyBorder="1" applyAlignment="1">
      <alignment horizontal="center" vertical="top"/>
    </xf>
    <xf numFmtId="166" fontId="9" fillId="0" borderId="5" xfId="0" applyNumberFormat="1" applyFont="1" applyFill="1" applyBorder="1" applyAlignment="1">
      <alignment horizontal="center" vertical="top"/>
    </xf>
    <xf numFmtId="0" fontId="9" fillId="0" borderId="0" xfId="0" applyFont="1" applyFill="1" applyBorder="1" applyAlignment="1">
      <alignment horizontal="center" vertical="top" wrapText="1"/>
    </xf>
    <xf numFmtId="2" fontId="9" fillId="0" borderId="4" xfId="0" applyNumberFormat="1" applyFont="1" applyFill="1" applyBorder="1" applyAlignment="1">
      <alignment horizontal="center" vertical="center"/>
    </xf>
    <xf numFmtId="164" fontId="9" fillId="0" borderId="5" xfId="0" applyNumberFormat="1" applyFont="1" applyFill="1" applyBorder="1" applyAlignment="1">
      <alignment horizontal="center" vertical="center"/>
    </xf>
    <xf numFmtId="167" fontId="9" fillId="0" borderId="5" xfId="0" applyNumberFormat="1" applyFont="1" applyFill="1" applyBorder="1" applyAlignment="1">
      <alignment horizontal="center" vertical="center"/>
    </xf>
    <xf numFmtId="164" fontId="9" fillId="0" borderId="6" xfId="0" applyNumberFormat="1" applyFont="1" applyFill="1" applyBorder="1" applyAlignment="1">
      <alignment horizontal="center" vertical="center"/>
    </xf>
    <xf numFmtId="166" fontId="9" fillId="0" borderId="5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164" fontId="9" fillId="0" borderId="7" xfId="0" applyNumberFormat="1" applyFont="1" applyFill="1" applyBorder="1" applyAlignment="1">
      <alignment horizontal="center" vertical="center" wrapText="1"/>
    </xf>
    <xf numFmtId="164" fontId="9" fillId="0" borderId="8" xfId="0" applyNumberFormat="1" applyFont="1" applyFill="1" applyBorder="1" applyAlignment="1">
      <alignment horizontal="center" vertical="center"/>
    </xf>
    <xf numFmtId="0" fontId="9" fillId="0" borderId="8" xfId="0" applyFont="1" applyFill="1" applyBorder="1"/>
    <xf numFmtId="164" fontId="37" fillId="0" borderId="8" xfId="0" applyNumberFormat="1" applyFont="1" applyFill="1" applyBorder="1" applyAlignment="1">
      <alignment horizontal="right" vertical="center"/>
    </xf>
    <xf numFmtId="164" fontId="37" fillId="0" borderId="9" xfId="0" applyNumberFormat="1" applyFont="1" applyFill="1" applyBorder="1" applyAlignment="1">
      <alignment horizontal="center" vertical="center"/>
    </xf>
    <xf numFmtId="164" fontId="37" fillId="0" borderId="4" xfId="0" applyNumberFormat="1" applyFont="1" applyFill="1" applyBorder="1" applyAlignment="1">
      <alignment horizontal="center" vertical="top" wrapText="1"/>
    </xf>
    <xf numFmtId="164" fontId="37" fillId="0" borderId="5" xfId="0" applyNumberFormat="1" applyFont="1" applyFill="1" applyBorder="1" applyAlignment="1">
      <alignment horizontal="center" vertical="top" wrapText="1"/>
    </xf>
    <xf numFmtId="167" fontId="9" fillId="0" borderId="10" xfId="0" applyNumberFormat="1" applyFont="1" applyFill="1" applyBorder="1" applyAlignment="1">
      <alignment horizontal="center" vertical="top"/>
    </xf>
    <xf numFmtId="164" fontId="9" fillId="0" borderId="5" xfId="0" quotePrefix="1" applyNumberFormat="1" applyFont="1" applyFill="1" applyBorder="1" applyAlignment="1">
      <alignment horizontal="left" vertical="top" wrapText="1"/>
    </xf>
    <xf numFmtId="43" fontId="9" fillId="0" borderId="0" xfId="0" applyNumberFormat="1" applyFont="1" applyFill="1" applyAlignment="1">
      <alignment vertical="top"/>
    </xf>
    <xf numFmtId="49" fontId="37" fillId="4" borderId="1" xfId="0" applyNumberFormat="1" applyFont="1" applyFill="1" applyBorder="1" applyAlignment="1">
      <alignment horizontal="center" vertical="top" wrapText="1"/>
    </xf>
    <xf numFmtId="0" fontId="37" fillId="4" borderId="4" xfId="0" applyFont="1" applyFill="1" applyBorder="1" applyAlignment="1">
      <alignment horizontal="center" vertical="top"/>
    </xf>
    <xf numFmtId="0" fontId="37" fillId="4" borderId="5" xfId="0" applyFont="1" applyFill="1" applyBorder="1" applyAlignment="1">
      <alignment horizontal="center" vertical="top"/>
    </xf>
    <xf numFmtId="168" fontId="37" fillId="4" borderId="5" xfId="0" applyNumberFormat="1" applyFont="1" applyFill="1" applyBorder="1" applyAlignment="1">
      <alignment horizontal="center" vertical="top"/>
    </xf>
    <xf numFmtId="4" fontId="37" fillId="4" borderId="11" xfId="0" applyNumberFormat="1" applyFont="1" applyFill="1" applyBorder="1" applyAlignment="1">
      <alignment horizontal="center" vertical="top"/>
    </xf>
    <xf numFmtId="4" fontId="37" fillId="4" borderId="6" xfId="0" applyNumberFormat="1" applyFont="1" applyFill="1" applyBorder="1" applyAlignment="1">
      <alignment horizontal="center" vertical="top"/>
    </xf>
    <xf numFmtId="164" fontId="9" fillId="0" borderId="6" xfId="1" applyNumberFormat="1" applyFont="1" applyFill="1" applyBorder="1" applyAlignment="1">
      <alignment horizontal="right" vertical="top"/>
    </xf>
    <xf numFmtId="0" fontId="38" fillId="0" borderId="7" xfId="0" applyFont="1" applyFill="1" applyBorder="1" applyAlignment="1">
      <alignment horizontal="center" vertical="top"/>
    </xf>
    <xf numFmtId="0" fontId="9" fillId="0" borderId="8" xfId="0" applyFont="1" applyFill="1" applyBorder="1" applyAlignment="1">
      <alignment horizontal="left" vertical="top" wrapText="1"/>
    </xf>
    <xf numFmtId="0" fontId="9" fillId="0" borderId="8" xfId="0" applyFont="1" applyFill="1" applyBorder="1" applyAlignment="1">
      <alignment horizontal="center" vertical="top" wrapText="1"/>
    </xf>
    <xf numFmtId="2" fontId="9" fillId="0" borderId="8" xfId="0" applyNumberFormat="1" applyFont="1" applyFill="1" applyBorder="1" applyAlignment="1">
      <alignment horizontal="right" vertical="top" wrapText="1"/>
    </xf>
    <xf numFmtId="2" fontId="37" fillId="0" borderId="8" xfId="0" applyNumberFormat="1" applyFont="1" applyFill="1" applyBorder="1" applyAlignment="1">
      <alignment horizontal="right" vertical="top"/>
    </xf>
    <xf numFmtId="164" fontId="37" fillId="0" borderId="9" xfId="1" applyNumberFormat="1" applyFont="1" applyFill="1" applyBorder="1" applyAlignment="1">
      <alignment horizontal="right" vertical="top"/>
    </xf>
    <xf numFmtId="2" fontId="9" fillId="0" borderId="0" xfId="0" applyNumberFormat="1" applyFont="1" applyFill="1" applyAlignment="1">
      <alignment horizontal="center" vertical="top" wrapText="1"/>
    </xf>
    <xf numFmtId="165" fontId="13" fillId="5" borderId="5" xfId="0" applyNumberFormat="1" applyFont="1" applyFill="1" applyBorder="1" applyAlignment="1">
      <alignment horizontal="center" vertical="center" wrapText="1"/>
    </xf>
    <xf numFmtId="165" fontId="13" fillId="4" borderId="5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44" fontId="4" fillId="0" borderId="10" xfId="11" applyFont="1" applyBorder="1" applyAlignment="1">
      <alignment horizontal="left" vertical="top" wrapText="1"/>
    </xf>
    <xf numFmtId="44" fontId="4" fillId="0" borderId="52" xfId="11" applyFont="1" applyBorder="1" applyAlignment="1">
      <alignment horizontal="left" vertical="top" wrapText="1"/>
    </xf>
    <xf numFmtId="0" fontId="4" fillId="9" borderId="4" xfId="0" applyFont="1" applyFill="1" applyBorder="1" applyAlignment="1">
      <alignment horizontal="right" wrapText="1"/>
    </xf>
    <xf numFmtId="0" fontId="4" fillId="9" borderId="5" xfId="0" applyFont="1" applyFill="1" applyBorder="1" applyAlignment="1">
      <alignment horizontal="right" wrapText="1"/>
    </xf>
    <xf numFmtId="165" fontId="4" fillId="9" borderId="7" xfId="0" applyNumberFormat="1" applyFont="1" applyFill="1" applyBorder="1" applyAlignment="1">
      <alignment horizontal="right" wrapText="1"/>
    </xf>
    <xf numFmtId="165" fontId="4" fillId="9" borderId="8" xfId="0" applyNumberFormat="1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horizontal="left" vertical="top" wrapText="1"/>
    </xf>
    <xf numFmtId="0" fontId="4" fillId="0" borderId="4" xfId="0" applyNumberFormat="1" applyFont="1" applyBorder="1" applyAlignment="1">
      <alignment horizontal="left" vertical="top" wrapText="1"/>
    </xf>
    <xf numFmtId="0" fontId="4" fillId="0" borderId="5" xfId="0" applyNumberFormat="1" applyFont="1" applyBorder="1" applyAlignment="1">
      <alignment horizontal="left" vertical="top" wrapText="1"/>
    </xf>
    <xf numFmtId="0" fontId="4" fillId="0" borderId="5" xfId="0" applyNumberFormat="1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left" vertical="top" wrapText="1"/>
    </xf>
    <xf numFmtId="0" fontId="4" fillId="0" borderId="8" xfId="0" applyNumberFormat="1" applyFont="1" applyBorder="1" applyAlignment="1">
      <alignment horizontal="left" vertical="top" wrapText="1"/>
    </xf>
    <xf numFmtId="44" fontId="4" fillId="0" borderId="28" xfId="11" applyFont="1" applyBorder="1" applyAlignment="1">
      <alignment horizontal="left" vertical="top" wrapText="1"/>
    </xf>
    <xf numFmtId="165" fontId="13" fillId="4" borderId="6" xfId="0" applyNumberFormat="1" applyFont="1" applyFill="1" applyBorder="1" applyAlignment="1">
      <alignment horizontal="center" vertical="center" wrapText="1"/>
    </xf>
    <xf numFmtId="49" fontId="13" fillId="5" borderId="4" xfId="0" applyNumberFormat="1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5" xfId="0" applyNumberFormat="1" applyFont="1" applyFill="1" applyBorder="1" applyAlignment="1">
      <alignment horizontal="center" vertical="center" wrapText="1"/>
    </xf>
    <xf numFmtId="49" fontId="13" fillId="5" borderId="5" xfId="0" applyNumberFormat="1" applyFont="1" applyFill="1" applyBorder="1" applyAlignment="1">
      <alignment horizontal="center" vertical="center" wrapText="1"/>
    </xf>
    <xf numFmtId="165" fontId="13" fillId="5" borderId="10" xfId="0" applyNumberFormat="1" applyFont="1" applyFill="1" applyBorder="1" applyAlignment="1">
      <alignment horizontal="center" vertical="center" wrapText="1"/>
    </xf>
    <xf numFmtId="165" fontId="13" fillId="5" borderId="52" xfId="0" applyNumberFormat="1" applyFont="1" applyFill="1" applyBorder="1" applyAlignment="1">
      <alignment horizontal="center" vertical="center" wrapText="1"/>
    </xf>
    <xf numFmtId="165" fontId="13" fillId="4" borderId="5" xfId="0" applyNumberFormat="1" applyFont="1" applyFill="1" applyBorder="1" applyAlignment="1">
      <alignment horizontal="center" vertical="center" wrapText="1"/>
    </xf>
    <xf numFmtId="165" fontId="13" fillId="4" borderId="52" xfId="0" applyNumberFormat="1" applyFont="1" applyFill="1" applyBorder="1" applyAlignment="1">
      <alignment horizontal="center" vertical="center" wrapText="1"/>
    </xf>
    <xf numFmtId="165" fontId="13" fillId="5" borderId="11" xfId="0" applyNumberFormat="1" applyFont="1" applyFill="1" applyBorder="1" applyAlignment="1">
      <alignment horizontal="center" vertical="center" wrapText="1"/>
    </xf>
    <xf numFmtId="165" fontId="13" fillId="5" borderId="63" xfId="0" applyNumberFormat="1" applyFont="1" applyFill="1" applyBorder="1" applyAlignment="1">
      <alignment horizontal="center" vertical="center" wrapText="1"/>
    </xf>
    <xf numFmtId="0" fontId="3" fillId="0" borderId="0" xfId="4" applyAlignment="1">
      <alignment horizontal="left" wrapText="1"/>
    </xf>
    <xf numFmtId="0" fontId="37" fillId="4" borderId="12" xfId="0" applyNumberFormat="1" applyFont="1" applyFill="1" applyBorder="1" applyAlignment="1">
      <alignment horizontal="left" vertical="top" wrapText="1"/>
    </xf>
    <xf numFmtId="0" fontId="37" fillId="4" borderId="13" xfId="0" applyNumberFormat="1" applyFont="1" applyFill="1" applyBorder="1" applyAlignment="1">
      <alignment horizontal="left" vertical="top" wrapText="1"/>
    </xf>
    <xf numFmtId="0" fontId="37" fillId="4" borderId="14" xfId="0" applyNumberFormat="1" applyFont="1" applyFill="1" applyBorder="1" applyAlignment="1">
      <alignment horizontal="left" vertical="top" wrapText="1"/>
    </xf>
    <xf numFmtId="49" fontId="37" fillId="4" borderId="12" xfId="3" applyNumberFormat="1" applyFont="1" applyFill="1" applyBorder="1" applyAlignment="1">
      <alignment vertical="top" wrapText="1"/>
    </xf>
    <xf numFmtId="49" fontId="37" fillId="4" borderId="13" xfId="3" applyNumberFormat="1" applyFont="1" applyFill="1" applyBorder="1" applyAlignment="1">
      <alignment vertical="top" wrapText="1"/>
    </xf>
    <xf numFmtId="49" fontId="37" fillId="4" borderId="14" xfId="3" applyNumberFormat="1" applyFont="1" applyFill="1" applyBorder="1" applyAlignment="1">
      <alignment vertical="top" wrapText="1"/>
    </xf>
    <xf numFmtId="0" fontId="36" fillId="0" borderId="0" xfId="0" applyFont="1" applyFill="1" applyBorder="1" applyAlignment="1">
      <alignment horizontal="center" vertical="top"/>
    </xf>
    <xf numFmtId="164" fontId="37" fillId="4" borderId="12" xfId="0" applyNumberFormat="1" applyFont="1" applyFill="1" applyBorder="1" applyAlignment="1">
      <alignment horizontal="left" vertical="top" wrapText="1"/>
    </xf>
    <xf numFmtId="164" fontId="37" fillId="4" borderId="13" xfId="0" applyNumberFormat="1" applyFont="1" applyFill="1" applyBorder="1" applyAlignment="1">
      <alignment horizontal="left" vertical="top" wrapText="1"/>
    </xf>
    <xf numFmtId="164" fontId="37" fillId="4" borderId="14" xfId="0" applyNumberFormat="1" applyFont="1" applyFill="1" applyBorder="1" applyAlignment="1">
      <alignment horizontal="left" vertical="top" wrapText="1"/>
    </xf>
    <xf numFmtId="0" fontId="36" fillId="0" borderId="0" xfId="0" applyFont="1" applyFill="1" applyBorder="1" applyAlignment="1">
      <alignment vertical="top"/>
    </xf>
    <xf numFmtId="49" fontId="37" fillId="10" borderId="31" xfId="3" applyNumberFormat="1" applyFont="1" applyFill="1" applyBorder="1" applyAlignment="1">
      <alignment vertical="top" wrapText="1"/>
    </xf>
    <xf numFmtId="49" fontId="37" fillId="10" borderId="32" xfId="3" applyNumberFormat="1" applyFont="1" applyFill="1" applyBorder="1" applyAlignment="1">
      <alignment vertical="top" wrapText="1"/>
    </xf>
    <xf numFmtId="49" fontId="37" fillId="10" borderId="33" xfId="3" applyNumberFormat="1" applyFont="1" applyFill="1" applyBorder="1" applyAlignment="1">
      <alignment vertical="top" wrapText="1"/>
    </xf>
    <xf numFmtId="4" fontId="37" fillId="10" borderId="44" xfId="0" applyNumberFormat="1" applyFont="1" applyFill="1" applyBorder="1" applyAlignment="1">
      <alignment vertical="top"/>
    </xf>
    <xf numFmtId="4" fontId="37" fillId="10" borderId="45" xfId="0" applyNumberFormat="1" applyFont="1" applyFill="1" applyBorder="1" applyAlignment="1">
      <alignment vertical="top"/>
    </xf>
    <xf numFmtId="4" fontId="37" fillId="10" borderId="42" xfId="0" applyNumberFormat="1" applyFont="1" applyFill="1" applyBorder="1" applyAlignment="1">
      <alignment vertical="top"/>
    </xf>
    <xf numFmtId="4" fontId="37" fillId="10" borderId="43" xfId="0" applyNumberFormat="1" applyFont="1" applyFill="1" applyBorder="1" applyAlignment="1">
      <alignment vertical="top"/>
    </xf>
    <xf numFmtId="165" fontId="4" fillId="4" borderId="61" xfId="0" applyNumberFormat="1" applyFont="1" applyFill="1" applyBorder="1" applyAlignment="1">
      <alignment horizontal="center" vertical="top" wrapText="1"/>
    </xf>
    <xf numFmtId="165" fontId="4" fillId="4" borderId="28" xfId="0" applyNumberFormat="1" applyFont="1" applyFill="1" applyBorder="1" applyAlignment="1">
      <alignment horizontal="center" vertical="top" wrapText="1"/>
    </xf>
    <xf numFmtId="0" fontId="4" fillId="4" borderId="61" xfId="0" applyFont="1" applyFill="1" applyBorder="1" applyAlignment="1">
      <alignment horizontal="center" vertical="top" wrapText="1"/>
    </xf>
    <xf numFmtId="0" fontId="4" fillId="4" borderId="28" xfId="0" applyFont="1" applyFill="1" applyBorder="1" applyAlignment="1">
      <alignment horizontal="center" vertical="top" wrapText="1"/>
    </xf>
    <xf numFmtId="0" fontId="4" fillId="4" borderId="62" xfId="0" applyFont="1" applyFill="1" applyBorder="1" applyAlignment="1">
      <alignment horizontal="center" vertical="top" wrapText="1"/>
    </xf>
    <xf numFmtId="0" fontId="4" fillId="4" borderId="29" xfId="0" applyFont="1" applyFill="1" applyBorder="1" applyAlignment="1">
      <alignment horizontal="center" vertical="top" wrapText="1"/>
    </xf>
    <xf numFmtId="49" fontId="4" fillId="4" borderId="1" xfId="0" applyNumberFormat="1" applyFont="1" applyFill="1" applyBorder="1" applyAlignment="1">
      <alignment horizontal="center" vertical="top" wrapText="1"/>
    </xf>
    <xf numFmtId="49" fontId="4" fillId="4" borderId="7" xfId="0" applyNumberFormat="1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8" xfId="0" applyFont="1" applyFill="1" applyBorder="1" applyAlignment="1">
      <alignment horizontal="center" vertical="top" wrapText="1"/>
    </xf>
    <xf numFmtId="0" fontId="3" fillId="0" borderId="0" xfId="4" applyFill="1" applyBorder="1" applyAlignment="1">
      <alignment horizontal="left" wrapText="1"/>
    </xf>
    <xf numFmtId="0" fontId="3" fillId="0" borderId="21" xfId="4" applyFill="1" applyBorder="1" applyAlignment="1">
      <alignment horizontal="left" wrapText="1"/>
    </xf>
    <xf numFmtId="0" fontId="18" fillId="4" borderId="19" xfId="4" applyFont="1" applyFill="1" applyBorder="1"/>
    <xf numFmtId="0" fontId="3" fillId="4" borderId="0" xfId="4" applyFont="1" applyFill="1" applyBorder="1" applyAlignment="1">
      <alignment horizontal="right"/>
    </xf>
    <xf numFmtId="10" fontId="3" fillId="4" borderId="20" xfId="8" applyNumberFormat="1" applyFont="1" applyFill="1" applyBorder="1" applyAlignment="1">
      <alignment horizontal="center"/>
    </xf>
    <xf numFmtId="0" fontId="4" fillId="14" borderId="0" xfId="4" applyFont="1" applyFill="1" applyAlignment="1">
      <alignment horizontal="center"/>
    </xf>
  </cellXfs>
  <cellStyles count="14">
    <cellStyle name="Moeda" xfId="11" builtinId="4"/>
    <cellStyle name="Normal" xfId="0" builtinId="0"/>
    <cellStyle name="Normal 2" xfId="4"/>
    <cellStyle name="Normal 2 2" xfId="5"/>
    <cellStyle name="Normal 3" xfId="6"/>
    <cellStyle name="Normal 4" xfId="10"/>
    <cellStyle name="Normal 7" xfId="13"/>
    <cellStyle name="Normal_ORÇAMENTO" xfId="3"/>
    <cellStyle name="Porcentagem" xfId="2" builtinId="5"/>
    <cellStyle name="Porcentagem 2" xfId="8"/>
    <cellStyle name="TableStyleLight1" xfId="12"/>
    <cellStyle name="Título 1 1" xfId="9"/>
    <cellStyle name="Vírgula" xfId="1" builtinId="3"/>
    <cellStyle name="Vírgula 2" xfId="7"/>
  </cellStyles>
  <dxfs count="0"/>
  <tableStyles count="0" defaultTableStyle="TableStyleMedium2" defaultPivotStyle="PivotStyleLight16"/>
  <colors>
    <mruColors>
      <color rgb="FFFFFF66"/>
      <color rgb="FF0909D5"/>
      <color rgb="FFFF66FF"/>
      <color rgb="FFB7FF93"/>
      <color rgb="FFFFCC66"/>
      <color rgb="FFFF896D"/>
      <color rgb="FF1E742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tiff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1543050</xdr:colOff>
          <xdr:row>9</xdr:row>
          <xdr:rowOff>66675</xdr:rowOff>
        </xdr:from>
        <xdr:to>
          <xdr:col>5</xdr:col>
          <xdr:colOff>942975</xdr:colOff>
          <xdr:row>12</xdr:row>
          <xdr:rowOff>142875</xdr:rowOff>
        </xdr:to>
        <xdr:sp macro="" textlink="">
          <xdr:nvSpPr>
            <xdr:cNvPr id="4099" name="Object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6" Type="http://schemas.openxmlformats.org/officeDocument/2006/relationships/image" Target="../media/image2.emf"/><Relationship Id="rId5" Type="http://schemas.openxmlformats.org/officeDocument/2006/relationships/package" Target="../embeddings/Microsoft_Word_Document1.docx"/><Relationship Id="rId4" Type="http://schemas.openxmlformats.org/officeDocument/2006/relationships/vmlDrawing" Target="../drawings/vmlDrawing4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67"/>
  <sheetViews>
    <sheetView view="pageBreakPreview" zoomScaleNormal="70" zoomScaleSheetLayoutView="100" workbookViewId="0">
      <selection activeCell="P23" sqref="P23"/>
    </sheetView>
  </sheetViews>
  <sheetFormatPr defaultRowHeight="14.25"/>
  <cols>
    <col min="1" max="1" width="4.28515625" style="1" customWidth="1"/>
    <col min="2" max="2" width="40.140625" style="1" customWidth="1"/>
    <col min="3" max="3" width="13.28515625" style="1" customWidth="1"/>
    <col min="4" max="13" width="10.7109375" style="1" customWidth="1"/>
    <col min="14" max="14" width="13.28515625" style="1" customWidth="1"/>
    <col min="15" max="16384" width="9.140625" style="1"/>
  </cols>
  <sheetData>
    <row r="1" spans="1:13">
      <c r="A1" s="85" t="str">
        <f>ORÇAMENTO!A1</f>
        <v>PROJETO: XXXXXXXXXXXXXXX</v>
      </c>
      <c r="B1" s="87"/>
      <c r="C1" s="87"/>
      <c r="D1" s="87"/>
      <c r="E1" s="121" t="str">
        <f>ORÇAMENTO!E1</f>
        <v>Data Base: XXXXXXXXXXX</v>
      </c>
      <c r="F1" s="63"/>
      <c r="G1" s="63"/>
    </row>
    <row r="2" spans="1:13">
      <c r="A2" s="85" t="str">
        <f>ORÇAMENTO!A2</f>
        <v>CAMPUS XXXXXXXXXXXXXX</v>
      </c>
      <c r="B2" s="87"/>
      <c r="C2" s="87"/>
      <c r="D2" s="87"/>
      <c r="E2" s="89" t="str">
        <f>ORÇAMENTO!E2</f>
        <v>Fontes: XXXXXXXXXX</v>
      </c>
      <c r="F2" s="63"/>
      <c r="G2" s="63"/>
    </row>
    <row r="3" spans="1:13">
      <c r="A3" s="121" t="str">
        <f>ORÇAMENTO!A3</f>
        <v>Endereço da Obra: XXXXXXXXXXXXXXXXXXXXXXXXX</v>
      </c>
      <c r="B3" s="87"/>
      <c r="C3" s="87"/>
      <c r="D3" s="87"/>
      <c r="E3" s="42" t="str">
        <f>ORÇAMENTO!E3</f>
        <v xml:space="preserve">            XXXXXXXXXX</v>
      </c>
      <c r="F3" s="63"/>
      <c r="G3" s="63"/>
    </row>
    <row r="4" spans="1:13">
      <c r="A4" s="121" t="str">
        <f>ORÇAMENTO!A4</f>
        <v>Área Total: XXXXXXXX</v>
      </c>
      <c r="B4" s="87"/>
      <c r="C4" s="87"/>
      <c r="D4" s="87"/>
      <c r="E4" s="87"/>
      <c r="F4" s="87"/>
      <c r="G4" s="63"/>
    </row>
    <row r="5" spans="1:13" ht="4.5" customHeight="1">
      <c r="A5" s="87"/>
      <c r="B5" s="87"/>
      <c r="C5" s="87"/>
      <c r="D5" s="87"/>
      <c r="E5" s="87"/>
      <c r="F5" s="87"/>
      <c r="G5" s="63"/>
    </row>
    <row r="6" spans="1:13">
      <c r="A6" s="89" t="str">
        <f>ORÇAMENTO!A6</f>
        <v>Responsável Técnico:</v>
      </c>
      <c r="B6" s="87"/>
      <c r="C6" s="87"/>
      <c r="D6" s="87"/>
      <c r="E6" s="87"/>
      <c r="F6" s="63"/>
      <c r="G6" s="63"/>
    </row>
    <row r="7" spans="1:13">
      <c r="A7" s="168" t="str">
        <f>ORÇAMENTO!A7</f>
        <v>CREA/CAU:</v>
      </c>
      <c r="B7" s="30"/>
      <c r="C7" s="30"/>
      <c r="D7" s="30"/>
      <c r="E7" s="89" t="str">
        <f>ORÇAMENTO!E7</f>
        <v>ART/RRT de orçamento nº: XXXXXXX</v>
      </c>
      <c r="F7" s="63"/>
      <c r="G7" s="5"/>
    </row>
    <row r="8" spans="1:13" ht="6" customHeight="1" thickBot="1"/>
    <row r="9" spans="1:13" s="148" customFormat="1" ht="15" customHeight="1">
      <c r="A9" s="145"/>
      <c r="B9" s="146"/>
      <c r="C9" s="146"/>
      <c r="D9" s="146"/>
      <c r="E9" s="147" t="s">
        <v>391</v>
      </c>
      <c r="F9" s="146"/>
      <c r="G9" s="146"/>
      <c r="H9" s="146"/>
      <c r="I9" s="146"/>
      <c r="J9" s="146"/>
      <c r="K9" s="146"/>
      <c r="L9" s="146"/>
      <c r="M9" s="208"/>
    </row>
    <row r="10" spans="1:13" s="131" customFormat="1" ht="14.25" customHeight="1">
      <c r="A10" s="376"/>
      <c r="B10" s="364" t="s">
        <v>192</v>
      </c>
      <c r="C10" s="364" t="s">
        <v>193</v>
      </c>
      <c r="D10" s="364" t="s">
        <v>194</v>
      </c>
      <c r="E10" s="364"/>
      <c r="F10" s="364" t="s">
        <v>195</v>
      </c>
      <c r="G10" s="364"/>
      <c r="H10" s="364" t="s">
        <v>196</v>
      </c>
      <c r="I10" s="364"/>
      <c r="J10" s="364" t="s">
        <v>197</v>
      </c>
      <c r="K10" s="364"/>
      <c r="L10" s="364" t="s">
        <v>198</v>
      </c>
      <c r="M10" s="365"/>
    </row>
    <row r="11" spans="1:13" s="131" customFormat="1">
      <c r="A11" s="376"/>
      <c r="B11" s="364"/>
      <c r="C11" s="364"/>
      <c r="D11" s="132" t="s">
        <v>199</v>
      </c>
      <c r="E11" s="133" t="s">
        <v>200</v>
      </c>
      <c r="F11" s="132" t="s">
        <v>201</v>
      </c>
      <c r="G11" s="133" t="s">
        <v>200</v>
      </c>
      <c r="H11" s="132" t="s">
        <v>202</v>
      </c>
      <c r="I11" s="133" t="s">
        <v>200</v>
      </c>
      <c r="J11" s="132" t="s">
        <v>203</v>
      </c>
      <c r="K11" s="133" t="s">
        <v>200</v>
      </c>
      <c r="L11" s="132" t="s">
        <v>204</v>
      </c>
      <c r="M11" s="209" t="s">
        <v>200</v>
      </c>
    </row>
    <row r="12" spans="1:13" s="84" customFormat="1">
      <c r="A12" s="372" t="s">
        <v>3</v>
      </c>
      <c r="B12" s="374" t="str">
        <f>ORÇAMENTO!C15</f>
        <v>SERVIÇOS PRELIMINARES / TÉCNICOS</v>
      </c>
      <c r="C12" s="366">
        <f>ORÇAMENTO!M15</f>
        <v>0</v>
      </c>
      <c r="D12" s="150" t="s">
        <v>476</v>
      </c>
      <c r="E12" s="151"/>
      <c r="F12" s="150" t="s">
        <v>476</v>
      </c>
      <c r="G12" s="151"/>
      <c r="H12" s="150" t="s">
        <v>476</v>
      </c>
      <c r="I12" s="151"/>
      <c r="J12" s="150" t="s">
        <v>476</v>
      </c>
      <c r="K12" s="151"/>
      <c r="L12" s="150" t="s">
        <v>476</v>
      </c>
      <c r="M12" s="210"/>
    </row>
    <row r="13" spans="1:13" s="84" customFormat="1">
      <c r="A13" s="373"/>
      <c r="B13" s="374"/>
      <c r="C13" s="367"/>
      <c r="D13" s="152"/>
      <c r="E13" s="153">
        <v>0</v>
      </c>
      <c r="F13" s="152"/>
      <c r="G13" s="153">
        <v>0</v>
      </c>
      <c r="H13" s="152"/>
      <c r="I13" s="153">
        <v>0</v>
      </c>
      <c r="J13" s="152"/>
      <c r="K13" s="153">
        <v>0</v>
      </c>
      <c r="L13" s="152"/>
      <c r="M13" s="211">
        <v>0</v>
      </c>
    </row>
    <row r="14" spans="1:13" s="84" customFormat="1">
      <c r="A14" s="372" t="s">
        <v>7</v>
      </c>
      <c r="B14" s="374" t="str">
        <f>ORÇAMENTO!C19</f>
        <v>MOVIMENTO DE TERRA</v>
      </c>
      <c r="C14" s="366">
        <f>ORÇAMENTO!M19</f>
        <v>0</v>
      </c>
      <c r="D14" s="150" t="s">
        <v>476</v>
      </c>
      <c r="E14" s="151"/>
      <c r="F14" s="150" t="s">
        <v>476</v>
      </c>
      <c r="G14" s="151"/>
      <c r="H14" s="150" t="s">
        <v>476</v>
      </c>
      <c r="I14" s="151"/>
      <c r="J14" s="150" t="s">
        <v>476</v>
      </c>
      <c r="K14" s="151"/>
      <c r="L14" s="150" t="s">
        <v>476</v>
      </c>
      <c r="M14" s="210"/>
    </row>
    <row r="15" spans="1:13" s="84" customFormat="1">
      <c r="A15" s="373"/>
      <c r="B15" s="374"/>
      <c r="C15" s="367"/>
      <c r="D15" s="152"/>
      <c r="E15" s="153">
        <v>0</v>
      </c>
      <c r="F15" s="152"/>
      <c r="G15" s="153">
        <v>0</v>
      </c>
      <c r="H15" s="152"/>
      <c r="I15" s="153">
        <v>0</v>
      </c>
      <c r="J15" s="152"/>
      <c r="K15" s="153">
        <v>0</v>
      </c>
      <c r="L15" s="152"/>
      <c r="M15" s="211">
        <v>0</v>
      </c>
    </row>
    <row r="16" spans="1:13" s="84" customFormat="1">
      <c r="A16" s="372" t="s">
        <v>27</v>
      </c>
      <c r="B16" s="374" t="str">
        <f>ORÇAMENTO!C23</f>
        <v>INFRAESTRUTURA / FUNDAÇÕES SIMPLES</v>
      </c>
      <c r="C16" s="366">
        <f>ORÇAMENTO!M23</f>
        <v>0</v>
      </c>
      <c r="D16" s="150" t="s">
        <v>476</v>
      </c>
      <c r="E16" s="151"/>
      <c r="F16" s="150" t="s">
        <v>476</v>
      </c>
      <c r="G16" s="151"/>
      <c r="H16" s="150" t="s">
        <v>476</v>
      </c>
      <c r="I16" s="151"/>
      <c r="J16" s="150" t="s">
        <v>476</v>
      </c>
      <c r="K16" s="151"/>
      <c r="L16" s="150" t="s">
        <v>476</v>
      </c>
      <c r="M16" s="210"/>
    </row>
    <row r="17" spans="1:13" s="84" customFormat="1">
      <c r="A17" s="373"/>
      <c r="B17" s="374"/>
      <c r="C17" s="367"/>
      <c r="D17" s="152"/>
      <c r="E17" s="153">
        <v>0</v>
      </c>
      <c r="F17" s="152"/>
      <c r="G17" s="153">
        <v>0</v>
      </c>
      <c r="H17" s="152"/>
      <c r="I17" s="153">
        <v>0</v>
      </c>
      <c r="J17" s="152"/>
      <c r="K17" s="153">
        <v>0</v>
      </c>
      <c r="L17" s="152"/>
      <c r="M17" s="211">
        <v>0</v>
      </c>
    </row>
    <row r="18" spans="1:13" s="84" customFormat="1">
      <c r="A18" s="372" t="s">
        <v>37</v>
      </c>
      <c r="B18" s="374" t="str">
        <f>ORÇAMENTO!C27</f>
        <v>FUNDAÇÕES ESPECIAIS</v>
      </c>
      <c r="C18" s="366">
        <f>ORÇAMENTO!M27</f>
        <v>0</v>
      </c>
      <c r="D18" s="150" t="s">
        <v>476</v>
      </c>
      <c r="E18" s="151"/>
      <c r="F18" s="150" t="s">
        <v>476</v>
      </c>
      <c r="G18" s="151"/>
      <c r="H18" s="150" t="s">
        <v>476</v>
      </c>
      <c r="I18" s="151"/>
      <c r="J18" s="150" t="s">
        <v>476</v>
      </c>
      <c r="K18" s="151"/>
      <c r="L18" s="150" t="s">
        <v>476</v>
      </c>
      <c r="M18" s="210"/>
    </row>
    <row r="19" spans="1:13" s="84" customFormat="1">
      <c r="A19" s="373"/>
      <c r="B19" s="374"/>
      <c r="C19" s="367"/>
      <c r="D19" s="152"/>
      <c r="E19" s="153">
        <v>0</v>
      </c>
      <c r="F19" s="152"/>
      <c r="G19" s="153">
        <v>0</v>
      </c>
      <c r="H19" s="152"/>
      <c r="I19" s="153">
        <v>0</v>
      </c>
      <c r="J19" s="152"/>
      <c r="K19" s="153">
        <v>0</v>
      </c>
      <c r="L19" s="152"/>
      <c r="M19" s="211">
        <v>0</v>
      </c>
    </row>
    <row r="20" spans="1:13" s="84" customFormat="1">
      <c r="A20" s="372" t="s">
        <v>39</v>
      </c>
      <c r="B20" s="374" t="str">
        <f>ORÇAMENTO!C31</f>
        <v>SUPERESTRUTURA</v>
      </c>
      <c r="C20" s="366">
        <f>ORÇAMENTO!M31</f>
        <v>0</v>
      </c>
      <c r="D20" s="150" t="s">
        <v>476</v>
      </c>
      <c r="E20" s="151"/>
      <c r="F20" s="150" t="s">
        <v>476</v>
      </c>
      <c r="G20" s="151"/>
      <c r="H20" s="150" t="s">
        <v>476</v>
      </c>
      <c r="I20" s="151"/>
      <c r="J20" s="150" t="s">
        <v>476</v>
      </c>
      <c r="K20" s="151"/>
      <c r="L20" s="150" t="s">
        <v>476</v>
      </c>
      <c r="M20" s="210"/>
    </row>
    <row r="21" spans="1:13" s="84" customFormat="1">
      <c r="A21" s="373"/>
      <c r="B21" s="374"/>
      <c r="C21" s="367"/>
      <c r="D21" s="152"/>
      <c r="E21" s="153">
        <v>0</v>
      </c>
      <c r="F21" s="152"/>
      <c r="G21" s="153">
        <v>0</v>
      </c>
      <c r="H21" s="152"/>
      <c r="I21" s="153">
        <v>0</v>
      </c>
      <c r="J21" s="152"/>
      <c r="K21" s="153">
        <v>0</v>
      </c>
      <c r="L21" s="152"/>
      <c r="M21" s="211">
        <v>0</v>
      </c>
    </row>
    <row r="22" spans="1:13" s="84" customFormat="1">
      <c r="A22" s="372" t="s">
        <v>41</v>
      </c>
      <c r="B22" s="374" t="str">
        <f>ORÇAMENTO!C35</f>
        <v>ALVENARIA / VEDAÇÃO / DIVISÓRIA</v>
      </c>
      <c r="C22" s="366">
        <f>ORÇAMENTO!M35</f>
        <v>0</v>
      </c>
      <c r="D22" s="150" t="s">
        <v>476</v>
      </c>
      <c r="E22" s="151"/>
      <c r="F22" s="150" t="s">
        <v>476</v>
      </c>
      <c r="G22" s="151"/>
      <c r="H22" s="150" t="s">
        <v>476</v>
      </c>
      <c r="I22" s="151"/>
      <c r="J22" s="150" t="s">
        <v>476</v>
      </c>
      <c r="K22" s="151"/>
      <c r="L22" s="150" t="s">
        <v>476</v>
      </c>
      <c r="M22" s="210"/>
    </row>
    <row r="23" spans="1:13" s="84" customFormat="1">
      <c r="A23" s="373"/>
      <c r="B23" s="374"/>
      <c r="C23" s="367"/>
      <c r="D23" s="152"/>
      <c r="E23" s="153">
        <v>0</v>
      </c>
      <c r="F23" s="152"/>
      <c r="G23" s="153">
        <v>0</v>
      </c>
      <c r="H23" s="152"/>
      <c r="I23" s="153">
        <v>0</v>
      </c>
      <c r="J23" s="152"/>
      <c r="K23" s="153">
        <v>0</v>
      </c>
      <c r="L23" s="152"/>
      <c r="M23" s="211">
        <v>0</v>
      </c>
    </row>
    <row r="24" spans="1:13" s="84" customFormat="1">
      <c r="A24" s="372" t="s">
        <v>47</v>
      </c>
      <c r="B24" s="374" t="str">
        <f>ORÇAMENTO!C39</f>
        <v>ESQUADRIAS</v>
      </c>
      <c r="C24" s="366">
        <f>ORÇAMENTO!M39</f>
        <v>0</v>
      </c>
      <c r="D24" s="150" t="s">
        <v>476</v>
      </c>
      <c r="E24" s="151"/>
      <c r="F24" s="150" t="s">
        <v>476</v>
      </c>
      <c r="G24" s="151"/>
      <c r="H24" s="150" t="s">
        <v>476</v>
      </c>
      <c r="I24" s="151"/>
      <c r="J24" s="150" t="s">
        <v>476</v>
      </c>
      <c r="K24" s="151"/>
      <c r="L24" s="150" t="s">
        <v>476</v>
      </c>
      <c r="M24" s="210"/>
    </row>
    <row r="25" spans="1:13" s="84" customFormat="1">
      <c r="A25" s="373"/>
      <c r="B25" s="374"/>
      <c r="C25" s="367"/>
      <c r="D25" s="152"/>
      <c r="E25" s="153">
        <v>0</v>
      </c>
      <c r="F25" s="152"/>
      <c r="G25" s="153">
        <v>0</v>
      </c>
      <c r="H25" s="152"/>
      <c r="I25" s="153">
        <v>0</v>
      </c>
      <c r="J25" s="152"/>
      <c r="K25" s="153">
        <v>0</v>
      </c>
      <c r="L25" s="152"/>
      <c r="M25" s="211">
        <v>0</v>
      </c>
    </row>
    <row r="26" spans="1:13" s="84" customFormat="1">
      <c r="A26" s="372" t="s">
        <v>48</v>
      </c>
      <c r="B26" s="375" t="str">
        <f>ORÇAMENTO!C43</f>
        <v>COBERTURA</v>
      </c>
      <c r="C26" s="366">
        <f>ORÇAMENTO!M43</f>
        <v>0</v>
      </c>
      <c r="D26" s="150" t="s">
        <v>476</v>
      </c>
      <c r="E26" s="151"/>
      <c r="F26" s="150" t="s">
        <v>476</v>
      </c>
      <c r="G26" s="151"/>
      <c r="H26" s="150" t="s">
        <v>476</v>
      </c>
      <c r="I26" s="151"/>
      <c r="J26" s="150" t="s">
        <v>476</v>
      </c>
      <c r="K26" s="151"/>
      <c r="L26" s="150" t="s">
        <v>476</v>
      </c>
      <c r="M26" s="210"/>
    </row>
    <row r="27" spans="1:13" s="84" customFormat="1">
      <c r="A27" s="373"/>
      <c r="B27" s="375"/>
      <c r="C27" s="367"/>
      <c r="D27" s="152"/>
      <c r="E27" s="153">
        <v>0</v>
      </c>
      <c r="F27" s="152"/>
      <c r="G27" s="153">
        <v>0</v>
      </c>
      <c r="H27" s="152"/>
      <c r="I27" s="153">
        <v>0</v>
      </c>
      <c r="J27" s="152"/>
      <c r="K27" s="153">
        <v>0</v>
      </c>
      <c r="L27" s="152"/>
      <c r="M27" s="211">
        <v>0</v>
      </c>
    </row>
    <row r="28" spans="1:13" s="84" customFormat="1">
      <c r="A28" s="372" t="s">
        <v>49</v>
      </c>
      <c r="B28" s="375" t="str">
        <f>ORÇAMENTO!C47</f>
        <v>INSTALAÇÕES ELÉTRICAS</v>
      </c>
      <c r="C28" s="366">
        <f>ORÇAMENTO!M47</f>
        <v>0</v>
      </c>
      <c r="D28" s="150" t="s">
        <v>476</v>
      </c>
      <c r="E28" s="151"/>
      <c r="F28" s="150" t="s">
        <v>476</v>
      </c>
      <c r="G28" s="151"/>
      <c r="H28" s="150" t="s">
        <v>476</v>
      </c>
      <c r="I28" s="151"/>
      <c r="J28" s="150" t="s">
        <v>476</v>
      </c>
      <c r="K28" s="151"/>
      <c r="L28" s="150" t="s">
        <v>476</v>
      </c>
      <c r="M28" s="210"/>
    </row>
    <row r="29" spans="1:13" s="84" customFormat="1">
      <c r="A29" s="373"/>
      <c r="B29" s="375"/>
      <c r="C29" s="367"/>
      <c r="D29" s="152"/>
      <c r="E29" s="153">
        <v>0</v>
      </c>
      <c r="F29" s="152"/>
      <c r="G29" s="153">
        <v>0</v>
      </c>
      <c r="H29" s="152"/>
      <c r="I29" s="153">
        <v>0</v>
      </c>
      <c r="J29" s="152"/>
      <c r="K29" s="153">
        <v>0</v>
      </c>
      <c r="L29" s="152"/>
      <c r="M29" s="211">
        <v>0</v>
      </c>
    </row>
    <row r="30" spans="1:13" s="84" customFormat="1">
      <c r="A30" s="372" t="s">
        <v>50</v>
      </c>
      <c r="B30" s="375" t="str">
        <f>ORÇAMENTO!C51</f>
        <v>INSTALAÇÕES LÓGICA /TELEFÔNICA</v>
      </c>
      <c r="C30" s="366">
        <f>ORÇAMENTO!M51</f>
        <v>0</v>
      </c>
      <c r="D30" s="150" t="s">
        <v>476</v>
      </c>
      <c r="E30" s="151"/>
      <c r="F30" s="150" t="s">
        <v>476</v>
      </c>
      <c r="G30" s="151"/>
      <c r="H30" s="150" t="s">
        <v>476</v>
      </c>
      <c r="I30" s="151"/>
      <c r="J30" s="150" t="s">
        <v>476</v>
      </c>
      <c r="K30" s="151"/>
      <c r="L30" s="150" t="s">
        <v>476</v>
      </c>
      <c r="M30" s="210"/>
    </row>
    <row r="31" spans="1:13" s="84" customFormat="1">
      <c r="A31" s="373"/>
      <c r="B31" s="375"/>
      <c r="C31" s="367"/>
      <c r="D31" s="152"/>
      <c r="E31" s="153">
        <v>0</v>
      </c>
      <c r="F31" s="152"/>
      <c r="G31" s="153">
        <v>0</v>
      </c>
      <c r="H31" s="152"/>
      <c r="I31" s="153">
        <v>0</v>
      </c>
      <c r="J31" s="152"/>
      <c r="K31" s="153">
        <v>0</v>
      </c>
      <c r="L31" s="152"/>
      <c r="M31" s="211">
        <v>0</v>
      </c>
    </row>
    <row r="32" spans="1:13" s="84" customFormat="1">
      <c r="A32" s="372" t="s">
        <v>77</v>
      </c>
      <c r="B32" s="374" t="str">
        <f>ORÇAMENTO!C55</f>
        <v>INSTALAÇÕES HIDRÁULICAS E SANITÁRIAS</v>
      </c>
      <c r="C32" s="366">
        <f>ORÇAMENTO!M55</f>
        <v>0</v>
      </c>
      <c r="D32" s="150" t="s">
        <v>476</v>
      </c>
      <c r="E32" s="151"/>
      <c r="F32" s="150" t="s">
        <v>476</v>
      </c>
      <c r="G32" s="151"/>
      <c r="H32" s="150" t="s">
        <v>476</v>
      </c>
      <c r="I32" s="151"/>
      <c r="J32" s="150" t="s">
        <v>476</v>
      </c>
      <c r="K32" s="151"/>
      <c r="L32" s="150" t="s">
        <v>476</v>
      </c>
      <c r="M32" s="210"/>
    </row>
    <row r="33" spans="1:13" s="84" customFormat="1">
      <c r="A33" s="373"/>
      <c r="B33" s="374"/>
      <c r="C33" s="367"/>
      <c r="D33" s="152"/>
      <c r="E33" s="153">
        <v>0</v>
      </c>
      <c r="F33" s="152"/>
      <c r="G33" s="153">
        <v>0</v>
      </c>
      <c r="H33" s="152"/>
      <c r="I33" s="153">
        <v>0</v>
      </c>
      <c r="J33" s="152"/>
      <c r="K33" s="153">
        <v>0</v>
      </c>
      <c r="L33" s="152"/>
      <c r="M33" s="211">
        <v>0</v>
      </c>
    </row>
    <row r="34" spans="1:13" s="84" customFormat="1">
      <c r="A34" s="372" t="s">
        <v>75</v>
      </c>
      <c r="B34" s="374" t="str">
        <f>ORÇAMENTO!C59</f>
        <v>IMPERMEABILIZAÇÃO, ISOLAÇÃO TÉRMICA E ACÚSTICA</v>
      </c>
      <c r="C34" s="366">
        <f>ORÇAMENTO!M59</f>
        <v>0</v>
      </c>
      <c r="D34" s="150" t="s">
        <v>476</v>
      </c>
      <c r="E34" s="151"/>
      <c r="F34" s="150" t="s">
        <v>476</v>
      </c>
      <c r="G34" s="151"/>
      <c r="H34" s="150" t="s">
        <v>476</v>
      </c>
      <c r="I34" s="151"/>
      <c r="J34" s="150" t="s">
        <v>476</v>
      </c>
      <c r="K34" s="151"/>
      <c r="L34" s="150" t="s">
        <v>476</v>
      </c>
      <c r="M34" s="210"/>
    </row>
    <row r="35" spans="1:13" s="84" customFormat="1">
      <c r="A35" s="373"/>
      <c r="B35" s="374"/>
      <c r="C35" s="367"/>
      <c r="D35" s="152"/>
      <c r="E35" s="153">
        <v>0</v>
      </c>
      <c r="F35" s="152"/>
      <c r="G35" s="153">
        <v>0</v>
      </c>
      <c r="H35" s="152"/>
      <c r="I35" s="153">
        <v>0</v>
      </c>
      <c r="J35" s="152"/>
      <c r="K35" s="153">
        <v>0</v>
      </c>
      <c r="L35" s="152"/>
      <c r="M35" s="211">
        <v>0</v>
      </c>
    </row>
    <row r="36" spans="1:13" s="84" customFormat="1">
      <c r="A36" s="372" t="s">
        <v>82</v>
      </c>
      <c r="B36" s="374" t="str">
        <f>ORÇAMENTO!C63</f>
        <v>INSTALAÇÕES DE COMBATE A INCÊNDIOS</v>
      </c>
      <c r="C36" s="366">
        <f>ORÇAMENTO!M63</f>
        <v>0</v>
      </c>
      <c r="D36" s="150" t="s">
        <v>476</v>
      </c>
      <c r="E36" s="151"/>
      <c r="F36" s="150" t="s">
        <v>476</v>
      </c>
      <c r="G36" s="151"/>
      <c r="H36" s="150" t="s">
        <v>476</v>
      </c>
      <c r="I36" s="151"/>
      <c r="J36" s="150" t="s">
        <v>476</v>
      </c>
      <c r="K36" s="151"/>
      <c r="L36" s="150" t="s">
        <v>476</v>
      </c>
      <c r="M36" s="210"/>
    </row>
    <row r="37" spans="1:13" s="84" customFormat="1" ht="15" thickBot="1">
      <c r="A37" s="373"/>
      <c r="B37" s="374"/>
      <c r="C37" s="367"/>
      <c r="D37" s="152"/>
      <c r="E37" s="153">
        <v>0</v>
      </c>
      <c r="F37" s="152"/>
      <c r="G37" s="153">
        <v>0</v>
      </c>
      <c r="H37" s="152"/>
      <c r="I37" s="153">
        <v>0</v>
      </c>
      <c r="J37" s="152"/>
      <c r="K37" s="153">
        <v>0</v>
      </c>
      <c r="L37" s="152"/>
      <c r="M37" s="211">
        <v>0</v>
      </c>
    </row>
    <row r="38" spans="1:13" s="84" customFormat="1" hidden="1">
      <c r="A38" s="372" t="s">
        <v>83</v>
      </c>
      <c r="B38" s="374" t="str">
        <f>ORÇAMENTO!C67</f>
        <v xml:space="preserve">REVESTIMENTOS </v>
      </c>
      <c r="C38" s="366">
        <f>ORÇAMENTO!M67</f>
        <v>0</v>
      </c>
      <c r="D38" s="150" t="s">
        <v>476</v>
      </c>
      <c r="E38" s="151"/>
      <c r="F38" s="150" t="s">
        <v>476</v>
      </c>
      <c r="G38" s="151"/>
      <c r="H38" s="150" t="s">
        <v>476</v>
      </c>
      <c r="I38" s="151"/>
      <c r="J38" s="150" t="s">
        <v>476</v>
      </c>
      <c r="K38" s="151"/>
      <c r="L38" s="150" t="s">
        <v>476</v>
      </c>
      <c r="M38" s="210"/>
    </row>
    <row r="39" spans="1:13" s="84" customFormat="1" hidden="1">
      <c r="A39" s="373"/>
      <c r="B39" s="374"/>
      <c r="C39" s="367"/>
      <c r="D39" s="152"/>
      <c r="E39" s="153">
        <v>0</v>
      </c>
      <c r="F39" s="152"/>
      <c r="G39" s="153">
        <v>0</v>
      </c>
      <c r="H39" s="152"/>
      <c r="I39" s="153">
        <v>0</v>
      </c>
      <c r="J39" s="152"/>
      <c r="K39" s="153">
        <v>0</v>
      </c>
      <c r="L39" s="152"/>
      <c r="M39" s="211">
        <v>0</v>
      </c>
    </row>
    <row r="40" spans="1:13" s="84" customFormat="1" hidden="1">
      <c r="A40" s="372" t="s">
        <v>84</v>
      </c>
      <c r="B40" s="374" t="str">
        <f>ORÇAMENTO!C71</f>
        <v>VIDROS</v>
      </c>
      <c r="C40" s="366">
        <f>ORÇAMENTO!M71</f>
        <v>0</v>
      </c>
      <c r="D40" s="150" t="s">
        <v>476</v>
      </c>
      <c r="E40" s="151"/>
      <c r="F40" s="150" t="s">
        <v>476</v>
      </c>
      <c r="G40" s="151"/>
      <c r="H40" s="150" t="s">
        <v>476</v>
      </c>
      <c r="I40" s="151"/>
      <c r="J40" s="150" t="s">
        <v>476</v>
      </c>
      <c r="K40" s="151"/>
      <c r="L40" s="150" t="s">
        <v>476</v>
      </c>
      <c r="M40" s="210"/>
    </row>
    <row r="41" spans="1:13" s="84" customFormat="1" hidden="1">
      <c r="A41" s="373"/>
      <c r="B41" s="374"/>
      <c r="C41" s="367"/>
      <c r="D41" s="152"/>
      <c r="E41" s="153">
        <v>0</v>
      </c>
      <c r="F41" s="152"/>
      <c r="G41" s="153">
        <v>0</v>
      </c>
      <c r="H41" s="152"/>
      <c r="I41" s="153">
        <v>0</v>
      </c>
      <c r="J41" s="152"/>
      <c r="K41" s="153">
        <v>0</v>
      </c>
      <c r="L41" s="152"/>
      <c r="M41" s="211">
        <v>0</v>
      </c>
    </row>
    <row r="42" spans="1:13" s="84" customFormat="1" hidden="1">
      <c r="A42" s="372" t="s">
        <v>130</v>
      </c>
      <c r="B42" s="374" t="str">
        <f>ORÇAMENTO!C75</f>
        <v>PINTURA</v>
      </c>
      <c r="C42" s="366">
        <f>ORÇAMENTO!M75</f>
        <v>0</v>
      </c>
      <c r="D42" s="150" t="s">
        <v>476</v>
      </c>
      <c r="E42" s="151"/>
      <c r="F42" s="150" t="s">
        <v>476</v>
      </c>
      <c r="G42" s="151"/>
      <c r="H42" s="150" t="s">
        <v>476</v>
      </c>
      <c r="I42" s="151"/>
      <c r="J42" s="150" t="s">
        <v>476</v>
      </c>
      <c r="K42" s="151"/>
      <c r="L42" s="150" t="s">
        <v>476</v>
      </c>
      <c r="M42" s="210"/>
    </row>
    <row r="43" spans="1:13" s="84" customFormat="1" hidden="1">
      <c r="A43" s="373"/>
      <c r="B43" s="374"/>
      <c r="C43" s="367"/>
      <c r="D43" s="152"/>
      <c r="E43" s="153">
        <v>0</v>
      </c>
      <c r="F43" s="152"/>
      <c r="G43" s="153">
        <v>0</v>
      </c>
      <c r="H43" s="152"/>
      <c r="I43" s="153">
        <v>0</v>
      </c>
      <c r="J43" s="152"/>
      <c r="K43" s="153">
        <v>0</v>
      </c>
      <c r="L43" s="152"/>
      <c r="M43" s="211">
        <v>0</v>
      </c>
    </row>
    <row r="44" spans="1:13" s="84" customFormat="1" hidden="1">
      <c r="A44" s="372" t="s">
        <v>170</v>
      </c>
      <c r="B44" s="374" t="str">
        <f>ORÇAMENTO!C79</f>
        <v>SERVIÇOS COMPLEMENTARES</v>
      </c>
      <c r="C44" s="366">
        <f>ORÇAMENTO!M79</f>
        <v>0</v>
      </c>
      <c r="D44" s="150" t="s">
        <v>476</v>
      </c>
      <c r="E44" s="151"/>
      <c r="F44" s="150" t="s">
        <v>476</v>
      </c>
      <c r="G44" s="151"/>
      <c r="H44" s="150" t="s">
        <v>476</v>
      </c>
      <c r="I44" s="151"/>
      <c r="J44" s="150" t="s">
        <v>476</v>
      </c>
      <c r="K44" s="151"/>
      <c r="L44" s="150" t="s">
        <v>476</v>
      </c>
      <c r="M44" s="210"/>
    </row>
    <row r="45" spans="1:13" s="84" customFormat="1" ht="15" hidden="1" thickBot="1">
      <c r="A45" s="373"/>
      <c r="B45" s="374"/>
      <c r="C45" s="367"/>
      <c r="D45" s="152"/>
      <c r="E45" s="153">
        <v>0</v>
      </c>
      <c r="F45" s="152"/>
      <c r="G45" s="153">
        <v>0</v>
      </c>
      <c r="H45" s="152"/>
      <c r="I45" s="153">
        <v>0</v>
      </c>
      <c r="J45" s="152"/>
      <c r="K45" s="153">
        <v>0</v>
      </c>
      <c r="L45" s="152"/>
      <c r="M45" s="211">
        <v>0</v>
      </c>
    </row>
    <row r="46" spans="1:13" s="84" customFormat="1" hidden="1">
      <c r="A46" s="372" t="s">
        <v>181</v>
      </c>
      <c r="B46" s="374" t="str">
        <f>ORÇAMENTO!C83</f>
        <v>PAISAGISMO  / URBANIZAÇÃO</v>
      </c>
      <c r="C46" s="366">
        <f>ORÇAMENTO!M83</f>
        <v>0</v>
      </c>
      <c r="D46" s="150" t="s">
        <v>476</v>
      </c>
      <c r="E46" s="151"/>
      <c r="F46" s="150" t="s">
        <v>476</v>
      </c>
      <c r="G46" s="151"/>
      <c r="H46" s="150" t="s">
        <v>476</v>
      </c>
      <c r="I46" s="151"/>
      <c r="J46" s="150" t="s">
        <v>476</v>
      </c>
      <c r="K46" s="151"/>
      <c r="L46" s="150" t="s">
        <v>476</v>
      </c>
      <c r="M46" s="210"/>
    </row>
    <row r="47" spans="1:13" s="84" customFormat="1" hidden="1">
      <c r="A47" s="373"/>
      <c r="B47" s="374"/>
      <c r="C47" s="367"/>
      <c r="D47" s="152"/>
      <c r="E47" s="153">
        <v>0</v>
      </c>
      <c r="F47" s="152"/>
      <c r="G47" s="153">
        <v>0</v>
      </c>
      <c r="H47" s="152"/>
      <c r="I47" s="153">
        <v>0</v>
      </c>
      <c r="J47" s="152"/>
      <c r="K47" s="153">
        <v>0</v>
      </c>
      <c r="L47" s="152"/>
      <c r="M47" s="211">
        <v>0</v>
      </c>
    </row>
    <row r="48" spans="1:13" s="84" customFormat="1" hidden="1">
      <c r="A48" s="372" t="s">
        <v>392</v>
      </c>
      <c r="B48" s="374" t="str">
        <f>ORÇAMENTO!C87</f>
        <v>EQUIPAMENTOS</v>
      </c>
      <c r="C48" s="366">
        <f>ORÇAMENTO!M87</f>
        <v>0</v>
      </c>
      <c r="D48" s="150" t="s">
        <v>476</v>
      </c>
      <c r="E48" s="151"/>
      <c r="F48" s="150" t="s">
        <v>476</v>
      </c>
      <c r="G48" s="151"/>
      <c r="H48" s="150" t="s">
        <v>476</v>
      </c>
      <c r="I48" s="151"/>
      <c r="J48" s="150" t="s">
        <v>476</v>
      </c>
      <c r="K48" s="151"/>
      <c r="L48" s="150" t="s">
        <v>476</v>
      </c>
      <c r="M48" s="210"/>
    </row>
    <row r="49" spans="1:13" s="149" customFormat="1" hidden="1">
      <c r="A49" s="373"/>
      <c r="B49" s="374"/>
      <c r="C49" s="367"/>
      <c r="D49" s="152"/>
      <c r="E49" s="153">
        <v>0</v>
      </c>
      <c r="F49" s="152"/>
      <c r="G49" s="153">
        <v>0</v>
      </c>
      <c r="H49" s="152"/>
      <c r="I49" s="153">
        <v>0</v>
      </c>
      <c r="J49" s="152"/>
      <c r="K49" s="153">
        <v>0</v>
      </c>
      <c r="L49" s="152"/>
      <c r="M49" s="211">
        <v>0</v>
      </c>
    </row>
    <row r="50" spans="1:13" s="84" customFormat="1" hidden="1">
      <c r="A50" s="372" t="s">
        <v>451</v>
      </c>
      <c r="B50" s="374" t="str">
        <f>ORÇAMENTO!C91</f>
        <v>GERENCIAMENTO DE OBRA  / FISCALIZAÇÃO</v>
      </c>
      <c r="C50" s="366">
        <f>ORÇAMENTO!M91</f>
        <v>0</v>
      </c>
      <c r="D50" s="150" t="s">
        <v>476</v>
      </c>
      <c r="E50" s="151"/>
      <c r="F50" s="150" t="s">
        <v>476</v>
      </c>
      <c r="G50" s="151"/>
      <c r="H50" s="150" t="s">
        <v>476</v>
      </c>
      <c r="I50" s="151"/>
      <c r="J50" s="150" t="s">
        <v>476</v>
      </c>
      <c r="K50" s="151"/>
      <c r="L50" s="150" t="s">
        <v>476</v>
      </c>
      <c r="M50" s="210"/>
    </row>
    <row r="51" spans="1:13" s="149" customFormat="1" hidden="1">
      <c r="A51" s="373"/>
      <c r="B51" s="374"/>
      <c r="C51" s="367"/>
      <c r="D51" s="152"/>
      <c r="E51" s="153">
        <v>0</v>
      </c>
      <c r="F51" s="152"/>
      <c r="G51" s="153">
        <v>0</v>
      </c>
      <c r="H51" s="152"/>
      <c r="I51" s="153">
        <v>0</v>
      </c>
      <c r="J51" s="152"/>
      <c r="K51" s="153">
        <v>0</v>
      </c>
      <c r="L51" s="152"/>
      <c r="M51" s="211">
        <v>0</v>
      </c>
    </row>
    <row r="52" spans="1:13" s="84" customFormat="1" hidden="1">
      <c r="A52" s="372" t="s">
        <v>452</v>
      </c>
      <c r="B52" s="374" t="str">
        <f>ORÇAMENTO!C95</f>
        <v>FORRO</v>
      </c>
      <c r="C52" s="366">
        <f>ORÇAMENTO!M95</f>
        <v>0</v>
      </c>
      <c r="D52" s="150" t="s">
        <v>476</v>
      </c>
      <c r="E52" s="151"/>
      <c r="F52" s="150" t="s">
        <v>476</v>
      </c>
      <c r="G52" s="151"/>
      <c r="H52" s="150" t="s">
        <v>476</v>
      </c>
      <c r="I52" s="151"/>
      <c r="J52" s="150" t="s">
        <v>476</v>
      </c>
      <c r="K52" s="151"/>
      <c r="L52" s="150" t="s">
        <v>476</v>
      </c>
      <c r="M52" s="210"/>
    </row>
    <row r="53" spans="1:13" s="149" customFormat="1" hidden="1">
      <c r="A53" s="373"/>
      <c r="B53" s="374"/>
      <c r="C53" s="367"/>
      <c r="D53" s="152"/>
      <c r="E53" s="153">
        <v>0</v>
      </c>
      <c r="F53" s="152"/>
      <c r="G53" s="153">
        <v>0</v>
      </c>
      <c r="H53" s="152"/>
      <c r="I53" s="153">
        <v>0</v>
      </c>
      <c r="J53" s="152"/>
      <c r="K53" s="153">
        <v>0</v>
      </c>
      <c r="L53" s="152"/>
      <c r="M53" s="211">
        <v>0</v>
      </c>
    </row>
    <row r="54" spans="1:13" s="84" customFormat="1" hidden="1">
      <c r="A54" s="372" t="s">
        <v>453</v>
      </c>
      <c r="B54" s="374" t="str">
        <f>ORÇAMENTO!C99</f>
        <v>AR CONDICIONADO</v>
      </c>
      <c r="C54" s="366">
        <f>ORÇAMENTO!M99</f>
        <v>0</v>
      </c>
      <c r="D54" s="150" t="s">
        <v>476</v>
      </c>
      <c r="E54" s="151"/>
      <c r="F54" s="150" t="s">
        <v>476</v>
      </c>
      <c r="G54" s="151"/>
      <c r="H54" s="150" t="s">
        <v>476</v>
      </c>
      <c r="I54" s="151"/>
      <c r="J54" s="150" t="s">
        <v>476</v>
      </c>
      <c r="K54" s="151"/>
      <c r="L54" s="150" t="s">
        <v>476</v>
      </c>
      <c r="M54" s="210"/>
    </row>
    <row r="55" spans="1:13" s="149" customFormat="1" hidden="1">
      <c r="A55" s="373"/>
      <c r="B55" s="374"/>
      <c r="C55" s="367"/>
      <c r="D55" s="152"/>
      <c r="E55" s="153">
        <v>0</v>
      </c>
      <c r="F55" s="152"/>
      <c r="G55" s="153">
        <v>0</v>
      </c>
      <c r="H55" s="152"/>
      <c r="I55" s="153">
        <v>0</v>
      </c>
      <c r="J55" s="152"/>
      <c r="K55" s="153">
        <v>0</v>
      </c>
      <c r="L55" s="152"/>
      <c r="M55" s="211">
        <v>0</v>
      </c>
    </row>
    <row r="56" spans="1:13" s="84" customFormat="1" hidden="1">
      <c r="A56" s="372" t="s">
        <v>454</v>
      </c>
      <c r="B56" s="374" t="str">
        <f>ORÇAMENTO!C103</f>
        <v>PISO</v>
      </c>
      <c r="C56" s="366">
        <f>ORÇAMENTO!M103</f>
        <v>0</v>
      </c>
      <c r="D56" s="150" t="s">
        <v>476</v>
      </c>
      <c r="E56" s="151"/>
      <c r="F56" s="150" t="s">
        <v>476</v>
      </c>
      <c r="G56" s="151"/>
      <c r="H56" s="150" t="s">
        <v>476</v>
      </c>
      <c r="I56" s="151"/>
      <c r="J56" s="150" t="s">
        <v>476</v>
      </c>
      <c r="K56" s="151"/>
      <c r="L56" s="150" t="s">
        <v>476</v>
      </c>
      <c r="M56" s="210"/>
    </row>
    <row r="57" spans="1:13" s="149" customFormat="1" hidden="1">
      <c r="A57" s="373"/>
      <c r="B57" s="374"/>
      <c r="C57" s="367"/>
      <c r="D57" s="152"/>
      <c r="E57" s="153">
        <v>0</v>
      </c>
      <c r="F57" s="152"/>
      <c r="G57" s="153">
        <v>0</v>
      </c>
      <c r="H57" s="152"/>
      <c r="I57" s="153">
        <v>0</v>
      </c>
      <c r="J57" s="152"/>
      <c r="K57" s="153">
        <v>0</v>
      </c>
      <c r="L57" s="152"/>
      <c r="M57" s="211">
        <v>0</v>
      </c>
    </row>
    <row r="58" spans="1:13" s="84" customFormat="1" hidden="1">
      <c r="A58" s="372" t="s">
        <v>455</v>
      </c>
      <c r="B58" s="374" t="str">
        <f>ORÇAMENTO!C107</f>
        <v>INSTALAÇÕES ESPECIAIS (SOM, ALARME, CFTV, DENTRE OUTROS)</v>
      </c>
      <c r="C58" s="366">
        <f>ORÇAMENTO!M107</f>
        <v>0</v>
      </c>
      <c r="D58" s="150" t="s">
        <v>476</v>
      </c>
      <c r="E58" s="151"/>
      <c r="F58" s="150" t="s">
        <v>476</v>
      </c>
      <c r="G58" s="151"/>
      <c r="H58" s="150" t="s">
        <v>476</v>
      </c>
      <c r="I58" s="151"/>
      <c r="J58" s="150" t="s">
        <v>476</v>
      </c>
      <c r="K58" s="151"/>
      <c r="L58" s="150" t="s">
        <v>476</v>
      </c>
      <c r="M58" s="210"/>
    </row>
    <row r="59" spans="1:13" s="149" customFormat="1" ht="15" hidden="1" thickBot="1">
      <c r="A59" s="377"/>
      <c r="B59" s="378"/>
      <c r="C59" s="379"/>
      <c r="D59" s="212"/>
      <c r="E59" s="213">
        <v>0</v>
      </c>
      <c r="F59" s="212"/>
      <c r="G59" s="213">
        <v>0</v>
      </c>
      <c r="H59" s="212"/>
      <c r="I59" s="213">
        <v>0</v>
      </c>
      <c r="J59" s="212"/>
      <c r="K59" s="213">
        <v>0</v>
      </c>
      <c r="L59" s="212"/>
      <c r="M59" s="214">
        <v>0</v>
      </c>
    </row>
    <row r="60" spans="1:13" s="149" customFormat="1" ht="5.25" customHeight="1">
      <c r="A60" s="215"/>
      <c r="B60" s="216"/>
      <c r="C60" s="217"/>
      <c r="D60" s="218"/>
      <c r="E60" s="219"/>
      <c r="F60" s="218"/>
      <c r="G60" s="219"/>
      <c r="H60" s="218"/>
      <c r="I60" s="219"/>
      <c r="J60" s="218"/>
      <c r="K60" s="219"/>
      <c r="L60" s="218"/>
      <c r="M60" s="220"/>
    </row>
    <row r="61" spans="1:13" s="108" customFormat="1">
      <c r="A61" s="368" t="s">
        <v>32</v>
      </c>
      <c r="B61" s="369"/>
      <c r="C61" s="109">
        <f>SUM(C12:C49)</f>
        <v>0</v>
      </c>
      <c r="D61" s="110"/>
      <c r="E61" s="111"/>
      <c r="F61" s="110"/>
      <c r="G61" s="111"/>
      <c r="H61" s="110"/>
      <c r="I61" s="111"/>
      <c r="J61" s="110"/>
      <c r="K61" s="111"/>
      <c r="L61" s="110"/>
      <c r="M61" s="221"/>
    </row>
    <row r="62" spans="1:13" s="108" customFormat="1" ht="15" thickBot="1">
      <c r="A62" s="370" t="s">
        <v>205</v>
      </c>
      <c r="B62" s="371"/>
      <c r="C62" s="112"/>
      <c r="D62" s="113"/>
      <c r="E62" s="114"/>
      <c r="F62" s="113"/>
      <c r="G62" s="114"/>
      <c r="H62" s="113"/>
      <c r="I62" s="114"/>
      <c r="J62" s="113"/>
      <c r="K62" s="114"/>
      <c r="L62" s="113"/>
      <c r="M62" s="222"/>
    </row>
    <row r="63" spans="1:13">
      <c r="A63" s="48"/>
      <c r="B63" s="48"/>
      <c r="F63" s="53" t="str">
        <f>ORÇAMENTO!B117</f>
        <v>Local, xx de xxxxxxxxxxxxx de 20xx.</v>
      </c>
      <c r="H63" s="44"/>
      <c r="I63" s="45"/>
      <c r="J63" s="46"/>
    </row>
    <row r="64" spans="1:13" ht="7.5" customHeight="1">
      <c r="A64" s="48"/>
      <c r="B64" s="48"/>
      <c r="F64" s="47"/>
      <c r="H64" s="44"/>
      <c r="I64" s="45"/>
      <c r="J64" s="53"/>
    </row>
    <row r="65" spans="1:10">
      <c r="A65" s="48"/>
      <c r="B65" s="49"/>
      <c r="F65" s="47"/>
      <c r="G65" s="50"/>
      <c r="H65" s="51"/>
      <c r="I65" s="52"/>
      <c r="J65" s="101" t="str">
        <f>ORÇAMENTO!E119</f>
        <v>Eng. XXXXXXXXXXXXXXXXXX</v>
      </c>
    </row>
    <row r="66" spans="1:10">
      <c r="A66" s="48"/>
      <c r="B66" s="43"/>
      <c r="F66" s="47"/>
      <c r="G66" s="50"/>
      <c r="H66" s="54"/>
      <c r="I66" s="52"/>
      <c r="J66" s="101" t="str">
        <f>ORÇAMENTO!E120</f>
        <v>CREA/CAU XXXXXXXXXXXX</v>
      </c>
    </row>
    <row r="67" spans="1:10">
      <c r="A67" s="48"/>
      <c r="B67" s="43"/>
      <c r="F67" s="47"/>
      <c r="G67" s="50"/>
      <c r="H67" s="54"/>
      <c r="I67" s="52"/>
      <c r="J67" s="101" t="str">
        <f>ORÇAMENTO!E121</f>
        <v>cargo</v>
      </c>
    </row>
  </sheetData>
  <mergeCells count="82">
    <mergeCell ref="C56:C57"/>
    <mergeCell ref="A58:A59"/>
    <mergeCell ref="B58:B59"/>
    <mergeCell ref="C58:C59"/>
    <mergeCell ref="C12:C13"/>
    <mergeCell ref="A12:A13"/>
    <mergeCell ref="B12:B13"/>
    <mergeCell ref="A20:A21"/>
    <mergeCell ref="B20:B21"/>
    <mergeCell ref="C20:C21"/>
    <mergeCell ref="A18:A19"/>
    <mergeCell ref="B18:B19"/>
    <mergeCell ref="A24:A25"/>
    <mergeCell ref="B24:B25"/>
    <mergeCell ref="C24:C25"/>
    <mergeCell ref="A22:A23"/>
    <mergeCell ref="A10:A11"/>
    <mergeCell ref="B10:B11"/>
    <mergeCell ref="C10:C11"/>
    <mergeCell ref="A16:A17"/>
    <mergeCell ref="B16:B17"/>
    <mergeCell ref="C16:C17"/>
    <mergeCell ref="A14:A15"/>
    <mergeCell ref="B14:B15"/>
    <mergeCell ref="C14:C15"/>
    <mergeCell ref="B22:B23"/>
    <mergeCell ref="C22:C23"/>
    <mergeCell ref="A28:A29"/>
    <mergeCell ref="B28:B29"/>
    <mergeCell ref="C28:C29"/>
    <mergeCell ref="A26:A27"/>
    <mergeCell ref="B26:B27"/>
    <mergeCell ref="A32:A33"/>
    <mergeCell ref="B32:B33"/>
    <mergeCell ref="C32:C33"/>
    <mergeCell ref="A30:A31"/>
    <mergeCell ref="B30:B31"/>
    <mergeCell ref="C30:C31"/>
    <mergeCell ref="A36:A37"/>
    <mergeCell ref="B36:B37"/>
    <mergeCell ref="C36:C37"/>
    <mergeCell ref="A34:A35"/>
    <mergeCell ref="B34:B35"/>
    <mergeCell ref="A40:A41"/>
    <mergeCell ref="B40:B41"/>
    <mergeCell ref="C40:C41"/>
    <mergeCell ref="A38:A39"/>
    <mergeCell ref="B38:B39"/>
    <mergeCell ref="C38:C39"/>
    <mergeCell ref="A44:A45"/>
    <mergeCell ref="B44:B45"/>
    <mergeCell ref="A46:A47"/>
    <mergeCell ref="B46:B47"/>
    <mergeCell ref="A42:A43"/>
    <mergeCell ref="B42:B43"/>
    <mergeCell ref="C50:C51"/>
    <mergeCell ref="A52:A53"/>
    <mergeCell ref="B52:B53"/>
    <mergeCell ref="C52:C53"/>
    <mergeCell ref="A54:A55"/>
    <mergeCell ref="B54:B55"/>
    <mergeCell ref="C54:C55"/>
    <mergeCell ref="A61:B61"/>
    <mergeCell ref="A62:B62"/>
    <mergeCell ref="A48:A49"/>
    <mergeCell ref="B48:B49"/>
    <mergeCell ref="A50:A51"/>
    <mergeCell ref="B50:B51"/>
    <mergeCell ref="A56:A57"/>
    <mergeCell ref="B56:B57"/>
    <mergeCell ref="C48:C49"/>
    <mergeCell ref="C42:C43"/>
    <mergeCell ref="C34:C35"/>
    <mergeCell ref="C26:C27"/>
    <mergeCell ref="C18:C19"/>
    <mergeCell ref="C44:C45"/>
    <mergeCell ref="C46:C47"/>
    <mergeCell ref="J10:K10"/>
    <mergeCell ref="L10:M10"/>
    <mergeCell ref="D10:E10"/>
    <mergeCell ref="F10:G10"/>
    <mergeCell ref="H10:I10"/>
  </mergeCells>
  <printOptions horizontalCentered="1"/>
  <pageMargins left="0.98425196850393704" right="0.59055118110236227" top="0.78740157480314965" bottom="0.78740157480314965" header="0.27559055118110237" footer="0"/>
  <pageSetup paperSize="9" scale="76" fitToWidth="0" orientation="landscape" r:id="rId1"/>
  <headerFooter>
    <oddHeader>&amp;L&amp;G&amp;C&amp;"Arial,Negrito"MINISTÉRIO DA EDUCAÇÃO
&amp;8INSTITUTO FEDERAL FARROUPILHA
REITORIA&amp;R&amp;P de &amp;N</oddHeader>
    <oddFooter>&amp;C&amp;"Arial,Normal"&amp;8Rua Esmeralda, 430 – Faixa Nova – Camobi – CEP 97110-767 – Santa Maria/RS 
Fone: (55) 3226-6630 / E-mail: coeng@iffarroupilha.edu.br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M121"/>
  <sheetViews>
    <sheetView zoomScaleSheetLayoutView="90" workbookViewId="0">
      <selection activeCell="L16" sqref="L16"/>
    </sheetView>
  </sheetViews>
  <sheetFormatPr defaultRowHeight="14.25"/>
  <cols>
    <col min="1" max="1" width="8.140625" style="82" customWidth="1"/>
    <col min="2" max="2" width="13.85546875" style="81" customWidth="1"/>
    <col min="3" max="3" width="54.85546875" style="81" bestFit="1" customWidth="1"/>
    <col min="4" max="4" width="9" style="65" bestFit="1" customWidth="1"/>
    <col min="5" max="5" width="14.28515625" style="83" customWidth="1"/>
    <col min="6" max="6" width="13.5703125" style="66" customWidth="1"/>
    <col min="7" max="7" width="17.7109375" style="64" customWidth="1"/>
    <col min="8" max="8" width="15.28515625" style="64" customWidth="1"/>
    <col min="9" max="9" width="14.85546875" style="64" customWidth="1"/>
    <col min="10" max="10" width="13.7109375" style="64" customWidth="1"/>
    <col min="11" max="11" width="13.28515625" style="64" customWidth="1"/>
    <col min="12" max="12" width="16.5703125" style="64" customWidth="1"/>
    <col min="13" max="13" width="17" style="20" bestFit="1" customWidth="1"/>
    <col min="14" max="16384" width="9.140625" style="65"/>
  </cols>
  <sheetData>
    <row r="1" spans="1:13" s="87" customFormat="1">
      <c r="A1" s="85" t="s">
        <v>426</v>
      </c>
      <c r="E1" s="89" t="s">
        <v>456</v>
      </c>
      <c r="F1" s="63"/>
      <c r="G1" s="63"/>
      <c r="H1" s="63"/>
      <c r="I1" s="63"/>
      <c r="J1" s="63"/>
      <c r="K1" s="63"/>
      <c r="L1" s="63"/>
      <c r="M1" s="88"/>
    </row>
    <row r="2" spans="1:13" s="87" customFormat="1">
      <c r="A2" s="85" t="s">
        <v>427</v>
      </c>
      <c r="E2" s="89" t="s">
        <v>430</v>
      </c>
      <c r="F2" s="63"/>
      <c r="G2" s="63"/>
      <c r="H2" s="63"/>
      <c r="I2" s="63"/>
      <c r="J2" s="63"/>
      <c r="K2" s="63"/>
      <c r="L2" s="63"/>
      <c r="M2" s="88"/>
    </row>
    <row r="3" spans="1:13" s="87" customFormat="1">
      <c r="A3" s="121" t="s">
        <v>428</v>
      </c>
      <c r="E3" s="42" t="s">
        <v>431</v>
      </c>
      <c r="F3" s="63"/>
      <c r="G3" s="63"/>
      <c r="H3" s="63"/>
      <c r="I3" s="63"/>
      <c r="J3" s="63"/>
      <c r="K3" s="63"/>
      <c r="L3" s="63"/>
      <c r="M3" s="88"/>
    </row>
    <row r="4" spans="1:13" s="87" customFormat="1">
      <c r="A4" s="121" t="s">
        <v>429</v>
      </c>
      <c r="G4" s="63"/>
      <c r="H4" s="63"/>
      <c r="I4" s="63"/>
      <c r="J4" s="63"/>
      <c r="K4" s="63"/>
      <c r="L4" s="63"/>
      <c r="M4" s="88"/>
    </row>
    <row r="5" spans="1:13" s="87" customFormat="1" ht="6" customHeight="1">
      <c r="G5" s="63"/>
      <c r="H5" s="63"/>
      <c r="I5" s="63"/>
      <c r="J5" s="63"/>
      <c r="K5" s="63"/>
      <c r="L5" s="63"/>
      <c r="M5" s="88"/>
    </row>
    <row r="6" spans="1:13" s="87" customFormat="1">
      <c r="A6" s="89" t="s">
        <v>432</v>
      </c>
      <c r="F6" s="63"/>
      <c r="G6" s="63"/>
      <c r="H6" s="63"/>
      <c r="I6" s="63"/>
      <c r="J6" s="63"/>
      <c r="K6" s="63"/>
      <c r="L6" s="63"/>
      <c r="M6" s="88"/>
    </row>
    <row r="7" spans="1:13" s="30" customFormat="1">
      <c r="A7" s="168" t="s">
        <v>433</v>
      </c>
      <c r="E7" s="89" t="s">
        <v>479</v>
      </c>
      <c r="F7" s="63"/>
      <c r="G7" s="5"/>
      <c r="H7" s="37"/>
      <c r="I7" s="37"/>
      <c r="J7" s="5"/>
      <c r="K7" s="5"/>
      <c r="L7" s="5"/>
      <c r="M7" s="67"/>
    </row>
    <row r="8" spans="1:13" s="11" customFormat="1" ht="8.25" customHeight="1" thickBot="1">
      <c r="A8" s="10"/>
      <c r="B8" s="31"/>
      <c r="D8" s="42"/>
      <c r="E8" s="63"/>
      <c r="F8" s="63"/>
      <c r="G8" s="38"/>
      <c r="H8" s="38"/>
      <c r="I8" s="38"/>
      <c r="J8" s="8"/>
      <c r="K8" s="8"/>
      <c r="L8" s="8"/>
      <c r="M8" s="68"/>
    </row>
    <row r="9" spans="1:13" s="11" customFormat="1">
      <c r="A9" s="175" t="s">
        <v>175</v>
      </c>
      <c r="B9" s="169"/>
      <c r="C9" s="170"/>
      <c r="D9" s="171">
        <v>0</v>
      </c>
      <c r="F9" s="12"/>
      <c r="G9" s="38"/>
      <c r="H9" s="38"/>
      <c r="I9" s="38"/>
      <c r="J9" s="8"/>
      <c r="K9" s="8"/>
      <c r="L9" s="8"/>
      <c r="M9" s="68"/>
    </row>
    <row r="10" spans="1:13" s="9" customFormat="1" ht="15" thickBot="1">
      <c r="A10" s="176" t="s">
        <v>176</v>
      </c>
      <c r="B10" s="172"/>
      <c r="C10" s="173"/>
      <c r="D10" s="174">
        <v>0</v>
      </c>
      <c r="F10" s="7"/>
      <c r="G10" s="39"/>
      <c r="H10" s="39"/>
      <c r="I10" s="8"/>
      <c r="J10" s="8"/>
      <c r="K10" s="7"/>
      <c r="L10" s="7"/>
      <c r="M10" s="69"/>
    </row>
    <row r="11" spans="1:13" s="9" customFormat="1" ht="8.25" customHeight="1" thickBot="1">
      <c r="A11" s="56"/>
      <c r="B11" s="28"/>
      <c r="C11" s="29"/>
      <c r="D11" s="6"/>
      <c r="E11" s="12"/>
      <c r="F11" s="7"/>
      <c r="G11" s="39"/>
      <c r="H11" s="39"/>
      <c r="I11" s="8"/>
      <c r="J11" s="8"/>
      <c r="K11" s="7"/>
      <c r="L11" s="7"/>
      <c r="M11" s="69"/>
    </row>
    <row r="12" spans="1:13" s="139" customFormat="1" ht="15">
      <c r="A12" s="160"/>
      <c r="B12" s="161"/>
      <c r="C12" s="134" t="s">
        <v>0</v>
      </c>
      <c r="D12" s="136"/>
      <c r="E12" s="135"/>
      <c r="F12" s="137"/>
      <c r="G12" s="135"/>
      <c r="H12" s="135"/>
      <c r="I12" s="135"/>
      <c r="J12" s="135"/>
      <c r="K12" s="135"/>
      <c r="L12" s="135"/>
      <c r="M12" s="138"/>
    </row>
    <row r="13" spans="1:13" s="177" customFormat="1" ht="12.75">
      <c r="A13" s="381" t="s">
        <v>1</v>
      </c>
      <c r="B13" s="382" t="s">
        <v>491</v>
      </c>
      <c r="C13" s="383" t="s">
        <v>192</v>
      </c>
      <c r="D13" s="384" t="s">
        <v>2</v>
      </c>
      <c r="E13" s="385" t="s">
        <v>425</v>
      </c>
      <c r="F13" s="389" t="s">
        <v>532</v>
      </c>
      <c r="G13" s="390"/>
      <c r="H13" s="390"/>
      <c r="I13" s="389" t="s">
        <v>533</v>
      </c>
      <c r="J13" s="390"/>
      <c r="K13" s="390"/>
      <c r="L13" s="387" t="s">
        <v>434</v>
      </c>
      <c r="M13" s="380" t="s">
        <v>191</v>
      </c>
    </row>
    <row r="14" spans="1:13" s="177" customFormat="1" ht="24.75" customHeight="1">
      <c r="A14" s="381"/>
      <c r="B14" s="382"/>
      <c r="C14" s="383"/>
      <c r="D14" s="384"/>
      <c r="E14" s="386"/>
      <c r="F14" s="177" t="s">
        <v>534</v>
      </c>
      <c r="G14" s="362" t="s">
        <v>535</v>
      </c>
      <c r="H14" s="362" t="s">
        <v>537</v>
      </c>
      <c r="I14" s="363" t="s">
        <v>534</v>
      </c>
      <c r="J14" s="363" t="s">
        <v>535</v>
      </c>
      <c r="K14" s="363" t="s">
        <v>536</v>
      </c>
      <c r="L14" s="388"/>
      <c r="M14" s="380"/>
    </row>
    <row r="15" spans="1:13" s="139" customFormat="1" ht="15">
      <c r="A15" s="162" t="s">
        <v>3</v>
      </c>
      <c r="B15" s="163"/>
      <c r="C15" s="140" t="s">
        <v>436</v>
      </c>
      <c r="D15" s="142"/>
      <c r="E15" s="141"/>
      <c r="F15" s="143"/>
      <c r="G15" s="142"/>
      <c r="H15" s="142"/>
      <c r="I15" s="143"/>
      <c r="J15" s="143"/>
      <c r="K15" s="143"/>
      <c r="L15" s="143"/>
      <c r="M15" s="144">
        <f>SUM(L16:L18)</f>
        <v>0</v>
      </c>
    </row>
    <row r="16" spans="1:13" s="11" customFormat="1">
      <c r="A16" s="166" t="s">
        <v>483</v>
      </c>
      <c r="B16" s="164"/>
      <c r="C16" s="2"/>
      <c r="D16" s="23"/>
      <c r="E16" s="21"/>
      <c r="F16" s="40"/>
      <c r="G16" s="16"/>
      <c r="H16" s="16"/>
      <c r="I16" s="15"/>
      <c r="J16" s="15"/>
      <c r="K16" s="15">
        <f>H16*(1+$D$9)</f>
        <v>0</v>
      </c>
      <c r="L16" s="15">
        <f t="shared" ref="L16:L17" si="0">ROUND(K16*E16,2)</f>
        <v>0</v>
      </c>
      <c r="M16" s="70"/>
    </row>
    <row r="17" spans="1:13" s="11" customFormat="1">
      <c r="A17" s="166" t="s">
        <v>484</v>
      </c>
      <c r="B17" s="164"/>
      <c r="C17" s="2"/>
      <c r="D17" s="23"/>
      <c r="E17" s="21"/>
      <c r="F17" s="40"/>
      <c r="G17" s="16"/>
      <c r="H17" s="16"/>
      <c r="I17" s="15"/>
      <c r="J17" s="15"/>
      <c r="K17" s="15">
        <f t="shared" ref="K17" si="1">ROUND(F17*(1+$D$9),2)</f>
        <v>0</v>
      </c>
      <c r="L17" s="15">
        <f t="shared" si="0"/>
        <v>0</v>
      </c>
      <c r="M17" s="70"/>
    </row>
    <row r="18" spans="1:13" s="11" customFormat="1" ht="16.5" customHeight="1">
      <c r="A18" s="166"/>
      <c r="B18" s="164"/>
      <c r="C18" s="2"/>
      <c r="D18" s="23"/>
      <c r="E18" s="21"/>
      <c r="F18" s="40"/>
      <c r="G18" s="16"/>
      <c r="H18" s="16"/>
      <c r="I18" s="15"/>
      <c r="J18" s="15"/>
      <c r="K18" s="15">
        <f>ROUND(F18*(1+$D$9),2)</f>
        <v>0</v>
      </c>
      <c r="L18" s="15">
        <f t="shared" ref="L18:L19" si="2">ROUND(K18*E18,2)</f>
        <v>0</v>
      </c>
      <c r="M18" s="70"/>
    </row>
    <row r="19" spans="1:13" s="139" customFormat="1" ht="15">
      <c r="A19" s="162" t="s">
        <v>7</v>
      </c>
      <c r="B19" s="163"/>
      <c r="C19" s="140" t="s">
        <v>8</v>
      </c>
      <c r="D19" s="142"/>
      <c r="E19" s="141"/>
      <c r="F19" s="143"/>
      <c r="G19" s="142"/>
      <c r="H19" s="142"/>
      <c r="I19" s="143"/>
      <c r="J19" s="143"/>
      <c r="K19" s="143">
        <f>ROUND(F19*(1+$D$9),2)</f>
        <v>0</v>
      </c>
      <c r="L19" s="143">
        <f t="shared" si="2"/>
        <v>0</v>
      </c>
      <c r="M19" s="144">
        <f>SUM(L20:L22)</f>
        <v>0</v>
      </c>
    </row>
    <row r="20" spans="1:13" s="11" customFormat="1">
      <c r="A20" s="166" t="s">
        <v>485</v>
      </c>
      <c r="B20" s="164"/>
      <c r="C20" s="2"/>
      <c r="D20" s="23"/>
      <c r="E20" s="21"/>
      <c r="F20" s="40"/>
      <c r="G20" s="16"/>
      <c r="H20" s="16"/>
      <c r="I20" s="15"/>
      <c r="J20" s="15"/>
      <c r="K20" s="15"/>
      <c r="L20" s="15"/>
      <c r="M20" s="70"/>
    </row>
    <row r="21" spans="1:13" s="11" customFormat="1">
      <c r="A21" s="166" t="s">
        <v>486</v>
      </c>
      <c r="B21" s="164"/>
      <c r="C21" s="2"/>
      <c r="D21" s="23"/>
      <c r="E21" s="21"/>
      <c r="F21" s="40"/>
      <c r="G21" s="16"/>
      <c r="H21" s="16"/>
      <c r="I21" s="15"/>
      <c r="J21" s="15"/>
      <c r="K21" s="15"/>
      <c r="L21" s="15"/>
      <c r="M21" s="70"/>
    </row>
    <row r="22" spans="1:13" s="11" customFormat="1">
      <c r="A22" s="166"/>
      <c r="B22" s="164"/>
      <c r="C22" s="2"/>
      <c r="D22" s="23"/>
      <c r="E22" s="21"/>
      <c r="F22" s="40"/>
      <c r="G22" s="16"/>
      <c r="H22" s="16"/>
      <c r="I22" s="15"/>
      <c r="J22" s="15"/>
      <c r="K22" s="15">
        <f>ROUND(F22*(1+$D$9),2)</f>
        <v>0</v>
      </c>
      <c r="L22" s="15">
        <f t="shared" ref="L22:L31" si="3">ROUND(K22*E22,2)</f>
        <v>0</v>
      </c>
      <c r="M22" s="70"/>
    </row>
    <row r="23" spans="1:13" s="139" customFormat="1" ht="15">
      <c r="A23" s="162" t="s">
        <v>27</v>
      </c>
      <c r="B23" s="163"/>
      <c r="C23" s="140" t="s">
        <v>435</v>
      </c>
      <c r="D23" s="142"/>
      <c r="E23" s="141"/>
      <c r="F23" s="143"/>
      <c r="G23" s="142"/>
      <c r="H23" s="142"/>
      <c r="I23" s="143"/>
      <c r="J23" s="143"/>
      <c r="K23" s="143">
        <f t="shared" ref="K23:K26" si="4">ROUND(F23*(1+$D$9),2)</f>
        <v>0</v>
      </c>
      <c r="L23" s="143">
        <f t="shared" ref="L23:L26" si="5">ROUND(K23*E23,2)</f>
        <v>0</v>
      </c>
      <c r="M23" s="144">
        <f>SUM(L24:L26)</f>
        <v>0</v>
      </c>
    </row>
    <row r="24" spans="1:13" s="11" customFormat="1">
      <c r="A24" s="166" t="s">
        <v>487</v>
      </c>
      <c r="B24" s="164"/>
      <c r="C24" s="2"/>
      <c r="D24" s="23"/>
      <c r="E24" s="21"/>
      <c r="F24" s="40"/>
      <c r="G24" s="16"/>
      <c r="H24" s="16"/>
      <c r="I24" s="15"/>
      <c r="J24" s="15"/>
      <c r="K24" s="15"/>
      <c r="L24" s="15"/>
      <c r="M24" s="70"/>
    </row>
    <row r="25" spans="1:13" s="11" customFormat="1">
      <c r="A25" s="166" t="s">
        <v>488</v>
      </c>
      <c r="B25" s="164"/>
      <c r="C25" s="2"/>
      <c r="D25" s="23"/>
      <c r="E25" s="21"/>
      <c r="F25" s="40"/>
      <c r="G25" s="16"/>
      <c r="H25" s="16"/>
      <c r="I25" s="15"/>
      <c r="J25" s="15"/>
      <c r="K25" s="15"/>
      <c r="L25" s="15"/>
      <c r="M25" s="70"/>
    </row>
    <row r="26" spans="1:13" s="11" customFormat="1">
      <c r="A26" s="166"/>
      <c r="B26" s="164"/>
      <c r="C26" s="2"/>
      <c r="D26" s="23"/>
      <c r="E26" s="21"/>
      <c r="F26" s="40"/>
      <c r="G26" s="16"/>
      <c r="H26" s="16"/>
      <c r="I26" s="15"/>
      <c r="J26" s="15"/>
      <c r="K26" s="15">
        <f t="shared" si="4"/>
        <v>0</v>
      </c>
      <c r="L26" s="15">
        <f t="shared" si="5"/>
        <v>0</v>
      </c>
      <c r="M26" s="70"/>
    </row>
    <row r="27" spans="1:13" s="139" customFormat="1" ht="15">
      <c r="A27" s="162" t="s">
        <v>37</v>
      </c>
      <c r="B27" s="163"/>
      <c r="C27" s="140" t="s">
        <v>437</v>
      </c>
      <c r="D27" s="142"/>
      <c r="E27" s="141"/>
      <c r="F27" s="143"/>
      <c r="G27" s="142"/>
      <c r="H27" s="142"/>
      <c r="I27" s="143"/>
      <c r="J27" s="143"/>
      <c r="K27" s="143">
        <f t="shared" ref="K27:K79" si="6">ROUND(F27*(1+$D$9),2)</f>
        <v>0</v>
      </c>
      <c r="L27" s="143">
        <f t="shared" si="3"/>
        <v>0</v>
      </c>
      <c r="M27" s="144">
        <f>SUM(L28:L30)</f>
        <v>0</v>
      </c>
    </row>
    <row r="28" spans="1:13" s="11" customFormat="1">
      <c r="A28" s="166" t="s">
        <v>489</v>
      </c>
      <c r="B28" s="164"/>
      <c r="C28" s="2"/>
      <c r="D28" s="23"/>
      <c r="E28" s="21"/>
      <c r="F28" s="40"/>
      <c r="G28" s="16"/>
      <c r="H28" s="16"/>
      <c r="I28" s="15"/>
      <c r="J28" s="15"/>
      <c r="K28" s="15"/>
      <c r="L28" s="15"/>
      <c r="M28" s="70"/>
    </row>
    <row r="29" spans="1:13" s="11" customFormat="1">
      <c r="A29" s="166" t="s">
        <v>490</v>
      </c>
      <c r="B29" s="164"/>
      <c r="C29" s="2"/>
      <c r="D29" s="23"/>
      <c r="E29" s="21"/>
      <c r="F29" s="40"/>
      <c r="G29" s="16"/>
      <c r="H29" s="16"/>
      <c r="I29" s="15"/>
      <c r="J29" s="15"/>
      <c r="K29" s="15"/>
      <c r="L29" s="15"/>
      <c r="M29" s="70"/>
    </row>
    <row r="30" spans="1:13" s="11" customFormat="1">
      <c r="A30" s="166"/>
      <c r="B30" s="164"/>
      <c r="C30" s="2"/>
      <c r="D30" s="23"/>
      <c r="E30" s="21"/>
      <c r="F30" s="40"/>
      <c r="G30" s="16"/>
      <c r="H30" s="16"/>
      <c r="I30" s="15"/>
      <c r="J30" s="15"/>
      <c r="K30" s="15">
        <f t="shared" si="6"/>
        <v>0</v>
      </c>
      <c r="L30" s="15">
        <f t="shared" si="3"/>
        <v>0</v>
      </c>
      <c r="M30" s="70"/>
    </row>
    <row r="31" spans="1:13" s="139" customFormat="1" ht="15">
      <c r="A31" s="162" t="s">
        <v>39</v>
      </c>
      <c r="B31" s="163"/>
      <c r="C31" s="140" t="s">
        <v>36</v>
      </c>
      <c r="D31" s="142"/>
      <c r="E31" s="141"/>
      <c r="F31" s="143"/>
      <c r="G31" s="142"/>
      <c r="H31" s="142"/>
      <c r="I31" s="143"/>
      <c r="J31" s="143"/>
      <c r="K31" s="143">
        <f t="shared" si="6"/>
        <v>0</v>
      </c>
      <c r="L31" s="143">
        <f t="shared" si="3"/>
        <v>0</v>
      </c>
      <c r="M31" s="144">
        <f>SUM(L32:L34)</f>
        <v>0</v>
      </c>
    </row>
    <row r="32" spans="1:13" s="11" customFormat="1">
      <c r="A32" s="166" t="s">
        <v>492</v>
      </c>
      <c r="B32" s="164"/>
      <c r="C32" s="2"/>
      <c r="D32" s="23"/>
      <c r="E32" s="21"/>
      <c r="F32" s="40"/>
      <c r="G32" s="16"/>
      <c r="H32" s="16"/>
      <c r="I32" s="15"/>
      <c r="J32" s="15"/>
      <c r="K32" s="15"/>
      <c r="L32" s="15"/>
      <c r="M32" s="70"/>
    </row>
    <row r="33" spans="1:13" s="11" customFormat="1">
      <c r="A33" s="166" t="s">
        <v>493</v>
      </c>
      <c r="B33" s="164"/>
      <c r="C33" s="2"/>
      <c r="D33" s="23"/>
      <c r="E33" s="21"/>
      <c r="F33" s="40"/>
      <c r="G33" s="16"/>
      <c r="H33" s="16"/>
      <c r="I33" s="15"/>
      <c r="J33" s="15"/>
      <c r="K33" s="15"/>
      <c r="L33" s="15"/>
      <c r="M33" s="70"/>
    </row>
    <row r="34" spans="1:13" s="11" customFormat="1">
      <c r="A34" s="166"/>
      <c r="B34" s="164"/>
      <c r="C34" s="2"/>
      <c r="D34" s="23"/>
      <c r="E34" s="21"/>
      <c r="F34" s="40"/>
      <c r="G34" s="16"/>
      <c r="H34" s="16"/>
      <c r="I34" s="15"/>
      <c r="J34" s="15"/>
      <c r="K34" s="15">
        <f t="shared" si="6"/>
        <v>0</v>
      </c>
      <c r="L34" s="15">
        <f t="shared" ref="L34:L39" si="7">ROUND(K34*E34,2)</f>
        <v>0</v>
      </c>
      <c r="M34" s="70"/>
    </row>
    <row r="35" spans="1:13" s="139" customFormat="1" ht="15">
      <c r="A35" s="162" t="s">
        <v>41</v>
      </c>
      <c r="B35" s="163"/>
      <c r="C35" s="140" t="s">
        <v>438</v>
      </c>
      <c r="D35" s="142"/>
      <c r="E35" s="141"/>
      <c r="F35" s="143"/>
      <c r="G35" s="142"/>
      <c r="H35" s="142"/>
      <c r="I35" s="143"/>
      <c r="J35" s="143"/>
      <c r="K35" s="143">
        <f t="shared" si="6"/>
        <v>0</v>
      </c>
      <c r="L35" s="143">
        <f t="shared" si="7"/>
        <v>0</v>
      </c>
      <c r="M35" s="144">
        <f>SUM(L36:L38)</f>
        <v>0</v>
      </c>
    </row>
    <row r="36" spans="1:13" s="11" customFormat="1">
      <c r="A36" s="166" t="s">
        <v>494</v>
      </c>
      <c r="B36" s="164"/>
      <c r="C36" s="2"/>
      <c r="D36" s="23"/>
      <c r="E36" s="21"/>
      <c r="F36" s="40"/>
      <c r="G36" s="16"/>
      <c r="H36" s="16"/>
      <c r="I36" s="15"/>
      <c r="J36" s="15"/>
      <c r="K36" s="15"/>
      <c r="L36" s="15"/>
      <c r="M36" s="70"/>
    </row>
    <row r="37" spans="1:13" s="11" customFormat="1">
      <c r="A37" s="166" t="s">
        <v>495</v>
      </c>
      <c r="B37" s="164"/>
      <c r="C37" s="2"/>
      <c r="D37" s="23"/>
      <c r="E37" s="21"/>
      <c r="F37" s="40"/>
      <c r="G37" s="16"/>
      <c r="H37" s="16"/>
      <c r="I37" s="15"/>
      <c r="J37" s="15"/>
      <c r="K37" s="15"/>
      <c r="L37" s="15"/>
      <c r="M37" s="70"/>
    </row>
    <row r="38" spans="1:13" s="11" customFormat="1">
      <c r="A38" s="166"/>
      <c r="B38" s="164"/>
      <c r="C38" s="2"/>
      <c r="D38" s="23"/>
      <c r="E38" s="21"/>
      <c r="F38" s="40"/>
      <c r="G38" s="16"/>
      <c r="H38" s="16"/>
      <c r="I38" s="15"/>
      <c r="J38" s="15"/>
      <c r="K38" s="15">
        <f t="shared" si="6"/>
        <v>0</v>
      </c>
      <c r="L38" s="15">
        <f t="shared" si="7"/>
        <v>0</v>
      </c>
      <c r="M38" s="70"/>
    </row>
    <row r="39" spans="1:13" s="139" customFormat="1" ht="15">
      <c r="A39" s="162" t="s">
        <v>47</v>
      </c>
      <c r="B39" s="163"/>
      <c r="C39" s="140" t="s">
        <v>40</v>
      </c>
      <c r="D39" s="142"/>
      <c r="E39" s="141"/>
      <c r="F39" s="143"/>
      <c r="G39" s="142"/>
      <c r="H39" s="142"/>
      <c r="I39" s="143"/>
      <c r="J39" s="143"/>
      <c r="K39" s="143">
        <f t="shared" si="6"/>
        <v>0</v>
      </c>
      <c r="L39" s="143">
        <f t="shared" si="7"/>
        <v>0</v>
      </c>
      <c r="M39" s="144">
        <f>SUM(L40:L42)</f>
        <v>0</v>
      </c>
    </row>
    <row r="40" spans="1:13" s="11" customFormat="1">
      <c r="A40" s="166" t="s">
        <v>496</v>
      </c>
      <c r="B40" s="164"/>
      <c r="C40" s="2"/>
      <c r="D40" s="23"/>
      <c r="E40" s="21"/>
      <c r="F40" s="40"/>
      <c r="G40" s="16"/>
      <c r="H40" s="16"/>
      <c r="I40" s="15"/>
      <c r="J40" s="15"/>
      <c r="K40" s="15"/>
      <c r="L40" s="15"/>
      <c r="M40" s="70"/>
    </row>
    <row r="41" spans="1:13" s="11" customFormat="1">
      <c r="A41" s="166" t="s">
        <v>497</v>
      </c>
      <c r="B41" s="164"/>
      <c r="C41" s="2"/>
      <c r="D41" s="23"/>
      <c r="E41" s="21"/>
      <c r="F41" s="40"/>
      <c r="G41" s="16"/>
      <c r="H41" s="16"/>
      <c r="I41" s="15"/>
      <c r="J41" s="15"/>
      <c r="K41" s="15"/>
      <c r="L41" s="15"/>
      <c r="M41" s="70"/>
    </row>
    <row r="42" spans="1:13" s="11" customFormat="1">
      <c r="A42" s="166"/>
      <c r="B42" s="164"/>
      <c r="C42" s="2"/>
      <c r="D42" s="23"/>
      <c r="E42" s="21"/>
      <c r="F42" s="40"/>
      <c r="G42" s="16"/>
      <c r="H42" s="16"/>
      <c r="I42" s="15"/>
      <c r="J42" s="15"/>
      <c r="K42" s="15">
        <f t="shared" si="6"/>
        <v>0</v>
      </c>
      <c r="L42" s="15">
        <f t="shared" ref="L42:L47" si="8">ROUND(K42*E42,2)</f>
        <v>0</v>
      </c>
      <c r="M42" s="70"/>
    </row>
    <row r="43" spans="1:13" s="139" customFormat="1" ht="15">
      <c r="A43" s="162" t="s">
        <v>48</v>
      </c>
      <c r="B43" s="163"/>
      <c r="C43" s="140" t="s">
        <v>42</v>
      </c>
      <c r="D43" s="142"/>
      <c r="E43" s="141"/>
      <c r="F43" s="143"/>
      <c r="G43" s="142"/>
      <c r="H43" s="142"/>
      <c r="I43" s="143"/>
      <c r="J43" s="143"/>
      <c r="K43" s="143">
        <f t="shared" si="6"/>
        <v>0</v>
      </c>
      <c r="L43" s="143">
        <f t="shared" si="8"/>
        <v>0</v>
      </c>
      <c r="M43" s="144">
        <f>SUM(L44:L46)</f>
        <v>0</v>
      </c>
    </row>
    <row r="44" spans="1:13" s="11" customFormat="1">
      <c r="A44" s="166" t="s">
        <v>498</v>
      </c>
      <c r="B44" s="164"/>
      <c r="C44" s="2"/>
      <c r="D44" s="23"/>
      <c r="E44" s="21"/>
      <c r="F44" s="40"/>
      <c r="G44" s="16"/>
      <c r="H44" s="16"/>
      <c r="I44" s="15"/>
      <c r="J44" s="15"/>
      <c r="K44" s="15"/>
      <c r="L44" s="15"/>
      <c r="M44" s="70"/>
    </row>
    <row r="45" spans="1:13" s="11" customFormat="1">
      <c r="A45" s="166" t="s">
        <v>499</v>
      </c>
      <c r="B45" s="164"/>
      <c r="C45" s="2"/>
      <c r="D45" s="23"/>
      <c r="E45" s="21"/>
      <c r="F45" s="40"/>
      <c r="G45" s="16"/>
      <c r="H45" s="16"/>
      <c r="I45" s="15"/>
      <c r="J45" s="15"/>
      <c r="K45" s="15"/>
      <c r="L45" s="15"/>
      <c r="M45" s="70"/>
    </row>
    <row r="46" spans="1:13" s="11" customFormat="1">
      <c r="A46" s="166"/>
      <c r="B46" s="164"/>
      <c r="C46" s="2"/>
      <c r="D46" s="23"/>
      <c r="E46" s="21"/>
      <c r="F46" s="40"/>
      <c r="G46" s="16"/>
      <c r="H46" s="16"/>
      <c r="I46" s="15"/>
      <c r="J46" s="15"/>
      <c r="K46" s="15">
        <f t="shared" si="6"/>
        <v>0</v>
      </c>
      <c r="L46" s="15">
        <f t="shared" si="8"/>
        <v>0</v>
      </c>
      <c r="M46" s="70"/>
    </row>
    <row r="47" spans="1:13" s="139" customFormat="1" ht="15">
      <c r="A47" s="162" t="s">
        <v>49</v>
      </c>
      <c r="B47" s="163"/>
      <c r="C47" s="140" t="s">
        <v>46</v>
      </c>
      <c r="D47" s="142"/>
      <c r="E47" s="141"/>
      <c r="F47" s="143"/>
      <c r="G47" s="142"/>
      <c r="H47" s="142"/>
      <c r="I47" s="143"/>
      <c r="J47" s="143"/>
      <c r="K47" s="143">
        <f t="shared" si="6"/>
        <v>0</v>
      </c>
      <c r="L47" s="143">
        <f t="shared" si="8"/>
        <v>0</v>
      </c>
      <c r="M47" s="144">
        <f>SUM(L48:L50)</f>
        <v>0</v>
      </c>
    </row>
    <row r="48" spans="1:13" s="11" customFormat="1">
      <c r="A48" s="166" t="s">
        <v>500</v>
      </c>
      <c r="B48" s="58"/>
      <c r="C48" s="2"/>
      <c r="D48" s="23"/>
      <c r="E48" s="22"/>
      <c r="F48" s="17"/>
      <c r="G48" s="16"/>
      <c r="H48" s="16"/>
      <c r="I48" s="15"/>
      <c r="J48" s="15"/>
      <c r="K48" s="15"/>
      <c r="L48" s="15"/>
      <c r="M48" s="70"/>
    </row>
    <row r="49" spans="1:13" s="11" customFormat="1">
      <c r="A49" s="166" t="s">
        <v>501</v>
      </c>
      <c r="B49" s="58"/>
      <c r="C49" s="2"/>
      <c r="D49" s="23"/>
      <c r="E49" s="22"/>
      <c r="F49" s="17"/>
      <c r="G49" s="16"/>
      <c r="H49" s="16"/>
      <c r="I49" s="15"/>
      <c r="J49" s="15"/>
      <c r="K49" s="15"/>
      <c r="L49" s="15"/>
      <c r="M49" s="70"/>
    </row>
    <row r="50" spans="1:13" s="11" customFormat="1">
      <c r="A50" s="166"/>
      <c r="B50" s="58"/>
      <c r="C50" s="2"/>
      <c r="D50" s="23"/>
      <c r="E50" s="22"/>
      <c r="F50" s="17"/>
      <c r="G50" s="16"/>
      <c r="H50" s="16"/>
      <c r="I50" s="15"/>
      <c r="J50" s="15"/>
      <c r="K50" s="15">
        <f t="shared" si="6"/>
        <v>0</v>
      </c>
      <c r="L50" s="15">
        <f t="shared" ref="L50:L55" si="9">ROUND(K50*E50,2)</f>
        <v>0</v>
      </c>
      <c r="M50" s="70"/>
    </row>
    <row r="51" spans="1:13" s="139" customFormat="1" ht="15">
      <c r="A51" s="162" t="s">
        <v>50</v>
      </c>
      <c r="B51" s="163"/>
      <c r="C51" s="140" t="s">
        <v>441</v>
      </c>
      <c r="D51" s="142"/>
      <c r="E51" s="141"/>
      <c r="F51" s="143"/>
      <c r="G51" s="142"/>
      <c r="H51" s="142"/>
      <c r="I51" s="143"/>
      <c r="J51" s="143"/>
      <c r="K51" s="143">
        <f t="shared" si="6"/>
        <v>0</v>
      </c>
      <c r="L51" s="143">
        <f t="shared" si="9"/>
        <v>0</v>
      </c>
      <c r="M51" s="144">
        <f>SUM(L52:L54)</f>
        <v>0</v>
      </c>
    </row>
    <row r="52" spans="1:13" s="11" customFormat="1">
      <c r="A52" s="166" t="s">
        <v>502</v>
      </c>
      <c r="B52" s="58"/>
      <c r="C52" s="3"/>
      <c r="D52" s="23"/>
      <c r="E52" s="22"/>
      <c r="F52" s="90"/>
      <c r="G52" s="16"/>
      <c r="H52" s="16"/>
      <c r="I52" s="15"/>
      <c r="J52" s="15"/>
      <c r="K52" s="15"/>
      <c r="L52" s="15"/>
      <c r="M52" s="70"/>
    </row>
    <row r="53" spans="1:13" s="11" customFormat="1">
      <c r="A53" s="166" t="s">
        <v>503</v>
      </c>
      <c r="B53" s="58"/>
      <c r="C53" s="3"/>
      <c r="D53" s="23"/>
      <c r="E53" s="22"/>
      <c r="F53" s="90"/>
      <c r="G53" s="16"/>
      <c r="H53" s="16"/>
      <c r="I53" s="15"/>
      <c r="J53" s="15"/>
      <c r="K53" s="15"/>
      <c r="L53" s="15"/>
      <c r="M53" s="70"/>
    </row>
    <row r="54" spans="1:13" s="11" customFormat="1">
      <c r="A54" s="166"/>
      <c r="B54" s="58"/>
      <c r="C54" s="3"/>
      <c r="D54" s="23"/>
      <c r="E54" s="22"/>
      <c r="F54" s="90"/>
      <c r="G54" s="16"/>
      <c r="H54" s="16"/>
      <c r="I54" s="15"/>
      <c r="J54" s="15"/>
      <c r="K54" s="15">
        <f t="shared" si="6"/>
        <v>0</v>
      </c>
      <c r="L54" s="15">
        <f t="shared" si="9"/>
        <v>0</v>
      </c>
      <c r="M54" s="70"/>
    </row>
    <row r="55" spans="1:13" s="139" customFormat="1" ht="15">
      <c r="A55" s="162" t="s">
        <v>77</v>
      </c>
      <c r="B55" s="163"/>
      <c r="C55" s="140" t="s">
        <v>439</v>
      </c>
      <c r="D55" s="142"/>
      <c r="E55" s="141"/>
      <c r="F55" s="143"/>
      <c r="G55" s="142"/>
      <c r="H55" s="142"/>
      <c r="I55" s="143"/>
      <c r="J55" s="143"/>
      <c r="K55" s="143">
        <f t="shared" si="6"/>
        <v>0</v>
      </c>
      <c r="L55" s="143">
        <f t="shared" si="9"/>
        <v>0</v>
      </c>
      <c r="M55" s="144">
        <f>SUM(L56:L58)</f>
        <v>0</v>
      </c>
    </row>
    <row r="56" spans="1:13" s="11" customFormat="1">
      <c r="A56" s="166" t="s">
        <v>504</v>
      </c>
      <c r="B56" s="164"/>
      <c r="C56" s="2"/>
      <c r="D56" s="23"/>
      <c r="E56" s="21"/>
      <c r="F56" s="40"/>
      <c r="G56" s="16"/>
      <c r="H56" s="16"/>
      <c r="I56" s="15"/>
      <c r="J56" s="15"/>
      <c r="K56" s="15"/>
      <c r="L56" s="15"/>
      <c r="M56" s="70"/>
    </row>
    <row r="57" spans="1:13" s="11" customFormat="1">
      <c r="A57" s="166" t="s">
        <v>505</v>
      </c>
      <c r="B57" s="164"/>
      <c r="C57" s="2"/>
      <c r="D57" s="23"/>
      <c r="E57" s="21"/>
      <c r="F57" s="40"/>
      <c r="G57" s="16"/>
      <c r="H57" s="16"/>
      <c r="I57" s="15"/>
      <c r="J57" s="15"/>
      <c r="K57" s="15"/>
      <c r="L57" s="15"/>
      <c r="M57" s="70"/>
    </row>
    <row r="58" spans="1:13" s="11" customFormat="1">
      <c r="A58" s="166"/>
      <c r="B58" s="164"/>
      <c r="C58" s="2"/>
      <c r="D58" s="23"/>
      <c r="E58" s="21"/>
      <c r="F58" s="40"/>
      <c r="G58" s="16"/>
      <c r="H58" s="16"/>
      <c r="I58" s="15"/>
      <c r="J58" s="15"/>
      <c r="K58" s="15">
        <f t="shared" si="6"/>
        <v>0</v>
      </c>
      <c r="L58" s="15">
        <f t="shared" ref="L58:L59" si="10">ROUND(K58*E58,2)</f>
        <v>0</v>
      </c>
      <c r="M58" s="70"/>
    </row>
    <row r="59" spans="1:13" s="139" customFormat="1" ht="15">
      <c r="A59" s="162" t="s">
        <v>75</v>
      </c>
      <c r="B59" s="163"/>
      <c r="C59" s="140" t="s">
        <v>440</v>
      </c>
      <c r="D59" s="142"/>
      <c r="E59" s="141"/>
      <c r="F59" s="143"/>
      <c r="G59" s="142"/>
      <c r="H59" s="142"/>
      <c r="I59" s="143"/>
      <c r="J59" s="143"/>
      <c r="K59" s="143">
        <f t="shared" si="6"/>
        <v>0</v>
      </c>
      <c r="L59" s="143">
        <f t="shared" si="10"/>
        <v>0</v>
      </c>
      <c r="M59" s="144">
        <f>SUM(L60:L62)</f>
        <v>0</v>
      </c>
    </row>
    <row r="60" spans="1:13" s="11" customFormat="1">
      <c r="A60" s="166" t="s">
        <v>506</v>
      </c>
      <c r="B60" s="164"/>
      <c r="C60" s="2"/>
      <c r="D60" s="23"/>
      <c r="E60" s="21"/>
      <c r="F60" s="40"/>
      <c r="G60" s="16"/>
      <c r="H60" s="16"/>
      <c r="I60" s="15"/>
      <c r="J60" s="15"/>
      <c r="K60" s="15"/>
      <c r="L60" s="15"/>
      <c r="M60" s="70"/>
    </row>
    <row r="61" spans="1:13" s="11" customFormat="1">
      <c r="A61" s="166" t="s">
        <v>507</v>
      </c>
      <c r="B61" s="164"/>
      <c r="C61" s="2"/>
      <c r="D61" s="23"/>
      <c r="E61" s="21"/>
      <c r="F61" s="40"/>
      <c r="G61" s="16"/>
      <c r="H61" s="16"/>
      <c r="I61" s="15"/>
      <c r="J61" s="15"/>
      <c r="K61" s="15"/>
      <c r="L61" s="15"/>
      <c r="M61" s="70"/>
    </row>
    <row r="62" spans="1:13" s="11" customFormat="1">
      <c r="A62" s="166"/>
      <c r="B62" s="164"/>
      <c r="C62" s="2"/>
      <c r="D62" s="23"/>
      <c r="E62" s="21"/>
      <c r="F62" s="40"/>
      <c r="G62" s="16"/>
      <c r="H62" s="16"/>
      <c r="I62" s="15"/>
      <c r="J62" s="15"/>
      <c r="K62" s="15">
        <f t="shared" si="6"/>
        <v>0</v>
      </c>
      <c r="L62" s="15">
        <f t="shared" ref="L62:L67" si="11">ROUND(K62*E62,2)</f>
        <v>0</v>
      </c>
      <c r="M62" s="70"/>
    </row>
    <row r="63" spans="1:13" s="139" customFormat="1" ht="15">
      <c r="A63" s="162" t="s">
        <v>82</v>
      </c>
      <c r="B63" s="163"/>
      <c r="C63" s="140" t="s">
        <v>76</v>
      </c>
      <c r="D63" s="142"/>
      <c r="E63" s="141"/>
      <c r="F63" s="143"/>
      <c r="G63" s="142"/>
      <c r="H63" s="142"/>
      <c r="I63" s="143"/>
      <c r="J63" s="143"/>
      <c r="K63" s="143">
        <f t="shared" si="6"/>
        <v>0</v>
      </c>
      <c r="L63" s="143">
        <f t="shared" si="11"/>
        <v>0</v>
      </c>
      <c r="M63" s="144">
        <f>SUM(L64:L66)</f>
        <v>0</v>
      </c>
    </row>
    <row r="64" spans="1:13" s="57" customFormat="1">
      <c r="A64" s="166" t="s">
        <v>508</v>
      </c>
      <c r="B64" s="164"/>
      <c r="C64" s="2"/>
      <c r="D64" s="115"/>
      <c r="E64" s="21"/>
      <c r="F64" s="116"/>
      <c r="G64" s="120"/>
      <c r="H64" s="117"/>
      <c r="I64" s="118"/>
      <c r="J64" s="118"/>
      <c r="K64" s="118"/>
      <c r="L64" s="118"/>
      <c r="M64" s="119"/>
    </row>
    <row r="65" spans="1:13" s="57" customFormat="1">
      <c r="A65" s="166" t="s">
        <v>509</v>
      </c>
      <c r="B65" s="164"/>
      <c r="C65" s="2"/>
      <c r="D65" s="115"/>
      <c r="E65" s="21"/>
      <c r="F65" s="116"/>
      <c r="G65" s="120"/>
      <c r="H65" s="117"/>
      <c r="I65" s="118"/>
      <c r="J65" s="118"/>
      <c r="K65" s="118"/>
      <c r="L65" s="118"/>
      <c r="M65" s="119"/>
    </row>
    <row r="66" spans="1:13" s="57" customFormat="1">
      <c r="A66" s="166"/>
      <c r="B66" s="164"/>
      <c r="C66" s="2"/>
      <c r="D66" s="115"/>
      <c r="E66" s="21"/>
      <c r="F66" s="116"/>
      <c r="G66" s="120"/>
      <c r="H66" s="117"/>
      <c r="I66" s="118"/>
      <c r="J66" s="118"/>
      <c r="K66" s="118">
        <f t="shared" si="6"/>
        <v>0</v>
      </c>
      <c r="L66" s="118">
        <f t="shared" si="11"/>
        <v>0</v>
      </c>
      <c r="M66" s="119"/>
    </row>
    <row r="67" spans="1:13" s="139" customFormat="1" ht="15">
      <c r="A67" s="162" t="s">
        <v>83</v>
      </c>
      <c r="B67" s="163"/>
      <c r="C67" s="140" t="s">
        <v>78</v>
      </c>
      <c r="D67" s="142"/>
      <c r="E67" s="141"/>
      <c r="F67" s="143"/>
      <c r="G67" s="142"/>
      <c r="H67" s="142"/>
      <c r="I67" s="143"/>
      <c r="J67" s="143"/>
      <c r="K67" s="143">
        <f t="shared" si="6"/>
        <v>0</v>
      </c>
      <c r="L67" s="143">
        <f t="shared" si="11"/>
        <v>0</v>
      </c>
      <c r="M67" s="144">
        <f>SUM(L68:L70)</f>
        <v>0</v>
      </c>
    </row>
    <row r="68" spans="1:13" s="11" customFormat="1">
      <c r="A68" s="166" t="s">
        <v>510</v>
      </c>
      <c r="B68" s="164"/>
      <c r="C68" s="78"/>
      <c r="D68" s="26"/>
      <c r="E68" s="80"/>
      <c r="F68" s="41"/>
      <c r="G68" s="16"/>
      <c r="H68" s="16"/>
      <c r="I68" s="15"/>
      <c r="J68" s="15"/>
      <c r="K68" s="15"/>
      <c r="L68" s="15"/>
      <c r="M68" s="70"/>
    </row>
    <row r="69" spans="1:13" s="11" customFormat="1">
      <c r="A69" s="166" t="s">
        <v>511</v>
      </c>
      <c r="B69" s="164"/>
      <c r="C69" s="78"/>
      <c r="D69" s="26"/>
      <c r="E69" s="80"/>
      <c r="F69" s="41"/>
      <c r="G69" s="16"/>
      <c r="H69" s="16"/>
      <c r="I69" s="15"/>
      <c r="J69" s="15"/>
      <c r="K69" s="15"/>
      <c r="L69" s="15"/>
      <c r="M69" s="70"/>
    </row>
    <row r="70" spans="1:13" s="11" customFormat="1">
      <c r="A70" s="166"/>
      <c r="B70" s="164"/>
      <c r="C70" s="78"/>
      <c r="D70" s="26"/>
      <c r="E70" s="80"/>
      <c r="F70" s="41"/>
      <c r="G70" s="16"/>
      <c r="H70" s="16"/>
      <c r="I70" s="15"/>
      <c r="J70" s="15"/>
      <c r="K70" s="15">
        <f t="shared" si="6"/>
        <v>0</v>
      </c>
      <c r="L70" s="15">
        <f t="shared" ref="L70:L75" si="12">ROUND(K70*E70,2)</f>
        <v>0</v>
      </c>
      <c r="M70" s="70"/>
    </row>
    <row r="71" spans="1:13" s="139" customFormat="1" ht="15">
      <c r="A71" s="162" t="s">
        <v>84</v>
      </c>
      <c r="B71" s="163"/>
      <c r="C71" s="140" t="s">
        <v>80</v>
      </c>
      <c r="D71" s="142"/>
      <c r="E71" s="141"/>
      <c r="F71" s="143"/>
      <c r="G71" s="142"/>
      <c r="H71" s="142"/>
      <c r="I71" s="143"/>
      <c r="J71" s="143"/>
      <c r="K71" s="143">
        <f t="shared" si="6"/>
        <v>0</v>
      </c>
      <c r="L71" s="143">
        <f t="shared" si="12"/>
        <v>0</v>
      </c>
      <c r="M71" s="144">
        <f>SUM(L72:L74)</f>
        <v>0</v>
      </c>
    </row>
    <row r="72" spans="1:13" s="11" customFormat="1">
      <c r="A72" s="166" t="s">
        <v>512</v>
      </c>
      <c r="B72" s="164"/>
      <c r="C72" s="167"/>
      <c r="D72" s="14"/>
      <c r="E72" s="21"/>
      <c r="F72" s="40"/>
      <c r="G72" s="16"/>
      <c r="H72" s="16"/>
      <c r="I72" s="15"/>
      <c r="J72" s="15"/>
      <c r="K72" s="15"/>
      <c r="L72" s="15"/>
      <c r="M72" s="70"/>
    </row>
    <row r="73" spans="1:13" s="11" customFormat="1">
      <c r="A73" s="166" t="s">
        <v>513</v>
      </c>
      <c r="B73" s="164"/>
      <c r="C73" s="167"/>
      <c r="D73" s="14"/>
      <c r="E73" s="21"/>
      <c r="F73" s="40"/>
      <c r="G73" s="16"/>
      <c r="H73" s="16"/>
      <c r="I73" s="15"/>
      <c r="J73" s="15"/>
      <c r="K73" s="15"/>
      <c r="L73" s="15"/>
      <c r="M73" s="70"/>
    </row>
    <row r="74" spans="1:13" s="11" customFormat="1">
      <c r="A74" s="166"/>
      <c r="B74" s="164"/>
      <c r="C74" s="167"/>
      <c r="D74" s="14"/>
      <c r="E74" s="21"/>
      <c r="F74" s="40"/>
      <c r="G74" s="16"/>
      <c r="H74" s="16"/>
      <c r="I74" s="15"/>
      <c r="J74" s="15"/>
      <c r="K74" s="15">
        <f t="shared" si="6"/>
        <v>0</v>
      </c>
      <c r="L74" s="15">
        <f t="shared" si="12"/>
        <v>0</v>
      </c>
      <c r="M74" s="70"/>
    </row>
    <row r="75" spans="1:13" s="139" customFormat="1" ht="15">
      <c r="A75" s="162" t="s">
        <v>130</v>
      </c>
      <c r="B75" s="163"/>
      <c r="C75" s="140" t="s">
        <v>79</v>
      </c>
      <c r="D75" s="142"/>
      <c r="E75" s="141"/>
      <c r="F75" s="143"/>
      <c r="G75" s="142"/>
      <c r="H75" s="142"/>
      <c r="I75" s="143"/>
      <c r="J75" s="143"/>
      <c r="K75" s="143">
        <f t="shared" si="6"/>
        <v>0</v>
      </c>
      <c r="L75" s="143">
        <f t="shared" si="12"/>
        <v>0</v>
      </c>
      <c r="M75" s="144">
        <f>SUM(L76:L78)</f>
        <v>0</v>
      </c>
    </row>
    <row r="76" spans="1:13" s="11" customFormat="1">
      <c r="A76" s="166" t="s">
        <v>514</v>
      </c>
      <c r="B76" s="164"/>
      <c r="C76" s="78"/>
      <c r="D76" s="26"/>
      <c r="E76" s="79"/>
      <c r="F76" s="41"/>
      <c r="G76" s="16"/>
      <c r="H76" s="16"/>
      <c r="I76" s="15"/>
      <c r="J76" s="15"/>
      <c r="K76" s="15"/>
      <c r="L76" s="15"/>
      <c r="M76" s="70"/>
    </row>
    <row r="77" spans="1:13" s="11" customFormat="1">
      <c r="A77" s="166" t="s">
        <v>515</v>
      </c>
      <c r="B77" s="164"/>
      <c r="C77" s="78"/>
      <c r="D77" s="26"/>
      <c r="E77" s="79"/>
      <c r="F77" s="41"/>
      <c r="G77" s="16"/>
      <c r="H77" s="16"/>
      <c r="I77" s="15"/>
      <c r="J77" s="15"/>
      <c r="K77" s="15"/>
      <c r="L77" s="15"/>
      <c r="M77" s="70"/>
    </row>
    <row r="78" spans="1:13" s="11" customFormat="1">
      <c r="A78" s="166"/>
      <c r="B78" s="164"/>
      <c r="C78" s="78"/>
      <c r="D78" s="26"/>
      <c r="E78" s="79"/>
      <c r="F78" s="41"/>
      <c r="G78" s="16"/>
      <c r="H78" s="16"/>
      <c r="I78" s="15"/>
      <c r="J78" s="15"/>
      <c r="K78" s="15">
        <f t="shared" si="6"/>
        <v>0</v>
      </c>
      <c r="L78" s="15">
        <f t="shared" ref="L78:L79" si="13">ROUND(K78*E78,2)</f>
        <v>0</v>
      </c>
      <c r="M78" s="70"/>
    </row>
    <row r="79" spans="1:13" s="139" customFormat="1" ht="15">
      <c r="A79" s="162" t="s">
        <v>170</v>
      </c>
      <c r="B79" s="163"/>
      <c r="C79" s="140" t="s">
        <v>81</v>
      </c>
      <c r="D79" s="142"/>
      <c r="E79" s="141"/>
      <c r="F79" s="143"/>
      <c r="G79" s="142"/>
      <c r="H79" s="142"/>
      <c r="I79" s="143"/>
      <c r="J79" s="143"/>
      <c r="K79" s="143">
        <f t="shared" si="6"/>
        <v>0</v>
      </c>
      <c r="L79" s="143">
        <f t="shared" si="13"/>
        <v>0</v>
      </c>
      <c r="M79" s="144">
        <f>SUM(L80:L82)</f>
        <v>0</v>
      </c>
    </row>
    <row r="80" spans="1:13" s="11" customFormat="1">
      <c r="A80" s="166" t="s">
        <v>516</v>
      </c>
      <c r="B80" s="165"/>
      <c r="C80" s="59"/>
      <c r="D80" s="61"/>
      <c r="E80" s="60"/>
      <c r="F80" s="15"/>
      <c r="G80" s="14"/>
      <c r="H80" s="14"/>
      <c r="I80" s="15"/>
      <c r="J80" s="15"/>
      <c r="K80" s="15"/>
      <c r="L80" s="15"/>
      <c r="M80" s="70"/>
    </row>
    <row r="81" spans="1:13" s="11" customFormat="1">
      <c r="A81" s="166" t="s">
        <v>517</v>
      </c>
      <c r="B81" s="165"/>
      <c r="C81" s="59"/>
      <c r="D81" s="61"/>
      <c r="E81" s="60"/>
      <c r="F81" s="15"/>
      <c r="G81" s="14"/>
      <c r="H81" s="14"/>
      <c r="I81" s="15"/>
      <c r="J81" s="15"/>
      <c r="K81" s="15"/>
      <c r="L81" s="15"/>
      <c r="M81" s="70"/>
    </row>
    <row r="82" spans="1:13" s="11" customFormat="1">
      <c r="A82" s="166"/>
      <c r="B82" s="165"/>
      <c r="C82" s="59"/>
      <c r="D82" s="61"/>
      <c r="E82" s="60"/>
      <c r="F82" s="15"/>
      <c r="G82" s="14"/>
      <c r="H82" s="14"/>
      <c r="I82" s="15"/>
      <c r="J82" s="15"/>
      <c r="K82" s="15"/>
      <c r="L82" s="15"/>
      <c r="M82" s="70"/>
    </row>
    <row r="83" spans="1:13" s="139" customFormat="1" ht="15">
      <c r="A83" s="162" t="s">
        <v>181</v>
      </c>
      <c r="B83" s="163"/>
      <c r="C83" s="140" t="s">
        <v>444</v>
      </c>
      <c r="D83" s="142"/>
      <c r="E83" s="141"/>
      <c r="F83" s="143"/>
      <c r="G83" s="142"/>
      <c r="H83" s="142"/>
      <c r="I83" s="143"/>
      <c r="J83" s="143"/>
      <c r="K83" s="143">
        <f>ROUND(F83*(1+$D$9),2)</f>
        <v>0</v>
      </c>
      <c r="L83" s="143">
        <f t="shared" ref="L83:L95" si="14">ROUND(K83*E83,2)</f>
        <v>0</v>
      </c>
      <c r="M83" s="144">
        <f>SUM(L84:L86)</f>
        <v>0</v>
      </c>
    </row>
    <row r="84" spans="1:13" s="11" customFormat="1">
      <c r="A84" s="166" t="s">
        <v>518</v>
      </c>
      <c r="B84" s="164"/>
      <c r="C84" s="78"/>
      <c r="D84" s="26"/>
      <c r="E84" s="79"/>
      <c r="F84" s="41"/>
      <c r="G84" s="16"/>
      <c r="H84" s="16"/>
      <c r="I84" s="15"/>
      <c r="J84" s="15"/>
      <c r="K84" s="15"/>
      <c r="L84" s="15"/>
      <c r="M84" s="70"/>
    </row>
    <row r="85" spans="1:13" s="11" customFormat="1">
      <c r="A85" s="166" t="s">
        <v>519</v>
      </c>
      <c r="B85" s="164"/>
      <c r="C85" s="78"/>
      <c r="D85" s="26"/>
      <c r="E85" s="79"/>
      <c r="F85" s="41"/>
      <c r="G85" s="16"/>
      <c r="H85" s="16"/>
      <c r="I85" s="15"/>
      <c r="J85" s="15"/>
      <c r="K85" s="15"/>
      <c r="L85" s="15"/>
      <c r="M85" s="70"/>
    </row>
    <row r="86" spans="1:13" s="11" customFormat="1">
      <c r="A86" s="166"/>
      <c r="B86" s="164"/>
      <c r="C86" s="78"/>
      <c r="D86" s="26"/>
      <c r="E86" s="79"/>
      <c r="F86" s="41"/>
      <c r="G86" s="16"/>
      <c r="H86" s="16"/>
      <c r="I86" s="15"/>
      <c r="J86" s="15"/>
      <c r="K86" s="15">
        <f>ROUND(F86*(1+$D$9),2)</f>
        <v>0</v>
      </c>
      <c r="L86" s="15">
        <f t="shared" si="14"/>
        <v>0</v>
      </c>
      <c r="M86" s="70"/>
    </row>
    <row r="87" spans="1:13" s="139" customFormat="1" ht="15">
      <c r="A87" s="162" t="s">
        <v>392</v>
      </c>
      <c r="B87" s="163"/>
      <c r="C87" s="140" t="s">
        <v>442</v>
      </c>
      <c r="D87" s="142" t="s">
        <v>131</v>
      </c>
      <c r="E87" s="141"/>
      <c r="F87" s="143"/>
      <c r="G87" s="142"/>
      <c r="H87" s="142"/>
      <c r="I87" s="143"/>
      <c r="J87" s="143"/>
      <c r="K87" s="143">
        <f t="shared" ref="K87" si="15">ROUND(F87*(1+$D$9),2)</f>
        <v>0</v>
      </c>
      <c r="L87" s="143">
        <f t="shared" ref="L87" si="16">ROUND(K87*E87,2)</f>
        <v>0</v>
      </c>
      <c r="M87" s="144">
        <f>SUM(L88:L90)</f>
        <v>0</v>
      </c>
    </row>
    <row r="88" spans="1:13" s="11" customFormat="1">
      <c r="A88" s="166" t="s">
        <v>520</v>
      </c>
      <c r="B88" s="58"/>
      <c r="C88" s="25"/>
      <c r="D88" s="26"/>
      <c r="E88" s="27"/>
      <c r="F88" s="122"/>
      <c r="G88" s="16"/>
      <c r="H88" s="16"/>
      <c r="I88" s="15"/>
      <c r="J88" s="15"/>
      <c r="K88" s="15"/>
      <c r="L88" s="15"/>
      <c r="M88" s="70"/>
    </row>
    <row r="89" spans="1:13" s="11" customFormat="1">
      <c r="A89" s="166" t="s">
        <v>521</v>
      </c>
      <c r="B89" s="58"/>
      <c r="C89" s="25"/>
      <c r="D89" s="26"/>
      <c r="E89" s="27"/>
      <c r="F89" s="122"/>
      <c r="G89" s="16"/>
      <c r="H89" s="16"/>
      <c r="I89" s="15"/>
      <c r="J89" s="15"/>
      <c r="K89" s="15"/>
      <c r="L89" s="15"/>
      <c r="M89" s="70"/>
    </row>
    <row r="90" spans="1:13" s="11" customFormat="1">
      <c r="A90" s="166"/>
      <c r="B90" s="58"/>
      <c r="C90" s="25"/>
      <c r="D90" s="26"/>
      <c r="E90" s="27"/>
      <c r="F90" s="122"/>
      <c r="G90" s="16"/>
      <c r="H90" s="16"/>
      <c r="I90" s="15"/>
      <c r="J90" s="15"/>
      <c r="K90" s="15"/>
      <c r="L90" s="15"/>
      <c r="M90" s="70"/>
    </row>
    <row r="91" spans="1:13" s="139" customFormat="1" ht="15">
      <c r="A91" s="162" t="s">
        <v>451</v>
      </c>
      <c r="B91" s="163"/>
      <c r="C91" s="140" t="s">
        <v>443</v>
      </c>
      <c r="D91" s="142"/>
      <c r="E91" s="141"/>
      <c r="F91" s="143"/>
      <c r="G91" s="142"/>
      <c r="H91" s="142"/>
      <c r="I91" s="143"/>
      <c r="J91" s="143"/>
      <c r="K91" s="143">
        <f>ROUND(F91*(1+$D$9),2)</f>
        <v>0</v>
      </c>
      <c r="L91" s="143">
        <f>ROUND(K91*E91,2)</f>
        <v>0</v>
      </c>
      <c r="M91" s="144">
        <f>SUM(L92:L94)</f>
        <v>0</v>
      </c>
    </row>
    <row r="92" spans="1:13" s="11" customFormat="1">
      <c r="A92" s="166" t="s">
        <v>522</v>
      </c>
      <c r="B92" s="58"/>
      <c r="C92" s="25"/>
      <c r="D92" s="26"/>
      <c r="E92" s="27"/>
      <c r="F92" s="122"/>
      <c r="G92" s="16"/>
      <c r="H92" s="16"/>
      <c r="I92" s="15"/>
      <c r="J92" s="15"/>
      <c r="K92" s="15"/>
      <c r="L92" s="15"/>
      <c r="M92" s="70"/>
    </row>
    <row r="93" spans="1:13" s="11" customFormat="1">
      <c r="A93" s="166" t="s">
        <v>523</v>
      </c>
      <c r="B93" s="58"/>
      <c r="C93" s="25"/>
      <c r="D93" s="26"/>
      <c r="E93" s="27"/>
      <c r="F93" s="122"/>
      <c r="G93" s="16"/>
      <c r="H93" s="16"/>
      <c r="I93" s="15"/>
      <c r="J93" s="15"/>
      <c r="K93" s="15"/>
      <c r="L93" s="15"/>
      <c r="M93" s="70"/>
    </row>
    <row r="94" spans="1:13" s="11" customFormat="1">
      <c r="A94" s="166"/>
      <c r="B94" s="164"/>
      <c r="C94" s="78"/>
      <c r="D94" s="26"/>
      <c r="E94" s="79"/>
      <c r="F94" s="41"/>
      <c r="G94" s="16"/>
      <c r="H94" s="16"/>
      <c r="I94" s="15"/>
      <c r="J94" s="15"/>
      <c r="K94" s="15"/>
      <c r="L94" s="15"/>
      <c r="M94" s="70"/>
    </row>
    <row r="95" spans="1:13" s="139" customFormat="1" ht="15">
      <c r="A95" s="162" t="s">
        <v>452</v>
      </c>
      <c r="B95" s="163"/>
      <c r="C95" s="140" t="s">
        <v>445</v>
      </c>
      <c r="D95" s="142" t="s">
        <v>131</v>
      </c>
      <c r="E95" s="141"/>
      <c r="F95" s="143"/>
      <c r="G95" s="142"/>
      <c r="H95" s="142"/>
      <c r="I95" s="143"/>
      <c r="J95" s="143"/>
      <c r="K95" s="143">
        <f>ROUND(F95*(1+$D$9),2)</f>
        <v>0</v>
      </c>
      <c r="L95" s="143">
        <f t="shared" si="14"/>
        <v>0</v>
      </c>
      <c r="M95" s="144">
        <f>SUM(L96:L98)</f>
        <v>0</v>
      </c>
    </row>
    <row r="96" spans="1:13" s="11" customFormat="1">
      <c r="A96" s="166" t="s">
        <v>524</v>
      </c>
      <c r="B96" s="58"/>
      <c r="C96" s="25"/>
      <c r="D96" s="26"/>
      <c r="E96" s="27"/>
      <c r="F96" s="122"/>
      <c r="G96" s="16"/>
      <c r="H96" s="16"/>
      <c r="I96" s="15"/>
      <c r="J96" s="15"/>
      <c r="K96" s="15"/>
      <c r="L96" s="15"/>
      <c r="M96" s="70"/>
    </row>
    <row r="97" spans="1:13" s="11" customFormat="1">
      <c r="A97" s="166" t="s">
        <v>525</v>
      </c>
      <c r="B97" s="58"/>
      <c r="C97" s="25"/>
      <c r="D97" s="26"/>
      <c r="E97" s="27"/>
      <c r="F97" s="122"/>
      <c r="G97" s="16"/>
      <c r="H97" s="16"/>
      <c r="I97" s="15"/>
      <c r="J97" s="15"/>
      <c r="K97" s="15"/>
      <c r="L97" s="15"/>
      <c r="M97" s="70"/>
    </row>
    <row r="98" spans="1:13" s="11" customFormat="1">
      <c r="A98" s="166"/>
      <c r="B98" s="58"/>
      <c r="C98" s="25"/>
      <c r="D98" s="26"/>
      <c r="E98" s="27"/>
      <c r="F98" s="122"/>
      <c r="G98" s="16"/>
      <c r="H98" s="16"/>
      <c r="I98" s="15"/>
      <c r="J98" s="15"/>
      <c r="K98" s="15"/>
      <c r="L98" s="15"/>
      <c r="M98" s="70"/>
    </row>
    <row r="99" spans="1:13" s="139" customFormat="1" ht="15">
      <c r="A99" s="162" t="s">
        <v>453</v>
      </c>
      <c r="B99" s="163"/>
      <c r="C99" s="140" t="s">
        <v>171</v>
      </c>
      <c r="D99" s="142"/>
      <c r="E99" s="141"/>
      <c r="F99" s="143"/>
      <c r="G99" s="142"/>
      <c r="H99" s="142"/>
      <c r="I99" s="143"/>
      <c r="J99" s="143"/>
      <c r="K99" s="143">
        <f>ROUND(F99*(1+$D$9),2)</f>
        <v>0</v>
      </c>
      <c r="L99" s="143">
        <f>ROUND(K99*E99,2)</f>
        <v>0</v>
      </c>
      <c r="M99" s="144">
        <f>SUM(L100:L102)</f>
        <v>0</v>
      </c>
    </row>
    <row r="100" spans="1:13" s="11" customFormat="1">
      <c r="A100" s="166" t="s">
        <v>526</v>
      </c>
      <c r="B100" s="58"/>
      <c r="C100" s="25"/>
      <c r="D100" s="26"/>
      <c r="E100" s="27"/>
      <c r="F100" s="122"/>
      <c r="G100" s="16"/>
      <c r="H100" s="16"/>
      <c r="I100" s="15"/>
      <c r="J100" s="15"/>
      <c r="K100" s="15"/>
      <c r="L100" s="15"/>
      <c r="M100" s="70"/>
    </row>
    <row r="101" spans="1:13" s="11" customFormat="1">
      <c r="A101" s="166" t="s">
        <v>527</v>
      </c>
      <c r="B101" s="58"/>
      <c r="C101" s="25"/>
      <c r="D101" s="26"/>
      <c r="E101" s="27"/>
      <c r="F101" s="122"/>
      <c r="G101" s="16"/>
      <c r="H101" s="16"/>
      <c r="I101" s="15"/>
      <c r="J101" s="15"/>
      <c r="K101" s="15"/>
      <c r="L101" s="15"/>
      <c r="M101" s="70"/>
    </row>
    <row r="102" spans="1:13" s="11" customFormat="1">
      <c r="A102" s="166"/>
      <c r="B102" s="164"/>
      <c r="C102" s="78"/>
      <c r="D102" s="26"/>
      <c r="E102" s="79"/>
      <c r="F102" s="41"/>
      <c r="G102" s="16"/>
      <c r="H102" s="16"/>
      <c r="I102" s="15"/>
      <c r="J102" s="15"/>
      <c r="K102" s="15"/>
      <c r="L102" s="15"/>
      <c r="M102" s="70"/>
    </row>
    <row r="103" spans="1:13" s="139" customFormat="1" ht="15">
      <c r="A103" s="162" t="s">
        <v>454</v>
      </c>
      <c r="B103" s="163"/>
      <c r="C103" s="140" t="s">
        <v>446</v>
      </c>
      <c r="D103" s="142"/>
      <c r="E103" s="141"/>
      <c r="F103" s="143"/>
      <c r="G103" s="142"/>
      <c r="H103" s="142"/>
      <c r="I103" s="143"/>
      <c r="J103" s="143"/>
      <c r="K103" s="143"/>
      <c r="L103" s="143"/>
      <c r="M103" s="144">
        <f>SUM(L104:L106)</f>
        <v>0</v>
      </c>
    </row>
    <row r="104" spans="1:13" s="11" customFormat="1">
      <c r="A104" s="166" t="s">
        <v>528</v>
      </c>
      <c r="B104" s="164"/>
      <c r="C104" s="78"/>
      <c r="D104" s="26"/>
      <c r="E104" s="79"/>
      <c r="F104" s="41"/>
      <c r="G104" s="16"/>
      <c r="H104" s="16"/>
      <c r="I104" s="15"/>
      <c r="J104" s="15"/>
      <c r="K104" s="15"/>
      <c r="L104" s="15"/>
      <c r="M104" s="70"/>
    </row>
    <row r="105" spans="1:13" s="11" customFormat="1">
      <c r="A105" s="166" t="s">
        <v>529</v>
      </c>
      <c r="B105" s="164"/>
      <c r="C105" s="78"/>
      <c r="D105" s="26"/>
      <c r="E105" s="79"/>
      <c r="F105" s="41"/>
      <c r="G105" s="16"/>
      <c r="H105" s="16"/>
      <c r="I105" s="15"/>
      <c r="J105" s="15"/>
      <c r="K105" s="15"/>
      <c r="L105" s="15"/>
      <c r="M105" s="70"/>
    </row>
    <row r="106" spans="1:13" s="11" customFormat="1">
      <c r="A106" s="166"/>
      <c r="B106" s="164"/>
      <c r="C106" s="78"/>
      <c r="D106" s="26"/>
      <c r="E106" s="79"/>
      <c r="F106" s="41"/>
      <c r="G106" s="16"/>
      <c r="H106" s="16"/>
      <c r="I106" s="15"/>
      <c r="J106" s="15"/>
      <c r="K106" s="15"/>
      <c r="L106" s="15"/>
      <c r="M106" s="70"/>
    </row>
    <row r="107" spans="1:13" s="139" customFormat="1" ht="25.5">
      <c r="A107" s="162" t="s">
        <v>455</v>
      </c>
      <c r="B107" s="163"/>
      <c r="C107" s="140" t="s">
        <v>447</v>
      </c>
      <c r="D107" s="142"/>
      <c r="E107" s="141"/>
      <c r="F107" s="143"/>
      <c r="G107" s="142"/>
      <c r="H107" s="142"/>
      <c r="I107" s="143"/>
      <c r="J107" s="143"/>
      <c r="K107" s="143"/>
      <c r="L107" s="143"/>
      <c r="M107" s="144">
        <f>SUM(L108:L110)</f>
        <v>0</v>
      </c>
    </row>
    <row r="108" spans="1:13" s="11" customFormat="1">
      <c r="A108" s="166" t="s">
        <v>530</v>
      </c>
      <c r="B108" s="164"/>
      <c r="C108" s="78"/>
      <c r="D108" s="26"/>
      <c r="E108" s="79"/>
      <c r="F108" s="41"/>
      <c r="G108" s="16"/>
      <c r="H108" s="16"/>
      <c r="I108" s="15"/>
      <c r="J108" s="15"/>
      <c r="K108" s="15"/>
      <c r="L108" s="15"/>
      <c r="M108" s="70"/>
    </row>
    <row r="109" spans="1:13" s="11" customFormat="1">
      <c r="A109" s="166" t="s">
        <v>531</v>
      </c>
      <c r="B109" s="164"/>
      <c r="C109" s="78"/>
      <c r="D109" s="26"/>
      <c r="E109" s="79"/>
      <c r="F109" s="41"/>
      <c r="G109" s="16"/>
      <c r="H109" s="16"/>
      <c r="I109" s="15"/>
      <c r="J109" s="15"/>
      <c r="K109" s="15"/>
      <c r="L109" s="15"/>
      <c r="M109" s="70"/>
    </row>
    <row r="110" spans="1:13" s="11" customFormat="1" ht="15" thickBot="1">
      <c r="A110" s="166"/>
      <c r="B110" s="164"/>
      <c r="C110" s="78"/>
      <c r="D110" s="26"/>
      <c r="E110" s="79"/>
      <c r="F110" s="41"/>
      <c r="G110" s="16"/>
      <c r="H110" s="16"/>
      <c r="I110" s="15"/>
      <c r="J110" s="15"/>
      <c r="K110" s="15"/>
      <c r="L110" s="15"/>
      <c r="M110" s="70"/>
    </row>
    <row r="111" spans="1:13" s="139" customFormat="1" ht="15.75" thickBot="1">
      <c r="A111" s="154"/>
      <c r="B111" s="178"/>
      <c r="C111" s="155" t="s">
        <v>32</v>
      </c>
      <c r="D111" s="157" t="s">
        <v>131</v>
      </c>
      <c r="E111" s="156"/>
      <c r="F111" s="158"/>
      <c r="G111" s="157"/>
      <c r="H111" s="157"/>
      <c r="I111" s="158"/>
      <c r="J111" s="158"/>
      <c r="K111" s="158"/>
      <c r="L111" s="158"/>
      <c r="M111" s="159">
        <f>SUM(M15:M110)</f>
        <v>0</v>
      </c>
    </row>
    <row r="113" spans="1:13" s="94" customFormat="1" ht="12.75">
      <c r="B113" s="97" t="s">
        <v>190</v>
      </c>
      <c r="C113" s="98"/>
      <c r="D113" s="99"/>
      <c r="E113" s="62"/>
      <c r="F113" s="100"/>
      <c r="G113" s="8"/>
      <c r="H113" s="7"/>
      <c r="I113" s="7"/>
      <c r="J113" s="92"/>
      <c r="K113" s="92"/>
    </row>
    <row r="114" spans="1:13" s="94" customFormat="1" ht="12.75">
      <c r="B114" s="97"/>
      <c r="C114" s="98"/>
      <c r="D114" s="99"/>
      <c r="E114" s="62"/>
      <c r="F114" s="100"/>
      <c r="G114" s="8"/>
      <c r="H114" s="7"/>
      <c r="I114" s="7"/>
      <c r="J114" s="92"/>
      <c r="K114" s="92"/>
    </row>
    <row r="115" spans="1:13" s="94" customFormat="1" ht="12.75">
      <c r="B115" s="97"/>
      <c r="C115" s="98"/>
      <c r="D115" s="99"/>
      <c r="E115" s="62"/>
      <c r="F115" s="100"/>
      <c r="G115" s="8"/>
      <c r="H115" s="7"/>
      <c r="I115" s="7"/>
      <c r="J115" s="92"/>
      <c r="K115" s="92"/>
    </row>
    <row r="116" spans="1:13" s="94" customFormat="1" ht="9" customHeight="1">
      <c r="A116" s="86"/>
      <c r="B116" s="91"/>
      <c r="C116" s="91"/>
      <c r="E116" s="92"/>
      <c r="F116" s="95"/>
      <c r="G116" s="92"/>
      <c r="H116" s="92"/>
      <c r="I116" s="92"/>
      <c r="J116" s="92"/>
      <c r="K116" s="92"/>
      <c r="L116" s="92"/>
      <c r="M116" s="93"/>
    </row>
    <row r="117" spans="1:13" s="94" customFormat="1">
      <c r="B117" s="179" t="s">
        <v>448</v>
      </c>
      <c r="C117" s="91"/>
      <c r="E117" s="92"/>
      <c r="F117" s="95"/>
      <c r="G117" s="92"/>
      <c r="H117" s="92"/>
      <c r="I117" s="92"/>
      <c r="J117" s="92"/>
      <c r="K117" s="92"/>
      <c r="L117" s="92"/>
      <c r="M117" s="93"/>
    </row>
    <row r="118" spans="1:13" s="94" customFormat="1">
      <c r="B118" s="86"/>
      <c r="C118" s="91"/>
      <c r="E118" s="92"/>
      <c r="F118" s="95"/>
      <c r="G118" s="92"/>
      <c r="H118" s="92"/>
      <c r="I118" s="92"/>
      <c r="J118" s="92"/>
      <c r="K118" s="92"/>
      <c r="L118" s="92"/>
      <c r="M118" s="93"/>
    </row>
    <row r="119" spans="1:13" s="94" customFormat="1">
      <c r="E119" s="180" t="s">
        <v>449</v>
      </c>
      <c r="F119" s="95"/>
      <c r="G119" s="92"/>
      <c r="H119" s="92"/>
      <c r="I119" s="92"/>
      <c r="J119" s="92"/>
      <c r="K119" s="92"/>
      <c r="L119" s="96"/>
      <c r="M119" s="93"/>
    </row>
    <row r="120" spans="1:13" s="94" customFormat="1">
      <c r="E120" s="180" t="s">
        <v>480</v>
      </c>
      <c r="F120" s="95"/>
      <c r="G120" s="92"/>
      <c r="H120" s="92"/>
      <c r="I120" s="92"/>
      <c r="J120" s="92"/>
      <c r="K120" s="92"/>
      <c r="L120" s="96"/>
      <c r="M120" s="93"/>
    </row>
    <row r="121" spans="1:13" s="94" customFormat="1">
      <c r="E121" s="180" t="s">
        <v>450</v>
      </c>
      <c r="F121" s="95"/>
      <c r="G121" s="92"/>
      <c r="H121" s="92"/>
      <c r="I121" s="92"/>
      <c r="J121" s="92"/>
      <c r="K121" s="92"/>
      <c r="L121" s="96"/>
      <c r="M121" s="93"/>
    </row>
  </sheetData>
  <mergeCells count="9">
    <mergeCell ref="M13:M14"/>
    <mergeCell ref="A13:A14"/>
    <mergeCell ref="B13:B14"/>
    <mergeCell ref="C13:C14"/>
    <mergeCell ref="D13:D14"/>
    <mergeCell ref="E13:E14"/>
    <mergeCell ref="L13:L14"/>
    <mergeCell ref="F13:H13"/>
    <mergeCell ref="I13:K13"/>
  </mergeCells>
  <printOptions horizontalCentered="1"/>
  <pageMargins left="1.1811023622047245" right="0.59055118110236227" top="1.1811023622047245" bottom="0.98425196850393704" header="0.39370078740157483" footer="0.39370078740157483"/>
  <pageSetup paperSize="9" scale="80" fitToHeight="0" orientation="landscape" r:id="rId1"/>
  <headerFooter>
    <oddHeader>&amp;L&amp;G&amp;C&amp;"Arial,Negrito"MINISTÉRIO DA EDUCAÇÃO
&amp;8INSTITUTO FEDERAL FARROUPILHA
REITORIA&amp;R&amp;P de &amp;N</oddHeader>
    <oddFooter>&amp;C&amp;"Arial,Normal"&amp;8Rua Esmeralda, 430 – Faixa Nova – Camobi – CEP 97110-767 – Santa Maria/RS 
Fone: (55) 3226-6630 / E-mail: coeng@iffarroupilha.edu.br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J55"/>
  <sheetViews>
    <sheetView tabSelected="1" topLeftCell="A7" workbookViewId="0">
      <selection activeCell="F40" sqref="F40"/>
    </sheetView>
  </sheetViews>
  <sheetFormatPr defaultRowHeight="12.75"/>
  <cols>
    <col min="1" max="1" width="5.42578125" style="32" customWidth="1"/>
    <col min="2" max="2" width="45.7109375" style="32" customWidth="1"/>
    <col min="3" max="3" width="11.7109375" style="32" customWidth="1"/>
    <col min="4" max="4" width="4.42578125" style="32" customWidth="1"/>
    <col min="5" max="5" width="6.5703125" style="33" customWidth="1"/>
    <col min="6" max="6" width="46.42578125" style="32" customWidth="1"/>
    <col min="7" max="7" width="10" style="32" customWidth="1"/>
    <col min="8" max="235" width="9.140625" style="32"/>
    <col min="236" max="236" width="5.5703125" style="32" customWidth="1"/>
    <col min="237" max="237" width="9.140625" style="32"/>
    <col min="238" max="238" width="20.5703125" style="32" customWidth="1"/>
    <col min="239" max="239" width="12.5703125" style="32" customWidth="1"/>
    <col min="240" max="240" width="29.140625" style="32" customWidth="1"/>
    <col min="241" max="241" width="11.7109375" style="32" customWidth="1"/>
    <col min="242" max="242" width="10" style="32" customWidth="1"/>
    <col min="243" max="243" width="9.85546875" style="32" bestFit="1" customWidth="1"/>
    <col min="244" max="244" width="11.140625" style="32" customWidth="1"/>
    <col min="245" max="246" width="5.85546875" style="32" customWidth="1"/>
    <col min="247" max="247" width="11" style="32" customWidth="1"/>
    <col min="248" max="248" width="18.42578125" style="32" customWidth="1"/>
    <col min="249" max="249" width="11.7109375" style="32" customWidth="1"/>
    <col min="250" max="250" width="29.140625" style="32" customWidth="1"/>
    <col min="251" max="251" width="9.7109375" style="32" customWidth="1"/>
    <col min="252" max="254" width="9.140625" style="32"/>
    <col min="255" max="255" width="5.5703125" style="32" customWidth="1"/>
    <col min="256" max="491" width="9.140625" style="32"/>
    <col min="492" max="492" width="5.5703125" style="32" customWidth="1"/>
    <col min="493" max="493" width="9.140625" style="32"/>
    <col min="494" max="494" width="20.5703125" style="32" customWidth="1"/>
    <col min="495" max="495" width="12.5703125" style="32" customWidth="1"/>
    <col min="496" max="496" width="29.140625" style="32" customWidth="1"/>
    <col min="497" max="497" width="11.7109375" style="32" customWidth="1"/>
    <col min="498" max="498" width="10" style="32" customWidth="1"/>
    <col min="499" max="499" width="9.85546875" style="32" bestFit="1" customWidth="1"/>
    <col min="500" max="500" width="11.140625" style="32" customWidth="1"/>
    <col min="501" max="502" width="5.85546875" style="32" customWidth="1"/>
    <col min="503" max="503" width="11" style="32" customWidth="1"/>
    <col min="504" max="504" width="18.42578125" style="32" customWidth="1"/>
    <col min="505" max="505" width="11.7109375" style="32" customWidth="1"/>
    <col min="506" max="506" width="29.140625" style="32" customWidth="1"/>
    <col min="507" max="507" width="9.7109375" style="32" customWidth="1"/>
    <col min="508" max="510" width="9.140625" style="32"/>
    <col min="511" max="511" width="5.5703125" style="32" customWidth="1"/>
    <col min="512" max="747" width="9.140625" style="32"/>
    <col min="748" max="748" width="5.5703125" style="32" customWidth="1"/>
    <col min="749" max="749" width="9.140625" style="32"/>
    <col min="750" max="750" width="20.5703125" style="32" customWidth="1"/>
    <col min="751" max="751" width="12.5703125" style="32" customWidth="1"/>
    <col min="752" max="752" width="29.140625" style="32" customWidth="1"/>
    <col min="753" max="753" width="11.7109375" style="32" customWidth="1"/>
    <col min="754" max="754" width="10" style="32" customWidth="1"/>
    <col min="755" max="755" width="9.85546875" style="32" bestFit="1" customWidth="1"/>
    <col min="756" max="756" width="11.140625" style="32" customWidth="1"/>
    <col min="757" max="758" width="5.85546875" style="32" customWidth="1"/>
    <col min="759" max="759" width="11" style="32" customWidth="1"/>
    <col min="760" max="760" width="18.42578125" style="32" customWidth="1"/>
    <col min="761" max="761" width="11.7109375" style="32" customWidth="1"/>
    <col min="762" max="762" width="29.140625" style="32" customWidth="1"/>
    <col min="763" max="763" width="9.7109375" style="32" customWidth="1"/>
    <col min="764" max="766" width="9.140625" style="32"/>
    <col min="767" max="767" width="5.5703125" style="32" customWidth="1"/>
    <col min="768" max="1003" width="9.140625" style="32"/>
    <col min="1004" max="1004" width="5.5703125" style="32" customWidth="1"/>
    <col min="1005" max="1005" width="9.140625" style="32"/>
    <col min="1006" max="1006" width="20.5703125" style="32" customWidth="1"/>
    <col min="1007" max="1007" width="12.5703125" style="32" customWidth="1"/>
    <col min="1008" max="1008" width="29.140625" style="32" customWidth="1"/>
    <col min="1009" max="1009" width="11.7109375" style="32" customWidth="1"/>
    <col min="1010" max="1010" width="10" style="32" customWidth="1"/>
    <col min="1011" max="1011" width="9.85546875" style="32" bestFit="1" customWidth="1"/>
    <col min="1012" max="1012" width="11.140625" style="32" customWidth="1"/>
    <col min="1013" max="1014" width="5.85546875" style="32" customWidth="1"/>
    <col min="1015" max="1015" width="11" style="32" customWidth="1"/>
    <col min="1016" max="1016" width="18.42578125" style="32" customWidth="1"/>
    <col min="1017" max="1017" width="11.7109375" style="32" customWidth="1"/>
    <col min="1018" max="1018" width="29.140625" style="32" customWidth="1"/>
    <col min="1019" max="1019" width="9.7109375" style="32" customWidth="1"/>
    <col min="1020" max="1022" width="9.140625" style="32"/>
    <col min="1023" max="1023" width="5.5703125" style="32" customWidth="1"/>
    <col min="1024" max="1259" width="9.140625" style="32"/>
    <col min="1260" max="1260" width="5.5703125" style="32" customWidth="1"/>
    <col min="1261" max="1261" width="9.140625" style="32"/>
    <col min="1262" max="1262" width="20.5703125" style="32" customWidth="1"/>
    <col min="1263" max="1263" width="12.5703125" style="32" customWidth="1"/>
    <col min="1264" max="1264" width="29.140625" style="32" customWidth="1"/>
    <col min="1265" max="1265" width="11.7109375" style="32" customWidth="1"/>
    <col min="1266" max="1266" width="10" style="32" customWidth="1"/>
    <col min="1267" max="1267" width="9.85546875" style="32" bestFit="1" customWidth="1"/>
    <col min="1268" max="1268" width="11.140625" style="32" customWidth="1"/>
    <col min="1269" max="1270" width="5.85546875" style="32" customWidth="1"/>
    <col min="1271" max="1271" width="11" style="32" customWidth="1"/>
    <col min="1272" max="1272" width="18.42578125" style="32" customWidth="1"/>
    <col min="1273" max="1273" width="11.7109375" style="32" customWidth="1"/>
    <col min="1274" max="1274" width="29.140625" style="32" customWidth="1"/>
    <col min="1275" max="1275" width="9.7109375" style="32" customWidth="1"/>
    <col min="1276" max="1278" width="9.140625" style="32"/>
    <col min="1279" max="1279" width="5.5703125" style="32" customWidth="1"/>
    <col min="1280" max="1515" width="9.140625" style="32"/>
    <col min="1516" max="1516" width="5.5703125" style="32" customWidth="1"/>
    <col min="1517" max="1517" width="9.140625" style="32"/>
    <col min="1518" max="1518" width="20.5703125" style="32" customWidth="1"/>
    <col min="1519" max="1519" width="12.5703125" style="32" customWidth="1"/>
    <col min="1520" max="1520" width="29.140625" style="32" customWidth="1"/>
    <col min="1521" max="1521" width="11.7109375" style="32" customWidth="1"/>
    <col min="1522" max="1522" width="10" style="32" customWidth="1"/>
    <col min="1523" max="1523" width="9.85546875" style="32" bestFit="1" customWidth="1"/>
    <col min="1524" max="1524" width="11.140625" style="32" customWidth="1"/>
    <col min="1525" max="1526" width="5.85546875" style="32" customWidth="1"/>
    <col min="1527" max="1527" width="11" style="32" customWidth="1"/>
    <col min="1528" max="1528" width="18.42578125" style="32" customWidth="1"/>
    <col min="1529" max="1529" width="11.7109375" style="32" customWidth="1"/>
    <col min="1530" max="1530" width="29.140625" style="32" customWidth="1"/>
    <col min="1531" max="1531" width="9.7109375" style="32" customWidth="1"/>
    <col min="1532" max="1534" width="9.140625" style="32"/>
    <col min="1535" max="1535" width="5.5703125" style="32" customWidth="1"/>
    <col min="1536" max="1771" width="9.140625" style="32"/>
    <col min="1772" max="1772" width="5.5703125" style="32" customWidth="1"/>
    <col min="1773" max="1773" width="9.140625" style="32"/>
    <col min="1774" max="1774" width="20.5703125" style="32" customWidth="1"/>
    <col min="1775" max="1775" width="12.5703125" style="32" customWidth="1"/>
    <col min="1776" max="1776" width="29.140625" style="32" customWidth="1"/>
    <col min="1777" max="1777" width="11.7109375" style="32" customWidth="1"/>
    <col min="1778" max="1778" width="10" style="32" customWidth="1"/>
    <col min="1779" max="1779" width="9.85546875" style="32" bestFit="1" customWidth="1"/>
    <col min="1780" max="1780" width="11.140625" style="32" customWidth="1"/>
    <col min="1781" max="1782" width="5.85546875" style="32" customWidth="1"/>
    <col min="1783" max="1783" width="11" style="32" customWidth="1"/>
    <col min="1784" max="1784" width="18.42578125" style="32" customWidth="1"/>
    <col min="1785" max="1785" width="11.7109375" style="32" customWidth="1"/>
    <col min="1786" max="1786" width="29.140625" style="32" customWidth="1"/>
    <col min="1787" max="1787" width="9.7109375" style="32" customWidth="1"/>
    <col min="1788" max="1790" width="9.140625" style="32"/>
    <col min="1791" max="1791" width="5.5703125" style="32" customWidth="1"/>
    <col min="1792" max="2027" width="9.140625" style="32"/>
    <col min="2028" max="2028" width="5.5703125" style="32" customWidth="1"/>
    <col min="2029" max="2029" width="9.140625" style="32"/>
    <col min="2030" max="2030" width="20.5703125" style="32" customWidth="1"/>
    <col min="2031" max="2031" width="12.5703125" style="32" customWidth="1"/>
    <col min="2032" max="2032" width="29.140625" style="32" customWidth="1"/>
    <col min="2033" max="2033" width="11.7109375" style="32" customWidth="1"/>
    <col min="2034" max="2034" width="10" style="32" customWidth="1"/>
    <col min="2035" max="2035" width="9.85546875" style="32" bestFit="1" customWidth="1"/>
    <col min="2036" max="2036" width="11.140625" style="32" customWidth="1"/>
    <col min="2037" max="2038" width="5.85546875" style="32" customWidth="1"/>
    <col min="2039" max="2039" width="11" style="32" customWidth="1"/>
    <col min="2040" max="2040" width="18.42578125" style="32" customWidth="1"/>
    <col min="2041" max="2041" width="11.7109375" style="32" customWidth="1"/>
    <col min="2042" max="2042" width="29.140625" style="32" customWidth="1"/>
    <col min="2043" max="2043" width="9.7109375" style="32" customWidth="1"/>
    <col min="2044" max="2046" width="9.140625" style="32"/>
    <col min="2047" max="2047" width="5.5703125" style="32" customWidth="1"/>
    <col min="2048" max="2283" width="9.140625" style="32"/>
    <col min="2284" max="2284" width="5.5703125" style="32" customWidth="1"/>
    <col min="2285" max="2285" width="9.140625" style="32"/>
    <col min="2286" max="2286" width="20.5703125" style="32" customWidth="1"/>
    <col min="2287" max="2287" width="12.5703125" style="32" customWidth="1"/>
    <col min="2288" max="2288" width="29.140625" style="32" customWidth="1"/>
    <col min="2289" max="2289" width="11.7109375" style="32" customWidth="1"/>
    <col min="2290" max="2290" width="10" style="32" customWidth="1"/>
    <col min="2291" max="2291" width="9.85546875" style="32" bestFit="1" customWidth="1"/>
    <col min="2292" max="2292" width="11.140625" style="32" customWidth="1"/>
    <col min="2293" max="2294" width="5.85546875" style="32" customWidth="1"/>
    <col min="2295" max="2295" width="11" style="32" customWidth="1"/>
    <col min="2296" max="2296" width="18.42578125" style="32" customWidth="1"/>
    <col min="2297" max="2297" width="11.7109375" style="32" customWidth="1"/>
    <col min="2298" max="2298" width="29.140625" style="32" customWidth="1"/>
    <col min="2299" max="2299" width="9.7109375" style="32" customWidth="1"/>
    <col min="2300" max="2302" width="9.140625" style="32"/>
    <col min="2303" max="2303" width="5.5703125" style="32" customWidth="1"/>
    <col min="2304" max="2539" width="9.140625" style="32"/>
    <col min="2540" max="2540" width="5.5703125" style="32" customWidth="1"/>
    <col min="2541" max="2541" width="9.140625" style="32"/>
    <col min="2542" max="2542" width="20.5703125" style="32" customWidth="1"/>
    <col min="2543" max="2543" width="12.5703125" style="32" customWidth="1"/>
    <col min="2544" max="2544" width="29.140625" style="32" customWidth="1"/>
    <col min="2545" max="2545" width="11.7109375" style="32" customWidth="1"/>
    <col min="2546" max="2546" width="10" style="32" customWidth="1"/>
    <col min="2547" max="2547" width="9.85546875" style="32" bestFit="1" customWidth="1"/>
    <col min="2548" max="2548" width="11.140625" style="32" customWidth="1"/>
    <col min="2549" max="2550" width="5.85546875" style="32" customWidth="1"/>
    <col min="2551" max="2551" width="11" style="32" customWidth="1"/>
    <col min="2552" max="2552" width="18.42578125" style="32" customWidth="1"/>
    <col min="2553" max="2553" width="11.7109375" style="32" customWidth="1"/>
    <col min="2554" max="2554" width="29.140625" style="32" customWidth="1"/>
    <col min="2555" max="2555" width="9.7109375" style="32" customWidth="1"/>
    <col min="2556" max="2558" width="9.140625" style="32"/>
    <col min="2559" max="2559" width="5.5703125" style="32" customWidth="1"/>
    <col min="2560" max="2795" width="9.140625" style="32"/>
    <col min="2796" max="2796" width="5.5703125" style="32" customWidth="1"/>
    <col min="2797" max="2797" width="9.140625" style="32"/>
    <col min="2798" max="2798" width="20.5703125" style="32" customWidth="1"/>
    <col min="2799" max="2799" width="12.5703125" style="32" customWidth="1"/>
    <col min="2800" max="2800" width="29.140625" style="32" customWidth="1"/>
    <col min="2801" max="2801" width="11.7109375" style="32" customWidth="1"/>
    <col min="2802" max="2802" width="10" style="32" customWidth="1"/>
    <col min="2803" max="2803" width="9.85546875" style="32" bestFit="1" customWidth="1"/>
    <col min="2804" max="2804" width="11.140625" style="32" customWidth="1"/>
    <col min="2805" max="2806" width="5.85546875" style="32" customWidth="1"/>
    <col min="2807" max="2807" width="11" style="32" customWidth="1"/>
    <col min="2808" max="2808" width="18.42578125" style="32" customWidth="1"/>
    <col min="2809" max="2809" width="11.7109375" style="32" customWidth="1"/>
    <col min="2810" max="2810" width="29.140625" style="32" customWidth="1"/>
    <col min="2811" max="2811" width="9.7109375" style="32" customWidth="1"/>
    <col min="2812" max="2814" width="9.140625" style="32"/>
    <col min="2815" max="2815" width="5.5703125" style="32" customWidth="1"/>
    <col min="2816" max="3051" width="9.140625" style="32"/>
    <col min="3052" max="3052" width="5.5703125" style="32" customWidth="1"/>
    <col min="3053" max="3053" width="9.140625" style="32"/>
    <col min="3054" max="3054" width="20.5703125" style="32" customWidth="1"/>
    <col min="3055" max="3055" width="12.5703125" style="32" customWidth="1"/>
    <col min="3056" max="3056" width="29.140625" style="32" customWidth="1"/>
    <col min="3057" max="3057" width="11.7109375" style="32" customWidth="1"/>
    <col min="3058" max="3058" width="10" style="32" customWidth="1"/>
    <col min="3059" max="3059" width="9.85546875" style="32" bestFit="1" customWidth="1"/>
    <col min="3060" max="3060" width="11.140625" style="32" customWidth="1"/>
    <col min="3061" max="3062" width="5.85546875" style="32" customWidth="1"/>
    <col min="3063" max="3063" width="11" style="32" customWidth="1"/>
    <col min="3064" max="3064" width="18.42578125" style="32" customWidth="1"/>
    <col min="3065" max="3065" width="11.7109375" style="32" customWidth="1"/>
    <col min="3066" max="3066" width="29.140625" style="32" customWidth="1"/>
    <col min="3067" max="3067" width="9.7109375" style="32" customWidth="1"/>
    <col min="3068" max="3070" width="9.140625" style="32"/>
    <col min="3071" max="3071" width="5.5703125" style="32" customWidth="1"/>
    <col min="3072" max="3307" width="9.140625" style="32"/>
    <col min="3308" max="3308" width="5.5703125" style="32" customWidth="1"/>
    <col min="3309" max="3309" width="9.140625" style="32"/>
    <col min="3310" max="3310" width="20.5703125" style="32" customWidth="1"/>
    <col min="3311" max="3311" width="12.5703125" style="32" customWidth="1"/>
    <col min="3312" max="3312" width="29.140625" style="32" customWidth="1"/>
    <col min="3313" max="3313" width="11.7109375" style="32" customWidth="1"/>
    <col min="3314" max="3314" width="10" style="32" customWidth="1"/>
    <col min="3315" max="3315" width="9.85546875" style="32" bestFit="1" customWidth="1"/>
    <col min="3316" max="3316" width="11.140625" style="32" customWidth="1"/>
    <col min="3317" max="3318" width="5.85546875" style="32" customWidth="1"/>
    <col min="3319" max="3319" width="11" style="32" customWidth="1"/>
    <col min="3320" max="3320" width="18.42578125" style="32" customWidth="1"/>
    <col min="3321" max="3321" width="11.7109375" style="32" customWidth="1"/>
    <col min="3322" max="3322" width="29.140625" style="32" customWidth="1"/>
    <col min="3323" max="3323" width="9.7109375" style="32" customWidth="1"/>
    <col min="3324" max="3326" width="9.140625" style="32"/>
    <col min="3327" max="3327" width="5.5703125" style="32" customWidth="1"/>
    <col min="3328" max="3563" width="9.140625" style="32"/>
    <col min="3564" max="3564" width="5.5703125" style="32" customWidth="1"/>
    <col min="3565" max="3565" width="9.140625" style="32"/>
    <col min="3566" max="3566" width="20.5703125" style="32" customWidth="1"/>
    <col min="3567" max="3567" width="12.5703125" style="32" customWidth="1"/>
    <col min="3568" max="3568" width="29.140625" style="32" customWidth="1"/>
    <col min="3569" max="3569" width="11.7109375" style="32" customWidth="1"/>
    <col min="3570" max="3570" width="10" style="32" customWidth="1"/>
    <col min="3571" max="3571" width="9.85546875" style="32" bestFit="1" customWidth="1"/>
    <col min="3572" max="3572" width="11.140625" style="32" customWidth="1"/>
    <col min="3573" max="3574" width="5.85546875" style="32" customWidth="1"/>
    <col min="3575" max="3575" width="11" style="32" customWidth="1"/>
    <col min="3576" max="3576" width="18.42578125" style="32" customWidth="1"/>
    <col min="3577" max="3577" width="11.7109375" style="32" customWidth="1"/>
    <col min="3578" max="3578" width="29.140625" style="32" customWidth="1"/>
    <col min="3579" max="3579" width="9.7109375" style="32" customWidth="1"/>
    <col min="3580" max="3582" width="9.140625" style="32"/>
    <col min="3583" max="3583" width="5.5703125" style="32" customWidth="1"/>
    <col min="3584" max="3819" width="9.140625" style="32"/>
    <col min="3820" max="3820" width="5.5703125" style="32" customWidth="1"/>
    <col min="3821" max="3821" width="9.140625" style="32"/>
    <col min="3822" max="3822" width="20.5703125" style="32" customWidth="1"/>
    <col min="3823" max="3823" width="12.5703125" style="32" customWidth="1"/>
    <col min="3824" max="3824" width="29.140625" style="32" customWidth="1"/>
    <col min="3825" max="3825" width="11.7109375" style="32" customWidth="1"/>
    <col min="3826" max="3826" width="10" style="32" customWidth="1"/>
    <col min="3827" max="3827" width="9.85546875" style="32" bestFit="1" customWidth="1"/>
    <col min="3828" max="3828" width="11.140625" style="32" customWidth="1"/>
    <col min="3829" max="3830" width="5.85546875" style="32" customWidth="1"/>
    <col min="3831" max="3831" width="11" style="32" customWidth="1"/>
    <col min="3832" max="3832" width="18.42578125" style="32" customWidth="1"/>
    <col min="3833" max="3833" width="11.7109375" style="32" customWidth="1"/>
    <col min="3834" max="3834" width="29.140625" style="32" customWidth="1"/>
    <col min="3835" max="3835" width="9.7109375" style="32" customWidth="1"/>
    <col min="3836" max="3838" width="9.140625" style="32"/>
    <col min="3839" max="3839" width="5.5703125" style="32" customWidth="1"/>
    <col min="3840" max="4075" width="9.140625" style="32"/>
    <col min="4076" max="4076" width="5.5703125" style="32" customWidth="1"/>
    <col min="4077" max="4077" width="9.140625" style="32"/>
    <col min="4078" max="4078" width="20.5703125" style="32" customWidth="1"/>
    <col min="4079" max="4079" width="12.5703125" style="32" customWidth="1"/>
    <col min="4080" max="4080" width="29.140625" style="32" customWidth="1"/>
    <col min="4081" max="4081" width="11.7109375" style="32" customWidth="1"/>
    <col min="4082" max="4082" width="10" style="32" customWidth="1"/>
    <col min="4083" max="4083" width="9.85546875" style="32" bestFit="1" customWidth="1"/>
    <col min="4084" max="4084" width="11.140625" style="32" customWidth="1"/>
    <col min="4085" max="4086" width="5.85546875" style="32" customWidth="1"/>
    <col min="4087" max="4087" width="11" style="32" customWidth="1"/>
    <col min="4088" max="4088" width="18.42578125" style="32" customWidth="1"/>
    <col min="4089" max="4089" width="11.7109375" style="32" customWidth="1"/>
    <col min="4090" max="4090" width="29.140625" style="32" customWidth="1"/>
    <col min="4091" max="4091" width="9.7109375" style="32" customWidth="1"/>
    <col min="4092" max="4094" width="9.140625" style="32"/>
    <col min="4095" max="4095" width="5.5703125" style="32" customWidth="1"/>
    <col min="4096" max="4331" width="9.140625" style="32"/>
    <col min="4332" max="4332" width="5.5703125" style="32" customWidth="1"/>
    <col min="4333" max="4333" width="9.140625" style="32"/>
    <col min="4334" max="4334" width="20.5703125" style="32" customWidth="1"/>
    <col min="4335" max="4335" width="12.5703125" style="32" customWidth="1"/>
    <col min="4336" max="4336" width="29.140625" style="32" customWidth="1"/>
    <col min="4337" max="4337" width="11.7109375" style="32" customWidth="1"/>
    <col min="4338" max="4338" width="10" style="32" customWidth="1"/>
    <col min="4339" max="4339" width="9.85546875" style="32" bestFit="1" customWidth="1"/>
    <col min="4340" max="4340" width="11.140625" style="32" customWidth="1"/>
    <col min="4341" max="4342" width="5.85546875" style="32" customWidth="1"/>
    <col min="4343" max="4343" width="11" style="32" customWidth="1"/>
    <col min="4344" max="4344" width="18.42578125" style="32" customWidth="1"/>
    <col min="4345" max="4345" width="11.7109375" style="32" customWidth="1"/>
    <col min="4346" max="4346" width="29.140625" style="32" customWidth="1"/>
    <col min="4347" max="4347" width="9.7109375" style="32" customWidth="1"/>
    <col min="4348" max="4350" width="9.140625" style="32"/>
    <col min="4351" max="4351" width="5.5703125" style="32" customWidth="1"/>
    <col min="4352" max="4587" width="9.140625" style="32"/>
    <col min="4588" max="4588" width="5.5703125" style="32" customWidth="1"/>
    <col min="4589" max="4589" width="9.140625" style="32"/>
    <col min="4590" max="4590" width="20.5703125" style="32" customWidth="1"/>
    <col min="4591" max="4591" width="12.5703125" style="32" customWidth="1"/>
    <col min="4592" max="4592" width="29.140625" style="32" customWidth="1"/>
    <col min="4593" max="4593" width="11.7109375" style="32" customWidth="1"/>
    <col min="4594" max="4594" width="10" style="32" customWidth="1"/>
    <col min="4595" max="4595" width="9.85546875" style="32" bestFit="1" customWidth="1"/>
    <col min="4596" max="4596" width="11.140625" style="32" customWidth="1"/>
    <col min="4597" max="4598" width="5.85546875" style="32" customWidth="1"/>
    <col min="4599" max="4599" width="11" style="32" customWidth="1"/>
    <col min="4600" max="4600" width="18.42578125" style="32" customWidth="1"/>
    <col min="4601" max="4601" width="11.7109375" style="32" customWidth="1"/>
    <col min="4602" max="4602" width="29.140625" style="32" customWidth="1"/>
    <col min="4603" max="4603" width="9.7109375" style="32" customWidth="1"/>
    <col min="4604" max="4606" width="9.140625" style="32"/>
    <col min="4607" max="4607" width="5.5703125" style="32" customWidth="1"/>
    <col min="4608" max="4843" width="9.140625" style="32"/>
    <col min="4844" max="4844" width="5.5703125" style="32" customWidth="1"/>
    <col min="4845" max="4845" width="9.140625" style="32"/>
    <col min="4846" max="4846" width="20.5703125" style="32" customWidth="1"/>
    <col min="4847" max="4847" width="12.5703125" style="32" customWidth="1"/>
    <col min="4848" max="4848" width="29.140625" style="32" customWidth="1"/>
    <col min="4849" max="4849" width="11.7109375" style="32" customWidth="1"/>
    <col min="4850" max="4850" width="10" style="32" customWidth="1"/>
    <col min="4851" max="4851" width="9.85546875" style="32" bestFit="1" customWidth="1"/>
    <col min="4852" max="4852" width="11.140625" style="32" customWidth="1"/>
    <col min="4853" max="4854" width="5.85546875" style="32" customWidth="1"/>
    <col min="4855" max="4855" width="11" style="32" customWidth="1"/>
    <col min="4856" max="4856" width="18.42578125" style="32" customWidth="1"/>
    <col min="4857" max="4857" width="11.7109375" style="32" customWidth="1"/>
    <col min="4858" max="4858" width="29.140625" style="32" customWidth="1"/>
    <col min="4859" max="4859" width="9.7109375" style="32" customWidth="1"/>
    <col min="4860" max="4862" width="9.140625" style="32"/>
    <col min="4863" max="4863" width="5.5703125" style="32" customWidth="1"/>
    <col min="4864" max="5099" width="9.140625" style="32"/>
    <col min="5100" max="5100" width="5.5703125" style="32" customWidth="1"/>
    <col min="5101" max="5101" width="9.140625" style="32"/>
    <col min="5102" max="5102" width="20.5703125" style="32" customWidth="1"/>
    <col min="5103" max="5103" width="12.5703125" style="32" customWidth="1"/>
    <col min="5104" max="5104" width="29.140625" style="32" customWidth="1"/>
    <col min="5105" max="5105" width="11.7109375" style="32" customWidth="1"/>
    <col min="5106" max="5106" width="10" style="32" customWidth="1"/>
    <col min="5107" max="5107" width="9.85546875" style="32" bestFit="1" customWidth="1"/>
    <col min="5108" max="5108" width="11.140625" style="32" customWidth="1"/>
    <col min="5109" max="5110" width="5.85546875" style="32" customWidth="1"/>
    <col min="5111" max="5111" width="11" style="32" customWidth="1"/>
    <col min="5112" max="5112" width="18.42578125" style="32" customWidth="1"/>
    <col min="5113" max="5113" width="11.7109375" style="32" customWidth="1"/>
    <col min="5114" max="5114" width="29.140625" style="32" customWidth="1"/>
    <col min="5115" max="5115" width="9.7109375" style="32" customWidth="1"/>
    <col min="5116" max="5118" width="9.140625" style="32"/>
    <col min="5119" max="5119" width="5.5703125" style="32" customWidth="1"/>
    <col min="5120" max="5355" width="9.140625" style="32"/>
    <col min="5356" max="5356" width="5.5703125" style="32" customWidth="1"/>
    <col min="5357" max="5357" width="9.140625" style="32"/>
    <col min="5358" max="5358" width="20.5703125" style="32" customWidth="1"/>
    <col min="5359" max="5359" width="12.5703125" style="32" customWidth="1"/>
    <col min="5360" max="5360" width="29.140625" style="32" customWidth="1"/>
    <col min="5361" max="5361" width="11.7109375" style="32" customWidth="1"/>
    <col min="5362" max="5362" width="10" style="32" customWidth="1"/>
    <col min="5363" max="5363" width="9.85546875" style="32" bestFit="1" customWidth="1"/>
    <col min="5364" max="5364" width="11.140625" style="32" customWidth="1"/>
    <col min="5365" max="5366" width="5.85546875" style="32" customWidth="1"/>
    <col min="5367" max="5367" width="11" style="32" customWidth="1"/>
    <col min="5368" max="5368" width="18.42578125" style="32" customWidth="1"/>
    <col min="5369" max="5369" width="11.7109375" style="32" customWidth="1"/>
    <col min="5370" max="5370" width="29.140625" style="32" customWidth="1"/>
    <col min="5371" max="5371" width="9.7109375" style="32" customWidth="1"/>
    <col min="5372" max="5374" width="9.140625" style="32"/>
    <col min="5375" max="5375" width="5.5703125" style="32" customWidth="1"/>
    <col min="5376" max="5611" width="9.140625" style="32"/>
    <col min="5612" max="5612" width="5.5703125" style="32" customWidth="1"/>
    <col min="5613" max="5613" width="9.140625" style="32"/>
    <col min="5614" max="5614" width="20.5703125" style="32" customWidth="1"/>
    <col min="5615" max="5615" width="12.5703125" style="32" customWidth="1"/>
    <col min="5616" max="5616" width="29.140625" style="32" customWidth="1"/>
    <col min="5617" max="5617" width="11.7109375" style="32" customWidth="1"/>
    <col min="5618" max="5618" width="10" style="32" customWidth="1"/>
    <col min="5619" max="5619" width="9.85546875" style="32" bestFit="1" customWidth="1"/>
    <col min="5620" max="5620" width="11.140625" style="32" customWidth="1"/>
    <col min="5621" max="5622" width="5.85546875" style="32" customWidth="1"/>
    <col min="5623" max="5623" width="11" style="32" customWidth="1"/>
    <col min="5624" max="5624" width="18.42578125" style="32" customWidth="1"/>
    <col min="5625" max="5625" width="11.7109375" style="32" customWidth="1"/>
    <col min="5626" max="5626" width="29.140625" style="32" customWidth="1"/>
    <col min="5627" max="5627" width="9.7109375" style="32" customWidth="1"/>
    <col min="5628" max="5630" width="9.140625" style="32"/>
    <col min="5631" max="5631" width="5.5703125" style="32" customWidth="1"/>
    <col min="5632" max="5867" width="9.140625" style="32"/>
    <col min="5868" max="5868" width="5.5703125" style="32" customWidth="1"/>
    <col min="5869" max="5869" width="9.140625" style="32"/>
    <col min="5870" max="5870" width="20.5703125" style="32" customWidth="1"/>
    <col min="5871" max="5871" width="12.5703125" style="32" customWidth="1"/>
    <col min="5872" max="5872" width="29.140625" style="32" customWidth="1"/>
    <col min="5873" max="5873" width="11.7109375" style="32" customWidth="1"/>
    <col min="5874" max="5874" width="10" style="32" customWidth="1"/>
    <col min="5875" max="5875" width="9.85546875" style="32" bestFit="1" customWidth="1"/>
    <col min="5876" max="5876" width="11.140625" style="32" customWidth="1"/>
    <col min="5877" max="5878" width="5.85546875" style="32" customWidth="1"/>
    <col min="5879" max="5879" width="11" style="32" customWidth="1"/>
    <col min="5880" max="5880" width="18.42578125" style="32" customWidth="1"/>
    <col min="5881" max="5881" width="11.7109375" style="32" customWidth="1"/>
    <col min="5882" max="5882" width="29.140625" style="32" customWidth="1"/>
    <col min="5883" max="5883" width="9.7109375" style="32" customWidth="1"/>
    <col min="5884" max="5886" width="9.140625" style="32"/>
    <col min="5887" max="5887" width="5.5703125" style="32" customWidth="1"/>
    <col min="5888" max="6123" width="9.140625" style="32"/>
    <col min="6124" max="6124" width="5.5703125" style="32" customWidth="1"/>
    <col min="6125" max="6125" width="9.140625" style="32"/>
    <col min="6126" max="6126" width="20.5703125" style="32" customWidth="1"/>
    <col min="6127" max="6127" width="12.5703125" style="32" customWidth="1"/>
    <col min="6128" max="6128" width="29.140625" style="32" customWidth="1"/>
    <col min="6129" max="6129" width="11.7109375" style="32" customWidth="1"/>
    <col min="6130" max="6130" width="10" style="32" customWidth="1"/>
    <col min="6131" max="6131" width="9.85546875" style="32" bestFit="1" customWidth="1"/>
    <col min="6132" max="6132" width="11.140625" style="32" customWidth="1"/>
    <col min="6133" max="6134" width="5.85546875" style="32" customWidth="1"/>
    <col min="6135" max="6135" width="11" style="32" customWidth="1"/>
    <col min="6136" max="6136" width="18.42578125" style="32" customWidth="1"/>
    <col min="6137" max="6137" width="11.7109375" style="32" customWidth="1"/>
    <col min="6138" max="6138" width="29.140625" style="32" customWidth="1"/>
    <col min="6139" max="6139" width="9.7109375" style="32" customWidth="1"/>
    <col min="6140" max="6142" width="9.140625" style="32"/>
    <col min="6143" max="6143" width="5.5703125" style="32" customWidth="1"/>
    <col min="6144" max="6379" width="9.140625" style="32"/>
    <col min="6380" max="6380" width="5.5703125" style="32" customWidth="1"/>
    <col min="6381" max="6381" width="9.140625" style="32"/>
    <col min="6382" max="6382" width="20.5703125" style="32" customWidth="1"/>
    <col min="6383" max="6383" width="12.5703125" style="32" customWidth="1"/>
    <col min="6384" max="6384" width="29.140625" style="32" customWidth="1"/>
    <col min="6385" max="6385" width="11.7109375" style="32" customWidth="1"/>
    <col min="6386" max="6386" width="10" style="32" customWidth="1"/>
    <col min="6387" max="6387" width="9.85546875" style="32" bestFit="1" customWidth="1"/>
    <col min="6388" max="6388" width="11.140625" style="32" customWidth="1"/>
    <col min="6389" max="6390" width="5.85546875" style="32" customWidth="1"/>
    <col min="6391" max="6391" width="11" style="32" customWidth="1"/>
    <col min="6392" max="6392" width="18.42578125" style="32" customWidth="1"/>
    <col min="6393" max="6393" width="11.7109375" style="32" customWidth="1"/>
    <col min="6394" max="6394" width="29.140625" style="32" customWidth="1"/>
    <col min="6395" max="6395" width="9.7109375" style="32" customWidth="1"/>
    <col min="6396" max="6398" width="9.140625" style="32"/>
    <col min="6399" max="6399" width="5.5703125" style="32" customWidth="1"/>
    <col min="6400" max="6635" width="9.140625" style="32"/>
    <col min="6636" max="6636" width="5.5703125" style="32" customWidth="1"/>
    <col min="6637" max="6637" width="9.140625" style="32"/>
    <col min="6638" max="6638" width="20.5703125" style="32" customWidth="1"/>
    <col min="6639" max="6639" width="12.5703125" style="32" customWidth="1"/>
    <col min="6640" max="6640" width="29.140625" style="32" customWidth="1"/>
    <col min="6641" max="6641" width="11.7109375" style="32" customWidth="1"/>
    <col min="6642" max="6642" width="10" style="32" customWidth="1"/>
    <col min="6643" max="6643" width="9.85546875" style="32" bestFit="1" customWidth="1"/>
    <col min="6644" max="6644" width="11.140625" style="32" customWidth="1"/>
    <col min="6645" max="6646" width="5.85546875" style="32" customWidth="1"/>
    <col min="6647" max="6647" width="11" style="32" customWidth="1"/>
    <col min="6648" max="6648" width="18.42578125" style="32" customWidth="1"/>
    <col min="6649" max="6649" width="11.7109375" style="32" customWidth="1"/>
    <col min="6650" max="6650" width="29.140625" style="32" customWidth="1"/>
    <col min="6651" max="6651" width="9.7109375" style="32" customWidth="1"/>
    <col min="6652" max="6654" width="9.140625" style="32"/>
    <col min="6655" max="6655" width="5.5703125" style="32" customWidth="1"/>
    <col min="6656" max="6891" width="9.140625" style="32"/>
    <col min="6892" max="6892" width="5.5703125" style="32" customWidth="1"/>
    <col min="6893" max="6893" width="9.140625" style="32"/>
    <col min="6894" max="6894" width="20.5703125" style="32" customWidth="1"/>
    <col min="6895" max="6895" width="12.5703125" style="32" customWidth="1"/>
    <col min="6896" max="6896" width="29.140625" style="32" customWidth="1"/>
    <col min="6897" max="6897" width="11.7109375" style="32" customWidth="1"/>
    <col min="6898" max="6898" width="10" style="32" customWidth="1"/>
    <col min="6899" max="6899" width="9.85546875" style="32" bestFit="1" customWidth="1"/>
    <col min="6900" max="6900" width="11.140625" style="32" customWidth="1"/>
    <col min="6901" max="6902" width="5.85546875" style="32" customWidth="1"/>
    <col min="6903" max="6903" width="11" style="32" customWidth="1"/>
    <col min="6904" max="6904" width="18.42578125" style="32" customWidth="1"/>
    <col min="6905" max="6905" width="11.7109375" style="32" customWidth="1"/>
    <col min="6906" max="6906" width="29.140625" style="32" customWidth="1"/>
    <col min="6907" max="6907" width="9.7109375" style="32" customWidth="1"/>
    <col min="6908" max="6910" width="9.140625" style="32"/>
    <col min="6911" max="6911" width="5.5703125" style="32" customWidth="1"/>
    <col min="6912" max="7147" width="9.140625" style="32"/>
    <col min="7148" max="7148" width="5.5703125" style="32" customWidth="1"/>
    <col min="7149" max="7149" width="9.140625" style="32"/>
    <col min="7150" max="7150" width="20.5703125" style="32" customWidth="1"/>
    <col min="7151" max="7151" width="12.5703125" style="32" customWidth="1"/>
    <col min="7152" max="7152" width="29.140625" style="32" customWidth="1"/>
    <col min="7153" max="7153" width="11.7109375" style="32" customWidth="1"/>
    <col min="7154" max="7154" width="10" style="32" customWidth="1"/>
    <col min="7155" max="7155" width="9.85546875" style="32" bestFit="1" customWidth="1"/>
    <col min="7156" max="7156" width="11.140625" style="32" customWidth="1"/>
    <col min="7157" max="7158" width="5.85546875" style="32" customWidth="1"/>
    <col min="7159" max="7159" width="11" style="32" customWidth="1"/>
    <col min="7160" max="7160" width="18.42578125" style="32" customWidth="1"/>
    <col min="7161" max="7161" width="11.7109375" style="32" customWidth="1"/>
    <col min="7162" max="7162" width="29.140625" style="32" customWidth="1"/>
    <col min="7163" max="7163" width="9.7109375" style="32" customWidth="1"/>
    <col min="7164" max="7166" width="9.140625" style="32"/>
    <col min="7167" max="7167" width="5.5703125" style="32" customWidth="1"/>
    <col min="7168" max="7403" width="9.140625" style="32"/>
    <col min="7404" max="7404" width="5.5703125" style="32" customWidth="1"/>
    <col min="7405" max="7405" width="9.140625" style="32"/>
    <col min="7406" max="7406" width="20.5703125" style="32" customWidth="1"/>
    <col min="7407" max="7407" width="12.5703125" style="32" customWidth="1"/>
    <col min="7408" max="7408" width="29.140625" style="32" customWidth="1"/>
    <col min="7409" max="7409" width="11.7109375" style="32" customWidth="1"/>
    <col min="7410" max="7410" width="10" style="32" customWidth="1"/>
    <col min="7411" max="7411" width="9.85546875" style="32" bestFit="1" customWidth="1"/>
    <col min="7412" max="7412" width="11.140625" style="32" customWidth="1"/>
    <col min="7413" max="7414" width="5.85546875" style="32" customWidth="1"/>
    <col min="7415" max="7415" width="11" style="32" customWidth="1"/>
    <col min="7416" max="7416" width="18.42578125" style="32" customWidth="1"/>
    <col min="7417" max="7417" width="11.7109375" style="32" customWidth="1"/>
    <col min="7418" max="7418" width="29.140625" style="32" customWidth="1"/>
    <col min="7419" max="7419" width="9.7109375" style="32" customWidth="1"/>
    <col min="7420" max="7422" width="9.140625" style="32"/>
    <col min="7423" max="7423" width="5.5703125" style="32" customWidth="1"/>
    <col min="7424" max="7659" width="9.140625" style="32"/>
    <col min="7660" max="7660" width="5.5703125" style="32" customWidth="1"/>
    <col min="7661" max="7661" width="9.140625" style="32"/>
    <col min="7662" max="7662" width="20.5703125" style="32" customWidth="1"/>
    <col min="7663" max="7663" width="12.5703125" style="32" customWidth="1"/>
    <col min="7664" max="7664" width="29.140625" style="32" customWidth="1"/>
    <col min="7665" max="7665" width="11.7109375" style="32" customWidth="1"/>
    <col min="7666" max="7666" width="10" style="32" customWidth="1"/>
    <col min="7667" max="7667" width="9.85546875" style="32" bestFit="1" customWidth="1"/>
    <col min="7668" max="7668" width="11.140625" style="32" customWidth="1"/>
    <col min="7669" max="7670" width="5.85546875" style="32" customWidth="1"/>
    <col min="7671" max="7671" width="11" style="32" customWidth="1"/>
    <col min="7672" max="7672" width="18.42578125" style="32" customWidth="1"/>
    <col min="7673" max="7673" width="11.7109375" style="32" customWidth="1"/>
    <col min="7674" max="7674" width="29.140625" style="32" customWidth="1"/>
    <col min="7675" max="7675" width="9.7109375" style="32" customWidth="1"/>
    <col min="7676" max="7678" width="9.140625" style="32"/>
    <col min="7679" max="7679" width="5.5703125" style="32" customWidth="1"/>
    <col min="7680" max="7915" width="9.140625" style="32"/>
    <col min="7916" max="7916" width="5.5703125" style="32" customWidth="1"/>
    <col min="7917" max="7917" width="9.140625" style="32"/>
    <col min="7918" max="7918" width="20.5703125" style="32" customWidth="1"/>
    <col min="7919" max="7919" width="12.5703125" style="32" customWidth="1"/>
    <col min="7920" max="7920" width="29.140625" style="32" customWidth="1"/>
    <col min="7921" max="7921" width="11.7109375" style="32" customWidth="1"/>
    <col min="7922" max="7922" width="10" style="32" customWidth="1"/>
    <col min="7923" max="7923" width="9.85546875" style="32" bestFit="1" customWidth="1"/>
    <col min="7924" max="7924" width="11.140625" style="32" customWidth="1"/>
    <col min="7925" max="7926" width="5.85546875" style="32" customWidth="1"/>
    <col min="7927" max="7927" width="11" style="32" customWidth="1"/>
    <col min="7928" max="7928" width="18.42578125" style="32" customWidth="1"/>
    <col min="7929" max="7929" width="11.7109375" style="32" customWidth="1"/>
    <col min="7930" max="7930" width="29.140625" style="32" customWidth="1"/>
    <col min="7931" max="7931" width="9.7109375" style="32" customWidth="1"/>
    <col min="7932" max="7934" width="9.140625" style="32"/>
    <col min="7935" max="7935" width="5.5703125" style="32" customWidth="1"/>
    <col min="7936" max="8171" width="9.140625" style="32"/>
    <col min="8172" max="8172" width="5.5703125" style="32" customWidth="1"/>
    <col min="8173" max="8173" width="9.140625" style="32"/>
    <col min="8174" max="8174" width="20.5703125" style="32" customWidth="1"/>
    <col min="8175" max="8175" width="12.5703125" style="32" customWidth="1"/>
    <col min="8176" max="8176" width="29.140625" style="32" customWidth="1"/>
    <col min="8177" max="8177" width="11.7109375" style="32" customWidth="1"/>
    <col min="8178" max="8178" width="10" style="32" customWidth="1"/>
    <col min="8179" max="8179" width="9.85546875" style="32" bestFit="1" customWidth="1"/>
    <col min="8180" max="8180" width="11.140625" style="32" customWidth="1"/>
    <col min="8181" max="8182" width="5.85546875" style="32" customWidth="1"/>
    <col min="8183" max="8183" width="11" style="32" customWidth="1"/>
    <col min="8184" max="8184" width="18.42578125" style="32" customWidth="1"/>
    <col min="8185" max="8185" width="11.7109375" style="32" customWidth="1"/>
    <col min="8186" max="8186" width="29.140625" style="32" customWidth="1"/>
    <col min="8187" max="8187" width="9.7109375" style="32" customWidth="1"/>
    <col min="8188" max="8190" width="9.140625" style="32"/>
    <col min="8191" max="8191" width="5.5703125" style="32" customWidth="1"/>
    <col min="8192" max="8427" width="9.140625" style="32"/>
    <col min="8428" max="8428" width="5.5703125" style="32" customWidth="1"/>
    <col min="8429" max="8429" width="9.140625" style="32"/>
    <col min="8430" max="8430" width="20.5703125" style="32" customWidth="1"/>
    <col min="8431" max="8431" width="12.5703125" style="32" customWidth="1"/>
    <col min="8432" max="8432" width="29.140625" style="32" customWidth="1"/>
    <col min="8433" max="8433" width="11.7109375" style="32" customWidth="1"/>
    <col min="8434" max="8434" width="10" style="32" customWidth="1"/>
    <col min="8435" max="8435" width="9.85546875" style="32" bestFit="1" customWidth="1"/>
    <col min="8436" max="8436" width="11.140625" style="32" customWidth="1"/>
    <col min="8437" max="8438" width="5.85546875" style="32" customWidth="1"/>
    <col min="8439" max="8439" width="11" style="32" customWidth="1"/>
    <col min="8440" max="8440" width="18.42578125" style="32" customWidth="1"/>
    <col min="8441" max="8441" width="11.7109375" style="32" customWidth="1"/>
    <col min="8442" max="8442" width="29.140625" style="32" customWidth="1"/>
    <col min="8443" max="8443" width="9.7109375" style="32" customWidth="1"/>
    <col min="8444" max="8446" width="9.140625" style="32"/>
    <col min="8447" max="8447" width="5.5703125" style="32" customWidth="1"/>
    <col min="8448" max="8683" width="9.140625" style="32"/>
    <col min="8684" max="8684" width="5.5703125" style="32" customWidth="1"/>
    <col min="8685" max="8685" width="9.140625" style="32"/>
    <col min="8686" max="8686" width="20.5703125" style="32" customWidth="1"/>
    <col min="8687" max="8687" width="12.5703125" style="32" customWidth="1"/>
    <col min="8688" max="8688" width="29.140625" style="32" customWidth="1"/>
    <col min="8689" max="8689" width="11.7109375" style="32" customWidth="1"/>
    <col min="8690" max="8690" width="10" style="32" customWidth="1"/>
    <col min="8691" max="8691" width="9.85546875" style="32" bestFit="1" customWidth="1"/>
    <col min="8692" max="8692" width="11.140625" style="32" customWidth="1"/>
    <col min="8693" max="8694" width="5.85546875" style="32" customWidth="1"/>
    <col min="8695" max="8695" width="11" style="32" customWidth="1"/>
    <col min="8696" max="8696" width="18.42578125" style="32" customWidth="1"/>
    <col min="8697" max="8697" width="11.7109375" style="32" customWidth="1"/>
    <col min="8698" max="8698" width="29.140625" style="32" customWidth="1"/>
    <col min="8699" max="8699" width="9.7109375" style="32" customWidth="1"/>
    <col min="8700" max="8702" width="9.140625" style="32"/>
    <col min="8703" max="8703" width="5.5703125" style="32" customWidth="1"/>
    <col min="8704" max="8939" width="9.140625" style="32"/>
    <col min="8940" max="8940" width="5.5703125" style="32" customWidth="1"/>
    <col min="8941" max="8941" width="9.140625" style="32"/>
    <col min="8942" max="8942" width="20.5703125" style="32" customWidth="1"/>
    <col min="8943" max="8943" width="12.5703125" style="32" customWidth="1"/>
    <col min="8944" max="8944" width="29.140625" style="32" customWidth="1"/>
    <col min="8945" max="8945" width="11.7109375" style="32" customWidth="1"/>
    <col min="8946" max="8946" width="10" style="32" customWidth="1"/>
    <col min="8947" max="8947" width="9.85546875" style="32" bestFit="1" customWidth="1"/>
    <col min="8948" max="8948" width="11.140625" style="32" customWidth="1"/>
    <col min="8949" max="8950" width="5.85546875" style="32" customWidth="1"/>
    <col min="8951" max="8951" width="11" style="32" customWidth="1"/>
    <col min="8952" max="8952" width="18.42578125" style="32" customWidth="1"/>
    <col min="8953" max="8953" width="11.7109375" style="32" customWidth="1"/>
    <col min="8954" max="8954" width="29.140625" style="32" customWidth="1"/>
    <col min="8955" max="8955" width="9.7109375" style="32" customWidth="1"/>
    <col min="8956" max="8958" width="9.140625" style="32"/>
    <col min="8959" max="8959" width="5.5703125" style="32" customWidth="1"/>
    <col min="8960" max="9195" width="9.140625" style="32"/>
    <col min="9196" max="9196" width="5.5703125" style="32" customWidth="1"/>
    <col min="9197" max="9197" width="9.140625" style="32"/>
    <col min="9198" max="9198" width="20.5703125" style="32" customWidth="1"/>
    <col min="9199" max="9199" width="12.5703125" style="32" customWidth="1"/>
    <col min="9200" max="9200" width="29.140625" style="32" customWidth="1"/>
    <col min="9201" max="9201" width="11.7109375" style="32" customWidth="1"/>
    <col min="9202" max="9202" width="10" style="32" customWidth="1"/>
    <col min="9203" max="9203" width="9.85546875" style="32" bestFit="1" customWidth="1"/>
    <col min="9204" max="9204" width="11.140625" style="32" customWidth="1"/>
    <col min="9205" max="9206" width="5.85546875" style="32" customWidth="1"/>
    <col min="9207" max="9207" width="11" style="32" customWidth="1"/>
    <col min="9208" max="9208" width="18.42578125" style="32" customWidth="1"/>
    <col min="9209" max="9209" width="11.7109375" style="32" customWidth="1"/>
    <col min="9210" max="9210" width="29.140625" style="32" customWidth="1"/>
    <col min="9211" max="9211" width="9.7109375" style="32" customWidth="1"/>
    <col min="9212" max="9214" width="9.140625" style="32"/>
    <col min="9215" max="9215" width="5.5703125" style="32" customWidth="1"/>
    <col min="9216" max="9451" width="9.140625" style="32"/>
    <col min="9452" max="9452" width="5.5703125" style="32" customWidth="1"/>
    <col min="9453" max="9453" width="9.140625" style="32"/>
    <col min="9454" max="9454" width="20.5703125" style="32" customWidth="1"/>
    <col min="9455" max="9455" width="12.5703125" style="32" customWidth="1"/>
    <col min="9456" max="9456" width="29.140625" style="32" customWidth="1"/>
    <col min="9457" max="9457" width="11.7109375" style="32" customWidth="1"/>
    <col min="9458" max="9458" width="10" style="32" customWidth="1"/>
    <col min="9459" max="9459" width="9.85546875" style="32" bestFit="1" customWidth="1"/>
    <col min="9460" max="9460" width="11.140625" style="32" customWidth="1"/>
    <col min="9461" max="9462" width="5.85546875" style="32" customWidth="1"/>
    <col min="9463" max="9463" width="11" style="32" customWidth="1"/>
    <col min="9464" max="9464" width="18.42578125" style="32" customWidth="1"/>
    <col min="9465" max="9465" width="11.7109375" style="32" customWidth="1"/>
    <col min="9466" max="9466" width="29.140625" style="32" customWidth="1"/>
    <col min="9467" max="9467" width="9.7109375" style="32" customWidth="1"/>
    <col min="9468" max="9470" width="9.140625" style="32"/>
    <col min="9471" max="9471" width="5.5703125" style="32" customWidth="1"/>
    <col min="9472" max="9707" width="9.140625" style="32"/>
    <col min="9708" max="9708" width="5.5703125" style="32" customWidth="1"/>
    <col min="9709" max="9709" width="9.140625" style="32"/>
    <col min="9710" max="9710" width="20.5703125" style="32" customWidth="1"/>
    <col min="9711" max="9711" width="12.5703125" style="32" customWidth="1"/>
    <col min="9712" max="9712" width="29.140625" style="32" customWidth="1"/>
    <col min="9713" max="9713" width="11.7109375" style="32" customWidth="1"/>
    <col min="9714" max="9714" width="10" style="32" customWidth="1"/>
    <col min="9715" max="9715" width="9.85546875" style="32" bestFit="1" customWidth="1"/>
    <col min="9716" max="9716" width="11.140625" style="32" customWidth="1"/>
    <col min="9717" max="9718" width="5.85546875" style="32" customWidth="1"/>
    <col min="9719" max="9719" width="11" style="32" customWidth="1"/>
    <col min="9720" max="9720" width="18.42578125" style="32" customWidth="1"/>
    <col min="9721" max="9721" width="11.7109375" style="32" customWidth="1"/>
    <col min="9722" max="9722" width="29.140625" style="32" customWidth="1"/>
    <col min="9723" max="9723" width="9.7109375" style="32" customWidth="1"/>
    <col min="9724" max="9726" width="9.140625" style="32"/>
    <col min="9727" max="9727" width="5.5703125" style="32" customWidth="1"/>
    <col min="9728" max="9963" width="9.140625" style="32"/>
    <col min="9964" max="9964" width="5.5703125" style="32" customWidth="1"/>
    <col min="9965" max="9965" width="9.140625" style="32"/>
    <col min="9966" max="9966" width="20.5703125" style="32" customWidth="1"/>
    <col min="9967" max="9967" width="12.5703125" style="32" customWidth="1"/>
    <col min="9968" max="9968" width="29.140625" style="32" customWidth="1"/>
    <col min="9969" max="9969" width="11.7109375" style="32" customWidth="1"/>
    <col min="9970" max="9970" width="10" style="32" customWidth="1"/>
    <col min="9971" max="9971" width="9.85546875" style="32" bestFit="1" customWidth="1"/>
    <col min="9972" max="9972" width="11.140625" style="32" customWidth="1"/>
    <col min="9973" max="9974" width="5.85546875" style="32" customWidth="1"/>
    <col min="9975" max="9975" width="11" style="32" customWidth="1"/>
    <col min="9976" max="9976" width="18.42578125" style="32" customWidth="1"/>
    <col min="9977" max="9977" width="11.7109375" style="32" customWidth="1"/>
    <col min="9978" max="9978" width="29.140625" style="32" customWidth="1"/>
    <col min="9979" max="9979" width="9.7109375" style="32" customWidth="1"/>
    <col min="9980" max="9982" width="9.140625" style="32"/>
    <col min="9983" max="9983" width="5.5703125" style="32" customWidth="1"/>
    <col min="9984" max="10219" width="9.140625" style="32"/>
    <col min="10220" max="10220" width="5.5703125" style="32" customWidth="1"/>
    <col min="10221" max="10221" width="9.140625" style="32"/>
    <col min="10222" max="10222" width="20.5703125" style="32" customWidth="1"/>
    <col min="10223" max="10223" width="12.5703125" style="32" customWidth="1"/>
    <col min="10224" max="10224" width="29.140625" style="32" customWidth="1"/>
    <col min="10225" max="10225" width="11.7109375" style="32" customWidth="1"/>
    <col min="10226" max="10226" width="10" style="32" customWidth="1"/>
    <col min="10227" max="10227" width="9.85546875" style="32" bestFit="1" customWidth="1"/>
    <col min="10228" max="10228" width="11.140625" style="32" customWidth="1"/>
    <col min="10229" max="10230" width="5.85546875" style="32" customWidth="1"/>
    <col min="10231" max="10231" width="11" style="32" customWidth="1"/>
    <col min="10232" max="10232" width="18.42578125" style="32" customWidth="1"/>
    <col min="10233" max="10233" width="11.7109375" style="32" customWidth="1"/>
    <col min="10234" max="10234" width="29.140625" style="32" customWidth="1"/>
    <col min="10235" max="10235" width="9.7109375" style="32" customWidth="1"/>
    <col min="10236" max="10238" width="9.140625" style="32"/>
    <col min="10239" max="10239" width="5.5703125" style="32" customWidth="1"/>
    <col min="10240" max="10475" width="9.140625" style="32"/>
    <col min="10476" max="10476" width="5.5703125" style="32" customWidth="1"/>
    <col min="10477" max="10477" width="9.140625" style="32"/>
    <col min="10478" max="10478" width="20.5703125" style="32" customWidth="1"/>
    <col min="10479" max="10479" width="12.5703125" style="32" customWidth="1"/>
    <col min="10480" max="10480" width="29.140625" style="32" customWidth="1"/>
    <col min="10481" max="10481" width="11.7109375" style="32" customWidth="1"/>
    <col min="10482" max="10482" width="10" style="32" customWidth="1"/>
    <col min="10483" max="10483" width="9.85546875" style="32" bestFit="1" customWidth="1"/>
    <col min="10484" max="10484" width="11.140625" style="32" customWidth="1"/>
    <col min="10485" max="10486" width="5.85546875" style="32" customWidth="1"/>
    <col min="10487" max="10487" width="11" style="32" customWidth="1"/>
    <col min="10488" max="10488" width="18.42578125" style="32" customWidth="1"/>
    <col min="10489" max="10489" width="11.7109375" style="32" customWidth="1"/>
    <col min="10490" max="10490" width="29.140625" style="32" customWidth="1"/>
    <col min="10491" max="10491" width="9.7109375" style="32" customWidth="1"/>
    <col min="10492" max="10494" width="9.140625" style="32"/>
    <col min="10495" max="10495" width="5.5703125" style="32" customWidth="1"/>
    <col min="10496" max="10731" width="9.140625" style="32"/>
    <col min="10732" max="10732" width="5.5703125" style="32" customWidth="1"/>
    <col min="10733" max="10733" width="9.140625" style="32"/>
    <col min="10734" max="10734" width="20.5703125" style="32" customWidth="1"/>
    <col min="10735" max="10735" width="12.5703125" style="32" customWidth="1"/>
    <col min="10736" max="10736" width="29.140625" style="32" customWidth="1"/>
    <col min="10737" max="10737" width="11.7109375" style="32" customWidth="1"/>
    <col min="10738" max="10738" width="10" style="32" customWidth="1"/>
    <col min="10739" max="10739" width="9.85546875" style="32" bestFit="1" customWidth="1"/>
    <col min="10740" max="10740" width="11.140625" style="32" customWidth="1"/>
    <col min="10741" max="10742" width="5.85546875" style="32" customWidth="1"/>
    <col min="10743" max="10743" width="11" style="32" customWidth="1"/>
    <col min="10744" max="10744" width="18.42578125" style="32" customWidth="1"/>
    <col min="10745" max="10745" width="11.7109375" style="32" customWidth="1"/>
    <col min="10746" max="10746" width="29.140625" style="32" customWidth="1"/>
    <col min="10747" max="10747" width="9.7109375" style="32" customWidth="1"/>
    <col min="10748" max="10750" width="9.140625" style="32"/>
    <col min="10751" max="10751" width="5.5703125" style="32" customWidth="1"/>
    <col min="10752" max="10987" width="9.140625" style="32"/>
    <col min="10988" max="10988" width="5.5703125" style="32" customWidth="1"/>
    <col min="10989" max="10989" width="9.140625" style="32"/>
    <col min="10990" max="10990" width="20.5703125" style="32" customWidth="1"/>
    <col min="10991" max="10991" width="12.5703125" style="32" customWidth="1"/>
    <col min="10992" max="10992" width="29.140625" style="32" customWidth="1"/>
    <col min="10993" max="10993" width="11.7109375" style="32" customWidth="1"/>
    <col min="10994" max="10994" width="10" style="32" customWidth="1"/>
    <col min="10995" max="10995" width="9.85546875" style="32" bestFit="1" customWidth="1"/>
    <col min="10996" max="10996" width="11.140625" style="32" customWidth="1"/>
    <col min="10997" max="10998" width="5.85546875" style="32" customWidth="1"/>
    <col min="10999" max="10999" width="11" style="32" customWidth="1"/>
    <col min="11000" max="11000" width="18.42578125" style="32" customWidth="1"/>
    <col min="11001" max="11001" width="11.7109375" style="32" customWidth="1"/>
    <col min="11002" max="11002" width="29.140625" style="32" customWidth="1"/>
    <col min="11003" max="11003" width="9.7109375" style="32" customWidth="1"/>
    <col min="11004" max="11006" width="9.140625" style="32"/>
    <col min="11007" max="11007" width="5.5703125" style="32" customWidth="1"/>
    <col min="11008" max="11243" width="9.140625" style="32"/>
    <col min="11244" max="11244" width="5.5703125" style="32" customWidth="1"/>
    <col min="11245" max="11245" width="9.140625" style="32"/>
    <col min="11246" max="11246" width="20.5703125" style="32" customWidth="1"/>
    <col min="11247" max="11247" width="12.5703125" style="32" customWidth="1"/>
    <col min="11248" max="11248" width="29.140625" style="32" customWidth="1"/>
    <col min="11249" max="11249" width="11.7109375" style="32" customWidth="1"/>
    <col min="11250" max="11250" width="10" style="32" customWidth="1"/>
    <col min="11251" max="11251" width="9.85546875" style="32" bestFit="1" customWidth="1"/>
    <col min="11252" max="11252" width="11.140625" style="32" customWidth="1"/>
    <col min="11253" max="11254" width="5.85546875" style="32" customWidth="1"/>
    <col min="11255" max="11255" width="11" style="32" customWidth="1"/>
    <col min="11256" max="11256" width="18.42578125" style="32" customWidth="1"/>
    <col min="11257" max="11257" width="11.7109375" style="32" customWidth="1"/>
    <col min="11258" max="11258" width="29.140625" style="32" customWidth="1"/>
    <col min="11259" max="11259" width="9.7109375" style="32" customWidth="1"/>
    <col min="11260" max="11262" width="9.140625" style="32"/>
    <col min="11263" max="11263" width="5.5703125" style="32" customWidth="1"/>
    <col min="11264" max="11499" width="9.140625" style="32"/>
    <col min="11500" max="11500" width="5.5703125" style="32" customWidth="1"/>
    <col min="11501" max="11501" width="9.140625" style="32"/>
    <col min="11502" max="11502" width="20.5703125" style="32" customWidth="1"/>
    <col min="11503" max="11503" width="12.5703125" style="32" customWidth="1"/>
    <col min="11504" max="11504" width="29.140625" style="32" customWidth="1"/>
    <col min="11505" max="11505" width="11.7109375" style="32" customWidth="1"/>
    <col min="11506" max="11506" width="10" style="32" customWidth="1"/>
    <col min="11507" max="11507" width="9.85546875" style="32" bestFit="1" customWidth="1"/>
    <col min="11508" max="11508" width="11.140625" style="32" customWidth="1"/>
    <col min="11509" max="11510" width="5.85546875" style="32" customWidth="1"/>
    <col min="11511" max="11511" width="11" style="32" customWidth="1"/>
    <col min="11512" max="11512" width="18.42578125" style="32" customWidth="1"/>
    <col min="11513" max="11513" width="11.7109375" style="32" customWidth="1"/>
    <col min="11514" max="11514" width="29.140625" style="32" customWidth="1"/>
    <col min="11515" max="11515" width="9.7109375" style="32" customWidth="1"/>
    <col min="11516" max="11518" width="9.140625" style="32"/>
    <col min="11519" max="11519" width="5.5703125" style="32" customWidth="1"/>
    <col min="11520" max="11755" width="9.140625" style="32"/>
    <col min="11756" max="11756" width="5.5703125" style="32" customWidth="1"/>
    <col min="11757" max="11757" width="9.140625" style="32"/>
    <col min="11758" max="11758" width="20.5703125" style="32" customWidth="1"/>
    <col min="11759" max="11759" width="12.5703125" style="32" customWidth="1"/>
    <col min="11760" max="11760" width="29.140625" style="32" customWidth="1"/>
    <col min="11761" max="11761" width="11.7109375" style="32" customWidth="1"/>
    <col min="11762" max="11762" width="10" style="32" customWidth="1"/>
    <col min="11763" max="11763" width="9.85546875" style="32" bestFit="1" customWidth="1"/>
    <col min="11764" max="11764" width="11.140625" style="32" customWidth="1"/>
    <col min="11765" max="11766" width="5.85546875" style="32" customWidth="1"/>
    <col min="11767" max="11767" width="11" style="32" customWidth="1"/>
    <col min="11768" max="11768" width="18.42578125" style="32" customWidth="1"/>
    <col min="11769" max="11769" width="11.7109375" style="32" customWidth="1"/>
    <col min="11770" max="11770" width="29.140625" style="32" customWidth="1"/>
    <col min="11771" max="11771" width="9.7109375" style="32" customWidth="1"/>
    <col min="11772" max="11774" width="9.140625" style="32"/>
    <col min="11775" max="11775" width="5.5703125" style="32" customWidth="1"/>
    <col min="11776" max="12011" width="9.140625" style="32"/>
    <col min="12012" max="12012" width="5.5703125" style="32" customWidth="1"/>
    <col min="12013" max="12013" width="9.140625" style="32"/>
    <col min="12014" max="12014" width="20.5703125" style="32" customWidth="1"/>
    <col min="12015" max="12015" width="12.5703125" style="32" customWidth="1"/>
    <col min="12016" max="12016" width="29.140625" style="32" customWidth="1"/>
    <col min="12017" max="12017" width="11.7109375" style="32" customWidth="1"/>
    <col min="12018" max="12018" width="10" style="32" customWidth="1"/>
    <col min="12019" max="12019" width="9.85546875" style="32" bestFit="1" customWidth="1"/>
    <col min="12020" max="12020" width="11.140625" style="32" customWidth="1"/>
    <col min="12021" max="12022" width="5.85546875" style="32" customWidth="1"/>
    <col min="12023" max="12023" width="11" style="32" customWidth="1"/>
    <col min="12024" max="12024" width="18.42578125" style="32" customWidth="1"/>
    <col min="12025" max="12025" width="11.7109375" style="32" customWidth="1"/>
    <col min="12026" max="12026" width="29.140625" style="32" customWidth="1"/>
    <col min="12027" max="12027" width="9.7109375" style="32" customWidth="1"/>
    <col min="12028" max="12030" width="9.140625" style="32"/>
    <col min="12031" max="12031" width="5.5703125" style="32" customWidth="1"/>
    <col min="12032" max="12267" width="9.140625" style="32"/>
    <col min="12268" max="12268" width="5.5703125" style="32" customWidth="1"/>
    <col min="12269" max="12269" width="9.140625" style="32"/>
    <col min="12270" max="12270" width="20.5703125" style="32" customWidth="1"/>
    <col min="12271" max="12271" width="12.5703125" style="32" customWidth="1"/>
    <col min="12272" max="12272" width="29.140625" style="32" customWidth="1"/>
    <col min="12273" max="12273" width="11.7109375" style="32" customWidth="1"/>
    <col min="12274" max="12274" width="10" style="32" customWidth="1"/>
    <col min="12275" max="12275" width="9.85546875" style="32" bestFit="1" customWidth="1"/>
    <col min="12276" max="12276" width="11.140625" style="32" customWidth="1"/>
    <col min="12277" max="12278" width="5.85546875" style="32" customWidth="1"/>
    <col min="12279" max="12279" width="11" style="32" customWidth="1"/>
    <col min="12280" max="12280" width="18.42578125" style="32" customWidth="1"/>
    <col min="12281" max="12281" width="11.7109375" style="32" customWidth="1"/>
    <col min="12282" max="12282" width="29.140625" style="32" customWidth="1"/>
    <col min="12283" max="12283" width="9.7109375" style="32" customWidth="1"/>
    <col min="12284" max="12286" width="9.140625" style="32"/>
    <col min="12287" max="12287" width="5.5703125" style="32" customWidth="1"/>
    <col min="12288" max="12523" width="9.140625" style="32"/>
    <col min="12524" max="12524" width="5.5703125" style="32" customWidth="1"/>
    <col min="12525" max="12525" width="9.140625" style="32"/>
    <col min="12526" max="12526" width="20.5703125" style="32" customWidth="1"/>
    <col min="12527" max="12527" width="12.5703125" style="32" customWidth="1"/>
    <col min="12528" max="12528" width="29.140625" style="32" customWidth="1"/>
    <col min="12529" max="12529" width="11.7109375" style="32" customWidth="1"/>
    <col min="12530" max="12530" width="10" style="32" customWidth="1"/>
    <col min="12531" max="12531" width="9.85546875" style="32" bestFit="1" customWidth="1"/>
    <col min="12532" max="12532" width="11.140625" style="32" customWidth="1"/>
    <col min="12533" max="12534" width="5.85546875" style="32" customWidth="1"/>
    <col min="12535" max="12535" width="11" style="32" customWidth="1"/>
    <col min="12536" max="12536" width="18.42578125" style="32" customWidth="1"/>
    <col min="12537" max="12537" width="11.7109375" style="32" customWidth="1"/>
    <col min="12538" max="12538" width="29.140625" style="32" customWidth="1"/>
    <col min="12539" max="12539" width="9.7109375" style="32" customWidth="1"/>
    <col min="12540" max="12542" width="9.140625" style="32"/>
    <col min="12543" max="12543" width="5.5703125" style="32" customWidth="1"/>
    <col min="12544" max="12779" width="9.140625" style="32"/>
    <col min="12780" max="12780" width="5.5703125" style="32" customWidth="1"/>
    <col min="12781" max="12781" width="9.140625" style="32"/>
    <col min="12782" max="12782" width="20.5703125" style="32" customWidth="1"/>
    <col min="12783" max="12783" width="12.5703125" style="32" customWidth="1"/>
    <col min="12784" max="12784" width="29.140625" style="32" customWidth="1"/>
    <col min="12785" max="12785" width="11.7109375" style="32" customWidth="1"/>
    <col min="12786" max="12786" width="10" style="32" customWidth="1"/>
    <col min="12787" max="12787" width="9.85546875" style="32" bestFit="1" customWidth="1"/>
    <col min="12788" max="12788" width="11.140625" style="32" customWidth="1"/>
    <col min="12789" max="12790" width="5.85546875" style="32" customWidth="1"/>
    <col min="12791" max="12791" width="11" style="32" customWidth="1"/>
    <col min="12792" max="12792" width="18.42578125" style="32" customWidth="1"/>
    <col min="12793" max="12793" width="11.7109375" style="32" customWidth="1"/>
    <col min="12794" max="12794" width="29.140625" style="32" customWidth="1"/>
    <col min="12795" max="12795" width="9.7109375" style="32" customWidth="1"/>
    <col min="12796" max="12798" width="9.140625" style="32"/>
    <col min="12799" max="12799" width="5.5703125" style="32" customWidth="1"/>
    <col min="12800" max="13035" width="9.140625" style="32"/>
    <col min="13036" max="13036" width="5.5703125" style="32" customWidth="1"/>
    <col min="13037" max="13037" width="9.140625" style="32"/>
    <col min="13038" max="13038" width="20.5703125" style="32" customWidth="1"/>
    <col min="13039" max="13039" width="12.5703125" style="32" customWidth="1"/>
    <col min="13040" max="13040" width="29.140625" style="32" customWidth="1"/>
    <col min="13041" max="13041" width="11.7109375" style="32" customWidth="1"/>
    <col min="13042" max="13042" width="10" style="32" customWidth="1"/>
    <col min="13043" max="13043" width="9.85546875" style="32" bestFit="1" customWidth="1"/>
    <col min="13044" max="13044" width="11.140625" style="32" customWidth="1"/>
    <col min="13045" max="13046" width="5.85546875" style="32" customWidth="1"/>
    <col min="13047" max="13047" width="11" style="32" customWidth="1"/>
    <col min="13048" max="13048" width="18.42578125" style="32" customWidth="1"/>
    <col min="13049" max="13049" width="11.7109375" style="32" customWidth="1"/>
    <col min="13050" max="13050" width="29.140625" style="32" customWidth="1"/>
    <col min="13051" max="13051" width="9.7109375" style="32" customWidth="1"/>
    <col min="13052" max="13054" width="9.140625" style="32"/>
    <col min="13055" max="13055" width="5.5703125" style="32" customWidth="1"/>
    <col min="13056" max="13291" width="9.140625" style="32"/>
    <col min="13292" max="13292" width="5.5703125" style="32" customWidth="1"/>
    <col min="13293" max="13293" width="9.140625" style="32"/>
    <col min="13294" max="13294" width="20.5703125" style="32" customWidth="1"/>
    <col min="13295" max="13295" width="12.5703125" style="32" customWidth="1"/>
    <col min="13296" max="13296" width="29.140625" style="32" customWidth="1"/>
    <col min="13297" max="13297" width="11.7109375" style="32" customWidth="1"/>
    <col min="13298" max="13298" width="10" style="32" customWidth="1"/>
    <col min="13299" max="13299" width="9.85546875" style="32" bestFit="1" customWidth="1"/>
    <col min="13300" max="13300" width="11.140625" style="32" customWidth="1"/>
    <col min="13301" max="13302" width="5.85546875" style="32" customWidth="1"/>
    <col min="13303" max="13303" width="11" style="32" customWidth="1"/>
    <col min="13304" max="13304" width="18.42578125" style="32" customWidth="1"/>
    <col min="13305" max="13305" width="11.7109375" style="32" customWidth="1"/>
    <col min="13306" max="13306" width="29.140625" style="32" customWidth="1"/>
    <col min="13307" max="13307" width="9.7109375" style="32" customWidth="1"/>
    <col min="13308" max="13310" width="9.140625" style="32"/>
    <col min="13311" max="13311" width="5.5703125" style="32" customWidth="1"/>
    <col min="13312" max="13547" width="9.140625" style="32"/>
    <col min="13548" max="13548" width="5.5703125" style="32" customWidth="1"/>
    <col min="13549" max="13549" width="9.140625" style="32"/>
    <col min="13550" max="13550" width="20.5703125" style="32" customWidth="1"/>
    <col min="13551" max="13551" width="12.5703125" style="32" customWidth="1"/>
    <col min="13552" max="13552" width="29.140625" style="32" customWidth="1"/>
    <col min="13553" max="13553" width="11.7109375" style="32" customWidth="1"/>
    <col min="13554" max="13554" width="10" style="32" customWidth="1"/>
    <col min="13555" max="13555" width="9.85546875" style="32" bestFit="1" customWidth="1"/>
    <col min="13556" max="13556" width="11.140625" style="32" customWidth="1"/>
    <col min="13557" max="13558" width="5.85546875" style="32" customWidth="1"/>
    <col min="13559" max="13559" width="11" style="32" customWidth="1"/>
    <col min="13560" max="13560" width="18.42578125" style="32" customWidth="1"/>
    <col min="13561" max="13561" width="11.7109375" style="32" customWidth="1"/>
    <col min="13562" max="13562" width="29.140625" style="32" customWidth="1"/>
    <col min="13563" max="13563" width="9.7109375" style="32" customWidth="1"/>
    <col min="13564" max="13566" width="9.140625" style="32"/>
    <col min="13567" max="13567" width="5.5703125" style="32" customWidth="1"/>
    <col min="13568" max="13803" width="9.140625" style="32"/>
    <col min="13804" max="13804" width="5.5703125" style="32" customWidth="1"/>
    <col min="13805" max="13805" width="9.140625" style="32"/>
    <col min="13806" max="13806" width="20.5703125" style="32" customWidth="1"/>
    <col min="13807" max="13807" width="12.5703125" style="32" customWidth="1"/>
    <col min="13808" max="13808" width="29.140625" style="32" customWidth="1"/>
    <col min="13809" max="13809" width="11.7109375" style="32" customWidth="1"/>
    <col min="13810" max="13810" width="10" style="32" customWidth="1"/>
    <col min="13811" max="13811" width="9.85546875" style="32" bestFit="1" customWidth="1"/>
    <col min="13812" max="13812" width="11.140625" style="32" customWidth="1"/>
    <col min="13813" max="13814" width="5.85546875" style="32" customWidth="1"/>
    <col min="13815" max="13815" width="11" style="32" customWidth="1"/>
    <col min="13816" max="13816" width="18.42578125" style="32" customWidth="1"/>
    <col min="13817" max="13817" width="11.7109375" style="32" customWidth="1"/>
    <col min="13818" max="13818" width="29.140625" style="32" customWidth="1"/>
    <col min="13819" max="13819" width="9.7109375" style="32" customWidth="1"/>
    <col min="13820" max="13822" width="9.140625" style="32"/>
    <col min="13823" max="13823" width="5.5703125" style="32" customWidth="1"/>
    <col min="13824" max="14059" width="9.140625" style="32"/>
    <col min="14060" max="14060" width="5.5703125" style="32" customWidth="1"/>
    <col min="14061" max="14061" width="9.140625" style="32"/>
    <col min="14062" max="14062" width="20.5703125" style="32" customWidth="1"/>
    <col min="14063" max="14063" width="12.5703125" style="32" customWidth="1"/>
    <col min="14064" max="14064" width="29.140625" style="32" customWidth="1"/>
    <col min="14065" max="14065" width="11.7109375" style="32" customWidth="1"/>
    <col min="14066" max="14066" width="10" style="32" customWidth="1"/>
    <col min="14067" max="14067" width="9.85546875" style="32" bestFit="1" customWidth="1"/>
    <col min="14068" max="14068" width="11.140625" style="32" customWidth="1"/>
    <col min="14069" max="14070" width="5.85546875" style="32" customWidth="1"/>
    <col min="14071" max="14071" width="11" style="32" customWidth="1"/>
    <col min="14072" max="14072" width="18.42578125" style="32" customWidth="1"/>
    <col min="14073" max="14073" width="11.7109375" style="32" customWidth="1"/>
    <col min="14074" max="14074" width="29.140625" style="32" customWidth="1"/>
    <col min="14075" max="14075" width="9.7109375" style="32" customWidth="1"/>
    <col min="14076" max="14078" width="9.140625" style="32"/>
    <col min="14079" max="14079" width="5.5703125" style="32" customWidth="1"/>
    <col min="14080" max="14315" width="9.140625" style="32"/>
    <col min="14316" max="14316" width="5.5703125" style="32" customWidth="1"/>
    <col min="14317" max="14317" width="9.140625" style="32"/>
    <col min="14318" max="14318" width="20.5703125" style="32" customWidth="1"/>
    <col min="14319" max="14319" width="12.5703125" style="32" customWidth="1"/>
    <col min="14320" max="14320" width="29.140625" style="32" customWidth="1"/>
    <col min="14321" max="14321" width="11.7109375" style="32" customWidth="1"/>
    <col min="14322" max="14322" width="10" style="32" customWidth="1"/>
    <col min="14323" max="14323" width="9.85546875" style="32" bestFit="1" customWidth="1"/>
    <col min="14324" max="14324" width="11.140625" style="32" customWidth="1"/>
    <col min="14325" max="14326" width="5.85546875" style="32" customWidth="1"/>
    <col min="14327" max="14327" width="11" style="32" customWidth="1"/>
    <col min="14328" max="14328" width="18.42578125" style="32" customWidth="1"/>
    <col min="14329" max="14329" width="11.7109375" style="32" customWidth="1"/>
    <col min="14330" max="14330" width="29.140625" style="32" customWidth="1"/>
    <col min="14331" max="14331" width="9.7109375" style="32" customWidth="1"/>
    <col min="14332" max="14334" width="9.140625" style="32"/>
    <col min="14335" max="14335" width="5.5703125" style="32" customWidth="1"/>
    <col min="14336" max="14571" width="9.140625" style="32"/>
    <col min="14572" max="14572" width="5.5703125" style="32" customWidth="1"/>
    <col min="14573" max="14573" width="9.140625" style="32"/>
    <col min="14574" max="14574" width="20.5703125" style="32" customWidth="1"/>
    <col min="14575" max="14575" width="12.5703125" style="32" customWidth="1"/>
    <col min="14576" max="14576" width="29.140625" style="32" customWidth="1"/>
    <col min="14577" max="14577" width="11.7109375" style="32" customWidth="1"/>
    <col min="14578" max="14578" width="10" style="32" customWidth="1"/>
    <col min="14579" max="14579" width="9.85546875" style="32" bestFit="1" customWidth="1"/>
    <col min="14580" max="14580" width="11.140625" style="32" customWidth="1"/>
    <col min="14581" max="14582" width="5.85546875" style="32" customWidth="1"/>
    <col min="14583" max="14583" width="11" style="32" customWidth="1"/>
    <col min="14584" max="14584" width="18.42578125" style="32" customWidth="1"/>
    <col min="14585" max="14585" width="11.7109375" style="32" customWidth="1"/>
    <col min="14586" max="14586" width="29.140625" style="32" customWidth="1"/>
    <col min="14587" max="14587" width="9.7109375" style="32" customWidth="1"/>
    <col min="14588" max="14590" width="9.140625" style="32"/>
    <col min="14591" max="14591" width="5.5703125" style="32" customWidth="1"/>
    <col min="14592" max="14827" width="9.140625" style="32"/>
    <col min="14828" max="14828" width="5.5703125" style="32" customWidth="1"/>
    <col min="14829" max="14829" width="9.140625" style="32"/>
    <col min="14830" max="14830" width="20.5703125" style="32" customWidth="1"/>
    <col min="14831" max="14831" width="12.5703125" style="32" customWidth="1"/>
    <col min="14832" max="14832" width="29.140625" style="32" customWidth="1"/>
    <col min="14833" max="14833" width="11.7109375" style="32" customWidth="1"/>
    <col min="14834" max="14834" width="10" style="32" customWidth="1"/>
    <col min="14835" max="14835" width="9.85546875" style="32" bestFit="1" customWidth="1"/>
    <col min="14836" max="14836" width="11.140625" style="32" customWidth="1"/>
    <col min="14837" max="14838" width="5.85546875" style="32" customWidth="1"/>
    <col min="14839" max="14839" width="11" style="32" customWidth="1"/>
    <col min="14840" max="14840" width="18.42578125" style="32" customWidth="1"/>
    <col min="14841" max="14841" width="11.7109375" style="32" customWidth="1"/>
    <col min="14842" max="14842" width="29.140625" style="32" customWidth="1"/>
    <col min="14843" max="14843" width="9.7109375" style="32" customWidth="1"/>
    <col min="14844" max="14846" width="9.140625" style="32"/>
    <col min="14847" max="14847" width="5.5703125" style="32" customWidth="1"/>
    <col min="14848" max="15083" width="9.140625" style="32"/>
    <col min="15084" max="15084" width="5.5703125" style="32" customWidth="1"/>
    <col min="15085" max="15085" width="9.140625" style="32"/>
    <col min="15086" max="15086" width="20.5703125" style="32" customWidth="1"/>
    <col min="15087" max="15087" width="12.5703125" style="32" customWidth="1"/>
    <col min="15088" max="15088" width="29.140625" style="32" customWidth="1"/>
    <col min="15089" max="15089" width="11.7109375" style="32" customWidth="1"/>
    <col min="15090" max="15090" width="10" style="32" customWidth="1"/>
    <col min="15091" max="15091" width="9.85546875" style="32" bestFit="1" customWidth="1"/>
    <col min="15092" max="15092" width="11.140625" style="32" customWidth="1"/>
    <col min="15093" max="15094" width="5.85546875" style="32" customWidth="1"/>
    <col min="15095" max="15095" width="11" style="32" customWidth="1"/>
    <col min="15096" max="15096" width="18.42578125" style="32" customWidth="1"/>
    <col min="15097" max="15097" width="11.7109375" style="32" customWidth="1"/>
    <col min="15098" max="15098" width="29.140625" style="32" customWidth="1"/>
    <col min="15099" max="15099" width="9.7109375" style="32" customWidth="1"/>
    <col min="15100" max="15102" width="9.140625" style="32"/>
    <col min="15103" max="15103" width="5.5703125" style="32" customWidth="1"/>
    <col min="15104" max="15339" width="9.140625" style="32"/>
    <col min="15340" max="15340" width="5.5703125" style="32" customWidth="1"/>
    <col min="15341" max="15341" width="9.140625" style="32"/>
    <col min="15342" max="15342" width="20.5703125" style="32" customWidth="1"/>
    <col min="15343" max="15343" width="12.5703125" style="32" customWidth="1"/>
    <col min="15344" max="15344" width="29.140625" style="32" customWidth="1"/>
    <col min="15345" max="15345" width="11.7109375" style="32" customWidth="1"/>
    <col min="15346" max="15346" width="10" style="32" customWidth="1"/>
    <col min="15347" max="15347" width="9.85546875" style="32" bestFit="1" customWidth="1"/>
    <col min="15348" max="15348" width="11.140625" style="32" customWidth="1"/>
    <col min="15349" max="15350" width="5.85546875" style="32" customWidth="1"/>
    <col min="15351" max="15351" width="11" style="32" customWidth="1"/>
    <col min="15352" max="15352" width="18.42578125" style="32" customWidth="1"/>
    <col min="15353" max="15353" width="11.7109375" style="32" customWidth="1"/>
    <col min="15354" max="15354" width="29.140625" style="32" customWidth="1"/>
    <col min="15355" max="15355" width="9.7109375" style="32" customWidth="1"/>
    <col min="15356" max="15358" width="9.140625" style="32"/>
    <col min="15359" max="15359" width="5.5703125" style="32" customWidth="1"/>
    <col min="15360" max="15595" width="9.140625" style="32"/>
    <col min="15596" max="15596" width="5.5703125" style="32" customWidth="1"/>
    <col min="15597" max="15597" width="9.140625" style="32"/>
    <col min="15598" max="15598" width="20.5703125" style="32" customWidth="1"/>
    <col min="15599" max="15599" width="12.5703125" style="32" customWidth="1"/>
    <col min="15600" max="15600" width="29.140625" style="32" customWidth="1"/>
    <col min="15601" max="15601" width="11.7109375" style="32" customWidth="1"/>
    <col min="15602" max="15602" width="10" style="32" customWidth="1"/>
    <col min="15603" max="15603" width="9.85546875" style="32" bestFit="1" customWidth="1"/>
    <col min="15604" max="15604" width="11.140625" style="32" customWidth="1"/>
    <col min="15605" max="15606" width="5.85546875" style="32" customWidth="1"/>
    <col min="15607" max="15607" width="11" style="32" customWidth="1"/>
    <col min="15608" max="15608" width="18.42578125" style="32" customWidth="1"/>
    <col min="15609" max="15609" width="11.7109375" style="32" customWidth="1"/>
    <col min="15610" max="15610" width="29.140625" style="32" customWidth="1"/>
    <col min="15611" max="15611" width="9.7109375" style="32" customWidth="1"/>
    <col min="15612" max="15614" width="9.140625" style="32"/>
    <col min="15615" max="15615" width="5.5703125" style="32" customWidth="1"/>
    <col min="15616" max="15851" width="9.140625" style="32"/>
    <col min="15852" max="15852" width="5.5703125" style="32" customWidth="1"/>
    <col min="15853" max="15853" width="9.140625" style="32"/>
    <col min="15854" max="15854" width="20.5703125" style="32" customWidth="1"/>
    <col min="15855" max="15855" width="12.5703125" style="32" customWidth="1"/>
    <col min="15856" max="15856" width="29.140625" style="32" customWidth="1"/>
    <col min="15857" max="15857" width="11.7109375" style="32" customWidth="1"/>
    <col min="15858" max="15858" width="10" style="32" customWidth="1"/>
    <col min="15859" max="15859" width="9.85546875" style="32" bestFit="1" customWidth="1"/>
    <col min="15860" max="15860" width="11.140625" style="32" customWidth="1"/>
    <col min="15861" max="15862" width="5.85546875" style="32" customWidth="1"/>
    <col min="15863" max="15863" width="11" style="32" customWidth="1"/>
    <col min="15864" max="15864" width="18.42578125" style="32" customWidth="1"/>
    <col min="15865" max="15865" width="11.7109375" style="32" customWidth="1"/>
    <col min="15866" max="15866" width="29.140625" style="32" customWidth="1"/>
    <col min="15867" max="15867" width="9.7109375" style="32" customWidth="1"/>
    <col min="15868" max="15870" width="9.140625" style="32"/>
    <col min="15871" max="15871" width="5.5703125" style="32" customWidth="1"/>
    <col min="15872" max="16107" width="9.140625" style="32"/>
    <col min="16108" max="16108" width="5.5703125" style="32" customWidth="1"/>
    <col min="16109" max="16109" width="9.140625" style="32"/>
    <col min="16110" max="16110" width="20.5703125" style="32" customWidth="1"/>
    <col min="16111" max="16111" width="12.5703125" style="32" customWidth="1"/>
    <col min="16112" max="16112" width="29.140625" style="32" customWidth="1"/>
    <col min="16113" max="16113" width="11.7109375" style="32" customWidth="1"/>
    <col min="16114" max="16114" width="10" style="32" customWidth="1"/>
    <col min="16115" max="16115" width="9.85546875" style="32" bestFit="1" customWidth="1"/>
    <col min="16116" max="16116" width="11.140625" style="32" customWidth="1"/>
    <col min="16117" max="16118" width="5.85546875" style="32" customWidth="1"/>
    <col min="16119" max="16119" width="11" style="32" customWidth="1"/>
    <col min="16120" max="16120" width="18.42578125" style="32" customWidth="1"/>
    <col min="16121" max="16121" width="11.7109375" style="32" customWidth="1"/>
    <col min="16122" max="16122" width="29.140625" style="32" customWidth="1"/>
    <col min="16123" max="16123" width="9.7109375" style="32" customWidth="1"/>
    <col min="16124" max="16126" width="9.140625" style="32"/>
    <col min="16127" max="16127" width="5.5703125" style="32" customWidth="1"/>
    <col min="16128" max="16384" width="9.140625" style="32"/>
  </cols>
  <sheetData>
    <row r="1" spans="1:10">
      <c r="A1" s="191" t="str">
        <f>ORÇAMENTO!A1</f>
        <v>PROJETO: XXXXXXXXXXXXXXX</v>
      </c>
      <c r="B1" s="191"/>
      <c r="C1" s="191"/>
      <c r="D1" s="191"/>
    </row>
    <row r="2" spans="1:10">
      <c r="A2" s="191" t="str">
        <f>ORÇAMENTO!A2</f>
        <v>CAMPUS XXXXXXXXXXXXXX</v>
      </c>
      <c r="B2" s="191"/>
      <c r="C2" s="191"/>
      <c r="D2" s="191"/>
    </row>
    <row r="3" spans="1:10">
      <c r="A3" s="191" t="str">
        <f>ORÇAMENTO!A3</f>
        <v>Endereço da Obra: XXXXXXXXXXXXXXXXXXXXXXXXX</v>
      </c>
      <c r="B3" s="191"/>
      <c r="C3" s="191"/>
      <c r="D3" s="191"/>
    </row>
    <row r="4" spans="1:10">
      <c r="A4" s="191" t="str">
        <f>ORÇAMENTO!A4</f>
        <v>Área Total: XXXXXXXX</v>
      </c>
      <c r="B4" s="191"/>
      <c r="C4" s="191"/>
      <c r="D4" s="191"/>
    </row>
    <row r="5" spans="1:10" ht="6.75" customHeight="1">
      <c r="A5" s="191"/>
      <c r="B5" s="191"/>
      <c r="C5" s="191"/>
      <c r="D5" s="191"/>
    </row>
    <row r="6" spans="1:10">
      <c r="A6" s="191" t="str">
        <f>ORÇAMENTO!A6</f>
        <v>Responsável Técnico:</v>
      </c>
      <c r="B6" s="191"/>
      <c r="C6" s="207" t="s">
        <v>477</v>
      </c>
      <c r="D6" s="207"/>
    </row>
    <row r="7" spans="1:10">
      <c r="A7" s="191" t="str">
        <f>ORÇAMENTO!A7</f>
        <v>CREA/CAU:</v>
      </c>
      <c r="B7" s="191"/>
      <c r="C7" s="223" t="s">
        <v>478</v>
      </c>
      <c r="D7" s="207"/>
    </row>
    <row r="8" spans="1:10" ht="19.5" customHeight="1">
      <c r="A8" s="226" t="str">
        <f>ORÇAMENTO!E7</f>
        <v>ART/RRT de orçamento nº: XXXXXXX</v>
      </c>
    </row>
    <row r="9" spans="1:10">
      <c r="A9" s="224"/>
      <c r="B9" s="425" t="s">
        <v>472</v>
      </c>
      <c r="C9" s="425"/>
      <c r="D9" s="425"/>
      <c r="E9" s="425"/>
      <c r="F9" s="425"/>
      <c r="G9" s="225"/>
    </row>
    <row r="12" spans="1:10" s="189" customFormat="1">
      <c r="A12" s="187"/>
      <c r="C12" s="187"/>
      <c r="E12" s="190"/>
      <c r="J12" s="34"/>
    </row>
    <row r="13" spans="1:10" s="189" customFormat="1">
      <c r="A13" s="187"/>
      <c r="C13" s="187"/>
      <c r="E13" s="190"/>
      <c r="J13" s="34"/>
    </row>
    <row r="14" spans="1:10" s="189" customFormat="1" ht="15" customHeight="1">
      <c r="A14" s="391" t="s">
        <v>457</v>
      </c>
      <c r="B14" s="391"/>
      <c r="C14" s="391"/>
      <c r="D14" s="391"/>
      <c r="E14" s="391"/>
      <c r="F14" s="391"/>
      <c r="J14" s="34"/>
    </row>
    <row r="15" spans="1:10" s="189" customFormat="1" ht="12" customHeight="1">
      <c r="C15" s="187"/>
      <c r="D15" s="187"/>
      <c r="E15" s="190"/>
      <c r="J15" s="34"/>
    </row>
    <row r="16" spans="1:10" s="189" customFormat="1" ht="12.75" customHeight="1">
      <c r="A16" s="420" t="s">
        <v>541</v>
      </c>
      <c r="B16" s="420"/>
      <c r="C16" s="420"/>
      <c r="D16" s="187"/>
      <c r="E16" s="420" t="s">
        <v>540</v>
      </c>
      <c r="F16" s="420"/>
      <c r="G16" s="420"/>
      <c r="J16" s="34"/>
    </row>
    <row r="17" spans="1:10" s="189" customFormat="1">
      <c r="A17" s="421"/>
      <c r="B17" s="421"/>
      <c r="C17" s="421"/>
      <c r="D17" s="187"/>
      <c r="E17" s="421"/>
      <c r="F17" s="421"/>
      <c r="G17" s="421"/>
      <c r="J17" s="34"/>
    </row>
    <row r="18" spans="1:10" s="189" customFormat="1" ht="13.5">
      <c r="A18" s="200" t="s">
        <v>458</v>
      </c>
      <c r="B18" s="197" t="s">
        <v>465</v>
      </c>
      <c r="C18" s="198">
        <v>0.04</v>
      </c>
      <c r="E18" s="200" t="s">
        <v>458</v>
      </c>
      <c r="F18" s="197" t="s">
        <v>465</v>
      </c>
      <c r="G18" s="198">
        <v>0.04</v>
      </c>
      <c r="J18" s="34"/>
    </row>
    <row r="19" spans="1:10" s="189" customFormat="1" ht="13.5">
      <c r="A19" s="201" t="s">
        <v>459</v>
      </c>
      <c r="B19" s="188" t="s">
        <v>466</v>
      </c>
      <c r="C19" s="199">
        <v>4.0000000000000001E-3</v>
      </c>
      <c r="E19" s="201" t="s">
        <v>459</v>
      </c>
      <c r="F19" s="188" t="s">
        <v>466</v>
      </c>
      <c r="G19" s="199">
        <v>4.0000000000000001E-3</v>
      </c>
      <c r="J19" s="34"/>
    </row>
    <row r="20" spans="1:10" s="189" customFormat="1" ht="13.5">
      <c r="A20" s="201" t="s">
        <v>460</v>
      </c>
      <c r="B20" s="188" t="s">
        <v>538</v>
      </c>
      <c r="C20" s="199">
        <v>1.2699999999999999E-2</v>
      </c>
      <c r="E20" s="201" t="s">
        <v>460</v>
      </c>
      <c r="F20" s="188" t="s">
        <v>538</v>
      </c>
      <c r="G20" s="199">
        <v>1.2699999999999999E-2</v>
      </c>
      <c r="J20" s="34"/>
    </row>
    <row r="21" spans="1:10" s="189" customFormat="1" ht="13.5">
      <c r="A21" s="201" t="s">
        <v>461</v>
      </c>
      <c r="B21" s="188" t="s">
        <v>467</v>
      </c>
      <c r="C21" s="199">
        <v>4.0000000000000001E-3</v>
      </c>
      <c r="E21" s="201" t="s">
        <v>461</v>
      </c>
      <c r="F21" s="188" t="s">
        <v>467</v>
      </c>
      <c r="G21" s="199">
        <v>4.0000000000000001E-3</v>
      </c>
      <c r="J21" s="34"/>
    </row>
    <row r="22" spans="1:10" s="189" customFormat="1" ht="13.5">
      <c r="A22" s="201" t="s">
        <v>462</v>
      </c>
      <c r="B22" s="188" t="s">
        <v>468</v>
      </c>
      <c r="C22" s="199">
        <v>1.23E-2</v>
      </c>
      <c r="E22" s="201" t="s">
        <v>462</v>
      </c>
      <c r="F22" s="188" t="s">
        <v>468</v>
      </c>
      <c r="G22" s="199">
        <v>1.23E-2</v>
      </c>
      <c r="J22" s="34"/>
    </row>
    <row r="23" spans="1:10" s="189" customFormat="1" ht="13.5">
      <c r="A23" s="201" t="s">
        <v>463</v>
      </c>
      <c r="B23" s="188" t="s">
        <v>469</v>
      </c>
      <c r="C23" s="199">
        <v>7.3999999999999996E-2</v>
      </c>
      <c r="E23" s="201" t="s">
        <v>463</v>
      </c>
      <c r="F23" s="188" t="s">
        <v>469</v>
      </c>
      <c r="G23" s="199">
        <v>7.3999999999999996E-2</v>
      </c>
      <c r="J23" s="34"/>
    </row>
    <row r="24" spans="1:10" s="189" customFormat="1" ht="13.5">
      <c r="A24" s="201" t="s">
        <v>464</v>
      </c>
      <c r="B24" s="188" t="s">
        <v>539</v>
      </c>
      <c r="C24" s="199">
        <v>6.6500000000000004E-2</v>
      </c>
      <c r="E24" s="201" t="s">
        <v>464</v>
      </c>
      <c r="F24" s="188" t="s">
        <v>539</v>
      </c>
      <c r="G24" s="199">
        <v>0.11149999999999999</v>
      </c>
      <c r="J24" s="34"/>
    </row>
    <row r="25" spans="1:10" s="189" customFormat="1">
      <c r="A25" s="202"/>
      <c r="B25" s="193" t="s">
        <v>187</v>
      </c>
      <c r="C25" s="194">
        <v>6.4999999999999997E-3</v>
      </c>
      <c r="E25" s="202"/>
      <c r="F25" s="193" t="s">
        <v>187</v>
      </c>
      <c r="G25" s="194">
        <v>6.4999999999999997E-3</v>
      </c>
      <c r="J25" s="34"/>
    </row>
    <row r="26" spans="1:10" s="189" customFormat="1">
      <c r="A26" s="202"/>
      <c r="B26" s="193" t="s">
        <v>188</v>
      </c>
      <c r="C26" s="194">
        <v>0.03</v>
      </c>
      <c r="E26" s="202"/>
      <c r="F26" s="193" t="s">
        <v>188</v>
      </c>
      <c r="G26" s="194">
        <v>0.03</v>
      </c>
      <c r="J26" s="34"/>
    </row>
    <row r="27" spans="1:10">
      <c r="A27" s="202"/>
      <c r="B27" s="193" t="s">
        <v>212</v>
      </c>
      <c r="C27" s="194"/>
      <c r="E27" s="422"/>
      <c r="F27" s="423" t="s">
        <v>212</v>
      </c>
      <c r="G27" s="424">
        <v>4.4999999999999998E-2</v>
      </c>
    </row>
    <row r="28" spans="1:10">
      <c r="A28" s="203"/>
      <c r="B28" s="195" t="s">
        <v>189</v>
      </c>
      <c r="C28" s="196">
        <v>0.03</v>
      </c>
      <c r="E28" s="203"/>
      <c r="F28" s="195" t="s">
        <v>189</v>
      </c>
      <c r="G28" s="196">
        <v>0.03</v>
      </c>
    </row>
    <row r="29" spans="1:10" ht="5.25" customHeight="1" thickBot="1">
      <c r="A29" s="204"/>
      <c r="B29" s="193"/>
      <c r="C29" s="192"/>
      <c r="E29" s="204"/>
      <c r="F29" s="193"/>
      <c r="G29" s="192"/>
    </row>
    <row r="30" spans="1:10">
      <c r="A30" s="34"/>
      <c r="B30" s="227" t="s">
        <v>473</v>
      </c>
      <c r="C30" s="228"/>
      <c r="E30" s="34"/>
      <c r="F30" s="227" t="s">
        <v>473</v>
      </c>
      <c r="G30" s="228"/>
    </row>
    <row r="31" spans="1:10">
      <c r="B31" s="205" t="s">
        <v>470</v>
      </c>
      <c r="C31" s="206">
        <f>ROUND(((((1+(C18+C19+C20+C21))*(1+C22)*(1+C23))/(1-C24))-1),4)</f>
        <v>0.2354</v>
      </c>
      <c r="D31" s="34"/>
      <c r="E31" s="32"/>
      <c r="F31" s="205" t="s">
        <v>470</v>
      </c>
      <c r="G31" s="206">
        <f>ROUND(((((1+(G18+G19+G20+G21))*(1+G22)*(1+G23))/(1-G24))-1),4)</f>
        <v>0.2979</v>
      </c>
    </row>
    <row r="32" spans="1:10" s="229" customFormat="1" ht="15.75" thickBot="1">
      <c r="B32" s="230" t="s">
        <v>471</v>
      </c>
      <c r="C32" s="231">
        <f>IF(C31&gt;25%,25%,C31)</f>
        <v>0.2354</v>
      </c>
      <c r="D32" s="232"/>
      <c r="F32" s="230" t="s">
        <v>471</v>
      </c>
      <c r="G32" s="231">
        <f>G31</f>
        <v>0.2979</v>
      </c>
    </row>
    <row r="33" spans="1:4" ht="16.5" customHeight="1">
      <c r="A33" s="34"/>
      <c r="B33" s="34"/>
      <c r="C33" s="34"/>
      <c r="D33" s="34"/>
    </row>
    <row r="34" spans="1:4">
      <c r="A34" s="187" t="s">
        <v>475</v>
      </c>
      <c r="B34" s="189"/>
      <c r="C34" s="187"/>
      <c r="D34" s="34"/>
    </row>
    <row r="35" spans="1:4" ht="13.5">
      <c r="A35" s="200" t="s">
        <v>458</v>
      </c>
      <c r="B35" s="197" t="s">
        <v>465</v>
      </c>
      <c r="C35" s="198">
        <v>5.1999999999999998E-2</v>
      </c>
      <c r="D35" s="34"/>
    </row>
    <row r="36" spans="1:4" ht="13.5">
      <c r="A36" s="201" t="s">
        <v>459</v>
      </c>
      <c r="B36" s="188" t="s">
        <v>466</v>
      </c>
      <c r="C36" s="199">
        <v>2.3999999999999998E-3</v>
      </c>
      <c r="D36" s="34"/>
    </row>
    <row r="37" spans="1:4" ht="13.5">
      <c r="A37" s="201" t="s">
        <v>460</v>
      </c>
      <c r="B37" s="188" t="s">
        <v>538</v>
      </c>
      <c r="C37" s="199">
        <v>4.3E-3</v>
      </c>
      <c r="D37" s="34"/>
    </row>
    <row r="38" spans="1:4" ht="13.5">
      <c r="A38" s="201" t="s">
        <v>461</v>
      </c>
      <c r="B38" s="188" t="s">
        <v>467</v>
      </c>
      <c r="C38" s="199">
        <v>2.0999999999999999E-3</v>
      </c>
      <c r="D38" s="34"/>
    </row>
    <row r="39" spans="1:4" ht="13.5">
      <c r="A39" s="201" t="s">
        <v>462</v>
      </c>
      <c r="B39" s="188" t="s">
        <v>468</v>
      </c>
      <c r="C39" s="199">
        <v>0.01</v>
      </c>
      <c r="D39" s="34"/>
    </row>
    <row r="40" spans="1:4" ht="13.5">
      <c r="A40" s="201" t="s">
        <v>463</v>
      </c>
      <c r="B40" s="188" t="s">
        <v>469</v>
      </c>
      <c r="C40" s="199">
        <v>4.1000000000000002E-2</v>
      </c>
      <c r="D40" s="34"/>
    </row>
    <row r="41" spans="1:4" ht="13.5">
      <c r="A41" s="201" t="s">
        <v>464</v>
      </c>
      <c r="B41" s="188" t="s">
        <v>539</v>
      </c>
      <c r="C41" s="199">
        <f>SUM(C42:C45)</f>
        <v>3.6499999999999998E-2</v>
      </c>
      <c r="D41" s="34"/>
    </row>
    <row r="42" spans="1:4">
      <c r="A42" s="202"/>
      <c r="B42" s="193" t="s">
        <v>187</v>
      </c>
      <c r="C42" s="194">
        <v>6.4999999999999997E-3</v>
      </c>
      <c r="D42" s="34"/>
    </row>
    <row r="43" spans="1:4">
      <c r="A43" s="202"/>
      <c r="B43" s="193" t="s">
        <v>188</v>
      </c>
      <c r="C43" s="194">
        <v>0.03</v>
      </c>
      <c r="D43" s="34"/>
    </row>
    <row r="44" spans="1:4">
      <c r="A44" s="202"/>
      <c r="B44" s="193" t="s">
        <v>212</v>
      </c>
      <c r="C44" s="194"/>
      <c r="D44" s="34"/>
    </row>
    <row r="45" spans="1:4">
      <c r="A45" s="203"/>
      <c r="B45" s="195" t="s">
        <v>189</v>
      </c>
      <c r="C45" s="196"/>
      <c r="D45" s="34"/>
    </row>
    <row r="46" spans="1:4" ht="5.25" customHeight="1" thickBot="1">
      <c r="A46" s="204"/>
      <c r="B46" s="193"/>
      <c r="C46" s="192"/>
      <c r="D46" s="34"/>
    </row>
    <row r="47" spans="1:4">
      <c r="A47" s="34"/>
      <c r="B47" s="227" t="s">
        <v>474</v>
      </c>
      <c r="C47" s="228"/>
      <c r="D47" s="34"/>
    </row>
    <row r="48" spans="1:4">
      <c r="B48" s="205" t="s">
        <v>470</v>
      </c>
      <c r="C48" s="206">
        <f>((((1+(C35+C36+C37+C38))*(1+C39)*(1+C40))/(1-C41))-1)</f>
        <v>0.15758767825635678</v>
      </c>
      <c r="D48" s="34"/>
    </row>
    <row r="49" spans="1:7" s="229" customFormat="1" ht="15.75" thickBot="1">
      <c r="B49" s="230" t="s">
        <v>471</v>
      </c>
      <c r="C49" s="231">
        <f>ROUND(C48,4)</f>
        <v>0.15759999999999999</v>
      </c>
      <c r="D49" s="232"/>
      <c r="E49" s="233"/>
    </row>
    <row r="50" spans="1:7" ht="5.25" customHeight="1">
      <c r="A50" s="34"/>
      <c r="B50" s="34"/>
      <c r="C50" s="34"/>
      <c r="D50" s="34"/>
    </row>
    <row r="51" spans="1:7">
      <c r="A51" s="34" t="str">
        <f>ORÇAMENTO!B117</f>
        <v>Local, xx de xxxxxxxxxxxxx de 20xx.</v>
      </c>
      <c r="B51" s="34"/>
      <c r="C51" s="34"/>
      <c r="D51" s="34"/>
    </row>
    <row r="52" spans="1:7" ht="15" customHeight="1">
      <c r="A52" s="34"/>
      <c r="C52" s="34"/>
      <c r="D52" s="34"/>
    </row>
    <row r="53" spans="1:7">
      <c r="A53" s="34"/>
      <c r="C53" s="36" t="str">
        <f>ORÇAMENTO!E119</f>
        <v>Eng. XXXXXXXXXXXXXXXXXX</v>
      </c>
      <c r="D53" s="34"/>
      <c r="E53" s="35"/>
      <c r="F53" s="34"/>
      <c r="G53" s="34"/>
    </row>
    <row r="54" spans="1:7">
      <c r="A54" s="34"/>
      <c r="C54" s="36" t="str">
        <f>ORÇAMENTO!E120</f>
        <v>CREA/CAU XXXXXXXXXXXX</v>
      </c>
      <c r="D54" s="34"/>
      <c r="E54" s="35"/>
      <c r="F54" s="34"/>
      <c r="G54" s="34"/>
    </row>
    <row r="55" spans="1:7">
      <c r="A55" s="34"/>
      <c r="C55" s="36" t="str">
        <f>ORÇAMENTO!E121</f>
        <v>cargo</v>
      </c>
      <c r="D55" s="34"/>
      <c r="E55" s="35"/>
      <c r="F55" s="34"/>
      <c r="G55" s="34"/>
    </row>
  </sheetData>
  <mergeCells count="4">
    <mergeCell ref="A16:C17"/>
    <mergeCell ref="E16:G17"/>
    <mergeCell ref="B9:F9"/>
    <mergeCell ref="A14:F14"/>
  </mergeCells>
  <printOptions horizontalCentered="1"/>
  <pageMargins left="1.1811023622047245" right="0.59055118110236227" top="1.1811023622047245" bottom="0.78740157480314965" header="0.39370078740157483" footer="0.39370078740157483"/>
  <pageSetup paperSize="9" fitToWidth="0" orientation="portrait" r:id="rId1"/>
  <headerFooter>
    <oddHeader>&amp;L&amp;G&amp;C&amp;"Arial,Negrito"MINISTÉRIO DA EDUCAÇÃO
&amp;8INSTITUTO FEDERAL FARROUPILHA
REITORIA&amp;R&amp;P de &amp;N</oddHeader>
    <oddFooter>&amp;C&amp;"Arial,Normal"&amp;8Rua Esmeralda, 430 – Faixa Nova – Camobi – CEP 97110-767 – Santa Maria/RS 
Fone: (55) 3226-6630 / E-mail: coeng@iffarroupilha.edu.br</oddFoot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Word.Document.12" shapeId="4099" r:id="rId5">
          <objectPr defaultSize="0" r:id="rId6">
            <anchor moveWithCells="1">
              <from>
                <xdr:col>1</xdr:col>
                <xdr:colOff>1543050</xdr:colOff>
                <xdr:row>9</xdr:row>
                <xdr:rowOff>66675</xdr:rowOff>
              </from>
              <to>
                <xdr:col>5</xdr:col>
                <xdr:colOff>952500</xdr:colOff>
                <xdr:row>12</xdr:row>
                <xdr:rowOff>142875</xdr:rowOff>
              </to>
            </anchor>
          </objectPr>
        </oleObject>
      </mc:Choice>
      <mc:Fallback>
        <oleObject progId="Word.Document.12" shapeId="4099" r:id="rId5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J422"/>
  <sheetViews>
    <sheetView view="pageBreakPreview" topLeftCell="A49" zoomScaleSheetLayoutView="100" workbookViewId="0">
      <selection activeCell="B118" sqref="B118"/>
    </sheetView>
  </sheetViews>
  <sheetFormatPr defaultRowHeight="12.75"/>
  <cols>
    <col min="1" max="1" width="17.28515625" style="55" customWidth="1"/>
    <col min="2" max="2" width="55.42578125" style="102" bestFit="1" customWidth="1"/>
    <col min="3" max="3" width="5.85546875" style="55" customWidth="1"/>
    <col min="4" max="4" width="9.7109375" style="55" customWidth="1"/>
    <col min="5" max="5" width="13.140625" style="55" customWidth="1"/>
    <col min="6" max="6" width="12.5703125" style="55" customWidth="1"/>
    <col min="7" max="7" width="18" style="55" customWidth="1"/>
    <col min="8" max="8" width="10.42578125" style="55" bestFit="1" customWidth="1"/>
    <col min="9" max="16384" width="9.140625" style="55"/>
  </cols>
  <sheetData>
    <row r="1" spans="1:6" ht="14.25">
      <c r="A1" s="278" t="str">
        <f>ORÇAMENTO!A1</f>
        <v>PROJETO: XXXXXXXXXXXXXXX</v>
      </c>
      <c r="C1" s="279" t="str">
        <f>ORÇAMENTO!E1</f>
        <v>Data Base: XXXXXXXXXXX</v>
      </c>
    </row>
    <row r="2" spans="1:6" ht="14.25">
      <c r="A2" s="278" t="str">
        <f>ORÇAMENTO!A2</f>
        <v>CAMPUS XXXXXXXXXXXXXX</v>
      </c>
      <c r="C2" s="279" t="str">
        <f>ORÇAMENTO!E2</f>
        <v>Fontes: XXXXXXXXXX</v>
      </c>
    </row>
    <row r="3" spans="1:6" ht="14.25">
      <c r="A3" s="280" t="str">
        <f>ORÇAMENTO!A3</f>
        <v>Endereço da Obra: XXXXXXXXXXXXXXXXXXXXXXXXX</v>
      </c>
      <c r="C3" s="279" t="str">
        <f>ORÇAMENTO!E3</f>
        <v xml:space="preserve">            XXXXXXXXXX</v>
      </c>
    </row>
    <row r="4" spans="1:6" ht="14.25">
      <c r="A4" s="280" t="str">
        <f>ORÇAMENTO!A4</f>
        <v>Área Total: XXXXXXXX</v>
      </c>
      <c r="C4" s="279"/>
    </row>
    <row r="5" spans="1:6" ht="6.75" customHeight="1">
      <c r="A5" s="280"/>
      <c r="C5" s="279"/>
    </row>
    <row r="6" spans="1:6">
      <c r="A6" s="279" t="str">
        <f>ORÇAMENTO!A6</f>
        <v>Responsável Técnico:</v>
      </c>
      <c r="C6" s="279"/>
    </row>
    <row r="7" spans="1:6">
      <c r="A7" s="279" t="str">
        <f>ORÇAMENTO!A7</f>
        <v>CREA/CAU:</v>
      </c>
      <c r="B7" s="279"/>
      <c r="C7" s="279" t="str">
        <f>ORÇAMENTO!E7</f>
        <v>ART/RRT de orçamento nº: XXXXXXX</v>
      </c>
      <c r="D7" s="279"/>
    </row>
    <row r="8" spans="1:6" ht="9.75" customHeight="1">
      <c r="A8" s="279"/>
      <c r="B8" s="279"/>
      <c r="C8" s="279"/>
      <c r="D8" s="279"/>
    </row>
    <row r="9" spans="1:6" ht="15">
      <c r="A9" s="398" t="s">
        <v>210</v>
      </c>
      <c r="B9" s="398"/>
      <c r="C9" s="398"/>
      <c r="D9" s="398"/>
      <c r="E9" s="398"/>
      <c r="F9" s="398"/>
    </row>
    <row r="10" spans="1:6" ht="8.25" customHeight="1" thickBot="1">
      <c r="A10" s="281"/>
      <c r="B10" s="282"/>
      <c r="C10" s="281"/>
      <c r="D10" s="281"/>
      <c r="E10" s="281"/>
      <c r="F10" s="281"/>
    </row>
    <row r="11" spans="1:6" s="284" customFormat="1" ht="29.25" customHeight="1">
      <c r="A11" s="283" t="s">
        <v>18</v>
      </c>
      <c r="B11" s="399" t="s">
        <v>21</v>
      </c>
      <c r="C11" s="400"/>
      <c r="D11" s="400"/>
      <c r="E11" s="400"/>
      <c r="F11" s="401"/>
    </row>
    <row r="12" spans="1:6" s="284" customFormat="1">
      <c r="A12" s="285" t="s">
        <v>51</v>
      </c>
      <c r="B12" s="286" t="s">
        <v>9</v>
      </c>
      <c r="C12" s="287" t="s">
        <v>4</v>
      </c>
      <c r="D12" s="287" t="s">
        <v>10</v>
      </c>
      <c r="E12" s="287" t="s">
        <v>19</v>
      </c>
      <c r="F12" s="288" t="s">
        <v>11</v>
      </c>
    </row>
    <row r="13" spans="1:6" ht="51">
      <c r="A13" s="289" t="s">
        <v>55</v>
      </c>
      <c r="B13" s="290" t="s">
        <v>401</v>
      </c>
      <c r="C13" s="291" t="s">
        <v>5</v>
      </c>
      <c r="D13" s="291">
        <v>40</v>
      </c>
      <c r="E13" s="291">
        <v>219.56</v>
      </c>
      <c r="F13" s="292">
        <f>D13*E13</f>
        <v>8782.4</v>
      </c>
    </row>
    <row r="14" spans="1:6" ht="51">
      <c r="A14" s="289" t="s">
        <v>56</v>
      </c>
      <c r="B14" s="290" t="s">
        <v>402</v>
      </c>
      <c r="C14" s="291" t="s">
        <v>5</v>
      </c>
      <c r="D14" s="291">
        <v>10</v>
      </c>
      <c r="E14" s="291">
        <v>155.25</v>
      </c>
      <c r="F14" s="292">
        <f>D14*E14</f>
        <v>1552.5</v>
      </c>
    </row>
    <row r="15" spans="1:6" ht="25.5">
      <c r="A15" s="293" t="s">
        <v>57</v>
      </c>
      <c r="B15" s="290" t="s">
        <v>403</v>
      </c>
      <c r="C15" s="291" t="s">
        <v>5</v>
      </c>
      <c r="D15" s="291">
        <v>40</v>
      </c>
      <c r="E15" s="291">
        <v>143.35</v>
      </c>
      <c r="F15" s="292">
        <f>D15*E15</f>
        <v>5734</v>
      </c>
    </row>
    <row r="16" spans="1:6" ht="13.5" thickBot="1">
      <c r="A16" s="294"/>
      <c r="B16" s="295"/>
      <c r="C16" s="296"/>
      <c r="D16" s="297"/>
      <c r="E16" s="298" t="s">
        <v>23</v>
      </c>
      <c r="F16" s="299">
        <f>SUM(F13:F15)</f>
        <v>16068.9</v>
      </c>
    </row>
    <row r="17" spans="1:7" ht="13.5" thickBot="1">
      <c r="A17" s="281"/>
      <c r="B17" s="282"/>
      <c r="C17" s="281"/>
      <c r="D17" s="281"/>
      <c r="E17" s="281"/>
      <c r="F17" s="281"/>
    </row>
    <row r="18" spans="1:7" s="284" customFormat="1" ht="29.25" customHeight="1">
      <c r="A18" s="283" t="s">
        <v>20</v>
      </c>
      <c r="B18" s="399" t="s">
        <v>400</v>
      </c>
      <c r="C18" s="400"/>
      <c r="D18" s="400"/>
      <c r="E18" s="400"/>
      <c r="F18" s="401"/>
    </row>
    <row r="19" spans="1:7" s="284" customFormat="1">
      <c r="A19" s="285" t="s">
        <v>51</v>
      </c>
      <c r="B19" s="286" t="s">
        <v>9</v>
      </c>
      <c r="C19" s="287" t="s">
        <v>4</v>
      </c>
      <c r="D19" s="287" t="s">
        <v>10</v>
      </c>
      <c r="E19" s="287" t="s">
        <v>19</v>
      </c>
      <c r="F19" s="288" t="s">
        <v>11</v>
      </c>
    </row>
    <row r="20" spans="1:7" ht="25.5">
      <c r="A20" s="289" t="s">
        <v>58</v>
      </c>
      <c r="B20" s="290" t="s">
        <v>404</v>
      </c>
      <c r="C20" s="291" t="s">
        <v>5</v>
      </c>
      <c r="D20" s="291">
        <v>1</v>
      </c>
      <c r="E20" s="291">
        <v>33.93</v>
      </c>
      <c r="F20" s="292">
        <f>D20*E20</f>
        <v>33.93</v>
      </c>
    </row>
    <row r="21" spans="1:7" ht="38.25">
      <c r="A21" s="289" t="s">
        <v>59</v>
      </c>
      <c r="B21" s="290" t="s">
        <v>405</v>
      </c>
      <c r="C21" s="291" t="s">
        <v>4</v>
      </c>
      <c r="D21" s="291">
        <v>-0.22727269999999999</v>
      </c>
      <c r="E21" s="291">
        <v>22.14</v>
      </c>
      <c r="F21" s="292">
        <f>D21*E21</f>
        <v>-5.0318175780000001</v>
      </c>
    </row>
    <row r="22" spans="1:7" ht="25.5">
      <c r="A22" s="289" t="s">
        <v>60</v>
      </c>
      <c r="B22" s="290" t="s">
        <v>406</v>
      </c>
      <c r="C22" s="291" t="s">
        <v>4</v>
      </c>
      <c r="D22" s="291">
        <v>0.22727269999999999</v>
      </c>
      <c r="E22" s="291">
        <v>38.18</v>
      </c>
      <c r="F22" s="292">
        <f>D22*E22</f>
        <v>8.6772716859999992</v>
      </c>
    </row>
    <row r="23" spans="1:7" ht="13.5" thickBot="1">
      <c r="A23" s="294"/>
      <c r="B23" s="295"/>
      <c r="C23" s="296"/>
      <c r="D23" s="297"/>
      <c r="E23" s="298" t="s">
        <v>23</v>
      </c>
      <c r="F23" s="299">
        <f>SUM(F20:F22)</f>
        <v>37.575454107999995</v>
      </c>
    </row>
    <row r="24" spans="1:7" ht="13.5" thickBot="1">
      <c r="A24" s="281"/>
      <c r="B24" s="282"/>
      <c r="C24" s="281"/>
      <c r="D24" s="281"/>
      <c r="E24" s="281"/>
      <c r="F24" s="281"/>
    </row>
    <row r="25" spans="1:7" s="284" customFormat="1" ht="78" customHeight="1">
      <c r="A25" s="283" t="s">
        <v>22</v>
      </c>
      <c r="B25" s="392" t="s">
        <v>209</v>
      </c>
      <c r="C25" s="393"/>
      <c r="D25" s="393"/>
      <c r="E25" s="393"/>
      <c r="F25" s="394"/>
    </row>
    <row r="26" spans="1:7" s="284" customFormat="1">
      <c r="A26" s="285" t="s">
        <v>51</v>
      </c>
      <c r="B26" s="286" t="s">
        <v>9</v>
      </c>
      <c r="C26" s="287" t="s">
        <v>4</v>
      </c>
      <c r="D26" s="287" t="s">
        <v>10</v>
      </c>
      <c r="E26" s="287" t="s">
        <v>19</v>
      </c>
      <c r="F26" s="288" t="s">
        <v>11</v>
      </c>
    </row>
    <row r="27" spans="1:7">
      <c r="A27" s="289" t="s">
        <v>71</v>
      </c>
      <c r="B27" s="290" t="s">
        <v>386</v>
      </c>
      <c r="C27" s="291" t="s">
        <v>12</v>
      </c>
      <c r="D27" s="291">
        <v>35</v>
      </c>
      <c r="E27" s="291">
        <v>54.7</v>
      </c>
      <c r="F27" s="292">
        <f>E27*D27</f>
        <v>1914.5</v>
      </c>
    </row>
    <row r="28" spans="1:7" ht="38.25">
      <c r="A28" s="300" t="s">
        <v>172</v>
      </c>
      <c r="B28" s="290" t="s">
        <v>207</v>
      </c>
      <c r="C28" s="291" t="s">
        <v>13</v>
      </c>
      <c r="D28" s="291">
        <v>1</v>
      </c>
      <c r="E28" s="291">
        <f>1.4771*1111*1.2+165</f>
        <v>2134.2697200000002</v>
      </c>
      <c r="F28" s="292">
        <f t="shared" ref="F28:F32" si="0">E28*D28</f>
        <v>2134.2697200000002</v>
      </c>
      <c r="G28" s="55" t="s">
        <v>180</v>
      </c>
    </row>
    <row r="29" spans="1:7" ht="25.5">
      <c r="A29" s="300" t="s">
        <v>172</v>
      </c>
      <c r="B29" s="290" t="s">
        <v>387</v>
      </c>
      <c r="C29" s="291" t="s">
        <v>208</v>
      </c>
      <c r="D29" s="291">
        <v>0.25</v>
      </c>
      <c r="E29" s="291">
        <f>1985*1.4771*1.2+165</f>
        <v>3683.4522000000002</v>
      </c>
      <c r="F29" s="292">
        <f t="shared" si="0"/>
        <v>920.86305000000004</v>
      </c>
      <c r="G29" s="55" t="s">
        <v>174</v>
      </c>
    </row>
    <row r="30" spans="1:7" ht="51" customHeight="1">
      <c r="A30" s="300" t="s">
        <v>172</v>
      </c>
      <c r="B30" s="290" t="s">
        <v>206</v>
      </c>
      <c r="C30" s="291" t="s">
        <v>13</v>
      </c>
      <c r="D30" s="291">
        <v>0.5</v>
      </c>
      <c r="E30" s="291">
        <f>1.4771*875*1.2+165</f>
        <v>1715.9550000000002</v>
      </c>
      <c r="F30" s="292">
        <f t="shared" si="0"/>
        <v>857.97750000000008</v>
      </c>
    </row>
    <row r="31" spans="1:7">
      <c r="A31" s="293" t="s">
        <v>70</v>
      </c>
      <c r="B31" s="290" t="s">
        <v>14</v>
      </c>
      <c r="C31" s="291" t="s">
        <v>15</v>
      </c>
      <c r="D31" s="291"/>
      <c r="E31" s="291">
        <v>0.43</v>
      </c>
      <c r="F31" s="292">
        <f>E31*D31</f>
        <v>0</v>
      </c>
      <c r="G31" s="55" t="s">
        <v>31</v>
      </c>
    </row>
    <row r="32" spans="1:7" ht="25.5">
      <c r="A32" s="301" t="s">
        <v>16</v>
      </c>
      <c r="B32" s="290" t="s">
        <v>17</v>
      </c>
      <c r="C32" s="291" t="s">
        <v>13</v>
      </c>
      <c r="D32" s="291">
        <v>1</v>
      </c>
      <c r="E32" s="291">
        <v>56.85</v>
      </c>
      <c r="F32" s="292">
        <f t="shared" si="0"/>
        <v>56.85</v>
      </c>
      <c r="G32" s="55" t="s">
        <v>173</v>
      </c>
    </row>
    <row r="33" spans="1:6" ht="25.5">
      <c r="A33" s="301" t="s">
        <v>259</v>
      </c>
      <c r="B33" s="290" t="s">
        <v>260</v>
      </c>
      <c r="C33" s="290" t="s">
        <v>407</v>
      </c>
      <c r="D33" s="291">
        <f>15/12</f>
        <v>1.25</v>
      </c>
      <c r="E33" s="291">
        <v>9.4999999999999987E-2</v>
      </c>
      <c r="F33" s="292">
        <f>D33*E33</f>
        <v>0.11874999999999998</v>
      </c>
    </row>
    <row r="34" spans="1:6" ht="13.5" thickBot="1">
      <c r="A34" s="294"/>
      <c r="B34" s="295"/>
      <c r="C34" s="296"/>
      <c r="D34" s="297"/>
      <c r="E34" s="298" t="s">
        <v>23</v>
      </c>
      <c r="F34" s="299">
        <f>SUM(F27:F33)</f>
        <v>5884.5790200000001</v>
      </c>
    </row>
    <row r="35" spans="1:6" ht="13.5" thickBot="1"/>
    <row r="36" spans="1:6" s="284" customFormat="1" ht="26.25" customHeight="1">
      <c r="A36" s="283" t="s">
        <v>26</v>
      </c>
      <c r="B36" s="392" t="s">
        <v>399</v>
      </c>
      <c r="C36" s="393"/>
      <c r="D36" s="393"/>
      <c r="E36" s="393"/>
      <c r="F36" s="394"/>
    </row>
    <row r="37" spans="1:6" s="284" customFormat="1">
      <c r="A37" s="285" t="s">
        <v>51</v>
      </c>
      <c r="B37" s="286" t="s">
        <v>9</v>
      </c>
      <c r="C37" s="287" t="s">
        <v>4</v>
      </c>
      <c r="D37" s="287" t="s">
        <v>10</v>
      </c>
      <c r="E37" s="287" t="s">
        <v>19</v>
      </c>
      <c r="F37" s="288" t="s">
        <v>11</v>
      </c>
    </row>
    <row r="38" spans="1:6" ht="25.5">
      <c r="A38" s="289" t="s">
        <v>69</v>
      </c>
      <c r="B38" s="290" t="s">
        <v>408</v>
      </c>
      <c r="C38" s="291" t="s">
        <v>25</v>
      </c>
      <c r="D38" s="291">
        <v>1</v>
      </c>
      <c r="E38" s="291">
        <v>25</v>
      </c>
      <c r="F38" s="292">
        <f>E38*D38</f>
        <v>25</v>
      </c>
    </row>
    <row r="39" spans="1:6">
      <c r="A39" s="289" t="s">
        <v>61</v>
      </c>
      <c r="B39" s="290" t="s">
        <v>351</v>
      </c>
      <c r="C39" s="291" t="s">
        <v>25</v>
      </c>
      <c r="D39" s="291">
        <v>1</v>
      </c>
      <c r="E39" s="291">
        <v>4.97</v>
      </c>
      <c r="F39" s="292">
        <f t="shared" ref="F39:F40" si="1">E39*D39</f>
        <v>4.97</v>
      </c>
    </row>
    <row r="40" spans="1:6" ht="25.5">
      <c r="A40" s="289" t="s">
        <v>62</v>
      </c>
      <c r="B40" s="290" t="s">
        <v>409</v>
      </c>
      <c r="C40" s="291" t="s">
        <v>25</v>
      </c>
      <c r="D40" s="291">
        <v>1</v>
      </c>
      <c r="E40" s="291">
        <v>0.5</v>
      </c>
      <c r="F40" s="292">
        <f t="shared" si="1"/>
        <v>0.5</v>
      </c>
    </row>
    <row r="41" spans="1:6" ht="13.5" thickBot="1">
      <c r="A41" s="294"/>
      <c r="B41" s="295"/>
      <c r="C41" s="296"/>
      <c r="D41" s="297"/>
      <c r="E41" s="298" t="s">
        <v>23</v>
      </c>
      <c r="F41" s="299">
        <f>SUM(F37:F40)</f>
        <v>30.47</v>
      </c>
    </row>
    <row r="42" spans="1:6" ht="13.5" thickBot="1"/>
    <row r="43" spans="1:6" s="284" customFormat="1">
      <c r="A43" s="283" t="s">
        <v>33</v>
      </c>
      <c r="B43" s="392" t="s">
        <v>134</v>
      </c>
      <c r="C43" s="393"/>
      <c r="D43" s="393"/>
      <c r="E43" s="393"/>
      <c r="F43" s="394"/>
    </row>
    <row r="44" spans="1:6" s="284" customFormat="1">
      <c r="A44" s="285" t="s">
        <v>51</v>
      </c>
      <c r="B44" s="286" t="s">
        <v>9</v>
      </c>
      <c r="C44" s="287" t="s">
        <v>4</v>
      </c>
      <c r="D44" s="287" t="s">
        <v>10</v>
      </c>
      <c r="E44" s="287" t="s">
        <v>85</v>
      </c>
      <c r="F44" s="288" t="s">
        <v>11</v>
      </c>
    </row>
    <row r="45" spans="1:6" ht="25.5">
      <c r="A45" s="289" t="s">
        <v>137</v>
      </c>
      <c r="B45" s="290" t="s">
        <v>410</v>
      </c>
      <c r="C45" s="291" t="s">
        <v>135</v>
      </c>
      <c r="D45" s="291">
        <v>20</v>
      </c>
      <c r="E45" s="291">
        <v>35</v>
      </c>
      <c r="F45" s="292">
        <f>D45*E45</f>
        <v>700</v>
      </c>
    </row>
    <row r="46" spans="1:6" ht="38.25">
      <c r="A46" s="289" t="s">
        <v>136</v>
      </c>
      <c r="B46" s="290" t="s">
        <v>411</v>
      </c>
      <c r="C46" s="291" t="s">
        <v>5</v>
      </c>
      <c r="D46" s="291">
        <v>40</v>
      </c>
      <c r="E46" s="291">
        <v>143.35</v>
      </c>
      <c r="F46" s="292">
        <f>D46*E46</f>
        <v>5734</v>
      </c>
    </row>
    <row r="47" spans="1:6" ht="13.5" thickBot="1">
      <c r="A47" s="294"/>
      <c r="B47" s="295"/>
      <c r="C47" s="296"/>
      <c r="D47" s="297"/>
      <c r="E47" s="298" t="s">
        <v>23</v>
      </c>
      <c r="F47" s="299">
        <f>SUM(F45:F46)</f>
        <v>6434</v>
      </c>
    </row>
    <row r="48" spans="1:6" ht="13.5" thickBot="1">
      <c r="B48" s="55"/>
    </row>
    <row r="49" spans="1:6" s="284" customFormat="1" ht="26.25" customHeight="1">
      <c r="A49" s="283" t="s">
        <v>35</v>
      </c>
      <c r="B49" s="392" t="s">
        <v>388</v>
      </c>
      <c r="C49" s="393"/>
      <c r="D49" s="393"/>
      <c r="E49" s="393"/>
      <c r="F49" s="394"/>
    </row>
    <row r="50" spans="1:6" s="284" customFormat="1">
      <c r="A50" s="285" t="s">
        <v>51</v>
      </c>
      <c r="B50" s="286" t="s">
        <v>9</v>
      </c>
      <c r="C50" s="287" t="s">
        <v>4</v>
      </c>
      <c r="D50" s="287" t="s">
        <v>10</v>
      </c>
      <c r="E50" s="287" t="s">
        <v>19</v>
      </c>
      <c r="F50" s="288" t="s">
        <v>11</v>
      </c>
    </row>
    <row r="51" spans="1:6" ht="25.5">
      <c r="A51" s="289" t="s">
        <v>233</v>
      </c>
      <c r="B51" s="290" t="s">
        <v>266</v>
      </c>
      <c r="C51" s="291" t="s">
        <v>25</v>
      </c>
      <c r="D51" s="291">
        <f>3.14*0.15^2</f>
        <v>7.0650000000000004E-2</v>
      </c>
      <c r="E51" s="291">
        <v>365.83</v>
      </c>
      <c r="F51" s="292">
        <f>ROUND(D51*E51,2)</f>
        <v>25.85</v>
      </c>
    </row>
    <row r="52" spans="1:6">
      <c r="A52" s="289" t="s">
        <v>219</v>
      </c>
      <c r="B52" s="290" t="s">
        <v>267</v>
      </c>
      <c r="C52" s="291" t="s">
        <v>12</v>
      </c>
      <c r="D52" s="291">
        <v>0.1152</v>
      </c>
      <c r="E52" s="291">
        <v>10.16</v>
      </c>
      <c r="F52" s="292">
        <f t="shared" ref="F52:F57" si="2">ROUND(D52*E52,2)</f>
        <v>1.17</v>
      </c>
    </row>
    <row r="53" spans="1:6">
      <c r="A53" s="289" t="s">
        <v>220</v>
      </c>
      <c r="B53" s="290" t="s">
        <v>268</v>
      </c>
      <c r="C53" s="291" t="s">
        <v>12</v>
      </c>
      <c r="D53" s="291">
        <v>0.1152</v>
      </c>
      <c r="E53" s="291">
        <v>12.64</v>
      </c>
      <c r="F53" s="292">
        <f t="shared" si="2"/>
        <v>1.46</v>
      </c>
    </row>
    <row r="54" spans="1:6">
      <c r="A54" s="289" t="s">
        <v>221</v>
      </c>
      <c r="B54" s="290" t="s">
        <v>269</v>
      </c>
      <c r="C54" s="291" t="s">
        <v>12</v>
      </c>
      <c r="D54" s="291">
        <v>0.36</v>
      </c>
      <c r="E54" s="291">
        <v>12.64</v>
      </c>
      <c r="F54" s="292">
        <f t="shared" si="2"/>
        <v>4.55</v>
      </c>
    </row>
    <row r="55" spans="1:6">
      <c r="A55" s="289" t="s">
        <v>222</v>
      </c>
      <c r="B55" s="290" t="s">
        <v>270</v>
      </c>
      <c r="C55" s="291" t="s">
        <v>12</v>
      </c>
      <c r="D55" s="291">
        <v>3.2854100000000002</v>
      </c>
      <c r="E55" s="291">
        <v>10.06</v>
      </c>
      <c r="F55" s="292">
        <f t="shared" si="2"/>
        <v>33.049999999999997</v>
      </c>
    </row>
    <row r="56" spans="1:6">
      <c r="A56" s="289" t="s">
        <v>223</v>
      </c>
      <c r="B56" s="290" t="s">
        <v>271</v>
      </c>
      <c r="C56" s="291" t="s">
        <v>34</v>
      </c>
      <c r="D56" s="291">
        <f>416.1/234</f>
        <v>1.7782051282051283</v>
      </c>
      <c r="E56" s="291">
        <v>4.28</v>
      </c>
      <c r="F56" s="292">
        <f t="shared" si="2"/>
        <v>7.61</v>
      </c>
    </row>
    <row r="57" spans="1:6">
      <c r="A57" s="289" t="s">
        <v>224</v>
      </c>
      <c r="B57" s="290" t="s">
        <v>272</v>
      </c>
      <c r="C57" s="291" t="s">
        <v>34</v>
      </c>
      <c r="D57" s="291">
        <v>2.8799999999999999E-2</v>
      </c>
      <c r="E57" s="291">
        <v>7.62</v>
      </c>
      <c r="F57" s="292">
        <f t="shared" si="2"/>
        <v>0.22</v>
      </c>
    </row>
    <row r="58" spans="1:6" ht="13.5" thickBot="1">
      <c r="A58" s="294"/>
      <c r="B58" s="295"/>
      <c r="C58" s="296"/>
      <c r="D58" s="297"/>
      <c r="E58" s="298" t="s">
        <v>225</v>
      </c>
      <c r="F58" s="299">
        <f>SUM(F51:F57)</f>
        <v>73.91</v>
      </c>
    </row>
    <row r="59" spans="1:6" ht="13.5" thickBot="1">
      <c r="A59" s="302"/>
      <c r="B59" s="303"/>
      <c r="C59" s="304"/>
      <c r="D59" s="305"/>
      <c r="E59" s="306"/>
      <c r="F59" s="307"/>
    </row>
    <row r="60" spans="1:6" s="284" customFormat="1" ht="26.25" customHeight="1">
      <c r="A60" s="283" t="s">
        <v>38</v>
      </c>
      <c r="B60" s="392" t="s">
        <v>231</v>
      </c>
      <c r="C60" s="393"/>
      <c r="D60" s="393"/>
      <c r="E60" s="393"/>
      <c r="F60" s="394"/>
    </row>
    <row r="61" spans="1:6" s="284" customFormat="1">
      <c r="A61" s="285" t="s">
        <v>51</v>
      </c>
      <c r="B61" s="286" t="s">
        <v>9</v>
      </c>
      <c r="C61" s="287" t="s">
        <v>4</v>
      </c>
      <c r="D61" s="287" t="s">
        <v>10</v>
      </c>
      <c r="E61" s="287" t="s">
        <v>19</v>
      </c>
      <c r="F61" s="288" t="s">
        <v>11</v>
      </c>
    </row>
    <row r="62" spans="1:6" ht="25.5">
      <c r="A62" s="289" t="s">
        <v>226</v>
      </c>
      <c r="B62" s="290" t="s">
        <v>227</v>
      </c>
      <c r="C62" s="291" t="s">
        <v>25</v>
      </c>
      <c r="D62" s="291" t="e">
        <f>'Memorial de Cálculo'!#REF!</f>
        <v>#REF!</v>
      </c>
      <c r="E62" s="291">
        <v>379.58</v>
      </c>
      <c r="F62" s="292" t="e">
        <f>ROUND(D62*E62,2)</f>
        <v>#REF!</v>
      </c>
    </row>
    <row r="63" spans="1:6" ht="25.5">
      <c r="A63" s="289" t="s">
        <v>44</v>
      </c>
      <c r="B63" s="290" t="s">
        <v>45</v>
      </c>
      <c r="C63" s="291" t="s">
        <v>34</v>
      </c>
      <c r="D63" s="291" t="e">
        <f>'Memorial de Cálculo'!#REF!</f>
        <v>#REF!</v>
      </c>
      <c r="E63" s="291">
        <v>6.87</v>
      </c>
      <c r="F63" s="292" t="e">
        <f>ROUND(D63*E63,2)</f>
        <v>#REF!</v>
      </c>
    </row>
    <row r="64" spans="1:6" ht="25.5">
      <c r="A64" s="289" t="s">
        <v>230</v>
      </c>
      <c r="B64" s="290" t="s">
        <v>229</v>
      </c>
      <c r="C64" s="291" t="s">
        <v>34</v>
      </c>
      <c r="D64" s="291" t="e">
        <f>'Memorial de Cálculo'!#REF!</f>
        <v>#REF!</v>
      </c>
      <c r="E64" s="291">
        <v>6.4</v>
      </c>
      <c r="F64" s="292" t="e">
        <f>ROUND(D64*E64,2)</f>
        <v>#REF!</v>
      </c>
    </row>
    <row r="65" spans="1:6">
      <c r="A65" s="308" t="s">
        <v>217</v>
      </c>
      <c r="B65" s="2" t="s">
        <v>218</v>
      </c>
      <c r="C65" s="21" t="s">
        <v>5</v>
      </c>
      <c r="D65" s="115" t="e">
        <f>'Memorial de Cálculo'!#REF!</f>
        <v>#REF!</v>
      </c>
      <c r="E65" s="116">
        <v>25.07</v>
      </c>
      <c r="F65" s="292" t="e">
        <f>ROUND(D65*E65,2)</f>
        <v>#REF!</v>
      </c>
    </row>
    <row r="66" spans="1:6">
      <c r="A66" s="289"/>
      <c r="B66" s="290"/>
      <c r="C66" s="291"/>
      <c r="D66" s="291"/>
      <c r="E66" s="309" t="s">
        <v>213</v>
      </c>
      <c r="F66" s="292" t="e">
        <f>SUM(F62:F65)</f>
        <v>#REF!</v>
      </c>
    </row>
    <row r="67" spans="1:6" ht="13.5" thickBot="1">
      <c r="A67" s="294"/>
      <c r="B67" s="295"/>
      <c r="C67" s="296"/>
      <c r="D67" s="297"/>
      <c r="E67" s="298" t="s">
        <v>228</v>
      </c>
      <c r="F67" s="299" t="e">
        <f>F66/D62</f>
        <v>#REF!</v>
      </c>
    </row>
    <row r="68" spans="1:6" ht="13.5" thickBot="1">
      <c r="A68" s="302"/>
      <c r="B68" s="303"/>
      <c r="C68" s="304"/>
      <c r="D68" s="305"/>
      <c r="E68" s="306"/>
      <c r="F68" s="307"/>
    </row>
    <row r="69" spans="1:6" s="284" customFormat="1" ht="26.25" customHeight="1">
      <c r="A69" s="283" t="s">
        <v>43</v>
      </c>
      <c r="B69" s="392" t="s">
        <v>234</v>
      </c>
      <c r="C69" s="393"/>
      <c r="D69" s="393"/>
      <c r="E69" s="393"/>
      <c r="F69" s="394"/>
    </row>
    <row r="70" spans="1:6" s="284" customFormat="1">
      <c r="A70" s="285" t="s">
        <v>51</v>
      </c>
      <c r="B70" s="286" t="s">
        <v>9</v>
      </c>
      <c r="C70" s="287" t="s">
        <v>4</v>
      </c>
      <c r="D70" s="287" t="s">
        <v>10</v>
      </c>
      <c r="E70" s="287" t="s">
        <v>19</v>
      </c>
      <c r="F70" s="288" t="s">
        <v>11</v>
      </c>
    </row>
    <row r="71" spans="1:6" ht="25.5">
      <c r="A71" s="289" t="s">
        <v>226</v>
      </c>
      <c r="B71" s="290" t="s">
        <v>227</v>
      </c>
      <c r="C71" s="291" t="s">
        <v>25</v>
      </c>
      <c r="D71" s="291" t="e">
        <f>'Memorial de Cálculo'!#REF!</f>
        <v>#REF!</v>
      </c>
      <c r="E71" s="291">
        <v>379.58</v>
      </c>
      <c r="F71" s="292" t="e">
        <f>ROUND(D71*E71,2)</f>
        <v>#REF!</v>
      </c>
    </row>
    <row r="72" spans="1:6" ht="25.5">
      <c r="A72" s="289" t="s">
        <v>44</v>
      </c>
      <c r="B72" s="290" t="s">
        <v>45</v>
      </c>
      <c r="C72" s="291" t="s">
        <v>34</v>
      </c>
      <c r="D72" s="291" t="e">
        <f>'Memorial de Cálculo'!#REF!</f>
        <v>#REF!</v>
      </c>
      <c r="E72" s="291">
        <v>6.87</v>
      </c>
      <c r="F72" s="292" t="e">
        <f>ROUND(D72*E72,2)</f>
        <v>#REF!</v>
      </c>
    </row>
    <row r="73" spans="1:6" ht="25.5">
      <c r="A73" s="289" t="s">
        <v>230</v>
      </c>
      <c r="B73" s="290" t="s">
        <v>229</v>
      </c>
      <c r="C73" s="291" t="s">
        <v>34</v>
      </c>
      <c r="D73" s="291" t="e">
        <f>'Memorial de Cálculo'!#REF!</f>
        <v>#REF!</v>
      </c>
      <c r="E73" s="291">
        <v>6.4</v>
      </c>
      <c r="F73" s="292" t="e">
        <f>ROUND(D73*E73,2)</f>
        <v>#REF!</v>
      </c>
    </row>
    <row r="74" spans="1:6">
      <c r="A74" s="308" t="s">
        <v>217</v>
      </c>
      <c r="B74" s="2" t="s">
        <v>218</v>
      </c>
      <c r="C74" s="21" t="s">
        <v>5</v>
      </c>
      <c r="D74" s="115" t="e">
        <f>'Memorial de Cálculo'!#REF!</f>
        <v>#REF!</v>
      </c>
      <c r="E74" s="116">
        <v>25.07</v>
      </c>
      <c r="F74" s="292" t="e">
        <f>ROUND(D74*E74,2)</f>
        <v>#REF!</v>
      </c>
    </row>
    <row r="75" spans="1:6">
      <c r="A75" s="289"/>
      <c r="B75" s="290"/>
      <c r="C75" s="291"/>
      <c r="D75" s="291"/>
      <c r="E75" s="309" t="s">
        <v>213</v>
      </c>
      <c r="F75" s="292" t="e">
        <f>SUM(F71:F74)</f>
        <v>#REF!</v>
      </c>
    </row>
    <row r="76" spans="1:6" ht="13.5" thickBot="1">
      <c r="A76" s="294"/>
      <c r="B76" s="295"/>
      <c r="C76" s="296"/>
      <c r="D76" s="297"/>
      <c r="E76" s="298" t="s">
        <v>228</v>
      </c>
      <c r="F76" s="299" t="e">
        <f>F75/D71</f>
        <v>#REF!</v>
      </c>
    </row>
    <row r="77" spans="1:6" ht="13.5" thickBot="1">
      <c r="A77" s="302"/>
      <c r="B77" s="303"/>
      <c r="C77" s="304"/>
      <c r="D77" s="305"/>
      <c r="E77" s="306"/>
      <c r="F77" s="307"/>
    </row>
    <row r="78" spans="1:6" s="284" customFormat="1">
      <c r="A78" s="283" t="s">
        <v>72</v>
      </c>
      <c r="B78" s="392" t="s">
        <v>235</v>
      </c>
      <c r="C78" s="393"/>
      <c r="D78" s="393"/>
      <c r="E78" s="393"/>
      <c r="F78" s="394"/>
    </row>
    <row r="79" spans="1:6" s="284" customFormat="1">
      <c r="A79" s="285" t="s">
        <v>51</v>
      </c>
      <c r="B79" s="286" t="s">
        <v>9</v>
      </c>
      <c r="C79" s="287" t="s">
        <v>4</v>
      </c>
      <c r="D79" s="287" t="s">
        <v>10</v>
      </c>
      <c r="E79" s="287" t="s">
        <v>19</v>
      </c>
      <c r="F79" s="288" t="s">
        <v>11</v>
      </c>
    </row>
    <row r="80" spans="1:6" ht="25.5">
      <c r="A80" s="289" t="s">
        <v>226</v>
      </c>
      <c r="B80" s="290" t="s">
        <v>227</v>
      </c>
      <c r="C80" s="291" t="s">
        <v>25</v>
      </c>
      <c r="D80" s="291" t="e">
        <f>'Memorial de Cálculo'!#REF!</f>
        <v>#REF!</v>
      </c>
      <c r="E80" s="291">
        <v>379.58</v>
      </c>
      <c r="F80" s="292" t="e">
        <f>ROUND(D80*E80,2)</f>
        <v>#REF!</v>
      </c>
    </row>
    <row r="81" spans="1:6" ht="25.5">
      <c r="A81" s="289" t="s">
        <v>44</v>
      </c>
      <c r="B81" s="290" t="s">
        <v>45</v>
      </c>
      <c r="C81" s="291" t="s">
        <v>34</v>
      </c>
      <c r="D81" s="291" t="e">
        <f>'Memorial de Cálculo'!#REF!</f>
        <v>#REF!</v>
      </c>
      <c r="E81" s="291">
        <v>6.87</v>
      </c>
      <c r="F81" s="292" t="e">
        <f>ROUND(D81*E81,2)</f>
        <v>#REF!</v>
      </c>
    </row>
    <row r="82" spans="1:6" ht="25.5">
      <c r="A82" s="289" t="s">
        <v>230</v>
      </c>
      <c r="B82" s="290" t="s">
        <v>229</v>
      </c>
      <c r="C82" s="291" t="s">
        <v>34</v>
      </c>
      <c r="D82" s="291" t="e">
        <f>'Memorial de Cálculo'!#REF!</f>
        <v>#REF!</v>
      </c>
      <c r="E82" s="291">
        <v>6.4</v>
      </c>
      <c r="F82" s="292" t="e">
        <f>ROUND(D82*E82,2)</f>
        <v>#REF!</v>
      </c>
    </row>
    <row r="83" spans="1:6">
      <c r="A83" s="308" t="s">
        <v>217</v>
      </c>
      <c r="B83" s="2" t="s">
        <v>218</v>
      </c>
      <c r="C83" s="21" t="s">
        <v>5</v>
      </c>
      <c r="D83" s="115" t="e">
        <f>'Memorial de Cálculo'!#REF!</f>
        <v>#REF!</v>
      </c>
      <c r="E83" s="116">
        <v>25.07</v>
      </c>
      <c r="F83" s="292" t="e">
        <f>ROUND(D83*E83,2)</f>
        <v>#REF!</v>
      </c>
    </row>
    <row r="84" spans="1:6">
      <c r="A84" s="289"/>
      <c r="B84" s="290"/>
      <c r="C84" s="291"/>
      <c r="D84" s="291"/>
      <c r="E84" s="309" t="s">
        <v>213</v>
      </c>
      <c r="F84" s="292" t="e">
        <f>SUM(F80:F83)</f>
        <v>#REF!</v>
      </c>
    </row>
    <row r="85" spans="1:6" ht="13.5" thickBot="1">
      <c r="A85" s="294"/>
      <c r="B85" s="295"/>
      <c r="C85" s="296"/>
      <c r="D85" s="297"/>
      <c r="E85" s="298" t="s">
        <v>228</v>
      </c>
      <c r="F85" s="299" t="e">
        <f>F84/D80</f>
        <v>#REF!</v>
      </c>
    </row>
    <row r="86" spans="1:6" ht="13.5" thickBot="1">
      <c r="A86" s="302"/>
      <c r="B86" s="303"/>
      <c r="C86" s="304"/>
      <c r="D86" s="305"/>
      <c r="E86" s="306"/>
      <c r="F86" s="307"/>
    </row>
    <row r="87" spans="1:6" s="284" customFormat="1" ht="26.25" customHeight="1">
      <c r="A87" s="283" t="s">
        <v>73</v>
      </c>
      <c r="B87" s="392" t="s">
        <v>236</v>
      </c>
      <c r="C87" s="393"/>
      <c r="D87" s="393"/>
      <c r="E87" s="393"/>
      <c r="F87" s="394"/>
    </row>
    <row r="88" spans="1:6" s="284" customFormat="1">
      <c r="A88" s="285" t="s">
        <v>51</v>
      </c>
      <c r="B88" s="286" t="s">
        <v>9</v>
      </c>
      <c r="C88" s="287" t="s">
        <v>4</v>
      </c>
      <c r="D88" s="287" t="s">
        <v>10</v>
      </c>
      <c r="E88" s="287" t="s">
        <v>19</v>
      </c>
      <c r="F88" s="288" t="s">
        <v>11</v>
      </c>
    </row>
    <row r="89" spans="1:6" ht="25.5">
      <c r="A89" s="289" t="s">
        <v>226</v>
      </c>
      <c r="B89" s="290" t="s">
        <v>227</v>
      </c>
      <c r="C89" s="291" t="s">
        <v>25</v>
      </c>
      <c r="D89" s="310" t="e">
        <f>'Memorial de Cálculo'!#REF!</f>
        <v>#REF!</v>
      </c>
      <c r="E89" s="291">
        <v>379.58</v>
      </c>
      <c r="F89" s="292" t="e">
        <f t="shared" ref="F89:F91" si="3">E89*D89</f>
        <v>#REF!</v>
      </c>
    </row>
    <row r="90" spans="1:6" ht="25.5">
      <c r="A90" s="289" t="s">
        <v>44</v>
      </c>
      <c r="B90" s="290" t="s">
        <v>45</v>
      </c>
      <c r="C90" s="291" t="s">
        <v>34</v>
      </c>
      <c r="D90" s="310" t="e">
        <f>'Memorial de Cálculo'!#REF!</f>
        <v>#REF!</v>
      </c>
      <c r="E90" s="291">
        <v>6.87</v>
      </c>
      <c r="F90" s="292" t="e">
        <f t="shared" si="3"/>
        <v>#REF!</v>
      </c>
    </row>
    <row r="91" spans="1:6" ht="25.5">
      <c r="A91" s="289" t="s">
        <v>230</v>
      </c>
      <c r="B91" s="290" t="s">
        <v>229</v>
      </c>
      <c r="C91" s="291" t="s">
        <v>34</v>
      </c>
      <c r="D91" s="310" t="e">
        <f>'Memorial de Cálculo'!#REF!</f>
        <v>#REF!</v>
      </c>
      <c r="E91" s="291">
        <v>6.4</v>
      </c>
      <c r="F91" s="292" t="e">
        <f t="shared" si="3"/>
        <v>#REF!</v>
      </c>
    </row>
    <row r="92" spans="1:6" ht="25.5">
      <c r="A92" s="289" t="s">
        <v>217</v>
      </c>
      <c r="B92" s="290" t="s">
        <v>218</v>
      </c>
      <c r="C92" s="291" t="s">
        <v>5</v>
      </c>
      <c r="D92" s="310" t="e">
        <f>'Memorial de Cálculo'!#REF!</f>
        <v>#REF!</v>
      </c>
      <c r="E92" s="291">
        <v>25.07</v>
      </c>
      <c r="F92" s="292" t="e">
        <f>E92*D92</f>
        <v>#REF!</v>
      </c>
    </row>
    <row r="93" spans="1:6" s="315" customFormat="1">
      <c r="A93" s="311"/>
      <c r="B93" s="312"/>
      <c r="C93" s="309"/>
      <c r="D93" s="313"/>
      <c r="E93" s="309" t="s">
        <v>213</v>
      </c>
      <c r="F93" s="314" t="e">
        <f>SUM(F89:F92)</f>
        <v>#REF!</v>
      </c>
    </row>
    <row r="94" spans="1:6" ht="13.5" thickBot="1">
      <c r="A94" s="294"/>
      <c r="B94" s="295"/>
      <c r="C94" s="296"/>
      <c r="D94" s="297"/>
      <c r="E94" s="298" t="s">
        <v>228</v>
      </c>
      <c r="F94" s="299" t="e">
        <f>F93/D89</f>
        <v>#REF!</v>
      </c>
    </row>
    <row r="95" spans="1:6" ht="13.5" thickBot="1">
      <c r="A95" s="302"/>
      <c r="B95" s="303"/>
      <c r="C95" s="304"/>
      <c r="D95" s="305"/>
      <c r="E95" s="306"/>
      <c r="F95" s="307"/>
    </row>
    <row r="96" spans="1:6" s="284" customFormat="1" ht="26.25" customHeight="1">
      <c r="A96" s="283" t="s">
        <v>74</v>
      </c>
      <c r="B96" s="392" t="s">
        <v>238</v>
      </c>
      <c r="C96" s="393"/>
      <c r="D96" s="393"/>
      <c r="E96" s="393"/>
      <c r="F96" s="394"/>
    </row>
    <row r="97" spans="1:6" s="284" customFormat="1">
      <c r="A97" s="285" t="s">
        <v>51</v>
      </c>
      <c r="B97" s="286" t="s">
        <v>9</v>
      </c>
      <c r="C97" s="287" t="s">
        <v>4</v>
      </c>
      <c r="D97" s="287" t="s">
        <v>10</v>
      </c>
      <c r="E97" s="287" t="s">
        <v>19</v>
      </c>
      <c r="F97" s="288" t="s">
        <v>11</v>
      </c>
    </row>
    <row r="98" spans="1:6" ht="25.5">
      <c r="A98" s="289" t="s">
        <v>226</v>
      </c>
      <c r="B98" s="290" t="s">
        <v>227</v>
      </c>
      <c r="C98" s="291" t="s">
        <v>25</v>
      </c>
      <c r="D98" s="310" t="e">
        <f>'Memorial de Cálculo'!#REF!</f>
        <v>#REF!</v>
      </c>
      <c r="E98" s="291">
        <v>379.58</v>
      </c>
      <c r="F98" s="292" t="e">
        <f t="shared" ref="F98:F100" si="4">E98*D98</f>
        <v>#REF!</v>
      </c>
    </row>
    <row r="99" spans="1:6" ht="25.5">
      <c r="A99" s="289" t="s">
        <v>44</v>
      </c>
      <c r="B99" s="290" t="s">
        <v>45</v>
      </c>
      <c r="C99" s="291" t="s">
        <v>34</v>
      </c>
      <c r="D99" s="310" t="e">
        <f>'Memorial de Cálculo'!#REF!</f>
        <v>#REF!</v>
      </c>
      <c r="E99" s="291">
        <v>6.87</v>
      </c>
      <c r="F99" s="292" t="e">
        <f t="shared" si="4"/>
        <v>#REF!</v>
      </c>
    </row>
    <row r="100" spans="1:6" ht="25.5">
      <c r="A100" s="289" t="s">
        <v>230</v>
      </c>
      <c r="B100" s="290" t="s">
        <v>229</v>
      </c>
      <c r="C100" s="291" t="s">
        <v>34</v>
      </c>
      <c r="D100" s="310" t="e">
        <f>'Memorial de Cálculo'!#REF!</f>
        <v>#REF!</v>
      </c>
      <c r="E100" s="291">
        <v>6.4</v>
      </c>
      <c r="F100" s="292" t="e">
        <f t="shared" si="4"/>
        <v>#REF!</v>
      </c>
    </row>
    <row r="101" spans="1:6" ht="25.5">
      <c r="A101" s="289" t="s">
        <v>217</v>
      </c>
      <c r="B101" s="290" t="s">
        <v>218</v>
      </c>
      <c r="C101" s="291" t="s">
        <v>5</v>
      </c>
      <c r="D101" s="310" t="e">
        <f>'Memorial de Cálculo'!#REF!</f>
        <v>#REF!</v>
      </c>
      <c r="E101" s="291">
        <v>25.07</v>
      </c>
      <c r="F101" s="292" t="e">
        <f>E101*D101</f>
        <v>#REF!</v>
      </c>
    </row>
    <row r="102" spans="1:6" s="315" customFormat="1">
      <c r="A102" s="311"/>
      <c r="B102" s="312"/>
      <c r="C102" s="309"/>
      <c r="D102" s="313"/>
      <c r="E102" s="309" t="s">
        <v>213</v>
      </c>
      <c r="F102" s="314" t="e">
        <f>SUM(F98:F101)</f>
        <v>#REF!</v>
      </c>
    </row>
    <row r="103" spans="1:6" ht="13.5" thickBot="1">
      <c r="A103" s="294"/>
      <c r="B103" s="295"/>
      <c r="C103" s="296"/>
      <c r="D103" s="297"/>
      <c r="E103" s="298" t="s">
        <v>228</v>
      </c>
      <c r="F103" s="299" t="e">
        <f>F102/D98</f>
        <v>#REF!</v>
      </c>
    </row>
    <row r="104" spans="1:6" ht="13.5" thickBot="1">
      <c r="A104" s="302"/>
      <c r="B104" s="303"/>
      <c r="C104" s="304"/>
      <c r="D104" s="305"/>
      <c r="E104" s="306"/>
      <c r="F104" s="307"/>
    </row>
    <row r="105" spans="1:6" s="284" customFormat="1" ht="26.25" customHeight="1">
      <c r="A105" s="283" t="s">
        <v>87</v>
      </c>
      <c r="B105" s="392" t="s">
        <v>237</v>
      </c>
      <c r="C105" s="393"/>
      <c r="D105" s="393"/>
      <c r="E105" s="393"/>
      <c r="F105" s="394"/>
    </row>
    <row r="106" spans="1:6" s="284" customFormat="1">
      <c r="A106" s="285" t="s">
        <v>51</v>
      </c>
      <c r="B106" s="286" t="s">
        <v>9</v>
      </c>
      <c r="C106" s="287" t="s">
        <v>4</v>
      </c>
      <c r="D106" s="287" t="s">
        <v>10</v>
      </c>
      <c r="E106" s="287" t="s">
        <v>19</v>
      </c>
      <c r="F106" s="288" t="s">
        <v>11</v>
      </c>
    </row>
    <row r="107" spans="1:6" ht="25.5">
      <c r="A107" s="289" t="s">
        <v>226</v>
      </c>
      <c r="B107" s="290" t="s">
        <v>227</v>
      </c>
      <c r="C107" s="291" t="s">
        <v>25</v>
      </c>
      <c r="D107" s="310" t="e">
        <f>'Memorial de Cálculo'!#REF!</f>
        <v>#REF!</v>
      </c>
      <c r="E107" s="291">
        <v>379.58</v>
      </c>
      <c r="F107" s="292" t="e">
        <f t="shared" ref="F107:F109" si="5">E107*D107</f>
        <v>#REF!</v>
      </c>
    </row>
    <row r="108" spans="1:6" ht="25.5">
      <c r="A108" s="289" t="s">
        <v>44</v>
      </c>
      <c r="B108" s="290" t="s">
        <v>45</v>
      </c>
      <c r="C108" s="291" t="s">
        <v>34</v>
      </c>
      <c r="D108" s="310" t="e">
        <f>'Memorial de Cálculo'!#REF!</f>
        <v>#REF!</v>
      </c>
      <c r="E108" s="291">
        <v>6.87</v>
      </c>
      <c r="F108" s="292" t="e">
        <f t="shared" si="5"/>
        <v>#REF!</v>
      </c>
    </row>
    <row r="109" spans="1:6" ht="25.5">
      <c r="A109" s="289" t="s">
        <v>230</v>
      </c>
      <c r="B109" s="290" t="s">
        <v>229</v>
      </c>
      <c r="C109" s="291" t="s">
        <v>34</v>
      </c>
      <c r="D109" s="310" t="e">
        <f>'Memorial de Cálculo'!#REF!</f>
        <v>#REF!</v>
      </c>
      <c r="E109" s="291">
        <v>6.4</v>
      </c>
      <c r="F109" s="292" t="e">
        <f t="shared" si="5"/>
        <v>#REF!</v>
      </c>
    </row>
    <row r="110" spans="1:6" ht="25.5">
      <c r="A110" s="289" t="s">
        <v>217</v>
      </c>
      <c r="B110" s="290" t="s">
        <v>218</v>
      </c>
      <c r="C110" s="291" t="s">
        <v>5</v>
      </c>
      <c r="D110" s="310" t="e">
        <f>'Memorial de Cálculo'!#REF!</f>
        <v>#REF!</v>
      </c>
      <c r="E110" s="291">
        <v>25.07</v>
      </c>
      <c r="F110" s="292" t="e">
        <f>E110*D110</f>
        <v>#REF!</v>
      </c>
    </row>
    <row r="111" spans="1:6" s="315" customFormat="1">
      <c r="A111" s="311"/>
      <c r="B111" s="312"/>
      <c r="C111" s="309"/>
      <c r="D111" s="313"/>
      <c r="E111" s="309" t="s">
        <v>23</v>
      </c>
      <c r="F111" s="314" t="e">
        <f>SUM(F107:F108)</f>
        <v>#REF!</v>
      </c>
    </row>
    <row r="112" spans="1:6" ht="13.5" thickBot="1">
      <c r="A112" s="294"/>
      <c r="B112" s="295"/>
      <c r="C112" s="296"/>
      <c r="D112" s="297"/>
      <c r="E112" s="298" t="s">
        <v>228</v>
      </c>
      <c r="F112" s="299" t="e">
        <f>F111/D107</f>
        <v>#REF!</v>
      </c>
    </row>
    <row r="113" spans="1:6" ht="13.5" thickBot="1">
      <c r="A113" s="302"/>
      <c r="B113" s="303"/>
      <c r="C113" s="304"/>
      <c r="D113" s="305"/>
      <c r="E113" s="306"/>
      <c r="F113" s="307"/>
    </row>
    <row r="114" spans="1:6" s="284" customFormat="1" ht="26.25" customHeight="1">
      <c r="A114" s="283" t="s">
        <v>88</v>
      </c>
      <c r="B114" s="392" t="s">
        <v>232</v>
      </c>
      <c r="C114" s="393"/>
      <c r="D114" s="393"/>
      <c r="E114" s="393"/>
      <c r="F114" s="394"/>
    </row>
    <row r="115" spans="1:6" s="284" customFormat="1">
      <c r="A115" s="285" t="s">
        <v>51</v>
      </c>
      <c r="B115" s="286" t="s">
        <v>9</v>
      </c>
      <c r="C115" s="287" t="s">
        <v>4</v>
      </c>
      <c r="D115" s="287" t="s">
        <v>10</v>
      </c>
      <c r="E115" s="287" t="s">
        <v>19</v>
      </c>
      <c r="F115" s="288" t="s">
        <v>11</v>
      </c>
    </row>
    <row r="116" spans="1:6" ht="25.5">
      <c r="A116" s="316" t="s">
        <v>217</v>
      </c>
      <c r="B116" s="317" t="s">
        <v>218</v>
      </c>
      <c r="C116" s="318" t="s">
        <v>5</v>
      </c>
      <c r="D116" s="291" t="e">
        <f>'Memorial de Cálculo'!#REF!</f>
        <v>#REF!</v>
      </c>
      <c r="E116" s="318">
        <v>25.07</v>
      </c>
      <c r="F116" s="319">
        <v>2137.9699999999998</v>
      </c>
    </row>
    <row r="117" spans="1:6" ht="25.5">
      <c r="A117" s="289" t="s">
        <v>226</v>
      </c>
      <c r="B117" s="290" t="s">
        <v>227</v>
      </c>
      <c r="C117" s="291" t="s">
        <v>25</v>
      </c>
      <c r="D117" s="291" t="e">
        <f>'Memorial de Cálculo'!#REF!</f>
        <v>#REF!</v>
      </c>
      <c r="E117" s="291">
        <v>379.58</v>
      </c>
      <c r="F117" s="292" t="e">
        <f t="shared" ref="F117:F118" si="6">E117*D117</f>
        <v>#REF!</v>
      </c>
    </row>
    <row r="118" spans="1:6" ht="25.5">
      <c r="A118" s="289" t="s">
        <v>44</v>
      </c>
      <c r="B118" s="290" t="s">
        <v>45</v>
      </c>
      <c r="C118" s="291" t="s">
        <v>34</v>
      </c>
      <c r="D118" s="291" t="e">
        <f>'Memorial de Cálculo'!#REF!</f>
        <v>#REF!</v>
      </c>
      <c r="E118" s="291">
        <v>6.87</v>
      </c>
      <c r="F118" s="292" t="e">
        <f t="shared" si="6"/>
        <v>#REF!</v>
      </c>
    </row>
    <row r="119" spans="1:6" ht="25.5">
      <c r="A119" s="316" t="s">
        <v>230</v>
      </c>
      <c r="B119" s="317" t="s">
        <v>229</v>
      </c>
      <c r="C119" s="318" t="s">
        <v>34</v>
      </c>
      <c r="D119" s="318" t="e">
        <f>'Memorial de Cálculo'!#REF!</f>
        <v>#REF!</v>
      </c>
      <c r="E119" s="318">
        <v>6.4</v>
      </c>
      <c r="F119" s="319">
        <v>1022.72</v>
      </c>
    </row>
    <row r="120" spans="1:6" s="322" customFormat="1">
      <c r="A120" s="300"/>
      <c r="B120" s="290"/>
      <c r="C120" s="291"/>
      <c r="D120" s="320"/>
      <c r="E120" s="321" t="s">
        <v>23</v>
      </c>
      <c r="F120" s="314" t="e">
        <f>SUM(F116:F119)</f>
        <v>#REF!</v>
      </c>
    </row>
    <row r="121" spans="1:6" ht="13.5" thickBot="1">
      <c r="A121" s="323"/>
      <c r="B121" s="324"/>
      <c r="C121" s="325"/>
      <c r="D121" s="326"/>
      <c r="E121" s="327" t="s">
        <v>228</v>
      </c>
      <c r="F121" s="328" t="e">
        <f>F120/D117</f>
        <v>#REF!</v>
      </c>
    </row>
    <row r="122" spans="1:6" ht="13.5" thickBot="1">
      <c r="A122" s="302"/>
      <c r="B122" s="303"/>
      <c r="C122" s="304"/>
      <c r="D122" s="305"/>
      <c r="E122" s="306"/>
      <c r="F122" s="307"/>
    </row>
    <row r="123" spans="1:6" s="284" customFormat="1" ht="26.25" customHeight="1">
      <c r="A123" s="283" t="s">
        <v>89</v>
      </c>
      <c r="B123" s="392" t="s">
        <v>278</v>
      </c>
      <c r="C123" s="393"/>
      <c r="D123" s="393"/>
      <c r="E123" s="393"/>
      <c r="F123" s="394"/>
    </row>
    <row r="124" spans="1:6" s="284" customFormat="1">
      <c r="A124" s="285" t="s">
        <v>51</v>
      </c>
      <c r="B124" s="286" t="s">
        <v>9</v>
      </c>
      <c r="C124" s="287" t="s">
        <v>4</v>
      </c>
      <c r="D124" s="287" t="s">
        <v>10</v>
      </c>
      <c r="E124" s="287" t="s">
        <v>85</v>
      </c>
      <c r="F124" s="288" t="s">
        <v>11</v>
      </c>
    </row>
    <row r="125" spans="1:6" ht="38.25">
      <c r="A125" s="289" t="s">
        <v>276</v>
      </c>
      <c r="B125" s="290" t="s">
        <v>275</v>
      </c>
      <c r="C125" s="291" t="s">
        <v>25</v>
      </c>
      <c r="D125" s="291">
        <v>3.0350000000000001</v>
      </c>
      <c r="E125" s="291">
        <v>9.57</v>
      </c>
      <c r="F125" s="292">
        <f t="shared" ref="F125:F128" si="7">E125*D125</f>
        <v>29.044950000000004</v>
      </c>
    </row>
    <row r="126" spans="1:6" ht="38.25">
      <c r="A126" s="289" t="s">
        <v>273</v>
      </c>
      <c r="B126" s="290" t="s">
        <v>274</v>
      </c>
      <c r="C126" s="291" t="s">
        <v>5</v>
      </c>
      <c r="D126" s="291">
        <v>30.35</v>
      </c>
      <c r="E126" s="291">
        <v>29.12</v>
      </c>
      <c r="F126" s="292">
        <f t="shared" si="7"/>
        <v>883.79200000000003</v>
      </c>
    </row>
    <row r="127" spans="1:6" ht="25.5">
      <c r="A127" s="289" t="s">
        <v>226</v>
      </c>
      <c r="B127" s="290" t="s">
        <v>227</v>
      </c>
      <c r="C127" s="291" t="s">
        <v>25</v>
      </c>
      <c r="D127" s="291">
        <v>3.0350000000000001</v>
      </c>
      <c r="E127" s="291">
        <v>379.58</v>
      </c>
      <c r="F127" s="292">
        <f t="shared" si="7"/>
        <v>1152.0253</v>
      </c>
    </row>
    <row r="128" spans="1:6" ht="25.5">
      <c r="A128" s="289" t="s">
        <v>44</v>
      </c>
      <c r="B128" s="290" t="s">
        <v>45</v>
      </c>
      <c r="C128" s="291" t="s">
        <v>34</v>
      </c>
      <c r="D128" s="291">
        <v>53.649461538461537</v>
      </c>
      <c r="E128" s="291">
        <v>6.87</v>
      </c>
      <c r="F128" s="292">
        <f t="shared" si="7"/>
        <v>368.57180076923078</v>
      </c>
    </row>
    <row r="129" spans="1:6" ht="25.5">
      <c r="A129" s="316" t="s">
        <v>230</v>
      </c>
      <c r="B129" s="317" t="s">
        <v>229</v>
      </c>
      <c r="C129" s="318" t="s">
        <v>34</v>
      </c>
      <c r="D129" s="318">
        <v>14.427923076923078</v>
      </c>
      <c r="E129" s="318">
        <v>6.4</v>
      </c>
      <c r="F129" s="319">
        <v>1022.72</v>
      </c>
    </row>
    <row r="130" spans="1:6" s="315" customFormat="1">
      <c r="A130" s="311"/>
      <c r="B130" s="312"/>
      <c r="C130" s="309"/>
      <c r="D130" s="313"/>
      <c r="E130" s="309" t="s">
        <v>23</v>
      </c>
      <c r="F130" s="314">
        <f>SUM(F125:F129)</f>
        <v>3456.1540507692307</v>
      </c>
    </row>
    <row r="131" spans="1:6" ht="13.5" thickBot="1">
      <c r="A131" s="294"/>
      <c r="B131" s="295"/>
      <c r="C131" s="296"/>
      <c r="D131" s="297"/>
      <c r="E131" s="298" t="s">
        <v>277</v>
      </c>
      <c r="F131" s="299">
        <f>F130/D126</f>
        <v>113.87657498415916</v>
      </c>
    </row>
    <row r="132" spans="1:6" ht="13.5" thickBot="1">
      <c r="B132" s="55"/>
    </row>
    <row r="133" spans="1:6" s="284" customFormat="1" ht="26.25" customHeight="1">
      <c r="A133" s="283" t="s">
        <v>98</v>
      </c>
      <c r="B133" s="392" t="s">
        <v>279</v>
      </c>
      <c r="C133" s="393"/>
      <c r="D133" s="393"/>
      <c r="E133" s="393"/>
      <c r="F133" s="394"/>
    </row>
    <row r="134" spans="1:6" s="284" customFormat="1">
      <c r="A134" s="285" t="s">
        <v>51</v>
      </c>
      <c r="B134" s="286" t="s">
        <v>9</v>
      </c>
      <c r="C134" s="287" t="s">
        <v>4</v>
      </c>
      <c r="D134" s="287" t="s">
        <v>10</v>
      </c>
      <c r="E134" s="287" t="s">
        <v>85</v>
      </c>
      <c r="F134" s="288" t="s">
        <v>11</v>
      </c>
    </row>
    <row r="135" spans="1:6" ht="38.25">
      <c r="A135" s="289" t="s">
        <v>281</v>
      </c>
      <c r="B135" s="290" t="s">
        <v>275</v>
      </c>
      <c r="C135" s="291" t="s">
        <v>25</v>
      </c>
      <c r="D135" s="291">
        <v>3.0863999999999998</v>
      </c>
      <c r="E135" s="291">
        <v>9.57</v>
      </c>
      <c r="F135" s="292">
        <f t="shared" ref="F135:F138" si="8">E135*D135</f>
        <v>29.536847999999999</v>
      </c>
    </row>
    <row r="136" spans="1:6" ht="38.25">
      <c r="A136" s="289" t="s">
        <v>273</v>
      </c>
      <c r="B136" s="290" t="s">
        <v>274</v>
      </c>
      <c r="C136" s="291" t="s">
        <v>5</v>
      </c>
      <c r="D136" s="291">
        <v>38.58</v>
      </c>
      <c r="E136" s="291">
        <v>29.12</v>
      </c>
      <c r="F136" s="292">
        <f t="shared" si="8"/>
        <v>1123.4495999999999</v>
      </c>
    </row>
    <row r="137" spans="1:6" ht="25.5">
      <c r="A137" s="289" t="s">
        <v>226</v>
      </c>
      <c r="B137" s="290" t="s">
        <v>227</v>
      </c>
      <c r="C137" s="291" t="s">
        <v>25</v>
      </c>
      <c r="D137" s="291">
        <v>3.0863999999999998</v>
      </c>
      <c r="E137" s="291">
        <v>379.58</v>
      </c>
      <c r="F137" s="292">
        <f t="shared" si="8"/>
        <v>1171.5357119999999</v>
      </c>
    </row>
    <row r="138" spans="1:6" ht="25.5">
      <c r="A138" s="289" t="s">
        <v>44</v>
      </c>
      <c r="B138" s="290" t="s">
        <v>45</v>
      </c>
      <c r="C138" s="291" t="s">
        <v>34</v>
      </c>
      <c r="D138" s="291">
        <v>54.558055384615379</v>
      </c>
      <c r="E138" s="291">
        <v>6.87</v>
      </c>
      <c r="F138" s="292">
        <f t="shared" si="8"/>
        <v>374.81384049230763</v>
      </c>
    </row>
    <row r="139" spans="1:6" ht="25.5">
      <c r="A139" s="316" t="s">
        <v>230</v>
      </c>
      <c r="B139" s="317" t="s">
        <v>229</v>
      </c>
      <c r="C139" s="318" t="s">
        <v>34</v>
      </c>
      <c r="D139" s="318">
        <v>14.672270769230769</v>
      </c>
      <c r="E139" s="318">
        <v>6.4</v>
      </c>
      <c r="F139" s="319">
        <v>1022.72</v>
      </c>
    </row>
    <row r="140" spans="1:6" s="315" customFormat="1">
      <c r="A140" s="311"/>
      <c r="B140" s="312"/>
      <c r="C140" s="309"/>
      <c r="D140" s="313"/>
      <c r="E140" s="309" t="s">
        <v>23</v>
      </c>
      <c r="F140" s="314">
        <f>SUM(F135:F139)</f>
        <v>3722.0560004923072</v>
      </c>
    </row>
    <row r="141" spans="1:6" ht="13.5" thickBot="1">
      <c r="A141" s="294"/>
      <c r="B141" s="295"/>
      <c r="C141" s="296"/>
      <c r="D141" s="297"/>
      <c r="E141" s="298" t="s">
        <v>277</v>
      </c>
      <c r="F141" s="299">
        <f>F140/D136</f>
        <v>96.476308981138089</v>
      </c>
    </row>
    <row r="142" spans="1:6" ht="13.5" thickBot="1">
      <c r="B142" s="55"/>
    </row>
    <row r="143" spans="1:6" s="284" customFormat="1">
      <c r="A143" s="283" t="s">
        <v>91</v>
      </c>
      <c r="B143" s="392" t="s">
        <v>280</v>
      </c>
      <c r="C143" s="393"/>
      <c r="D143" s="393"/>
      <c r="E143" s="393"/>
      <c r="F143" s="394"/>
    </row>
    <row r="144" spans="1:6" s="284" customFormat="1">
      <c r="A144" s="285" t="s">
        <v>51</v>
      </c>
      <c r="B144" s="286" t="s">
        <v>9</v>
      </c>
      <c r="C144" s="287" t="s">
        <v>4</v>
      </c>
      <c r="D144" s="287" t="s">
        <v>10</v>
      </c>
      <c r="E144" s="287" t="s">
        <v>85</v>
      </c>
      <c r="F144" s="288" t="s">
        <v>11</v>
      </c>
    </row>
    <row r="145" spans="1:7">
      <c r="A145" s="289" t="s">
        <v>283</v>
      </c>
      <c r="B145" s="290" t="s">
        <v>282</v>
      </c>
      <c r="C145" s="291" t="s">
        <v>5</v>
      </c>
      <c r="D145" s="291">
        <v>333.15</v>
      </c>
      <c r="E145" s="291">
        <v>20.239999999999998</v>
      </c>
      <c r="F145" s="292">
        <f t="shared" ref="F145:F148" si="9">E145*D145</f>
        <v>6742.9559999999992</v>
      </c>
    </row>
    <row r="146" spans="1:7" ht="25.5">
      <c r="A146" s="289" t="s">
        <v>284</v>
      </c>
      <c r="B146" s="290" t="s">
        <v>285</v>
      </c>
      <c r="C146" s="291" t="s">
        <v>5</v>
      </c>
      <c r="D146" s="291">
        <f>D145</f>
        <v>333.15</v>
      </c>
      <c r="E146" s="291">
        <v>79.400000000000006</v>
      </c>
      <c r="F146" s="292">
        <f t="shared" si="9"/>
        <v>26452.11</v>
      </c>
    </row>
    <row r="147" spans="1:7" ht="25.5">
      <c r="A147" s="289" t="s">
        <v>226</v>
      </c>
      <c r="B147" s="290" t="s">
        <v>227</v>
      </c>
      <c r="C147" s="291" t="s">
        <v>25</v>
      </c>
      <c r="D147" s="291">
        <v>13.325999999999999</v>
      </c>
      <c r="E147" s="291">
        <v>379.58</v>
      </c>
      <c r="F147" s="292">
        <f t="shared" si="9"/>
        <v>5058.2830799999992</v>
      </c>
    </row>
    <row r="148" spans="1:7" ht="25.5">
      <c r="A148" s="289" t="s">
        <v>44</v>
      </c>
      <c r="B148" s="290" t="s">
        <v>45</v>
      </c>
      <c r="C148" s="291" t="s">
        <v>34</v>
      </c>
      <c r="D148" s="291">
        <v>235.56267692307691</v>
      </c>
      <c r="E148" s="291">
        <v>6.87</v>
      </c>
      <c r="F148" s="292">
        <f t="shared" si="9"/>
        <v>1618.3155904615385</v>
      </c>
    </row>
    <row r="149" spans="1:7" ht="25.5">
      <c r="A149" s="316" t="s">
        <v>230</v>
      </c>
      <c r="B149" s="317" t="s">
        <v>229</v>
      </c>
      <c r="C149" s="318" t="s">
        <v>34</v>
      </c>
      <c r="D149" s="318">
        <v>63.349753846153845</v>
      </c>
      <c r="E149" s="318">
        <v>6.4</v>
      </c>
      <c r="F149" s="319">
        <v>1022.72</v>
      </c>
    </row>
    <row r="150" spans="1:7" s="315" customFormat="1">
      <c r="A150" s="311"/>
      <c r="B150" s="312"/>
      <c r="C150" s="309"/>
      <c r="D150" s="313"/>
      <c r="E150" s="309" t="s">
        <v>23</v>
      </c>
      <c r="F150" s="314">
        <f>SUM(F145:F149)</f>
        <v>40894.384670461543</v>
      </c>
    </row>
    <row r="151" spans="1:7" ht="13.5" thickBot="1">
      <c r="A151" s="294"/>
      <c r="B151" s="295"/>
      <c r="C151" s="296"/>
      <c r="D151" s="297"/>
      <c r="E151" s="298" t="s">
        <v>277</v>
      </c>
      <c r="F151" s="299">
        <f>F150/D146</f>
        <v>122.75066687816764</v>
      </c>
    </row>
    <row r="152" spans="1:7" ht="13.5" thickBot="1">
      <c r="B152" s="55"/>
    </row>
    <row r="153" spans="1:7" ht="28.5" customHeight="1">
      <c r="A153" s="283" t="s">
        <v>103</v>
      </c>
      <c r="B153" s="392" t="s">
        <v>242</v>
      </c>
      <c r="C153" s="393"/>
      <c r="D153" s="393"/>
      <c r="E153" s="393"/>
      <c r="F153" s="394"/>
      <c r="G153" s="55" t="s">
        <v>243</v>
      </c>
    </row>
    <row r="154" spans="1:7">
      <c r="A154" s="285" t="s">
        <v>51</v>
      </c>
      <c r="B154" s="286" t="s">
        <v>9</v>
      </c>
      <c r="C154" s="287" t="s">
        <v>4</v>
      </c>
      <c r="D154" s="287" t="s">
        <v>10</v>
      </c>
      <c r="E154" s="287" t="s">
        <v>85</v>
      </c>
      <c r="F154" s="288" t="s">
        <v>11</v>
      </c>
    </row>
    <row r="155" spans="1:7">
      <c r="A155" s="289" t="s">
        <v>68</v>
      </c>
      <c r="B155" s="290" t="s">
        <v>412</v>
      </c>
      <c r="C155" s="291" t="s">
        <v>12</v>
      </c>
      <c r="D155" s="291">
        <v>3.1</v>
      </c>
      <c r="E155" s="291">
        <v>12.64</v>
      </c>
      <c r="F155" s="292">
        <f>E155*D155</f>
        <v>39.184000000000005</v>
      </c>
    </row>
    <row r="156" spans="1:7">
      <c r="A156" s="289" t="s">
        <v>65</v>
      </c>
      <c r="B156" s="290" t="s">
        <v>303</v>
      </c>
      <c r="C156" s="291" t="s">
        <v>12</v>
      </c>
      <c r="D156" s="291">
        <v>1.55</v>
      </c>
      <c r="E156" s="291">
        <v>10.06</v>
      </c>
      <c r="F156" s="292">
        <f t="shared" ref="F156:F157" si="10">E156*D156</f>
        <v>15.593000000000002</v>
      </c>
    </row>
    <row r="157" spans="1:7" ht="25.5">
      <c r="A157" s="289" t="s">
        <v>52</v>
      </c>
      <c r="B157" s="290" t="s">
        <v>413</v>
      </c>
      <c r="C157" s="291" t="s">
        <v>25</v>
      </c>
      <c r="D157" s="291">
        <v>1.38E-2</v>
      </c>
      <c r="E157" s="291">
        <v>417.64</v>
      </c>
      <c r="F157" s="292">
        <f t="shared" si="10"/>
        <v>5.7634319999999999</v>
      </c>
    </row>
    <row r="158" spans="1:7">
      <c r="A158" s="289" t="s">
        <v>239</v>
      </c>
      <c r="B158" s="290" t="s">
        <v>414</v>
      </c>
      <c r="C158" s="291" t="s">
        <v>6</v>
      </c>
      <c r="D158" s="291">
        <v>55.85</v>
      </c>
      <c r="E158" s="291">
        <v>0.5</v>
      </c>
      <c r="F158" s="292">
        <f>E158*D158</f>
        <v>27.925000000000001</v>
      </c>
    </row>
    <row r="159" spans="1:7">
      <c r="A159" s="289" t="s">
        <v>241</v>
      </c>
      <c r="B159" s="290" t="s">
        <v>415</v>
      </c>
      <c r="C159" s="291" t="s">
        <v>34</v>
      </c>
      <c r="D159" s="291">
        <v>0.37</v>
      </c>
      <c r="E159" s="291">
        <v>4</v>
      </c>
      <c r="F159" s="292">
        <f>E159*D159</f>
        <v>1.48</v>
      </c>
    </row>
    <row r="160" spans="1:7">
      <c r="A160" s="289" t="s">
        <v>240</v>
      </c>
      <c r="B160" s="290" t="s">
        <v>416</v>
      </c>
      <c r="C160" s="291" t="s">
        <v>34</v>
      </c>
      <c r="D160" s="329">
        <v>7.0000000000000001E-3</v>
      </c>
      <c r="E160" s="291">
        <v>37.020000000000003</v>
      </c>
      <c r="F160" s="292">
        <f>E160*D160</f>
        <v>0.25914000000000004</v>
      </c>
    </row>
    <row r="161" spans="1:6" ht="13.5" thickBot="1">
      <c r="A161" s="294"/>
      <c r="B161" s="295"/>
      <c r="C161" s="296"/>
      <c r="D161" s="297"/>
      <c r="E161" s="298" t="s">
        <v>23</v>
      </c>
      <c r="F161" s="299">
        <f>SUM(F155:F160)</f>
        <v>90.204572000000013</v>
      </c>
    </row>
    <row r="162" spans="1:6" ht="13.5" thickBot="1">
      <c r="B162" s="55"/>
    </row>
    <row r="163" spans="1:6" s="284" customFormat="1" ht="26.25" customHeight="1">
      <c r="A163" s="283" t="s">
        <v>114</v>
      </c>
      <c r="B163" s="392" t="s">
        <v>261</v>
      </c>
      <c r="C163" s="393"/>
      <c r="D163" s="393"/>
      <c r="E163" s="393"/>
      <c r="F163" s="394"/>
    </row>
    <row r="164" spans="1:6" s="284" customFormat="1">
      <c r="A164" s="285" t="s">
        <v>51</v>
      </c>
      <c r="B164" s="286" t="s">
        <v>9</v>
      </c>
      <c r="C164" s="287" t="s">
        <v>4</v>
      </c>
      <c r="D164" s="287" t="s">
        <v>10</v>
      </c>
      <c r="E164" s="287" t="s">
        <v>19</v>
      </c>
      <c r="F164" s="288" t="s">
        <v>11</v>
      </c>
    </row>
    <row r="165" spans="1:6" ht="25.5">
      <c r="A165" s="289" t="s">
        <v>52</v>
      </c>
      <c r="B165" s="290" t="s">
        <v>301</v>
      </c>
      <c r="C165" s="291" t="s">
        <v>25</v>
      </c>
      <c r="D165" s="330">
        <v>3.3E-3</v>
      </c>
      <c r="E165" s="291">
        <v>417.26</v>
      </c>
      <c r="F165" s="292">
        <f>E165*D165</f>
        <v>1.3769579999999999</v>
      </c>
    </row>
    <row r="166" spans="1:6">
      <c r="A166" s="289" t="s">
        <v>64</v>
      </c>
      <c r="B166" s="290" t="s">
        <v>327</v>
      </c>
      <c r="C166" s="291" t="s">
        <v>12</v>
      </c>
      <c r="D166" s="291">
        <v>4.8</v>
      </c>
      <c r="E166" s="291">
        <v>12.06</v>
      </c>
      <c r="F166" s="292">
        <f t="shared" ref="F166:F169" si="11">E166*D166</f>
        <v>57.887999999999998</v>
      </c>
    </row>
    <row r="167" spans="1:6">
      <c r="A167" s="289" t="s">
        <v>65</v>
      </c>
      <c r="B167" s="290" t="s">
        <v>303</v>
      </c>
      <c r="C167" s="291" t="s">
        <v>12</v>
      </c>
      <c r="D167" s="291">
        <v>2.2999999999999998</v>
      </c>
      <c r="E167" s="291">
        <v>10.06</v>
      </c>
      <c r="F167" s="292">
        <f t="shared" si="11"/>
        <v>23.137999999999998</v>
      </c>
    </row>
    <row r="168" spans="1:6">
      <c r="A168" s="289" t="s">
        <v>66</v>
      </c>
      <c r="B168" s="290" t="s">
        <v>330</v>
      </c>
      <c r="C168" s="291" t="s">
        <v>53</v>
      </c>
      <c r="D168" s="291">
        <v>0.7</v>
      </c>
      <c r="E168" s="291">
        <v>2.82</v>
      </c>
      <c r="F168" s="292">
        <f t="shared" si="11"/>
        <v>1.9739999999999998</v>
      </c>
    </row>
    <row r="169" spans="1:6" ht="38.25">
      <c r="A169" s="289" t="s">
        <v>67</v>
      </c>
      <c r="B169" s="290" t="s">
        <v>417</v>
      </c>
      <c r="C169" s="291" t="s">
        <v>5</v>
      </c>
      <c r="D169" s="291">
        <v>1</v>
      </c>
      <c r="E169" s="291">
        <v>385</v>
      </c>
      <c r="F169" s="292">
        <f t="shared" si="11"/>
        <v>385</v>
      </c>
    </row>
    <row r="170" spans="1:6" ht="13.5" thickBot="1">
      <c r="A170" s="294"/>
      <c r="B170" s="295"/>
      <c r="C170" s="296"/>
      <c r="D170" s="297"/>
      <c r="E170" s="298" t="s">
        <v>54</v>
      </c>
      <c r="F170" s="299">
        <f>SUM(F165:F169)</f>
        <v>469.376958</v>
      </c>
    </row>
    <row r="171" spans="1:6" ht="13.5" thickBot="1"/>
    <row r="172" spans="1:6" s="284" customFormat="1" ht="26.25" customHeight="1">
      <c r="A172" s="283" t="s">
        <v>90</v>
      </c>
      <c r="B172" s="392" t="s">
        <v>262</v>
      </c>
      <c r="C172" s="393"/>
      <c r="D172" s="393"/>
      <c r="E172" s="393"/>
      <c r="F172" s="394"/>
    </row>
    <row r="173" spans="1:6" s="284" customFormat="1">
      <c r="A173" s="285" t="s">
        <v>51</v>
      </c>
      <c r="B173" s="286" t="s">
        <v>9</v>
      </c>
      <c r="C173" s="287" t="s">
        <v>4</v>
      </c>
      <c r="D173" s="287" t="s">
        <v>10</v>
      </c>
      <c r="E173" s="287" t="s">
        <v>85</v>
      </c>
      <c r="F173" s="288" t="s">
        <v>11</v>
      </c>
    </row>
    <row r="174" spans="1:6">
      <c r="A174" s="289" t="s">
        <v>86</v>
      </c>
      <c r="B174" s="290" t="s">
        <v>418</v>
      </c>
      <c r="C174" s="291" t="s">
        <v>5</v>
      </c>
      <c r="D174" s="291">
        <f>1.75*0.6</f>
        <v>1.05</v>
      </c>
      <c r="E174" s="291">
        <v>380.13</v>
      </c>
      <c r="F174" s="292">
        <f>E174*D174</f>
        <v>399.13650000000001</v>
      </c>
    </row>
    <row r="175" spans="1:6">
      <c r="A175" s="289" t="s">
        <v>151</v>
      </c>
      <c r="B175" s="317" t="s">
        <v>419</v>
      </c>
      <c r="C175" s="318" t="s">
        <v>4</v>
      </c>
      <c r="D175" s="318">
        <v>1</v>
      </c>
      <c r="E175" s="318">
        <v>24.42</v>
      </c>
      <c r="F175" s="292">
        <f>E175*D175</f>
        <v>24.42</v>
      </c>
    </row>
    <row r="176" spans="1:6" ht="13.5" thickBot="1">
      <c r="A176" s="294"/>
      <c r="B176" s="295"/>
      <c r="C176" s="296"/>
      <c r="D176" s="297"/>
      <c r="E176" s="298" t="s">
        <v>23</v>
      </c>
      <c r="F176" s="299">
        <f>SUM(F174:F175)</f>
        <v>423.55650000000003</v>
      </c>
    </row>
    <row r="177" spans="1:6" ht="13.5" thickBot="1"/>
    <row r="178" spans="1:6" s="284" customFormat="1" ht="26.25" customHeight="1">
      <c r="A178" s="283" t="s">
        <v>115</v>
      </c>
      <c r="B178" s="392" t="s">
        <v>246</v>
      </c>
      <c r="C178" s="393"/>
      <c r="D178" s="393"/>
      <c r="E178" s="393"/>
      <c r="F178" s="394"/>
    </row>
    <row r="179" spans="1:6" s="284" customFormat="1">
      <c r="A179" s="285" t="s">
        <v>51</v>
      </c>
      <c r="B179" s="286" t="s">
        <v>9</v>
      </c>
      <c r="C179" s="287" t="s">
        <v>4</v>
      </c>
      <c r="D179" s="287" t="s">
        <v>10</v>
      </c>
      <c r="E179" s="287" t="s">
        <v>85</v>
      </c>
      <c r="F179" s="288" t="s">
        <v>11</v>
      </c>
    </row>
    <row r="180" spans="1:6" ht="25.5">
      <c r="A180" s="289" t="s">
        <v>99</v>
      </c>
      <c r="B180" s="290" t="s">
        <v>331</v>
      </c>
      <c r="C180" s="291" t="s">
        <v>4</v>
      </c>
      <c r="D180" s="291">
        <v>1</v>
      </c>
      <c r="E180" s="291">
        <v>342.14</v>
      </c>
      <c r="F180" s="292">
        <f>ROUND(D180*E180,2)</f>
        <v>342.14</v>
      </c>
    </row>
    <row r="181" spans="1:6" ht="25.5">
      <c r="A181" s="289" t="s">
        <v>244</v>
      </c>
      <c r="B181" s="290" t="s">
        <v>332</v>
      </c>
      <c r="C181" s="291" t="s">
        <v>4</v>
      </c>
      <c r="D181" s="291">
        <v>1</v>
      </c>
      <c r="E181" s="291">
        <v>142.78</v>
      </c>
      <c r="F181" s="292">
        <f>ROUND(D181*E181,2)</f>
        <v>142.78</v>
      </c>
    </row>
    <row r="182" spans="1:6">
      <c r="A182" s="289" t="s">
        <v>101</v>
      </c>
      <c r="B182" s="290" t="s">
        <v>102</v>
      </c>
      <c r="C182" s="291" t="s">
        <v>5</v>
      </c>
      <c r="D182" s="291">
        <v>0.72</v>
      </c>
      <c r="E182" s="291">
        <v>211.48</v>
      </c>
      <c r="F182" s="292">
        <f>ROUND(D182*E182,2)</f>
        <v>152.27000000000001</v>
      </c>
    </row>
    <row r="183" spans="1:6" ht="13.5" thickBot="1">
      <c r="A183" s="294"/>
      <c r="B183" s="295"/>
      <c r="C183" s="296"/>
      <c r="D183" s="297"/>
      <c r="E183" s="298" t="s">
        <v>23</v>
      </c>
      <c r="F183" s="299">
        <f>SUM(F180:F182)</f>
        <v>637.18999999999994</v>
      </c>
    </row>
    <row r="184" spans="1:6" ht="13.5" thickBot="1">
      <c r="A184" s="331"/>
      <c r="F184" s="304"/>
    </row>
    <row r="185" spans="1:6" s="284" customFormat="1" ht="54.75" customHeight="1">
      <c r="A185" s="283" t="s">
        <v>124</v>
      </c>
      <c r="B185" s="392" t="s">
        <v>247</v>
      </c>
      <c r="C185" s="393"/>
      <c r="D185" s="393"/>
      <c r="E185" s="393"/>
      <c r="F185" s="394"/>
    </row>
    <row r="186" spans="1:6" s="284" customFormat="1">
      <c r="A186" s="285" t="s">
        <v>51</v>
      </c>
      <c r="B186" s="286" t="s">
        <v>9</v>
      </c>
      <c r="C186" s="287" t="s">
        <v>4</v>
      </c>
      <c r="D186" s="287" t="s">
        <v>10</v>
      </c>
      <c r="E186" s="287" t="s">
        <v>85</v>
      </c>
      <c r="F186" s="288" t="s">
        <v>11</v>
      </c>
    </row>
    <row r="187" spans="1:6" ht="25.5">
      <c r="A187" s="289" t="s">
        <v>99</v>
      </c>
      <c r="B187" s="290" t="s">
        <v>331</v>
      </c>
      <c r="C187" s="291" t="s">
        <v>4</v>
      </c>
      <c r="D187" s="291">
        <v>2</v>
      </c>
      <c r="E187" s="291">
        <v>342.14</v>
      </c>
      <c r="F187" s="292">
        <f>ROUND(D187*E187,2)</f>
        <v>684.28</v>
      </c>
    </row>
    <row r="188" spans="1:6" ht="25.5">
      <c r="A188" s="289" t="s">
        <v>100</v>
      </c>
      <c r="B188" s="290" t="s">
        <v>332</v>
      </c>
      <c r="C188" s="291" t="s">
        <v>4</v>
      </c>
      <c r="D188" s="291">
        <v>1</v>
      </c>
      <c r="E188" s="291">
        <v>142.78</v>
      </c>
      <c r="F188" s="292">
        <f>ROUND(D188*E188,2)</f>
        <v>142.78</v>
      </c>
    </row>
    <row r="189" spans="1:6">
      <c r="A189" s="289" t="s">
        <v>211</v>
      </c>
      <c r="B189" s="290" t="s">
        <v>333</v>
      </c>
      <c r="C189" s="291" t="s">
        <v>5</v>
      </c>
      <c r="D189" s="291">
        <f>0.2*1</f>
        <v>0.2</v>
      </c>
      <c r="E189" s="291">
        <v>108.28</v>
      </c>
      <c r="F189" s="292">
        <f>ROUND(D189*E189,2)</f>
        <v>21.66</v>
      </c>
    </row>
    <row r="190" spans="1:6" ht="13.5" thickBot="1">
      <c r="A190" s="294"/>
      <c r="B190" s="295"/>
      <c r="C190" s="296"/>
      <c r="D190" s="297"/>
      <c r="E190" s="298" t="s">
        <v>23</v>
      </c>
      <c r="F190" s="299">
        <f>SUM(F187:F189)</f>
        <v>848.71999999999991</v>
      </c>
    </row>
    <row r="191" spans="1:6" ht="13.5" thickBot="1">
      <c r="A191" s="331"/>
      <c r="F191" s="304"/>
    </row>
    <row r="192" spans="1:6" s="284" customFormat="1" ht="54" customHeight="1">
      <c r="A192" s="283" t="s">
        <v>129</v>
      </c>
      <c r="B192" s="392" t="s">
        <v>248</v>
      </c>
      <c r="C192" s="393"/>
      <c r="D192" s="393"/>
      <c r="E192" s="393"/>
      <c r="F192" s="394"/>
    </row>
    <row r="193" spans="1:6" s="284" customFormat="1">
      <c r="A193" s="285" t="s">
        <v>51</v>
      </c>
      <c r="B193" s="286" t="s">
        <v>9</v>
      </c>
      <c r="C193" s="287" t="s">
        <v>4</v>
      </c>
      <c r="D193" s="287" t="s">
        <v>10</v>
      </c>
      <c r="E193" s="287" t="s">
        <v>85</v>
      </c>
      <c r="F193" s="288" t="s">
        <v>11</v>
      </c>
    </row>
    <row r="194" spans="1:6" ht="38.25">
      <c r="A194" s="289" t="s">
        <v>104</v>
      </c>
      <c r="B194" s="290" t="s">
        <v>334</v>
      </c>
      <c r="C194" s="291" t="s">
        <v>4</v>
      </c>
      <c r="D194" s="291">
        <v>1</v>
      </c>
      <c r="E194" s="291">
        <v>480.46</v>
      </c>
      <c r="F194" s="292">
        <f>ROUND(D194*E194,2)</f>
        <v>480.46</v>
      </c>
    </row>
    <row r="195" spans="1:6" ht="25.5" customHeight="1">
      <c r="A195" s="289" t="s">
        <v>245</v>
      </c>
      <c r="B195" s="290" t="s">
        <v>335</v>
      </c>
      <c r="C195" s="291" t="s">
        <v>4</v>
      </c>
      <c r="D195" s="291">
        <v>1</v>
      </c>
      <c r="E195" s="291">
        <v>155.85</v>
      </c>
      <c r="F195" s="292">
        <f>ROUND(D195*E195,2)</f>
        <v>155.85</v>
      </c>
    </row>
    <row r="196" spans="1:6">
      <c r="A196" s="289" t="s">
        <v>211</v>
      </c>
      <c r="B196" s="290" t="s">
        <v>333</v>
      </c>
      <c r="C196" s="291" t="s">
        <v>5</v>
      </c>
      <c r="D196" s="291">
        <f>0.2*1</f>
        <v>0.2</v>
      </c>
      <c r="E196" s="291">
        <v>108.28</v>
      </c>
      <c r="F196" s="292">
        <f>ROUND(D196*E196,2)</f>
        <v>21.66</v>
      </c>
    </row>
    <row r="197" spans="1:6" ht="13.5" thickBot="1">
      <c r="A197" s="294"/>
      <c r="B197" s="295"/>
      <c r="C197" s="296"/>
      <c r="D197" s="297"/>
      <c r="E197" s="298" t="s">
        <v>23</v>
      </c>
      <c r="F197" s="299">
        <f>SUM(F194:F196)</f>
        <v>657.96999999999991</v>
      </c>
    </row>
    <row r="198" spans="1:6" ht="13.5" thickBot="1"/>
    <row r="199" spans="1:6" s="284" customFormat="1" ht="39.75" customHeight="1">
      <c r="A199" s="283" t="s">
        <v>380</v>
      </c>
      <c r="B199" s="392" t="s">
        <v>249</v>
      </c>
      <c r="C199" s="393"/>
      <c r="D199" s="393"/>
      <c r="E199" s="393"/>
      <c r="F199" s="394"/>
    </row>
    <row r="200" spans="1:6" s="284" customFormat="1">
      <c r="A200" s="285" t="s">
        <v>51</v>
      </c>
      <c r="B200" s="286" t="s">
        <v>9</v>
      </c>
      <c r="C200" s="287" t="s">
        <v>4</v>
      </c>
      <c r="D200" s="287" t="s">
        <v>10</v>
      </c>
      <c r="E200" s="287" t="s">
        <v>85</v>
      </c>
      <c r="F200" s="288" t="s">
        <v>11</v>
      </c>
    </row>
    <row r="201" spans="1:6" ht="25.5">
      <c r="A201" s="289" t="s">
        <v>105</v>
      </c>
      <c r="B201" s="290" t="s">
        <v>336</v>
      </c>
      <c r="C201" s="291" t="s">
        <v>4</v>
      </c>
      <c r="D201" s="291">
        <v>1</v>
      </c>
      <c r="E201" s="291">
        <f>390.35*4.1*1.54</f>
        <v>2464.6698999999999</v>
      </c>
      <c r="F201" s="292">
        <f>ROUND(D201*E201,2)</f>
        <v>2464.67</v>
      </c>
    </row>
    <row r="202" spans="1:6">
      <c r="A202" s="289" t="s">
        <v>148</v>
      </c>
      <c r="B202" s="290" t="s">
        <v>337</v>
      </c>
      <c r="C202" s="291" t="s">
        <v>4</v>
      </c>
      <c r="D202" s="291">
        <v>-1</v>
      </c>
      <c r="E202" s="291">
        <f>81.59*4.1*1.54</f>
        <v>515.15926000000002</v>
      </c>
      <c r="F202" s="292">
        <f>ROUND(D202*E202,2)</f>
        <v>-515.16</v>
      </c>
    </row>
    <row r="203" spans="1:6" ht="13.5" thickBot="1">
      <c r="A203" s="294"/>
      <c r="B203" s="295"/>
      <c r="C203" s="296"/>
      <c r="D203" s="297"/>
      <c r="E203" s="298" t="s">
        <v>23</v>
      </c>
      <c r="F203" s="299">
        <f>SUM(F201:F202)</f>
        <v>1949.5100000000002</v>
      </c>
    </row>
    <row r="204" spans="1:6" ht="13.5" thickBot="1"/>
    <row r="205" spans="1:6" s="284" customFormat="1" ht="26.25" customHeight="1">
      <c r="A205" s="283" t="s">
        <v>381</v>
      </c>
      <c r="B205" s="392" t="s">
        <v>389</v>
      </c>
      <c r="C205" s="393"/>
      <c r="D205" s="393"/>
      <c r="E205" s="393"/>
      <c r="F205" s="394"/>
    </row>
    <row r="206" spans="1:6" s="284" customFormat="1">
      <c r="A206" s="285" t="s">
        <v>51</v>
      </c>
      <c r="B206" s="286" t="s">
        <v>9</v>
      </c>
      <c r="C206" s="287" t="s">
        <v>4</v>
      </c>
      <c r="D206" s="287" t="s">
        <v>10</v>
      </c>
      <c r="E206" s="287" t="s">
        <v>85</v>
      </c>
      <c r="F206" s="288" t="s">
        <v>11</v>
      </c>
    </row>
    <row r="207" spans="1:6" ht="25.5">
      <c r="A207" s="332" t="s">
        <v>106</v>
      </c>
      <c r="B207" s="290" t="s">
        <v>301</v>
      </c>
      <c r="C207" s="333" t="s">
        <v>107</v>
      </c>
      <c r="D207" s="334">
        <v>3.0000000000000001E-3</v>
      </c>
      <c r="E207" s="333">
        <v>417.64</v>
      </c>
      <c r="F207" s="335">
        <f>E207*D207</f>
        <v>1.25292</v>
      </c>
    </row>
    <row r="208" spans="1:6">
      <c r="A208" s="332" t="s">
        <v>108</v>
      </c>
      <c r="B208" s="290" t="s">
        <v>302</v>
      </c>
      <c r="C208" s="333" t="s">
        <v>97</v>
      </c>
      <c r="D208" s="333">
        <v>0.4</v>
      </c>
      <c r="E208" s="333">
        <v>12.64</v>
      </c>
      <c r="F208" s="335">
        <f t="shared" ref="F208:F213" si="12">E208*D208</f>
        <v>5.0560000000000009</v>
      </c>
    </row>
    <row r="209" spans="1:6">
      <c r="A209" s="332" t="s">
        <v>96</v>
      </c>
      <c r="B209" s="290" t="s">
        <v>300</v>
      </c>
      <c r="C209" s="333" t="s">
        <v>97</v>
      </c>
      <c r="D209" s="336">
        <v>0.49</v>
      </c>
      <c r="E209" s="337">
        <v>12.09</v>
      </c>
      <c r="F209" s="335">
        <f t="shared" si="12"/>
        <v>5.9241000000000001</v>
      </c>
    </row>
    <row r="210" spans="1:6">
      <c r="A210" s="332" t="s">
        <v>109</v>
      </c>
      <c r="B210" s="290" t="s">
        <v>303</v>
      </c>
      <c r="C210" s="333" t="s">
        <v>97</v>
      </c>
      <c r="D210" s="333">
        <v>0.89</v>
      </c>
      <c r="E210" s="333">
        <v>10.06</v>
      </c>
      <c r="F210" s="335">
        <f t="shared" si="12"/>
        <v>8.9534000000000002</v>
      </c>
    </row>
    <row r="211" spans="1:6">
      <c r="A211" s="332" t="s">
        <v>110</v>
      </c>
      <c r="B211" s="290" t="s">
        <v>304</v>
      </c>
      <c r="C211" s="333" t="s">
        <v>30</v>
      </c>
      <c r="D211" s="333">
        <v>4</v>
      </c>
      <c r="E211" s="333">
        <v>7.65</v>
      </c>
      <c r="F211" s="335">
        <f t="shared" si="12"/>
        <v>30.6</v>
      </c>
    </row>
    <row r="212" spans="1:6">
      <c r="A212" s="332" t="s">
        <v>111</v>
      </c>
      <c r="B212" s="290" t="s">
        <v>305</v>
      </c>
      <c r="C212" s="333" t="s">
        <v>34</v>
      </c>
      <c r="D212" s="333">
        <f>0.49*1.3</f>
        <v>0.63700000000000001</v>
      </c>
      <c r="E212" s="333">
        <v>4.04</v>
      </c>
      <c r="F212" s="335">
        <f t="shared" si="12"/>
        <v>2.57348</v>
      </c>
    </row>
    <row r="213" spans="1:6">
      <c r="A213" s="332" t="s">
        <v>112</v>
      </c>
      <c r="B213" s="290" t="s">
        <v>306</v>
      </c>
      <c r="C213" s="333" t="s">
        <v>113</v>
      </c>
      <c r="D213" s="333">
        <v>4</v>
      </c>
      <c r="E213" s="333">
        <v>22.37</v>
      </c>
      <c r="F213" s="335">
        <f t="shared" si="12"/>
        <v>89.48</v>
      </c>
    </row>
    <row r="214" spans="1:6" ht="13.5" thickBot="1">
      <c r="A214" s="338"/>
      <c r="B214" s="295"/>
      <c r="C214" s="339"/>
      <c r="D214" s="340"/>
      <c r="E214" s="341" t="s">
        <v>23</v>
      </c>
      <c r="F214" s="342">
        <f>SUM(F207:F213)</f>
        <v>143.8399</v>
      </c>
    </row>
    <row r="215" spans="1:6" ht="13.5" thickBot="1"/>
    <row r="216" spans="1:6" s="284" customFormat="1">
      <c r="A216" s="283" t="s">
        <v>382</v>
      </c>
      <c r="B216" s="392" t="s">
        <v>92</v>
      </c>
      <c r="C216" s="393"/>
      <c r="D216" s="393"/>
      <c r="E216" s="393"/>
      <c r="F216" s="394"/>
    </row>
    <row r="217" spans="1:6" s="284" customFormat="1">
      <c r="A217" s="285" t="s">
        <v>51</v>
      </c>
      <c r="B217" s="286" t="s">
        <v>9</v>
      </c>
      <c r="C217" s="287" t="s">
        <v>4</v>
      </c>
      <c r="D217" s="287" t="s">
        <v>10</v>
      </c>
      <c r="E217" s="287" t="s">
        <v>85</v>
      </c>
      <c r="F217" s="288" t="s">
        <v>11</v>
      </c>
    </row>
    <row r="218" spans="1:6">
      <c r="A218" s="289" t="s">
        <v>93</v>
      </c>
      <c r="B218" s="290" t="s">
        <v>297</v>
      </c>
      <c r="C218" s="291" t="s">
        <v>4</v>
      </c>
      <c r="D218" s="291">
        <v>1</v>
      </c>
      <c r="E218" s="291">
        <v>16.420000000000002</v>
      </c>
      <c r="F218" s="292">
        <f>ROUND(D218*E218,2)</f>
        <v>16.420000000000002</v>
      </c>
    </row>
    <row r="219" spans="1:6">
      <c r="A219" s="289" t="s">
        <v>94</v>
      </c>
      <c r="B219" s="290" t="s">
        <v>298</v>
      </c>
      <c r="C219" s="291" t="s">
        <v>4</v>
      </c>
      <c r="D219" s="291">
        <v>2</v>
      </c>
      <c r="E219" s="291">
        <v>0.47</v>
      </c>
      <c r="F219" s="292">
        <f>ROUND(D219*E219,2)</f>
        <v>0.94</v>
      </c>
    </row>
    <row r="220" spans="1:6">
      <c r="A220" s="289" t="s">
        <v>95</v>
      </c>
      <c r="B220" s="290" t="s">
        <v>299</v>
      </c>
      <c r="C220" s="291" t="s">
        <v>4</v>
      </c>
      <c r="D220" s="291">
        <v>2</v>
      </c>
      <c r="E220" s="291">
        <v>0.1</v>
      </c>
      <c r="F220" s="292">
        <f>ROUND(D220*E220,2)</f>
        <v>0.2</v>
      </c>
    </row>
    <row r="221" spans="1:6">
      <c r="A221" s="289" t="s">
        <v>96</v>
      </c>
      <c r="B221" s="290" t="s">
        <v>300</v>
      </c>
      <c r="C221" s="291" t="s">
        <v>97</v>
      </c>
      <c r="D221" s="291">
        <v>0.2</v>
      </c>
      <c r="E221" s="291">
        <v>12.09</v>
      </c>
      <c r="F221" s="292">
        <f>ROUND(D221*E221,2)</f>
        <v>2.42</v>
      </c>
    </row>
    <row r="222" spans="1:6" ht="13.5" thickBot="1">
      <c r="A222" s="294"/>
      <c r="B222" s="295"/>
      <c r="C222" s="296"/>
      <c r="D222" s="297"/>
      <c r="E222" s="298" t="s">
        <v>23</v>
      </c>
      <c r="F222" s="299">
        <f>SUM(F218:F221)</f>
        <v>19.980000000000004</v>
      </c>
    </row>
    <row r="223" spans="1:6" ht="13.5" thickBot="1"/>
    <row r="224" spans="1:6" s="284" customFormat="1" ht="39" customHeight="1">
      <c r="A224" s="283" t="s">
        <v>138</v>
      </c>
      <c r="B224" s="392" t="s">
        <v>286</v>
      </c>
      <c r="C224" s="393"/>
      <c r="D224" s="393"/>
      <c r="E224" s="393"/>
      <c r="F224" s="394"/>
    </row>
    <row r="225" spans="1:9" s="284" customFormat="1">
      <c r="A225" s="285" t="s">
        <v>51</v>
      </c>
      <c r="B225" s="286" t="s">
        <v>9</v>
      </c>
      <c r="C225" s="287" t="s">
        <v>4</v>
      </c>
      <c r="D225" s="287" t="s">
        <v>10</v>
      </c>
      <c r="E225" s="287" t="s">
        <v>85</v>
      </c>
      <c r="F225" s="288" t="s">
        <v>11</v>
      </c>
    </row>
    <row r="226" spans="1:9" ht="25.5">
      <c r="A226" s="289" t="s">
        <v>117</v>
      </c>
      <c r="B226" s="290" t="s">
        <v>287</v>
      </c>
      <c r="C226" s="291" t="s">
        <v>12</v>
      </c>
      <c r="D226" s="291">
        <v>1.85</v>
      </c>
      <c r="E226" s="291">
        <v>12.75</v>
      </c>
      <c r="F226" s="292">
        <f>E226*D226</f>
        <v>23.587500000000002</v>
      </c>
      <c r="G226" s="55">
        <v>11.51</v>
      </c>
      <c r="H226" s="55">
        <f>ROUND(D226*F226,2)</f>
        <v>43.64</v>
      </c>
      <c r="I226" s="55">
        <f>ROUND(D226*G226,2)</f>
        <v>21.29</v>
      </c>
    </row>
    <row r="227" spans="1:9">
      <c r="A227" s="289" t="s">
        <v>64</v>
      </c>
      <c r="B227" s="290" t="s">
        <v>321</v>
      </c>
      <c r="C227" s="291" t="s">
        <v>12</v>
      </c>
      <c r="D227" s="291">
        <v>1.85</v>
      </c>
      <c r="E227" s="291">
        <v>12.06</v>
      </c>
      <c r="F227" s="292">
        <f>E227*D227</f>
        <v>22.311000000000003</v>
      </c>
    </row>
    <row r="228" spans="1:9" ht="25.5">
      <c r="A228" s="289" t="s">
        <v>116</v>
      </c>
      <c r="B228" s="290" t="s">
        <v>288</v>
      </c>
      <c r="C228" s="291" t="s">
        <v>12</v>
      </c>
      <c r="D228" s="291">
        <v>1.85</v>
      </c>
      <c r="E228" s="291">
        <v>10.24</v>
      </c>
      <c r="F228" s="292">
        <f t="shared" ref="F228:F236" si="13">E228*D228</f>
        <v>18.944000000000003</v>
      </c>
      <c r="G228" s="55">
        <v>8.4</v>
      </c>
      <c r="H228" s="55">
        <f t="shared" ref="H228:H236" si="14">ROUND(D228*F228,2)</f>
        <v>35.049999999999997</v>
      </c>
      <c r="I228" s="55">
        <f t="shared" ref="I228:I236" si="15">ROUND(D228*G228,2)</f>
        <v>15.54</v>
      </c>
    </row>
    <row r="229" spans="1:9">
      <c r="A229" s="289" t="s">
        <v>118</v>
      </c>
      <c r="B229" s="290" t="s">
        <v>289</v>
      </c>
      <c r="C229" s="291" t="s">
        <v>4</v>
      </c>
      <c r="D229" s="291">
        <v>2</v>
      </c>
      <c r="E229" s="291">
        <v>58.04</v>
      </c>
      <c r="F229" s="292">
        <f t="shared" si="13"/>
        <v>116.08</v>
      </c>
      <c r="H229" s="55">
        <f t="shared" si="14"/>
        <v>232.16</v>
      </c>
      <c r="I229" s="55">
        <f t="shared" si="15"/>
        <v>0</v>
      </c>
    </row>
    <row r="230" spans="1:9">
      <c r="A230" s="289" t="s">
        <v>119</v>
      </c>
      <c r="B230" s="290" t="s">
        <v>290</v>
      </c>
      <c r="C230" s="291" t="s">
        <v>4</v>
      </c>
      <c r="D230" s="291">
        <v>0.02</v>
      </c>
      <c r="E230" s="291">
        <v>2.38</v>
      </c>
      <c r="F230" s="292">
        <f t="shared" si="13"/>
        <v>4.7599999999999996E-2</v>
      </c>
      <c r="H230" s="55">
        <f t="shared" si="14"/>
        <v>0</v>
      </c>
      <c r="I230" s="55">
        <f t="shared" si="15"/>
        <v>0</v>
      </c>
    </row>
    <row r="231" spans="1:9">
      <c r="A231" s="289" t="s">
        <v>120</v>
      </c>
      <c r="B231" s="290" t="s">
        <v>291</v>
      </c>
      <c r="C231" s="291" t="s">
        <v>4</v>
      </c>
      <c r="D231" s="291">
        <v>2</v>
      </c>
      <c r="E231" s="291">
        <v>21.74</v>
      </c>
      <c r="F231" s="292">
        <f t="shared" si="13"/>
        <v>43.48</v>
      </c>
      <c r="H231" s="55">
        <f t="shared" si="14"/>
        <v>86.96</v>
      </c>
      <c r="I231" s="55">
        <f t="shared" si="15"/>
        <v>0</v>
      </c>
    </row>
    <row r="232" spans="1:9" ht="25.5">
      <c r="A232" s="289" t="s">
        <v>121</v>
      </c>
      <c r="B232" s="290" t="s">
        <v>292</v>
      </c>
      <c r="C232" s="291" t="s">
        <v>4</v>
      </c>
      <c r="D232" s="291">
        <v>2</v>
      </c>
      <c r="E232" s="291">
        <v>19.690000000000001</v>
      </c>
      <c r="F232" s="292">
        <f t="shared" si="13"/>
        <v>39.380000000000003</v>
      </c>
      <c r="G232" s="55">
        <v>2.2000000000000002</v>
      </c>
      <c r="H232" s="55">
        <f t="shared" si="14"/>
        <v>78.760000000000005</v>
      </c>
      <c r="I232" s="55">
        <f t="shared" si="15"/>
        <v>4.4000000000000004</v>
      </c>
    </row>
    <row r="233" spans="1:9" ht="25.5">
      <c r="A233" s="289" t="s">
        <v>67</v>
      </c>
      <c r="B233" s="290" t="s">
        <v>293</v>
      </c>
      <c r="C233" s="291" t="s">
        <v>5</v>
      </c>
      <c r="D233" s="291">
        <f>1.8*0.55</f>
        <v>0.9900000000000001</v>
      </c>
      <c r="E233" s="291">
        <v>385</v>
      </c>
      <c r="F233" s="292">
        <f t="shared" si="13"/>
        <v>381.15000000000003</v>
      </c>
      <c r="G233" s="55">
        <v>37.9</v>
      </c>
      <c r="H233" s="55">
        <f t="shared" si="14"/>
        <v>377.34</v>
      </c>
      <c r="I233" s="55">
        <f t="shared" si="15"/>
        <v>37.520000000000003</v>
      </c>
    </row>
    <row r="234" spans="1:9">
      <c r="A234" s="289" t="s">
        <v>66</v>
      </c>
      <c r="B234" s="290" t="s">
        <v>294</v>
      </c>
      <c r="C234" s="291" t="s">
        <v>53</v>
      </c>
      <c r="D234" s="291">
        <v>3.5099999999999999E-2</v>
      </c>
      <c r="E234" s="291">
        <v>2.82</v>
      </c>
      <c r="F234" s="292">
        <f t="shared" si="13"/>
        <v>9.8981999999999987E-2</v>
      </c>
    </row>
    <row r="235" spans="1:9" ht="25.5">
      <c r="A235" s="289" t="s">
        <v>122</v>
      </c>
      <c r="B235" s="290" t="s">
        <v>295</v>
      </c>
      <c r="C235" s="291" t="s">
        <v>4</v>
      </c>
      <c r="D235" s="291">
        <v>9</v>
      </c>
      <c r="E235" s="291">
        <v>0.47</v>
      </c>
      <c r="F235" s="292">
        <f t="shared" si="13"/>
        <v>4.2299999999999995</v>
      </c>
    </row>
    <row r="236" spans="1:9" ht="25.5">
      <c r="A236" s="289" t="s">
        <v>123</v>
      </c>
      <c r="B236" s="290" t="s">
        <v>296</v>
      </c>
      <c r="C236" s="291" t="s">
        <v>4</v>
      </c>
      <c r="D236" s="291">
        <v>2</v>
      </c>
      <c r="E236" s="291">
        <v>79.62</v>
      </c>
      <c r="F236" s="292">
        <f t="shared" si="13"/>
        <v>159.24</v>
      </c>
      <c r="H236" s="55">
        <f t="shared" si="14"/>
        <v>318.48</v>
      </c>
      <c r="I236" s="55">
        <f t="shared" si="15"/>
        <v>0</v>
      </c>
    </row>
    <row r="237" spans="1:9" ht="13.5" thickBot="1">
      <c r="A237" s="294"/>
      <c r="B237" s="295"/>
      <c r="C237" s="296"/>
      <c r="D237" s="297"/>
      <c r="E237" s="298" t="s">
        <v>23</v>
      </c>
      <c r="F237" s="299">
        <f>SUM(F226:F236)</f>
        <v>808.549082</v>
      </c>
    </row>
    <row r="238" spans="1:9" ht="13.5" thickBot="1"/>
    <row r="239" spans="1:9" s="284" customFormat="1" ht="39.75" customHeight="1">
      <c r="A239" s="283" t="s">
        <v>140</v>
      </c>
      <c r="B239" s="392" t="s">
        <v>125</v>
      </c>
      <c r="C239" s="393"/>
      <c r="D239" s="393"/>
      <c r="E239" s="393"/>
      <c r="F239" s="394"/>
    </row>
    <row r="240" spans="1:9" s="284" customFormat="1">
      <c r="A240" s="285" t="s">
        <v>51</v>
      </c>
      <c r="B240" s="286" t="s">
        <v>9</v>
      </c>
      <c r="C240" s="287" t="s">
        <v>4</v>
      </c>
      <c r="D240" s="287" t="s">
        <v>10</v>
      </c>
      <c r="E240" s="287" t="s">
        <v>85</v>
      </c>
      <c r="F240" s="288" t="s">
        <v>11</v>
      </c>
    </row>
    <row r="241" spans="1:9" ht="25.5">
      <c r="A241" s="289" t="s">
        <v>117</v>
      </c>
      <c r="B241" s="290" t="s">
        <v>287</v>
      </c>
      <c r="C241" s="291" t="s">
        <v>12</v>
      </c>
      <c r="D241" s="291">
        <v>1.85</v>
      </c>
      <c r="E241" s="291">
        <v>12.75</v>
      </c>
      <c r="F241" s="292">
        <f>E241*D241</f>
        <v>23.587500000000002</v>
      </c>
      <c r="G241" s="55">
        <v>11.51</v>
      </c>
      <c r="H241" s="55">
        <f t="shared" ref="H241:H246" si="16">ROUND(D241*F241,2)</f>
        <v>43.64</v>
      </c>
      <c r="I241" s="55">
        <f t="shared" ref="I241:I246" si="17">ROUND(D241*G241,2)</f>
        <v>21.29</v>
      </c>
    </row>
    <row r="242" spans="1:9" ht="25.5">
      <c r="A242" s="289" t="s">
        <v>116</v>
      </c>
      <c r="B242" s="290" t="s">
        <v>307</v>
      </c>
      <c r="C242" s="291" t="s">
        <v>12</v>
      </c>
      <c r="D242" s="291">
        <v>1.85</v>
      </c>
      <c r="E242" s="291">
        <v>10.24</v>
      </c>
      <c r="F242" s="292">
        <f t="shared" ref="F242:F246" si="18">E242*D242</f>
        <v>18.944000000000003</v>
      </c>
      <c r="G242" s="55">
        <v>8.4</v>
      </c>
      <c r="H242" s="55">
        <f t="shared" si="16"/>
        <v>35.049999999999997</v>
      </c>
      <c r="I242" s="55">
        <f t="shared" si="17"/>
        <v>15.54</v>
      </c>
    </row>
    <row r="243" spans="1:9">
      <c r="A243" s="289" t="s">
        <v>119</v>
      </c>
      <c r="B243" s="290" t="s">
        <v>308</v>
      </c>
      <c r="C243" s="291" t="s">
        <v>4</v>
      </c>
      <c r="D243" s="291">
        <v>0.02</v>
      </c>
      <c r="E243" s="291">
        <v>2.38</v>
      </c>
      <c r="F243" s="292">
        <f t="shared" si="18"/>
        <v>4.7599999999999996E-2</v>
      </c>
    </row>
    <row r="244" spans="1:9">
      <c r="A244" s="289" t="s">
        <v>126</v>
      </c>
      <c r="B244" s="290" t="s">
        <v>309</v>
      </c>
      <c r="C244" s="291" t="s">
        <v>4</v>
      </c>
      <c r="D244" s="291">
        <v>4</v>
      </c>
      <c r="E244" s="291">
        <v>1.65</v>
      </c>
      <c r="F244" s="292">
        <f t="shared" si="18"/>
        <v>6.6</v>
      </c>
      <c r="H244" s="55">
        <f t="shared" si="16"/>
        <v>26.4</v>
      </c>
      <c r="I244" s="55">
        <f t="shared" si="17"/>
        <v>0</v>
      </c>
    </row>
    <row r="245" spans="1:9">
      <c r="A245" s="289" t="s">
        <v>127</v>
      </c>
      <c r="B245" s="290" t="s">
        <v>310</v>
      </c>
      <c r="C245" s="291" t="s">
        <v>4</v>
      </c>
      <c r="D245" s="291">
        <v>1</v>
      </c>
      <c r="E245" s="291">
        <v>2.0299999999999998</v>
      </c>
      <c r="F245" s="292">
        <f t="shared" si="18"/>
        <v>2.0299999999999998</v>
      </c>
      <c r="H245" s="55">
        <f t="shared" si="16"/>
        <v>2.0299999999999998</v>
      </c>
      <c r="I245" s="55">
        <f t="shared" si="17"/>
        <v>0</v>
      </c>
    </row>
    <row r="246" spans="1:9">
      <c r="A246" s="289" t="s">
        <v>128</v>
      </c>
      <c r="B246" s="290" t="s">
        <v>311</v>
      </c>
      <c r="C246" s="291" t="s">
        <v>4</v>
      </c>
      <c r="D246" s="291">
        <v>1</v>
      </c>
      <c r="E246" s="291">
        <v>99</v>
      </c>
      <c r="F246" s="292">
        <f t="shared" si="18"/>
        <v>99</v>
      </c>
      <c r="H246" s="55">
        <f t="shared" si="16"/>
        <v>99</v>
      </c>
      <c r="I246" s="55">
        <f t="shared" si="17"/>
        <v>0</v>
      </c>
    </row>
    <row r="247" spans="1:9" ht="13.5" thickBot="1">
      <c r="A247" s="294"/>
      <c r="B247" s="295"/>
      <c r="C247" s="296"/>
      <c r="D247" s="297"/>
      <c r="E247" s="298" t="s">
        <v>23</v>
      </c>
      <c r="F247" s="299">
        <f>SUM(F241:F246)</f>
        <v>150.20910000000001</v>
      </c>
    </row>
    <row r="248" spans="1:9" ht="13.5" thickBot="1"/>
    <row r="249" spans="1:9" s="284" customFormat="1" ht="26.25" customHeight="1">
      <c r="A249" s="283" t="s">
        <v>139</v>
      </c>
      <c r="B249" s="392" t="s">
        <v>255</v>
      </c>
      <c r="C249" s="393"/>
      <c r="D249" s="393"/>
      <c r="E249" s="393"/>
      <c r="F249" s="394"/>
    </row>
    <row r="250" spans="1:9" s="284" customFormat="1">
      <c r="A250" s="285" t="s">
        <v>51</v>
      </c>
      <c r="B250" s="286" t="s">
        <v>9</v>
      </c>
      <c r="C250" s="287" t="s">
        <v>4</v>
      </c>
      <c r="D250" s="287" t="s">
        <v>10</v>
      </c>
      <c r="E250" s="287" t="s">
        <v>141</v>
      </c>
      <c r="F250" s="288" t="s">
        <v>11</v>
      </c>
    </row>
    <row r="251" spans="1:9" ht="25.5">
      <c r="A251" s="300" t="s">
        <v>16</v>
      </c>
      <c r="B251" s="290" t="s">
        <v>328</v>
      </c>
      <c r="C251" s="291" t="s">
        <v>5</v>
      </c>
      <c r="D251" s="291">
        <v>1.05</v>
      </c>
      <c r="E251" s="291">
        <v>75</v>
      </c>
      <c r="F251" s="292">
        <f>ROUND(D251*E251,2)</f>
        <v>78.75</v>
      </c>
    </row>
    <row r="252" spans="1:9">
      <c r="A252" s="289" t="s">
        <v>64</v>
      </c>
      <c r="B252" s="290" t="s">
        <v>327</v>
      </c>
      <c r="C252" s="291" t="s">
        <v>12</v>
      </c>
      <c r="D252" s="291">
        <v>0.5</v>
      </c>
      <c r="E252" s="291">
        <v>12.06</v>
      </c>
      <c r="F252" s="292">
        <f>ROUND(D252*E252,2)</f>
        <v>6.03</v>
      </c>
    </row>
    <row r="253" spans="1:9">
      <c r="A253" s="289" t="s">
        <v>65</v>
      </c>
      <c r="B253" s="290" t="s">
        <v>303</v>
      </c>
      <c r="C253" s="291" t="s">
        <v>97</v>
      </c>
      <c r="D253" s="291">
        <v>0.5</v>
      </c>
      <c r="E253" s="291">
        <v>10.06</v>
      </c>
      <c r="F253" s="292">
        <f>ROUND(D253*E253,2)</f>
        <v>5.03</v>
      </c>
    </row>
    <row r="254" spans="1:9" ht="25.5">
      <c r="A254" s="289" t="s">
        <v>143</v>
      </c>
      <c r="B254" s="290" t="s">
        <v>329</v>
      </c>
      <c r="C254" s="291" t="s">
        <v>34</v>
      </c>
      <c r="D254" s="291">
        <v>8</v>
      </c>
      <c r="E254" s="291">
        <v>0.31</v>
      </c>
      <c r="F254" s="292">
        <f>ROUND(D254*E254,2)</f>
        <v>2.48</v>
      </c>
    </row>
    <row r="255" spans="1:9">
      <c r="A255" s="289" t="s">
        <v>66</v>
      </c>
      <c r="B255" s="290" t="s">
        <v>330</v>
      </c>
      <c r="C255" s="291" t="s">
        <v>53</v>
      </c>
      <c r="D255" s="291">
        <v>0.21</v>
      </c>
      <c r="E255" s="291">
        <v>2.82</v>
      </c>
      <c r="F255" s="292">
        <f>ROUND(D255*E255,2)</f>
        <v>0.59</v>
      </c>
    </row>
    <row r="256" spans="1:9" ht="13.5" thickBot="1">
      <c r="A256" s="294"/>
      <c r="B256" s="295"/>
      <c r="C256" s="296"/>
      <c r="D256" s="297"/>
      <c r="E256" s="298" t="s">
        <v>142</v>
      </c>
      <c r="F256" s="299">
        <f>SUM(F251:F255)</f>
        <v>92.88000000000001</v>
      </c>
    </row>
    <row r="257" spans="1:6" ht="13.5" thickBot="1"/>
    <row r="258" spans="1:6" s="284" customFormat="1" ht="26.25" customHeight="1">
      <c r="A258" s="283" t="s">
        <v>146</v>
      </c>
      <c r="B258" s="392" t="s">
        <v>257</v>
      </c>
      <c r="C258" s="393"/>
      <c r="D258" s="393"/>
      <c r="E258" s="393"/>
      <c r="F258" s="394"/>
    </row>
    <row r="259" spans="1:6" s="284" customFormat="1">
      <c r="A259" s="285" t="s">
        <v>51</v>
      </c>
      <c r="B259" s="286" t="s">
        <v>9</v>
      </c>
      <c r="C259" s="287" t="s">
        <v>4</v>
      </c>
      <c r="D259" s="287" t="s">
        <v>10</v>
      </c>
      <c r="E259" s="287" t="s">
        <v>141</v>
      </c>
      <c r="F259" s="288" t="s">
        <v>11</v>
      </c>
    </row>
    <row r="260" spans="1:6" ht="25.5">
      <c r="A260" s="300" t="s">
        <v>16</v>
      </c>
      <c r="B260" s="290" t="s">
        <v>326</v>
      </c>
      <c r="C260" s="291" t="s">
        <v>30</v>
      </c>
      <c r="D260" s="291">
        <v>1</v>
      </c>
      <c r="E260" s="291">
        <v>30</v>
      </c>
      <c r="F260" s="292">
        <f>ROUND(D260*E260,2)</f>
        <v>30</v>
      </c>
    </row>
    <row r="261" spans="1:6">
      <c r="A261" s="300" t="s">
        <v>144</v>
      </c>
      <c r="B261" s="290" t="s">
        <v>327</v>
      </c>
      <c r="C261" s="291" t="s">
        <v>97</v>
      </c>
      <c r="D261" s="291">
        <v>0.4</v>
      </c>
      <c r="E261" s="291">
        <v>12.06</v>
      </c>
      <c r="F261" s="292">
        <f>ROUND(D261*E261,2)</f>
        <v>4.82</v>
      </c>
    </row>
    <row r="262" spans="1:6">
      <c r="A262" s="300" t="s">
        <v>109</v>
      </c>
      <c r="B262" s="290" t="s">
        <v>303</v>
      </c>
      <c r="C262" s="291" t="s">
        <v>97</v>
      </c>
      <c r="D262" s="291">
        <v>0.4</v>
      </c>
      <c r="E262" s="291">
        <v>10.06</v>
      </c>
      <c r="F262" s="292">
        <f>ROUND(D262*E262,2)</f>
        <v>4.0199999999999996</v>
      </c>
    </row>
    <row r="263" spans="1:6" ht="25.5">
      <c r="A263" s="300" t="s">
        <v>150</v>
      </c>
      <c r="B263" s="290" t="s">
        <v>322</v>
      </c>
      <c r="C263" s="291" t="s">
        <v>25</v>
      </c>
      <c r="D263" s="291">
        <v>3.0000000000000001E-3</v>
      </c>
      <c r="E263" s="291">
        <v>364.27</v>
      </c>
      <c r="F263" s="292">
        <f>ROUND(D263*E263,2)</f>
        <v>1.0900000000000001</v>
      </c>
    </row>
    <row r="264" spans="1:6" ht="13.5" thickBot="1">
      <c r="A264" s="294"/>
      <c r="B264" s="295"/>
      <c r="C264" s="296"/>
      <c r="D264" s="297"/>
      <c r="E264" s="298" t="s">
        <v>142</v>
      </c>
      <c r="F264" s="299">
        <f>SUM(F260:F263)</f>
        <v>39.930000000000007</v>
      </c>
    </row>
    <row r="265" spans="1:6" ht="13.5" thickBot="1"/>
    <row r="266" spans="1:6" s="284" customFormat="1" ht="26.25" customHeight="1">
      <c r="A266" s="283" t="s">
        <v>132</v>
      </c>
      <c r="B266" s="392" t="s">
        <v>258</v>
      </c>
      <c r="C266" s="393"/>
      <c r="D266" s="393"/>
      <c r="E266" s="393"/>
      <c r="F266" s="394"/>
    </row>
    <row r="267" spans="1:6" ht="14.25" customHeight="1">
      <c r="A267" s="343" t="s">
        <v>51</v>
      </c>
      <c r="B267" s="344" t="s">
        <v>9</v>
      </c>
      <c r="C267" s="309" t="s">
        <v>4</v>
      </c>
      <c r="D267" s="309" t="s">
        <v>10</v>
      </c>
      <c r="E267" s="309" t="s">
        <v>141</v>
      </c>
      <c r="F267" s="314" t="s">
        <v>11</v>
      </c>
    </row>
    <row r="268" spans="1:6" ht="25.5">
      <c r="A268" s="300" t="s">
        <v>16</v>
      </c>
      <c r="B268" s="290" t="s">
        <v>145</v>
      </c>
      <c r="C268" s="291" t="s">
        <v>30</v>
      </c>
      <c r="D268" s="291">
        <v>1</v>
      </c>
      <c r="E268" s="291">
        <f>200*0.23</f>
        <v>46</v>
      </c>
      <c r="F268" s="292">
        <f>ROUND(D268*E268,2)</f>
        <v>46</v>
      </c>
    </row>
    <row r="269" spans="1:6">
      <c r="A269" s="300" t="s">
        <v>144</v>
      </c>
      <c r="B269" s="290" t="s">
        <v>321</v>
      </c>
      <c r="C269" s="291" t="s">
        <v>97</v>
      </c>
      <c r="D269" s="291">
        <v>0.4</v>
      </c>
      <c r="E269" s="291">
        <v>12.06</v>
      </c>
      <c r="F269" s="292">
        <f>ROUND(D269*E269,2)</f>
        <v>4.82</v>
      </c>
    </row>
    <row r="270" spans="1:6">
      <c r="A270" s="300" t="s">
        <v>109</v>
      </c>
      <c r="B270" s="290" t="s">
        <v>303</v>
      </c>
      <c r="C270" s="291" t="s">
        <v>97</v>
      </c>
      <c r="D270" s="291">
        <v>0.4</v>
      </c>
      <c r="E270" s="291">
        <v>10.06</v>
      </c>
      <c r="F270" s="292">
        <f>ROUND(D270*E270,2)</f>
        <v>4.0199999999999996</v>
      </c>
    </row>
    <row r="271" spans="1:6" ht="25.5">
      <c r="A271" s="300" t="s">
        <v>150</v>
      </c>
      <c r="B271" s="290" t="s">
        <v>322</v>
      </c>
      <c r="C271" s="291" t="s">
        <v>25</v>
      </c>
      <c r="D271" s="291">
        <v>3.0000000000000001E-3</v>
      </c>
      <c r="E271" s="291">
        <v>364.27</v>
      </c>
      <c r="F271" s="292">
        <f>ROUND(D271*E271,2)</f>
        <v>1.0900000000000001</v>
      </c>
    </row>
    <row r="272" spans="1:6" ht="13.5" thickBot="1">
      <c r="A272" s="294"/>
      <c r="B272" s="295"/>
      <c r="C272" s="296"/>
      <c r="D272" s="297"/>
      <c r="E272" s="298" t="s">
        <v>142</v>
      </c>
      <c r="F272" s="299">
        <f>SUM(F268:F271)</f>
        <v>55.930000000000007</v>
      </c>
    </row>
    <row r="273" spans="1:6" ht="13.5" thickBot="1"/>
    <row r="274" spans="1:6" s="284" customFormat="1" ht="26.25" customHeight="1">
      <c r="A274" s="283" t="s">
        <v>133</v>
      </c>
      <c r="B274" s="392" t="s">
        <v>314</v>
      </c>
      <c r="C274" s="393"/>
      <c r="D274" s="393"/>
      <c r="E274" s="393"/>
      <c r="F274" s="394"/>
    </row>
    <row r="275" spans="1:6" ht="14.25" customHeight="1">
      <c r="A275" s="343" t="s">
        <v>51</v>
      </c>
      <c r="B275" s="344" t="s">
        <v>9</v>
      </c>
      <c r="C275" s="309" t="s">
        <v>4</v>
      </c>
      <c r="D275" s="309" t="s">
        <v>10</v>
      </c>
      <c r="E275" s="309" t="s">
        <v>141</v>
      </c>
      <c r="F275" s="314" t="s">
        <v>11</v>
      </c>
    </row>
    <row r="276" spans="1:6">
      <c r="A276" s="300" t="s">
        <v>256</v>
      </c>
      <c r="B276" s="290" t="s">
        <v>312</v>
      </c>
      <c r="C276" s="291" t="s">
        <v>5</v>
      </c>
      <c r="D276" s="291">
        <v>12.63</v>
      </c>
      <c r="E276" s="291">
        <v>169.95</v>
      </c>
      <c r="F276" s="292">
        <f>ROUND(D276*E276,2)</f>
        <v>2146.4699999999998</v>
      </c>
    </row>
    <row r="277" spans="1:6" ht="25.5">
      <c r="A277" s="300" t="s">
        <v>265</v>
      </c>
      <c r="B277" s="290" t="s">
        <v>313</v>
      </c>
      <c r="C277" s="291" t="s">
        <v>5</v>
      </c>
      <c r="D277" s="291">
        <v>12.63</v>
      </c>
      <c r="E277" s="291">
        <v>32.85</v>
      </c>
      <c r="F277" s="292">
        <f>ROUND(D277*E277,2)</f>
        <v>414.9</v>
      </c>
    </row>
    <row r="278" spans="1:6" s="322" customFormat="1">
      <c r="A278" s="300"/>
      <c r="B278" s="290"/>
      <c r="C278" s="291"/>
      <c r="D278" s="320"/>
      <c r="E278" s="321" t="s">
        <v>23</v>
      </c>
      <c r="F278" s="314">
        <f>SUM(F274:F277)</f>
        <v>2561.37</v>
      </c>
    </row>
    <row r="279" spans="1:6" ht="13.5" thickBot="1">
      <c r="A279" s="294"/>
      <c r="B279" s="295"/>
      <c r="C279" s="296"/>
      <c r="D279" s="297"/>
      <c r="E279" s="298" t="s">
        <v>277</v>
      </c>
      <c r="F279" s="299">
        <f>F278/D276</f>
        <v>202.80047505938239</v>
      </c>
    </row>
    <row r="280" spans="1:6" ht="13.5" thickBot="1"/>
    <row r="281" spans="1:6" s="284" customFormat="1" ht="26.25" customHeight="1">
      <c r="A281" s="283" t="s">
        <v>147</v>
      </c>
      <c r="B281" s="392" t="s">
        <v>317</v>
      </c>
      <c r="C281" s="393"/>
      <c r="D281" s="393"/>
      <c r="E281" s="393"/>
      <c r="F281" s="394"/>
    </row>
    <row r="282" spans="1:6" ht="14.25" customHeight="1">
      <c r="A282" s="343" t="s">
        <v>51</v>
      </c>
      <c r="B282" s="344" t="s">
        <v>9</v>
      </c>
      <c r="C282" s="309" t="s">
        <v>4</v>
      </c>
      <c r="D282" s="309" t="s">
        <v>10</v>
      </c>
      <c r="E282" s="309" t="s">
        <v>141</v>
      </c>
      <c r="F282" s="314" t="s">
        <v>11</v>
      </c>
    </row>
    <row r="283" spans="1:6" ht="27.75" customHeight="1">
      <c r="A283" s="300" t="s">
        <v>28</v>
      </c>
      <c r="B283" s="290" t="s">
        <v>318</v>
      </c>
      <c r="C283" s="291" t="s">
        <v>4</v>
      </c>
      <c r="D283" s="291">
        <v>1</v>
      </c>
      <c r="E283" s="291">
        <f>(314.57+344.51+353.74+397.95)/4</f>
        <v>352.6925</v>
      </c>
      <c r="F283" s="292">
        <f>ROUND(D283*E283,2)</f>
        <v>352.69</v>
      </c>
    </row>
    <row r="284" spans="1:6">
      <c r="A284" s="300" t="s">
        <v>319</v>
      </c>
      <c r="B284" s="290" t="s">
        <v>320</v>
      </c>
      <c r="C284" s="291" t="s">
        <v>4</v>
      </c>
      <c r="D284" s="291">
        <v>1</v>
      </c>
      <c r="E284" s="291">
        <v>134.35</v>
      </c>
      <c r="F284" s="292">
        <f>ROUND(D284*E284,2)</f>
        <v>134.35</v>
      </c>
    </row>
    <row r="285" spans="1:6">
      <c r="A285" s="300" t="s">
        <v>316</v>
      </c>
      <c r="B285" s="290" t="s">
        <v>315</v>
      </c>
      <c r="C285" s="291" t="s">
        <v>4</v>
      </c>
      <c r="D285" s="291">
        <v>1</v>
      </c>
      <c r="E285" s="291">
        <v>23</v>
      </c>
      <c r="F285" s="292">
        <f>ROUND(D285*E285,2)</f>
        <v>23</v>
      </c>
    </row>
    <row r="286" spans="1:6" s="322" customFormat="1" ht="13.5" thickBot="1">
      <c r="A286" s="294"/>
      <c r="B286" s="295"/>
      <c r="C286" s="296"/>
      <c r="D286" s="297"/>
      <c r="E286" s="298" t="s">
        <v>23</v>
      </c>
      <c r="F286" s="299">
        <f>SUM(F281:F285)</f>
        <v>510.03999999999996</v>
      </c>
    </row>
    <row r="287" spans="1:6" ht="13.5" thickBot="1"/>
    <row r="288" spans="1:6" s="284" customFormat="1" ht="24.75" customHeight="1">
      <c r="A288" s="283" t="s">
        <v>149</v>
      </c>
      <c r="B288" s="392" t="s">
        <v>325</v>
      </c>
      <c r="C288" s="393"/>
      <c r="D288" s="393"/>
      <c r="E288" s="393"/>
      <c r="F288" s="394"/>
    </row>
    <row r="289" spans="1:9" s="284" customFormat="1">
      <c r="A289" s="285" t="s">
        <v>51</v>
      </c>
      <c r="B289" s="286" t="s">
        <v>9</v>
      </c>
      <c r="C289" s="287" t="s">
        <v>4</v>
      </c>
      <c r="D289" s="287" t="s">
        <v>10</v>
      </c>
      <c r="E289" s="287" t="s">
        <v>85</v>
      </c>
      <c r="F289" s="288" t="s">
        <v>11</v>
      </c>
    </row>
    <row r="290" spans="1:9">
      <c r="A290" s="289" t="s">
        <v>67</v>
      </c>
      <c r="B290" s="290" t="s">
        <v>338</v>
      </c>
      <c r="C290" s="291" t="s">
        <v>5</v>
      </c>
      <c r="D290" s="291">
        <f>0.7+0.11+0.03</f>
        <v>0.84</v>
      </c>
      <c r="E290" s="291">
        <v>310.47000000000003</v>
      </c>
      <c r="F290" s="292">
        <f t="shared" ref="F290:F291" si="19">E290*D290</f>
        <v>260.79480000000001</v>
      </c>
      <c r="G290" s="55">
        <v>37.9</v>
      </c>
      <c r="H290" s="55">
        <f t="shared" ref="H290" si="20">ROUND(D290*F290,2)</f>
        <v>219.07</v>
      </c>
      <c r="I290" s="55">
        <f t="shared" ref="I290" si="21">ROUND(D290*G290,2)</f>
        <v>31.84</v>
      </c>
    </row>
    <row r="291" spans="1:9">
      <c r="A291" s="289" t="s">
        <v>66</v>
      </c>
      <c r="B291" s="290" t="s">
        <v>294</v>
      </c>
      <c r="C291" s="291" t="s">
        <v>53</v>
      </c>
      <c r="D291" s="291">
        <v>3.5099999999999999E-2</v>
      </c>
      <c r="E291" s="291">
        <v>2.82</v>
      </c>
      <c r="F291" s="292">
        <f t="shared" si="19"/>
        <v>9.8981999999999987E-2</v>
      </c>
    </row>
    <row r="292" spans="1:9">
      <c r="A292" s="300" t="s">
        <v>144</v>
      </c>
      <c r="B292" s="290" t="s">
        <v>321</v>
      </c>
      <c r="C292" s="291" t="s">
        <v>12</v>
      </c>
      <c r="D292" s="291">
        <v>0.4</v>
      </c>
      <c r="E292" s="291">
        <v>12.06</v>
      </c>
      <c r="F292" s="292">
        <f>ROUND(D292*E292,2)</f>
        <v>4.82</v>
      </c>
    </row>
    <row r="293" spans="1:9">
      <c r="A293" s="300" t="s">
        <v>109</v>
      </c>
      <c r="B293" s="290" t="s">
        <v>303</v>
      </c>
      <c r="C293" s="291" t="s">
        <v>12</v>
      </c>
      <c r="D293" s="291">
        <v>0.4</v>
      </c>
      <c r="E293" s="291">
        <v>10.06</v>
      </c>
      <c r="F293" s="292">
        <f>ROUND(D293*E293,2)</f>
        <v>4.0199999999999996</v>
      </c>
    </row>
    <row r="294" spans="1:9" ht="25.5">
      <c r="A294" s="300" t="s">
        <v>323</v>
      </c>
      <c r="B294" s="317" t="s">
        <v>324</v>
      </c>
      <c r="C294" s="318" t="s">
        <v>25</v>
      </c>
      <c r="D294" s="345">
        <f>0.08*0.65</f>
        <v>5.2000000000000005E-2</v>
      </c>
      <c r="E294" s="318">
        <v>379.06</v>
      </c>
      <c r="F294" s="292">
        <f>ROUND(D294*E294,2)</f>
        <v>19.71</v>
      </c>
    </row>
    <row r="295" spans="1:9" ht="25.5">
      <c r="A295" s="316" t="s">
        <v>230</v>
      </c>
      <c r="B295" s="317" t="s">
        <v>229</v>
      </c>
      <c r="C295" s="318" t="s">
        <v>34</v>
      </c>
      <c r="D295" s="318">
        <v>1.5</v>
      </c>
      <c r="E295" s="318">
        <v>6.4</v>
      </c>
      <c r="F295" s="292">
        <f>ROUND(D295*E295,2)</f>
        <v>9.6</v>
      </c>
    </row>
    <row r="296" spans="1:9" ht="13.5" thickBot="1">
      <c r="A296" s="294"/>
      <c r="B296" s="295"/>
      <c r="C296" s="296"/>
      <c r="D296" s="297"/>
      <c r="E296" s="298" t="s">
        <v>23</v>
      </c>
      <c r="F296" s="299">
        <f>SUM(F290:F295)</f>
        <v>299.04378199999996</v>
      </c>
    </row>
    <row r="297" spans="1:9" ht="13.5" thickBot="1">
      <c r="A297" s="302"/>
      <c r="B297" s="303"/>
      <c r="C297" s="304"/>
      <c r="D297" s="305"/>
      <c r="E297" s="306"/>
      <c r="F297" s="307"/>
    </row>
    <row r="298" spans="1:9" s="284" customFormat="1" ht="37.5" customHeight="1">
      <c r="A298" s="283" t="s">
        <v>383</v>
      </c>
      <c r="B298" s="392" t="s">
        <v>339</v>
      </c>
      <c r="C298" s="393"/>
      <c r="D298" s="393"/>
      <c r="E298" s="393"/>
      <c r="F298" s="394"/>
    </row>
    <row r="299" spans="1:9" s="284" customFormat="1">
      <c r="A299" s="285" t="s">
        <v>51</v>
      </c>
      <c r="B299" s="286" t="s">
        <v>9</v>
      </c>
      <c r="C299" s="287" t="s">
        <v>4</v>
      </c>
      <c r="D299" s="287" t="s">
        <v>10</v>
      </c>
      <c r="E299" s="287" t="s">
        <v>85</v>
      </c>
      <c r="F299" s="288" t="s">
        <v>11</v>
      </c>
    </row>
    <row r="300" spans="1:9">
      <c r="A300" s="289" t="s">
        <v>67</v>
      </c>
      <c r="B300" s="290" t="s">
        <v>338</v>
      </c>
      <c r="C300" s="291" t="s">
        <v>5</v>
      </c>
      <c r="D300" s="291">
        <f>0.85+0.11+0.03</f>
        <v>0.99</v>
      </c>
      <c r="E300" s="291">
        <v>310.47000000000003</v>
      </c>
      <c r="F300" s="292">
        <f t="shared" ref="F300:F301" si="22">E300*D300</f>
        <v>307.36530000000005</v>
      </c>
      <c r="G300" s="55">
        <v>37.9</v>
      </c>
      <c r="H300" s="55">
        <f t="shared" ref="H300" si="23">ROUND(D300*F300,2)</f>
        <v>304.29000000000002</v>
      </c>
      <c r="I300" s="55">
        <f t="shared" ref="I300" si="24">ROUND(D300*G300,2)</f>
        <v>37.520000000000003</v>
      </c>
    </row>
    <row r="301" spans="1:9">
      <c r="A301" s="289" t="s">
        <v>66</v>
      </c>
      <c r="B301" s="290" t="s">
        <v>294</v>
      </c>
      <c r="C301" s="291" t="s">
        <v>53</v>
      </c>
      <c r="D301" s="291">
        <v>3.5099999999999999E-2</v>
      </c>
      <c r="E301" s="291">
        <v>2.82</v>
      </c>
      <c r="F301" s="292">
        <f t="shared" si="22"/>
        <v>9.8981999999999987E-2</v>
      </c>
    </row>
    <row r="302" spans="1:9">
      <c r="A302" s="300" t="s">
        <v>144</v>
      </c>
      <c r="B302" s="290" t="s">
        <v>321</v>
      </c>
      <c r="C302" s="291" t="s">
        <v>12</v>
      </c>
      <c r="D302" s="291">
        <v>0.4</v>
      </c>
      <c r="E302" s="291">
        <v>12.06</v>
      </c>
      <c r="F302" s="292">
        <f>ROUND(D302*E302,2)</f>
        <v>4.82</v>
      </c>
    </row>
    <row r="303" spans="1:9">
      <c r="A303" s="300" t="s">
        <v>109</v>
      </c>
      <c r="B303" s="290" t="s">
        <v>303</v>
      </c>
      <c r="C303" s="291" t="s">
        <v>12</v>
      </c>
      <c r="D303" s="291">
        <v>0.4</v>
      </c>
      <c r="E303" s="291">
        <v>10.06</v>
      </c>
      <c r="F303" s="292">
        <f>ROUND(D303*E303,2)</f>
        <v>4.0199999999999996</v>
      </c>
    </row>
    <row r="304" spans="1:9" ht="25.5">
      <c r="A304" s="300" t="s">
        <v>323</v>
      </c>
      <c r="B304" s="317" t="s">
        <v>324</v>
      </c>
      <c r="C304" s="318" t="s">
        <v>25</v>
      </c>
      <c r="D304" s="345">
        <f>0.08*0.65</f>
        <v>5.2000000000000005E-2</v>
      </c>
      <c r="E304" s="318">
        <v>379.06</v>
      </c>
      <c r="F304" s="292">
        <f>ROUND(D304*E304,2)</f>
        <v>19.71</v>
      </c>
    </row>
    <row r="305" spans="1:9" ht="25.5">
      <c r="A305" s="316" t="s">
        <v>230</v>
      </c>
      <c r="B305" s="317" t="s">
        <v>229</v>
      </c>
      <c r="C305" s="318" t="s">
        <v>34</v>
      </c>
      <c r="D305" s="318">
        <v>1.5</v>
      </c>
      <c r="E305" s="318">
        <v>6.4</v>
      </c>
      <c r="F305" s="292">
        <f>ROUND(D305*E305,2)</f>
        <v>9.6</v>
      </c>
    </row>
    <row r="306" spans="1:9" ht="13.5" thickBot="1">
      <c r="A306" s="294"/>
      <c r="B306" s="295"/>
      <c r="C306" s="296"/>
      <c r="D306" s="297"/>
      <c r="E306" s="298" t="s">
        <v>23</v>
      </c>
      <c r="F306" s="299">
        <f>SUM(F300:F305)</f>
        <v>345.614282</v>
      </c>
    </row>
    <row r="307" spans="1:9" ht="13.5" thickBot="1"/>
    <row r="308" spans="1:9" s="284" customFormat="1" ht="50.25" customHeight="1">
      <c r="A308" s="283" t="s">
        <v>384</v>
      </c>
      <c r="B308" s="392" t="s">
        <v>390</v>
      </c>
      <c r="C308" s="393"/>
      <c r="D308" s="393"/>
      <c r="E308" s="393"/>
      <c r="F308" s="394"/>
    </row>
    <row r="309" spans="1:9" s="284" customFormat="1">
      <c r="A309" s="285" t="s">
        <v>51</v>
      </c>
      <c r="B309" s="286" t="s">
        <v>9</v>
      </c>
      <c r="C309" s="287" t="s">
        <v>4</v>
      </c>
      <c r="D309" s="287" t="s">
        <v>10</v>
      </c>
      <c r="E309" s="287" t="s">
        <v>85</v>
      </c>
      <c r="F309" s="288" t="s">
        <v>11</v>
      </c>
    </row>
    <row r="310" spans="1:9" ht="25.5">
      <c r="A310" s="300" t="s">
        <v>16</v>
      </c>
      <c r="B310" s="290" t="s">
        <v>340</v>
      </c>
      <c r="C310" s="291" t="s">
        <v>4</v>
      </c>
      <c r="D310" s="291">
        <v>1</v>
      </c>
      <c r="E310" s="291">
        <f>(126.7+189.9+274.9)/3</f>
        <v>197.16666666666666</v>
      </c>
      <c r="F310" s="292">
        <f t="shared" ref="F310:F312" si="25">E310*D310</f>
        <v>197.16666666666666</v>
      </c>
      <c r="G310" s="55">
        <v>37.9</v>
      </c>
      <c r="H310" s="55">
        <f t="shared" ref="H310" si="26">ROUND(D310*F310,2)</f>
        <v>197.17</v>
      </c>
      <c r="I310" s="55">
        <f t="shared" ref="I310" si="27">ROUND(D310*G310,2)</f>
        <v>37.9</v>
      </c>
    </row>
    <row r="311" spans="1:9" ht="25.5">
      <c r="A311" s="300" t="s">
        <v>16</v>
      </c>
      <c r="B311" s="290" t="s">
        <v>341</v>
      </c>
      <c r="C311" s="291" t="s">
        <v>4</v>
      </c>
      <c r="D311" s="291">
        <v>1</v>
      </c>
      <c r="E311" s="291">
        <f>(395.13+379.7+429.2+596.9)/4</f>
        <v>450.23249999999996</v>
      </c>
      <c r="F311" s="292">
        <f t="shared" si="25"/>
        <v>450.23249999999996</v>
      </c>
    </row>
    <row r="312" spans="1:9" ht="25.5">
      <c r="A312" s="300" t="s">
        <v>16</v>
      </c>
      <c r="B312" s="290" t="s">
        <v>342</v>
      </c>
      <c r="C312" s="291" t="s">
        <v>4</v>
      </c>
      <c r="D312" s="291">
        <v>2</v>
      </c>
      <c r="E312" s="291">
        <f>(21.9+22.41+25.11+22.41+25.9)/5</f>
        <v>23.545999999999999</v>
      </c>
      <c r="F312" s="292">
        <f t="shared" si="25"/>
        <v>47.091999999999999</v>
      </c>
    </row>
    <row r="313" spans="1:9" ht="25.5">
      <c r="A313" s="289" t="s">
        <v>117</v>
      </c>
      <c r="B313" s="290" t="s">
        <v>287</v>
      </c>
      <c r="C313" s="291" t="s">
        <v>12</v>
      </c>
      <c r="D313" s="291">
        <v>0.8</v>
      </c>
      <c r="E313" s="291">
        <v>12.75</v>
      </c>
      <c r="F313" s="292">
        <f>E313*D313</f>
        <v>10.200000000000001</v>
      </c>
      <c r="G313" s="55">
        <v>11.51</v>
      </c>
      <c r="H313" s="55">
        <f>ROUND(D313*F313,2)</f>
        <v>8.16</v>
      </c>
      <c r="I313" s="55">
        <f>ROUND(D313*G313,2)</f>
        <v>9.2100000000000009</v>
      </c>
    </row>
    <row r="314" spans="1:9" ht="25.5">
      <c r="A314" s="289" t="s">
        <v>116</v>
      </c>
      <c r="B314" s="290" t="s">
        <v>288</v>
      </c>
      <c r="C314" s="291" t="s">
        <v>12</v>
      </c>
      <c r="D314" s="291">
        <v>0.5</v>
      </c>
      <c r="E314" s="291">
        <v>10.24</v>
      </c>
      <c r="F314" s="292">
        <f t="shared" ref="F314:F316" si="28">E314*D314</f>
        <v>5.12</v>
      </c>
      <c r="G314" s="55">
        <v>8.4</v>
      </c>
      <c r="H314" s="55">
        <f t="shared" ref="H314:H315" si="29">ROUND(D314*F314,2)</f>
        <v>2.56</v>
      </c>
      <c r="I314" s="55">
        <f t="shared" ref="I314:I315" si="30">ROUND(D314*G314,2)</f>
        <v>4.2</v>
      </c>
    </row>
    <row r="315" spans="1:9">
      <c r="A315" s="289" t="s">
        <v>119</v>
      </c>
      <c r="B315" s="290" t="s">
        <v>290</v>
      </c>
      <c r="C315" s="291" t="s">
        <v>4</v>
      </c>
      <c r="D315" s="291">
        <v>0.02</v>
      </c>
      <c r="E315" s="291">
        <v>2.38</v>
      </c>
      <c r="F315" s="292">
        <f t="shared" si="28"/>
        <v>4.7599999999999996E-2</v>
      </c>
      <c r="H315" s="55">
        <f t="shared" si="29"/>
        <v>0</v>
      </c>
      <c r="I315" s="55">
        <f t="shared" si="30"/>
        <v>0</v>
      </c>
    </row>
    <row r="316" spans="1:9" ht="25.5">
      <c r="A316" s="289" t="s">
        <v>122</v>
      </c>
      <c r="B316" s="290" t="s">
        <v>295</v>
      </c>
      <c r="C316" s="291" t="s">
        <v>4</v>
      </c>
      <c r="D316" s="291">
        <v>2</v>
      </c>
      <c r="E316" s="291">
        <v>0.47</v>
      </c>
      <c r="F316" s="292">
        <f t="shared" si="28"/>
        <v>0.94</v>
      </c>
    </row>
    <row r="317" spans="1:9" ht="13.5" thickBot="1">
      <c r="A317" s="294"/>
      <c r="B317" s="295"/>
      <c r="C317" s="296"/>
      <c r="D317" s="297"/>
      <c r="E317" s="298" t="s">
        <v>23</v>
      </c>
      <c r="F317" s="299">
        <f>SUM(F310:F316)</f>
        <v>710.79876666666667</v>
      </c>
    </row>
    <row r="318" spans="1:9" ht="13.5" thickBot="1"/>
    <row r="319" spans="1:9" s="284" customFormat="1" ht="26.25" customHeight="1">
      <c r="A319" s="283" t="s">
        <v>385</v>
      </c>
      <c r="B319" s="392" t="s">
        <v>349</v>
      </c>
      <c r="C319" s="393"/>
      <c r="D319" s="393"/>
      <c r="E319" s="393"/>
      <c r="F319" s="394"/>
    </row>
    <row r="320" spans="1:9" s="284" customFormat="1">
      <c r="A320" s="285" t="s">
        <v>51</v>
      </c>
      <c r="B320" s="286" t="s">
        <v>9</v>
      </c>
      <c r="C320" s="287" t="s">
        <v>4</v>
      </c>
      <c r="D320" s="287" t="s">
        <v>10</v>
      </c>
      <c r="E320" s="287" t="s">
        <v>19</v>
      </c>
      <c r="F320" s="288" t="s">
        <v>11</v>
      </c>
    </row>
    <row r="321" spans="1:10">
      <c r="A321" s="289" t="s">
        <v>153</v>
      </c>
      <c r="B321" s="346" t="s">
        <v>343</v>
      </c>
      <c r="C321" s="291" t="s">
        <v>12</v>
      </c>
      <c r="D321" s="291">
        <v>1</v>
      </c>
      <c r="E321" s="291">
        <v>10.06</v>
      </c>
      <c r="F321" s="292">
        <f>E321*D321</f>
        <v>10.06</v>
      </c>
    </row>
    <row r="322" spans="1:10">
      <c r="A322" s="289" t="s">
        <v>154</v>
      </c>
      <c r="B322" s="290" t="s">
        <v>347</v>
      </c>
      <c r="C322" s="291" t="s">
        <v>12</v>
      </c>
      <c r="D322" s="291">
        <v>1</v>
      </c>
      <c r="E322" s="291">
        <v>10.23</v>
      </c>
      <c r="F322" s="292">
        <f t="shared" ref="F322:F326" si="31">E322*D322</f>
        <v>10.23</v>
      </c>
    </row>
    <row r="323" spans="1:10">
      <c r="A323" s="289" t="s">
        <v>155</v>
      </c>
      <c r="B323" s="290" t="s">
        <v>348</v>
      </c>
      <c r="C323" s="291" t="s">
        <v>25</v>
      </c>
      <c r="D323" s="329">
        <v>5.0000000000000001E-3</v>
      </c>
      <c r="E323" s="291">
        <v>180</v>
      </c>
      <c r="F323" s="292">
        <f t="shared" si="31"/>
        <v>0.9</v>
      </c>
    </row>
    <row r="324" spans="1:10">
      <c r="A324" s="289" t="s">
        <v>157</v>
      </c>
      <c r="B324" s="290" t="s">
        <v>344</v>
      </c>
      <c r="C324" s="291" t="s">
        <v>5</v>
      </c>
      <c r="D324" s="291">
        <v>1</v>
      </c>
      <c r="E324" s="291">
        <v>7.73</v>
      </c>
      <c r="F324" s="292">
        <f t="shared" si="31"/>
        <v>7.73</v>
      </c>
    </row>
    <row r="325" spans="1:10">
      <c r="A325" s="289" t="s">
        <v>156</v>
      </c>
      <c r="B325" s="290" t="s">
        <v>345</v>
      </c>
      <c r="C325" s="291" t="s">
        <v>34</v>
      </c>
      <c r="D325" s="291">
        <v>0.1</v>
      </c>
      <c r="E325" s="291">
        <v>0.04</v>
      </c>
      <c r="F325" s="292">
        <f t="shared" si="31"/>
        <v>4.0000000000000001E-3</v>
      </c>
    </row>
    <row r="326" spans="1:10">
      <c r="A326" s="289" t="s">
        <v>152</v>
      </c>
      <c r="B326" s="290" t="s">
        <v>346</v>
      </c>
      <c r="C326" s="291" t="s">
        <v>34</v>
      </c>
      <c r="D326" s="291">
        <v>0.15</v>
      </c>
      <c r="E326" s="291">
        <v>1.1100000000000001</v>
      </c>
      <c r="F326" s="292">
        <f t="shared" si="31"/>
        <v>0.16650000000000001</v>
      </c>
    </row>
    <row r="327" spans="1:10" ht="13.5" thickBot="1">
      <c r="A327" s="294"/>
      <c r="B327" s="295"/>
      <c r="C327" s="296"/>
      <c r="D327" s="297"/>
      <c r="E327" s="298" t="s">
        <v>23</v>
      </c>
      <c r="F327" s="299">
        <f>SUM(F321:F326)</f>
        <v>29.090499999999999</v>
      </c>
    </row>
    <row r="328" spans="1:10" ht="13.5" thickBot="1"/>
    <row r="329" spans="1:10" s="284" customFormat="1" ht="26.25" customHeight="1">
      <c r="A329" s="283" t="s">
        <v>158</v>
      </c>
      <c r="B329" s="392" t="s">
        <v>250</v>
      </c>
      <c r="C329" s="393"/>
      <c r="D329" s="393"/>
      <c r="E329" s="393"/>
      <c r="F329" s="394"/>
    </row>
    <row r="330" spans="1:10" s="284" customFormat="1">
      <c r="A330" s="285" t="s">
        <v>51</v>
      </c>
      <c r="B330" s="286" t="s">
        <v>9</v>
      </c>
      <c r="C330" s="287" t="s">
        <v>4</v>
      </c>
      <c r="D330" s="287" t="s">
        <v>10</v>
      </c>
      <c r="E330" s="287" t="s">
        <v>19</v>
      </c>
      <c r="F330" s="288" t="s">
        <v>11</v>
      </c>
    </row>
    <row r="331" spans="1:10">
      <c r="A331" s="308" t="s">
        <v>165</v>
      </c>
      <c r="B331" s="290" t="s">
        <v>350</v>
      </c>
      <c r="C331" s="291" t="s">
        <v>25</v>
      </c>
      <c r="D331" s="291">
        <v>0.1</v>
      </c>
      <c r="E331" s="291">
        <f>45.2*H332</f>
        <v>26.785185185185185</v>
      </c>
      <c r="F331" s="292">
        <f>E331*D331</f>
        <v>2.6785185185185187</v>
      </c>
      <c r="G331" s="55" t="s">
        <v>251</v>
      </c>
      <c r="H331" s="55" t="s">
        <v>252</v>
      </c>
    </row>
    <row r="332" spans="1:10">
      <c r="A332" s="308" t="s">
        <v>167</v>
      </c>
      <c r="B332" s="290" t="s">
        <v>351</v>
      </c>
      <c r="C332" s="291" t="s">
        <v>25</v>
      </c>
      <c r="D332" s="291">
        <v>0.1</v>
      </c>
      <c r="E332" s="291">
        <v>4.97</v>
      </c>
      <c r="F332" s="292">
        <f>ROUND(D332*E332,2)</f>
        <v>0.5</v>
      </c>
      <c r="G332" s="55" t="s">
        <v>253</v>
      </c>
      <c r="H332" s="55">
        <f>8/13.5</f>
        <v>0.59259259259259256</v>
      </c>
      <c r="I332" s="55" t="s">
        <v>25</v>
      </c>
      <c r="J332" s="55" t="s">
        <v>254</v>
      </c>
    </row>
    <row r="333" spans="1:10" ht="25.5">
      <c r="A333" s="289" t="s">
        <v>63</v>
      </c>
      <c r="B333" s="290" t="s">
        <v>352</v>
      </c>
      <c r="C333" s="291" t="s">
        <v>163</v>
      </c>
      <c r="D333" s="291">
        <f>50*0.1</f>
        <v>5</v>
      </c>
      <c r="E333" s="291">
        <v>0.71</v>
      </c>
      <c r="F333" s="292">
        <f t="shared" ref="F333" si="32">E333*D333</f>
        <v>3.55</v>
      </c>
    </row>
    <row r="334" spans="1:10" ht="13.5" thickBot="1">
      <c r="A334" s="294"/>
      <c r="B334" s="295"/>
      <c r="C334" s="296"/>
      <c r="D334" s="297"/>
      <c r="E334" s="298" t="s">
        <v>23</v>
      </c>
      <c r="F334" s="299">
        <f>SUM(F331:F333)</f>
        <v>6.7285185185185181</v>
      </c>
    </row>
    <row r="335" spans="1:10" ht="13.5" thickBot="1"/>
    <row r="336" spans="1:10" s="284" customFormat="1" ht="54.75" customHeight="1">
      <c r="A336" s="283" t="s">
        <v>159</v>
      </c>
      <c r="B336" s="392" t="s">
        <v>423</v>
      </c>
      <c r="C336" s="393"/>
      <c r="D336" s="393"/>
      <c r="E336" s="393"/>
      <c r="F336" s="394"/>
    </row>
    <row r="337" spans="1:7" s="284" customFormat="1">
      <c r="A337" s="285" t="s">
        <v>51</v>
      </c>
      <c r="B337" s="286" t="s">
        <v>9</v>
      </c>
      <c r="C337" s="287" t="s">
        <v>4</v>
      </c>
      <c r="D337" s="287" t="s">
        <v>10</v>
      </c>
      <c r="E337" s="287" t="s">
        <v>19</v>
      </c>
      <c r="F337" s="288" t="s">
        <v>11</v>
      </c>
    </row>
    <row r="338" spans="1:7" ht="25.5">
      <c r="A338" s="300" t="s">
        <v>16</v>
      </c>
      <c r="B338" s="290" t="s">
        <v>353</v>
      </c>
      <c r="C338" s="291" t="s">
        <v>25</v>
      </c>
      <c r="D338" s="291">
        <v>0.08</v>
      </c>
      <c r="E338" s="291">
        <f>24/(8/13.5)</f>
        <v>40.5</v>
      </c>
      <c r="F338" s="292">
        <f>E338*D338</f>
        <v>3.24</v>
      </c>
    </row>
    <row r="339" spans="1:7" ht="25.5">
      <c r="A339" s="289" t="s">
        <v>63</v>
      </c>
      <c r="B339" s="290" t="s">
        <v>354</v>
      </c>
      <c r="C339" s="291" t="s">
        <v>163</v>
      </c>
      <c r="D339" s="291">
        <f>50*0.08</f>
        <v>4</v>
      </c>
      <c r="E339" s="291">
        <v>0.71</v>
      </c>
      <c r="F339" s="292">
        <f t="shared" ref="F339" si="33">E339*D339</f>
        <v>2.84</v>
      </c>
    </row>
    <row r="340" spans="1:7" ht="25.5">
      <c r="A340" s="289" t="s">
        <v>162</v>
      </c>
      <c r="B340" s="290" t="s">
        <v>355</v>
      </c>
      <c r="C340" s="291" t="s">
        <v>25</v>
      </c>
      <c r="D340" s="291">
        <v>0.01</v>
      </c>
      <c r="E340" s="291">
        <v>52</v>
      </c>
      <c r="F340" s="292">
        <f t="shared" ref="F340:F345" si="34">E340*D340</f>
        <v>0.52</v>
      </c>
    </row>
    <row r="341" spans="1:7">
      <c r="A341" s="289" t="s">
        <v>160</v>
      </c>
      <c r="B341" s="290" t="s">
        <v>356</v>
      </c>
      <c r="C341" s="291" t="s">
        <v>12</v>
      </c>
      <c r="D341" s="291">
        <v>0.5</v>
      </c>
      <c r="E341" s="291">
        <v>11.85</v>
      </c>
      <c r="F341" s="292">
        <f t="shared" si="34"/>
        <v>5.9249999999999998</v>
      </c>
    </row>
    <row r="342" spans="1:7">
      <c r="A342" s="289" t="s">
        <v>153</v>
      </c>
      <c r="B342" s="290" t="s">
        <v>343</v>
      </c>
      <c r="C342" s="291" t="s">
        <v>12</v>
      </c>
      <c r="D342" s="291">
        <v>1</v>
      </c>
      <c r="E342" s="291">
        <v>10.06</v>
      </c>
      <c r="F342" s="292">
        <f t="shared" si="34"/>
        <v>10.06</v>
      </c>
    </row>
    <row r="343" spans="1:7" ht="25.5">
      <c r="A343" s="300" t="s">
        <v>16</v>
      </c>
      <c r="B343" s="290" t="s">
        <v>357</v>
      </c>
      <c r="C343" s="291" t="s">
        <v>5</v>
      </c>
      <c r="D343" s="291">
        <v>1.05</v>
      </c>
      <c r="E343" s="291">
        <v>40</v>
      </c>
      <c r="F343" s="292">
        <f t="shared" si="34"/>
        <v>42</v>
      </c>
      <c r="G343" s="55" t="s">
        <v>185</v>
      </c>
    </row>
    <row r="344" spans="1:7" ht="25.5">
      <c r="A344" s="289" t="s">
        <v>184</v>
      </c>
      <c r="B344" s="290" t="s">
        <v>358</v>
      </c>
      <c r="C344" s="291" t="s">
        <v>183</v>
      </c>
      <c r="D344" s="291">
        <f>9/150*150</f>
        <v>9</v>
      </c>
      <c r="E344" s="291">
        <v>0.47</v>
      </c>
      <c r="F344" s="292">
        <f t="shared" si="34"/>
        <v>4.2299999999999995</v>
      </c>
      <c r="G344" s="55" t="s">
        <v>186</v>
      </c>
    </row>
    <row r="345" spans="1:7" ht="25.5">
      <c r="A345" s="289" t="s">
        <v>164</v>
      </c>
      <c r="B345" s="290" t="s">
        <v>359</v>
      </c>
      <c r="C345" s="291" t="s">
        <v>12</v>
      </c>
      <c r="D345" s="291">
        <v>0.11</v>
      </c>
      <c r="E345" s="291">
        <v>2.25</v>
      </c>
      <c r="F345" s="292">
        <f t="shared" si="34"/>
        <v>0.2475</v>
      </c>
    </row>
    <row r="346" spans="1:7" ht="13.5" thickBot="1">
      <c r="A346" s="294"/>
      <c r="B346" s="295"/>
      <c r="C346" s="296"/>
      <c r="D346" s="297"/>
      <c r="E346" s="298" t="s">
        <v>23</v>
      </c>
      <c r="F346" s="299">
        <f>SUM(F338:F345)</f>
        <v>69.062500000000014</v>
      </c>
    </row>
    <row r="347" spans="1:7" ht="13.5" thickBot="1"/>
    <row r="348" spans="1:7" s="284" customFormat="1" ht="51.75" customHeight="1">
      <c r="A348" s="283" t="s">
        <v>166</v>
      </c>
      <c r="B348" s="392" t="s">
        <v>424</v>
      </c>
      <c r="C348" s="393"/>
      <c r="D348" s="393"/>
      <c r="E348" s="393"/>
      <c r="F348" s="394"/>
    </row>
    <row r="349" spans="1:7" s="284" customFormat="1">
      <c r="A349" s="285" t="s">
        <v>51</v>
      </c>
      <c r="B349" s="286" t="s">
        <v>9</v>
      </c>
      <c r="C349" s="287" t="s">
        <v>4</v>
      </c>
      <c r="D349" s="287" t="s">
        <v>10</v>
      </c>
      <c r="E349" s="287" t="s">
        <v>19</v>
      </c>
      <c r="F349" s="288" t="s">
        <v>11</v>
      </c>
    </row>
    <row r="350" spans="1:7" ht="25.5">
      <c r="A350" s="300" t="s">
        <v>16</v>
      </c>
      <c r="B350" s="290" t="s">
        <v>353</v>
      </c>
      <c r="C350" s="291" t="s">
        <v>25</v>
      </c>
      <c r="D350" s="291">
        <v>0.08</v>
      </c>
      <c r="E350" s="291">
        <f>24/(8/13.5)</f>
        <v>40.5</v>
      </c>
      <c r="F350" s="292">
        <f>E350*D350</f>
        <v>3.24</v>
      </c>
    </row>
    <row r="351" spans="1:7" ht="25.5">
      <c r="A351" s="289" t="s">
        <v>63</v>
      </c>
      <c r="B351" s="290" t="s">
        <v>354</v>
      </c>
      <c r="C351" s="291" t="s">
        <v>163</v>
      </c>
      <c r="D351" s="291">
        <f>50*0.08</f>
        <v>4</v>
      </c>
      <c r="E351" s="291">
        <v>0.71</v>
      </c>
      <c r="F351" s="292">
        <f t="shared" ref="F351:F354" si="35">E351*D351</f>
        <v>2.84</v>
      </c>
    </row>
    <row r="352" spans="1:7" ht="25.5">
      <c r="A352" s="289" t="s">
        <v>162</v>
      </c>
      <c r="B352" s="290" t="s">
        <v>355</v>
      </c>
      <c r="C352" s="291" t="s">
        <v>25</v>
      </c>
      <c r="D352" s="291">
        <v>0.01</v>
      </c>
      <c r="E352" s="291">
        <v>52</v>
      </c>
      <c r="F352" s="292">
        <f t="shared" si="35"/>
        <v>0.52</v>
      </c>
    </row>
    <row r="353" spans="1:8">
      <c r="A353" s="289" t="s">
        <v>160</v>
      </c>
      <c r="B353" s="290" t="s">
        <v>356</v>
      </c>
      <c r="C353" s="291" t="s">
        <v>12</v>
      </c>
      <c r="D353" s="291">
        <v>0.5</v>
      </c>
      <c r="E353" s="291">
        <v>11.85</v>
      </c>
      <c r="F353" s="292">
        <f t="shared" si="35"/>
        <v>5.9249999999999998</v>
      </c>
    </row>
    <row r="354" spans="1:8">
      <c r="A354" s="289" t="s">
        <v>153</v>
      </c>
      <c r="B354" s="290" t="s">
        <v>343</v>
      </c>
      <c r="C354" s="291" t="s">
        <v>12</v>
      </c>
      <c r="D354" s="291">
        <v>1</v>
      </c>
      <c r="E354" s="291">
        <v>10.06</v>
      </c>
      <c r="F354" s="292">
        <f t="shared" si="35"/>
        <v>10.06</v>
      </c>
    </row>
    <row r="355" spans="1:8" ht="25.5">
      <c r="A355" s="300" t="s">
        <v>16</v>
      </c>
      <c r="B355" s="290" t="s">
        <v>161</v>
      </c>
      <c r="C355" s="291" t="s">
        <v>5</v>
      </c>
      <c r="D355" s="291">
        <v>1.05</v>
      </c>
      <c r="E355" s="291">
        <v>50</v>
      </c>
      <c r="F355" s="292">
        <f t="shared" ref="F355:F357" si="36">E355*D355</f>
        <v>52.5</v>
      </c>
      <c r="G355" s="55" t="s">
        <v>182</v>
      </c>
      <c r="H355" s="347"/>
    </row>
    <row r="356" spans="1:8" ht="25.5">
      <c r="A356" s="289" t="s">
        <v>184</v>
      </c>
      <c r="B356" s="290" t="s">
        <v>358</v>
      </c>
      <c r="C356" s="291" t="s">
        <v>183</v>
      </c>
      <c r="D356" s="291">
        <f>9/150*160</f>
        <v>9.6</v>
      </c>
      <c r="E356" s="291">
        <v>0.47</v>
      </c>
      <c r="F356" s="292">
        <f t="shared" si="36"/>
        <v>4.5119999999999996</v>
      </c>
      <c r="G356" s="55" t="s">
        <v>186</v>
      </c>
    </row>
    <row r="357" spans="1:8" ht="26.25" customHeight="1">
      <c r="A357" s="289" t="s">
        <v>164</v>
      </c>
      <c r="B357" s="290" t="s">
        <v>359</v>
      </c>
      <c r="C357" s="291" t="s">
        <v>12</v>
      </c>
      <c r="D357" s="291">
        <v>0.11</v>
      </c>
      <c r="E357" s="291">
        <v>2.25</v>
      </c>
      <c r="F357" s="292">
        <f t="shared" si="36"/>
        <v>0.2475</v>
      </c>
    </row>
    <row r="358" spans="1:8" ht="13.5" thickBot="1">
      <c r="A358" s="294"/>
      <c r="B358" s="295"/>
      <c r="C358" s="296"/>
      <c r="D358" s="297"/>
      <c r="E358" s="298" t="s">
        <v>23</v>
      </c>
      <c r="F358" s="299">
        <f>SUM(F350:F357)</f>
        <v>79.844500000000011</v>
      </c>
    </row>
    <row r="359" spans="1:8" ht="13.5" thickBot="1"/>
    <row r="360" spans="1:8" s="284" customFormat="1" ht="26.25" customHeight="1">
      <c r="A360" s="283" t="s">
        <v>168</v>
      </c>
      <c r="B360" s="392" t="s">
        <v>361</v>
      </c>
      <c r="C360" s="393"/>
      <c r="D360" s="393"/>
      <c r="E360" s="393"/>
      <c r="F360" s="394"/>
    </row>
    <row r="361" spans="1:8" s="284" customFormat="1">
      <c r="A361" s="285" t="s">
        <v>51</v>
      </c>
      <c r="B361" s="286" t="s">
        <v>9</v>
      </c>
      <c r="C361" s="287" t="s">
        <v>4</v>
      </c>
      <c r="D361" s="287" t="s">
        <v>10</v>
      </c>
      <c r="E361" s="287" t="s">
        <v>19</v>
      </c>
      <c r="F361" s="288" t="s">
        <v>11</v>
      </c>
    </row>
    <row r="362" spans="1:8" ht="25.5">
      <c r="A362" s="300" t="s">
        <v>16</v>
      </c>
      <c r="B362" s="290" t="s">
        <v>360</v>
      </c>
      <c r="C362" s="291" t="s">
        <v>25</v>
      </c>
      <c r="D362" s="291">
        <v>0.15</v>
      </c>
      <c r="E362" s="291">
        <f>24/(8/13.5)</f>
        <v>40.5</v>
      </c>
      <c r="F362" s="292">
        <f>E362*D362</f>
        <v>6.0750000000000002</v>
      </c>
    </row>
    <row r="363" spans="1:8" ht="25.5">
      <c r="A363" s="289" t="s">
        <v>164</v>
      </c>
      <c r="B363" s="290" t="s">
        <v>362</v>
      </c>
      <c r="C363" s="291" t="s">
        <v>12</v>
      </c>
      <c r="D363" s="291">
        <v>0.11</v>
      </c>
      <c r="E363" s="291">
        <v>2.25</v>
      </c>
      <c r="F363" s="292">
        <f t="shared" ref="F363" si="37">E363*D363</f>
        <v>0.2475</v>
      </c>
    </row>
    <row r="364" spans="1:8" ht="25.5">
      <c r="A364" s="289" t="s">
        <v>63</v>
      </c>
      <c r="B364" s="290" t="s">
        <v>352</v>
      </c>
      <c r="C364" s="291" t="s">
        <v>163</v>
      </c>
      <c r="D364" s="291">
        <f>50*0.3</f>
        <v>15</v>
      </c>
      <c r="E364" s="291">
        <v>0.71</v>
      </c>
      <c r="F364" s="292">
        <f t="shared" ref="F364" si="38">E364*D364</f>
        <v>10.649999999999999</v>
      </c>
    </row>
    <row r="365" spans="1:8" ht="13.5" thickBot="1">
      <c r="A365" s="294"/>
      <c r="B365" s="295"/>
      <c r="C365" s="296"/>
      <c r="D365" s="297"/>
      <c r="E365" s="298" t="s">
        <v>23</v>
      </c>
      <c r="F365" s="299">
        <f>SUM(F362:F364)</f>
        <v>16.972499999999997</v>
      </c>
    </row>
    <row r="366" spans="1:8" ht="13.5" thickBot="1"/>
    <row r="367" spans="1:8" s="284" customFormat="1" ht="26.25" customHeight="1">
      <c r="A367" s="283" t="s">
        <v>169</v>
      </c>
      <c r="B367" s="392" t="s">
        <v>263</v>
      </c>
      <c r="C367" s="393"/>
      <c r="D367" s="393"/>
      <c r="E367" s="393"/>
      <c r="F367" s="394"/>
    </row>
    <row r="368" spans="1:8" s="284" customFormat="1">
      <c r="A368" s="285" t="s">
        <v>51</v>
      </c>
      <c r="B368" s="286" t="s">
        <v>9</v>
      </c>
      <c r="C368" s="287" t="s">
        <v>4</v>
      </c>
      <c r="D368" s="287" t="s">
        <v>10</v>
      </c>
      <c r="E368" s="287" t="s">
        <v>19</v>
      </c>
      <c r="F368" s="288" t="s">
        <v>11</v>
      </c>
    </row>
    <row r="369" spans="1:7" ht="25.5">
      <c r="A369" s="289" t="s">
        <v>178</v>
      </c>
      <c r="B369" s="290" t="s">
        <v>288</v>
      </c>
      <c r="C369" s="291" t="s">
        <v>12</v>
      </c>
      <c r="D369" s="291">
        <v>2</v>
      </c>
      <c r="E369" s="291">
        <v>10.24</v>
      </c>
      <c r="F369" s="292">
        <f t="shared" ref="F369:F370" si="39">E369*D369</f>
        <v>20.48</v>
      </c>
    </row>
    <row r="370" spans="1:7" ht="14.25" customHeight="1">
      <c r="A370" s="289" t="s">
        <v>179</v>
      </c>
      <c r="B370" s="290" t="s">
        <v>363</v>
      </c>
      <c r="C370" s="291" t="s">
        <v>12</v>
      </c>
      <c r="D370" s="291">
        <v>2</v>
      </c>
      <c r="E370" s="291">
        <v>12.75</v>
      </c>
      <c r="F370" s="292">
        <f t="shared" si="39"/>
        <v>25.5</v>
      </c>
    </row>
    <row r="371" spans="1:7">
      <c r="A371" s="289" t="s">
        <v>264</v>
      </c>
      <c r="B371" s="290" t="s">
        <v>364</v>
      </c>
      <c r="C371" s="291" t="s">
        <v>4</v>
      </c>
      <c r="D371" s="291">
        <v>1</v>
      </c>
      <c r="E371" s="291">
        <v>546.15</v>
      </c>
      <c r="F371" s="292">
        <f t="shared" ref="F371" si="40">E371*D371</f>
        <v>546.15</v>
      </c>
    </row>
    <row r="372" spans="1:7" ht="13.5" thickBot="1">
      <c r="A372" s="294"/>
      <c r="B372" s="295"/>
      <c r="C372" s="296"/>
      <c r="D372" s="297"/>
      <c r="E372" s="298" t="s">
        <v>23</v>
      </c>
      <c r="F372" s="299">
        <f>SUM(F369:F371)</f>
        <v>592.13</v>
      </c>
    </row>
    <row r="373" spans="1:7" ht="13.5" thickBot="1">
      <c r="A373" s="302"/>
      <c r="B373" s="303"/>
      <c r="C373" s="304"/>
      <c r="D373" s="305"/>
      <c r="E373" s="306"/>
      <c r="F373" s="307"/>
    </row>
    <row r="374" spans="1:7" ht="27" customHeight="1">
      <c r="A374" s="348" t="s">
        <v>177</v>
      </c>
      <c r="B374" s="395" t="s">
        <v>376</v>
      </c>
      <c r="C374" s="396"/>
      <c r="D374" s="396"/>
      <c r="E374" s="396"/>
      <c r="F374" s="397"/>
    </row>
    <row r="375" spans="1:7" ht="12.75" customHeight="1">
      <c r="A375" s="349" t="s">
        <v>365</v>
      </c>
      <c r="B375" s="350" t="s">
        <v>9</v>
      </c>
      <c r="C375" s="350" t="s">
        <v>4</v>
      </c>
      <c r="D375" s="351" t="s">
        <v>10</v>
      </c>
      <c r="E375" s="352" t="s">
        <v>85</v>
      </c>
      <c r="F375" s="353" t="s">
        <v>11</v>
      </c>
    </row>
    <row r="376" spans="1:7" ht="25.5">
      <c r="A376" s="289" t="s">
        <v>178</v>
      </c>
      <c r="B376" s="290" t="s">
        <v>288</v>
      </c>
      <c r="C376" s="291" t="s">
        <v>12</v>
      </c>
      <c r="D376" s="291">
        <v>5</v>
      </c>
      <c r="E376" s="291">
        <v>10.24</v>
      </c>
      <c r="F376" s="354">
        <f>ROUND(D376*E376,2)</f>
        <v>51.2</v>
      </c>
    </row>
    <row r="377" spans="1:7" ht="25.5">
      <c r="A377" s="289" t="s">
        <v>179</v>
      </c>
      <c r="B377" s="290" t="s">
        <v>363</v>
      </c>
      <c r="C377" s="291" t="s">
        <v>12</v>
      </c>
      <c r="D377" s="291">
        <v>5</v>
      </c>
      <c r="E377" s="291">
        <v>12.75</v>
      </c>
      <c r="F377" s="354">
        <f>ROUND(D377*E377,2)</f>
        <v>63.75</v>
      </c>
    </row>
    <row r="378" spans="1:7" ht="38.25" customHeight="1">
      <c r="A378" s="300" t="s">
        <v>16</v>
      </c>
      <c r="B378" s="290" t="s">
        <v>377</v>
      </c>
      <c r="C378" s="291" t="s">
        <v>6</v>
      </c>
      <c r="D378" s="291">
        <v>1</v>
      </c>
      <c r="E378" s="291">
        <v>2049.9</v>
      </c>
      <c r="F378" s="354">
        <f>ROUND(D378*E378,2)</f>
        <v>2049.9</v>
      </c>
      <c r="G378" s="55" t="s">
        <v>378</v>
      </c>
    </row>
    <row r="379" spans="1:7" ht="13.5" thickBot="1">
      <c r="A379" s="355"/>
      <c r="B379" s="356"/>
      <c r="C379" s="357"/>
      <c r="D379" s="358"/>
      <c r="E379" s="359" t="s">
        <v>375</v>
      </c>
      <c r="F379" s="360">
        <f>SUM(F376:F378)</f>
        <v>2164.85</v>
      </c>
    </row>
    <row r="380" spans="1:7" ht="13.5" thickBot="1"/>
    <row r="381" spans="1:7" ht="41.25" customHeight="1">
      <c r="A381" s="348" t="s">
        <v>393</v>
      </c>
      <c r="B381" s="395" t="s">
        <v>422</v>
      </c>
      <c r="C381" s="396"/>
      <c r="D381" s="396"/>
      <c r="E381" s="396"/>
      <c r="F381" s="397"/>
    </row>
    <row r="382" spans="1:7" ht="12.75" customHeight="1">
      <c r="A382" s="349" t="s">
        <v>365</v>
      </c>
      <c r="B382" s="350" t="s">
        <v>9</v>
      </c>
      <c r="C382" s="350" t="s">
        <v>4</v>
      </c>
      <c r="D382" s="351" t="s">
        <v>10</v>
      </c>
      <c r="E382" s="352" t="s">
        <v>85</v>
      </c>
      <c r="F382" s="353" t="s">
        <v>11</v>
      </c>
    </row>
    <row r="383" spans="1:7">
      <c r="A383" s="289" t="s">
        <v>153</v>
      </c>
      <c r="B383" s="346" t="s">
        <v>343</v>
      </c>
      <c r="C383" s="291" t="s">
        <v>12</v>
      </c>
      <c r="D383" s="291">
        <v>1</v>
      </c>
      <c r="E383" s="291">
        <v>10.06</v>
      </c>
      <c r="F383" s="354">
        <f>ROUND(D383*E383,2)</f>
        <v>10.06</v>
      </c>
    </row>
    <row r="384" spans="1:7">
      <c r="A384" s="289" t="s">
        <v>395</v>
      </c>
      <c r="B384" s="346" t="s">
        <v>394</v>
      </c>
      <c r="C384" s="291" t="s">
        <v>12</v>
      </c>
      <c r="D384" s="291">
        <v>1</v>
      </c>
      <c r="E384" s="291">
        <v>13.43</v>
      </c>
      <c r="F384" s="354">
        <f>ROUND(D384*E384,2)</f>
        <v>13.43</v>
      </c>
    </row>
    <row r="385" spans="1:7" ht="25.5">
      <c r="A385" s="300" t="s">
        <v>16</v>
      </c>
      <c r="B385" s="290" t="s">
        <v>396</v>
      </c>
      <c r="C385" s="291" t="s">
        <v>6</v>
      </c>
      <c r="D385" s="291">
        <v>1</v>
      </c>
      <c r="E385" s="291">
        <f>(145+160)/2</f>
        <v>152.5</v>
      </c>
      <c r="F385" s="354">
        <f>ROUND(D385*E385,2)</f>
        <v>152.5</v>
      </c>
    </row>
    <row r="386" spans="1:7" ht="25.5">
      <c r="A386" s="289" t="s">
        <v>398</v>
      </c>
      <c r="B386" s="290" t="s">
        <v>420</v>
      </c>
      <c r="C386" s="291" t="s">
        <v>6</v>
      </c>
      <c r="D386" s="291">
        <v>1</v>
      </c>
      <c r="E386" s="291">
        <v>3.51</v>
      </c>
      <c r="F386" s="354">
        <f>ROUND(D386*E386,2)</f>
        <v>3.51</v>
      </c>
    </row>
    <row r="387" spans="1:7">
      <c r="A387" s="289" t="s">
        <v>397</v>
      </c>
      <c r="B387" s="290" t="s">
        <v>421</v>
      </c>
      <c r="C387" s="291" t="s">
        <v>6</v>
      </c>
      <c r="D387" s="291">
        <v>1</v>
      </c>
      <c r="E387" s="291">
        <v>6.17</v>
      </c>
      <c r="F387" s="354">
        <f>ROUND(D387*E387,2)</f>
        <v>6.17</v>
      </c>
      <c r="G387" s="55" t="s">
        <v>378</v>
      </c>
    </row>
    <row r="388" spans="1:7" ht="13.5" thickBot="1">
      <c r="A388" s="355"/>
      <c r="B388" s="356"/>
      <c r="C388" s="357"/>
      <c r="D388" s="358"/>
      <c r="E388" s="359" t="s">
        <v>375</v>
      </c>
      <c r="F388" s="360">
        <f>SUM(F383:F387)</f>
        <v>185.67</v>
      </c>
    </row>
    <row r="394" spans="1:7" ht="12.75" customHeight="1"/>
    <row r="395" spans="1:7" ht="12.75" customHeight="1"/>
    <row r="396" spans="1:7">
      <c r="B396" s="361"/>
    </row>
    <row r="397" spans="1:7">
      <c r="B397" s="361"/>
    </row>
    <row r="398" spans="1:7">
      <c r="B398" s="361"/>
    </row>
    <row r="399" spans="1:7" ht="12.75" customHeight="1"/>
    <row r="422" ht="12.75" customHeight="1"/>
  </sheetData>
  <mergeCells count="44">
    <mergeCell ref="B381:F381"/>
    <mergeCell ref="B43:F43"/>
    <mergeCell ref="B87:F87"/>
    <mergeCell ref="B374:F374"/>
    <mergeCell ref="A9:F9"/>
    <mergeCell ref="B11:F11"/>
    <mergeCell ref="B18:F18"/>
    <mergeCell ref="B25:F25"/>
    <mergeCell ref="B36:F36"/>
    <mergeCell ref="B60:F60"/>
    <mergeCell ref="B49:F49"/>
    <mergeCell ref="B123:F123"/>
    <mergeCell ref="B205:F205"/>
    <mergeCell ref="B172:F172"/>
    <mergeCell ref="B178:F178"/>
    <mergeCell ref="B192:F192"/>
    <mergeCell ref="B69:F69"/>
    <mergeCell ref="B78:F78"/>
    <mergeCell ref="B105:F105"/>
    <mergeCell ref="B133:F133"/>
    <mergeCell ref="B143:F143"/>
    <mergeCell ref="B96:F96"/>
    <mergeCell ref="B114:F114"/>
    <mergeCell ref="B367:F367"/>
    <mergeCell ref="B348:F348"/>
    <mergeCell ref="B360:F360"/>
    <mergeCell ref="B336:F336"/>
    <mergeCell ref="B329:F329"/>
    <mergeCell ref="B319:F319"/>
    <mergeCell ref="B199:F199"/>
    <mergeCell ref="B153:F153"/>
    <mergeCell ref="B216:F216"/>
    <mergeCell ref="B281:F281"/>
    <mergeCell ref="B288:F288"/>
    <mergeCell ref="B298:F298"/>
    <mergeCell ref="B308:F308"/>
    <mergeCell ref="B274:F274"/>
    <mergeCell ref="B266:F266"/>
    <mergeCell ref="B258:F258"/>
    <mergeCell ref="B249:F249"/>
    <mergeCell ref="B163:F163"/>
    <mergeCell ref="B239:F239"/>
    <mergeCell ref="B224:F224"/>
    <mergeCell ref="B185:F185"/>
  </mergeCells>
  <printOptions horizontalCentered="1"/>
  <pageMargins left="1.1811023622047245" right="0.59055118110236227" top="1.3779527559055118" bottom="0.98425196850393704" header="7.874015748031496E-2" footer="0"/>
  <pageSetup paperSize="9" scale="72" fitToHeight="0" orientation="portrait" r:id="rId1"/>
  <headerFooter>
    <oddHeader>&amp;L&amp;G&amp;C&amp;"Arial,Negrito"MINISTÉRIO DA EDUCAÇÃO
&amp;8INSTITUTO FEDERAL FARROUPILHA
REITORIA&amp;R&amp;P de &amp;N</oddHeader>
    <oddFooter>&amp;C&amp;"Arial,Normal"&amp;8Rua Esmeralda, 430 – Faixa Nova – Camobi – CEP 97110-767 – Santa Maria/RS 
Fone: (55) 3226-6630 / E-mail: coeng@iffarroupilha.edu.br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23"/>
  <sheetViews>
    <sheetView view="pageBreakPreview" zoomScaleSheetLayoutView="100" workbookViewId="0">
      <selection activeCell="A12" sqref="A12"/>
    </sheetView>
  </sheetViews>
  <sheetFormatPr defaultRowHeight="15"/>
  <cols>
    <col min="1" max="1" width="22.140625" style="241" customWidth="1"/>
    <col min="2" max="2" width="38.42578125" style="242" customWidth="1"/>
    <col min="3" max="3" width="5.7109375" style="241" bestFit="1" customWidth="1"/>
    <col min="4" max="4" width="9.42578125" style="241" bestFit="1" customWidth="1"/>
    <col min="5" max="5" width="11.85546875" style="241" bestFit="1" customWidth="1"/>
    <col min="6" max="6" width="7.5703125" style="241" bestFit="1" customWidth="1"/>
    <col min="7" max="7" width="9.42578125" style="241" bestFit="1" customWidth="1"/>
    <col min="8" max="8" width="6.7109375" style="241" bestFit="1" customWidth="1"/>
    <col min="9" max="16384" width="9.140625" style="238"/>
  </cols>
  <sheetData>
    <row r="1" spans="1:8">
      <c r="A1" s="234" t="str">
        <f>COMPOSIÇÕES_ARQ!A1</f>
        <v>PROJETO: XXXXXXXXXXXXXXX</v>
      </c>
      <c r="B1" s="235"/>
      <c r="C1" s="236" t="str">
        <f>COMPOSIÇÕES_ARQ!C1</f>
        <v>Data Base: XXXXXXXXXXX</v>
      </c>
      <c r="D1" s="237"/>
      <c r="E1" s="237"/>
      <c r="F1" s="237"/>
      <c r="G1" s="237"/>
      <c r="H1" s="237"/>
    </row>
    <row r="2" spans="1:8">
      <c r="A2" s="234" t="str">
        <f>COMPOSIÇÕES_ARQ!A2</f>
        <v>CAMPUS XXXXXXXXXXXXXX</v>
      </c>
      <c r="B2" s="235"/>
      <c r="C2" s="236" t="str">
        <f>COMPOSIÇÕES_ARQ!C2</f>
        <v>Fontes: XXXXXXXXXX</v>
      </c>
      <c r="D2" s="237"/>
      <c r="E2" s="237"/>
      <c r="F2" s="237"/>
      <c r="G2" s="237"/>
      <c r="H2" s="237"/>
    </row>
    <row r="3" spans="1:8">
      <c r="A3" s="239" t="str">
        <f>COMPOSIÇÕES_ARQ!A3</f>
        <v>Endereço da Obra: XXXXXXXXXXXXXXXXXXXXXXXXX</v>
      </c>
      <c r="B3" s="235"/>
      <c r="C3" s="236" t="str">
        <f>COMPOSIÇÕES_ARQ!C3</f>
        <v xml:space="preserve">            XXXXXXXXXX</v>
      </c>
      <c r="D3" s="237"/>
      <c r="E3" s="237"/>
      <c r="F3" s="237"/>
      <c r="G3" s="237"/>
      <c r="H3" s="237"/>
    </row>
    <row r="4" spans="1:8">
      <c r="A4" s="239" t="str">
        <f>COMPOSIÇÕES_ARQ!A4</f>
        <v>Área Total: XXXXXXXX</v>
      </c>
      <c r="B4" s="235"/>
      <c r="C4" s="236"/>
      <c r="D4" s="237"/>
      <c r="E4" s="237"/>
      <c r="F4" s="237"/>
      <c r="G4" s="237"/>
      <c r="H4" s="237"/>
    </row>
    <row r="5" spans="1:8">
      <c r="A5" s="239"/>
      <c r="B5" s="235"/>
      <c r="C5" s="236"/>
      <c r="D5" s="237"/>
      <c r="E5" s="237"/>
      <c r="F5" s="237"/>
      <c r="G5" s="237"/>
      <c r="H5" s="237"/>
    </row>
    <row r="6" spans="1:8">
      <c r="A6" s="236" t="str">
        <f>COMPOSIÇÕES_ARQ!A6</f>
        <v>Responsável Técnico:</v>
      </c>
      <c r="B6" s="235"/>
      <c r="C6" s="236"/>
      <c r="D6" s="237"/>
      <c r="E6" s="237"/>
      <c r="F6" s="237"/>
      <c r="G6" s="237"/>
      <c r="H6" s="237"/>
    </row>
    <row r="7" spans="1:8">
      <c r="A7" s="236" t="str">
        <f>COMPOSIÇÕES_ARQ!A7</f>
        <v>CREA/CAU:</v>
      </c>
      <c r="B7" s="236"/>
      <c r="C7" s="236" t="str">
        <f>COMPOSIÇÕES_ARQ!C7</f>
        <v>ART/RRT de orçamento nº: XXXXXXX</v>
      </c>
      <c r="D7" s="236"/>
      <c r="E7" s="236"/>
      <c r="F7" s="237"/>
      <c r="G7" s="237"/>
      <c r="H7" s="237"/>
    </row>
    <row r="8" spans="1:8">
      <c r="A8" s="240"/>
      <c r="B8" s="235"/>
      <c r="C8" s="237"/>
      <c r="D8" s="237"/>
      <c r="E8" s="237"/>
      <c r="F8" s="237"/>
      <c r="G8" s="237"/>
      <c r="H8" s="237"/>
    </row>
    <row r="9" spans="1:8">
      <c r="A9" s="402" t="s">
        <v>481</v>
      </c>
      <c r="B9" s="402"/>
      <c r="C9" s="402"/>
      <c r="D9" s="402"/>
      <c r="E9" s="402"/>
      <c r="F9" s="402"/>
      <c r="G9" s="402"/>
      <c r="H9" s="402"/>
    </row>
    <row r="10" spans="1:8" ht="15.75" thickBot="1"/>
    <row r="11" spans="1:8" ht="43.5" customHeight="1">
      <c r="A11" s="243" t="s">
        <v>482</v>
      </c>
      <c r="B11" s="403" t="s">
        <v>369</v>
      </c>
      <c r="C11" s="404"/>
      <c r="D11" s="404"/>
      <c r="E11" s="404"/>
      <c r="F11" s="404"/>
      <c r="G11" s="404"/>
      <c r="H11" s="405"/>
    </row>
    <row r="12" spans="1:8">
      <c r="A12" s="244" t="s">
        <v>365</v>
      </c>
      <c r="B12" s="245" t="s">
        <v>9</v>
      </c>
      <c r="C12" s="246" t="s">
        <v>4</v>
      </c>
      <c r="D12" s="247" t="s">
        <v>10</v>
      </c>
      <c r="E12" s="406" t="s">
        <v>85</v>
      </c>
      <c r="F12" s="407"/>
      <c r="G12" s="248" t="s">
        <v>11</v>
      </c>
      <c r="H12" s="249"/>
    </row>
    <row r="13" spans="1:8">
      <c r="A13" s="250"/>
      <c r="B13" s="251"/>
      <c r="C13" s="252"/>
      <c r="D13" s="253"/>
      <c r="E13" s="254" t="s">
        <v>29</v>
      </c>
      <c r="F13" s="254" t="s">
        <v>366</v>
      </c>
      <c r="G13" s="254" t="s">
        <v>29</v>
      </c>
      <c r="H13" s="255" t="s">
        <v>366</v>
      </c>
    </row>
    <row r="14" spans="1:8" ht="25.5">
      <c r="A14" s="256" t="s">
        <v>370</v>
      </c>
      <c r="B14" s="257" t="s">
        <v>371</v>
      </c>
      <c r="C14" s="258" t="s">
        <v>4</v>
      </c>
      <c r="D14" s="259">
        <v>1</v>
      </c>
      <c r="E14" s="260">
        <f>AVERAGE(14,13.48,36)</f>
        <v>21.16</v>
      </c>
      <c r="F14" s="260">
        <v>0</v>
      </c>
      <c r="G14" s="260">
        <f>ROUND((D14*E14),2)</f>
        <v>21.16</v>
      </c>
      <c r="H14" s="261">
        <f>ROUND((D14*F14),2)</f>
        <v>0</v>
      </c>
    </row>
    <row r="15" spans="1:8">
      <c r="A15" s="256" t="s">
        <v>372</v>
      </c>
      <c r="B15" s="257" t="s">
        <v>367</v>
      </c>
      <c r="C15" s="258" t="s">
        <v>12</v>
      </c>
      <c r="D15" s="259">
        <v>0.3</v>
      </c>
      <c r="E15" s="260">
        <v>0</v>
      </c>
      <c r="F15" s="260">
        <v>10.06</v>
      </c>
      <c r="G15" s="260">
        <f>ROUND((D15*E15),2)</f>
        <v>0</v>
      </c>
      <c r="H15" s="261">
        <f>ROUND((D15*F15),2)</f>
        <v>3.02</v>
      </c>
    </row>
    <row r="16" spans="1:8" ht="15.75" thickBot="1">
      <c r="A16" s="262"/>
      <c r="B16" s="263"/>
      <c r="C16" s="264"/>
      <c r="D16" s="265"/>
      <c r="E16" s="266"/>
      <c r="F16" s="266" t="s">
        <v>213</v>
      </c>
      <c r="G16" s="266">
        <f>SUM(G14:G15)</f>
        <v>21.16</v>
      </c>
      <c r="H16" s="267">
        <f>SUM(H14:H15)</f>
        <v>3.02</v>
      </c>
    </row>
    <row r="17" spans="1:8" ht="15.75" thickBot="1">
      <c r="A17" s="268"/>
      <c r="B17" s="269"/>
      <c r="C17" s="270"/>
      <c r="D17" s="271"/>
      <c r="E17" s="272" t="s">
        <v>373</v>
      </c>
      <c r="F17" s="272"/>
      <c r="G17" s="408">
        <f>SUM(G16+H16)</f>
        <v>24.18</v>
      </c>
      <c r="H17" s="409"/>
    </row>
    <row r="18" spans="1:8">
      <c r="A18" s="273"/>
      <c r="B18" s="274"/>
      <c r="C18" s="273"/>
      <c r="D18" s="275"/>
      <c r="E18" s="276"/>
      <c r="F18" s="276"/>
      <c r="G18" s="276"/>
      <c r="H18" s="276"/>
    </row>
    <row r="20" spans="1:8">
      <c r="B20" s="242" t="s">
        <v>449</v>
      </c>
    </row>
    <row r="21" spans="1:8">
      <c r="B21" s="277" t="s">
        <v>480</v>
      </c>
    </row>
    <row r="22" spans="1:8">
      <c r="B22" s="277" t="s">
        <v>450</v>
      </c>
    </row>
    <row r="23" spans="1:8">
      <c r="B23" s="277"/>
    </row>
  </sheetData>
  <mergeCells count="4">
    <mergeCell ref="A9:H9"/>
    <mergeCell ref="B11:H11"/>
    <mergeCell ref="E12:F12"/>
    <mergeCell ref="G17:H17"/>
  </mergeCells>
  <printOptions horizontalCentered="1"/>
  <pageMargins left="1.1811023622047245" right="0.59055118110236227" top="1.3779527559055118" bottom="0.98425196850393704" header="7.874015748031496E-2" footer="0"/>
  <pageSetup paperSize="9" scale="74" fitToHeight="0" orientation="portrait" verticalDpi="300" r:id="rId1"/>
  <headerFooter>
    <oddHeader>&amp;L&amp;G&amp;C&amp;"Arial,Negrito"MINISTÉRIO DA EDUCAÇÃO
&amp;8INSTITUTO FEDERAL FARROUPILHA
REITORIA&amp;R&amp;P de &amp;N</oddHeader>
    <oddFooter>&amp;C&amp;"Arial,Normal"&amp;8Rua Esmeralda, 430 – Faixa Nova – Camobi – CEP 97110-767 – Santa Maria/RS 
Fone: (55) 3226-6630 / E-mail: coeng@iffarroupilha.edu.br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H23"/>
  <sheetViews>
    <sheetView view="pageBreakPreview" topLeftCell="A4" zoomScaleSheetLayoutView="100" workbookViewId="0">
      <selection activeCell="G21" sqref="G21"/>
    </sheetView>
  </sheetViews>
  <sheetFormatPr defaultRowHeight="15"/>
  <cols>
    <col min="1" max="1" width="22.140625" style="241" customWidth="1"/>
    <col min="2" max="2" width="38.42578125" style="242" customWidth="1"/>
    <col min="3" max="3" width="5.7109375" style="241" bestFit="1" customWidth="1"/>
    <col min="4" max="4" width="9.42578125" style="241" bestFit="1" customWidth="1"/>
    <col min="5" max="5" width="11.85546875" style="241" bestFit="1" customWidth="1"/>
    <col min="6" max="6" width="7.5703125" style="241" bestFit="1" customWidth="1"/>
    <col min="7" max="7" width="9.42578125" style="241" bestFit="1" customWidth="1"/>
    <col min="8" max="8" width="6.7109375" style="241" bestFit="1" customWidth="1"/>
    <col min="9" max="16384" width="9.140625" style="238"/>
  </cols>
  <sheetData>
    <row r="1" spans="1:8">
      <c r="A1" s="234" t="str">
        <f>COMPOSIÇÕES_ARQ!A1</f>
        <v>PROJETO: XXXXXXXXXXXXXXX</v>
      </c>
      <c r="B1" s="235"/>
      <c r="C1" s="236" t="str">
        <f>COMPOSIÇÕES_ARQ!C1</f>
        <v>Data Base: XXXXXXXXXXX</v>
      </c>
      <c r="D1" s="237"/>
      <c r="E1" s="237"/>
      <c r="F1" s="237"/>
      <c r="G1" s="237"/>
      <c r="H1" s="237"/>
    </row>
    <row r="2" spans="1:8">
      <c r="A2" s="234" t="str">
        <f>COMPOSIÇÕES_ARQ!A2</f>
        <v>CAMPUS XXXXXXXXXXXXXX</v>
      </c>
      <c r="B2" s="235"/>
      <c r="C2" s="236" t="str">
        <f>COMPOSIÇÕES_ARQ!C2</f>
        <v>Fontes: XXXXXXXXXX</v>
      </c>
      <c r="D2" s="237"/>
      <c r="E2" s="237"/>
      <c r="F2" s="237"/>
      <c r="G2" s="237"/>
      <c r="H2" s="237"/>
    </row>
    <row r="3" spans="1:8">
      <c r="A3" s="239" t="str">
        <f>COMPOSIÇÕES_ARQ!A3</f>
        <v>Endereço da Obra: XXXXXXXXXXXXXXXXXXXXXXXXX</v>
      </c>
      <c r="B3" s="235"/>
      <c r="C3" s="236" t="str">
        <f>COMPOSIÇÕES_ARQ!C3</f>
        <v xml:space="preserve">            XXXXXXXXXX</v>
      </c>
      <c r="D3" s="237"/>
      <c r="E3" s="237"/>
      <c r="F3" s="237"/>
      <c r="G3" s="237"/>
      <c r="H3" s="237"/>
    </row>
    <row r="4" spans="1:8">
      <c r="A4" s="239" t="str">
        <f>COMPOSIÇÕES_ARQ!A4</f>
        <v>Área Total: XXXXXXXX</v>
      </c>
      <c r="B4" s="235"/>
      <c r="C4" s="236"/>
      <c r="D4" s="237"/>
      <c r="E4" s="237"/>
      <c r="F4" s="237"/>
      <c r="G4" s="237"/>
      <c r="H4" s="237"/>
    </row>
    <row r="5" spans="1:8">
      <c r="A5" s="239"/>
      <c r="B5" s="235"/>
      <c r="C5" s="236"/>
      <c r="D5" s="237"/>
      <c r="E5" s="237"/>
      <c r="F5" s="237"/>
      <c r="G5" s="237"/>
      <c r="H5" s="237"/>
    </row>
    <row r="6" spans="1:8">
      <c r="A6" s="236" t="str">
        <f>COMPOSIÇÕES_ARQ!A6</f>
        <v>Responsável Técnico:</v>
      </c>
      <c r="B6" s="235"/>
      <c r="C6" s="236"/>
      <c r="D6" s="237"/>
      <c r="E6" s="237"/>
      <c r="F6" s="237"/>
      <c r="G6" s="237"/>
      <c r="H6" s="237"/>
    </row>
    <row r="7" spans="1:8">
      <c r="A7" s="236" t="str">
        <f>COMPOSIÇÕES_ARQ!A7</f>
        <v>CREA/CAU:</v>
      </c>
      <c r="B7" s="236"/>
      <c r="C7" s="236" t="str">
        <f>COMPOSIÇÕES_ARQ!C7</f>
        <v>ART/RRT de orçamento nº: XXXXXXX</v>
      </c>
      <c r="D7" s="236"/>
      <c r="E7" s="236"/>
      <c r="F7" s="237"/>
      <c r="G7" s="237"/>
      <c r="H7" s="237"/>
    </row>
    <row r="8" spans="1:8">
      <c r="A8" s="240"/>
      <c r="B8" s="235"/>
      <c r="C8" s="237"/>
      <c r="D8" s="237"/>
      <c r="E8" s="237"/>
      <c r="F8" s="237"/>
      <c r="G8" s="237"/>
      <c r="H8" s="237"/>
    </row>
    <row r="9" spans="1:8">
      <c r="A9" s="402" t="s">
        <v>368</v>
      </c>
      <c r="B9" s="402"/>
      <c r="C9" s="402"/>
      <c r="D9" s="402"/>
      <c r="E9" s="402"/>
      <c r="F9" s="402"/>
      <c r="G9" s="402"/>
      <c r="H9" s="402"/>
    </row>
    <row r="10" spans="1:8" ht="15.75" thickBot="1"/>
    <row r="11" spans="1:8" ht="43.5" customHeight="1">
      <c r="A11" s="243" t="s">
        <v>374</v>
      </c>
      <c r="B11" s="403" t="s">
        <v>369</v>
      </c>
      <c r="C11" s="404"/>
      <c r="D11" s="404"/>
      <c r="E11" s="404"/>
      <c r="F11" s="404"/>
      <c r="G11" s="404"/>
      <c r="H11" s="405"/>
    </row>
    <row r="12" spans="1:8">
      <c r="A12" s="244" t="s">
        <v>365</v>
      </c>
      <c r="B12" s="245" t="s">
        <v>9</v>
      </c>
      <c r="C12" s="246" t="s">
        <v>4</v>
      </c>
      <c r="D12" s="247" t="s">
        <v>10</v>
      </c>
      <c r="E12" s="406" t="s">
        <v>85</v>
      </c>
      <c r="F12" s="407"/>
      <c r="G12" s="248" t="s">
        <v>11</v>
      </c>
      <c r="H12" s="249"/>
    </row>
    <row r="13" spans="1:8">
      <c r="A13" s="250"/>
      <c r="B13" s="251"/>
      <c r="C13" s="252"/>
      <c r="D13" s="253"/>
      <c r="E13" s="254" t="s">
        <v>29</v>
      </c>
      <c r="F13" s="254" t="s">
        <v>366</v>
      </c>
      <c r="G13" s="254" t="s">
        <v>29</v>
      </c>
      <c r="H13" s="255" t="s">
        <v>366</v>
      </c>
    </row>
    <row r="14" spans="1:8" ht="25.5">
      <c r="A14" s="256" t="s">
        <v>370</v>
      </c>
      <c r="B14" s="257" t="s">
        <v>371</v>
      </c>
      <c r="C14" s="258" t="s">
        <v>4</v>
      </c>
      <c r="D14" s="259">
        <v>1</v>
      </c>
      <c r="E14" s="260">
        <f>AVERAGE(14,13.48,36)</f>
        <v>21.16</v>
      </c>
      <c r="F14" s="260">
        <v>0</v>
      </c>
      <c r="G14" s="260">
        <f>ROUND((D14*E14),2)</f>
        <v>21.16</v>
      </c>
      <c r="H14" s="261">
        <f>ROUND((D14*F14),2)</f>
        <v>0</v>
      </c>
    </row>
    <row r="15" spans="1:8">
      <c r="A15" s="256" t="s">
        <v>372</v>
      </c>
      <c r="B15" s="257" t="s">
        <v>367</v>
      </c>
      <c r="C15" s="258" t="s">
        <v>12</v>
      </c>
      <c r="D15" s="259">
        <v>0.3</v>
      </c>
      <c r="E15" s="260">
        <v>0</v>
      </c>
      <c r="F15" s="260">
        <v>10.06</v>
      </c>
      <c r="G15" s="260">
        <f>ROUND((D15*E15),2)</f>
        <v>0</v>
      </c>
      <c r="H15" s="261">
        <f>ROUND((D15*F15),2)</f>
        <v>3.02</v>
      </c>
    </row>
    <row r="16" spans="1:8" ht="15.75" thickBot="1">
      <c r="A16" s="262"/>
      <c r="B16" s="263"/>
      <c r="C16" s="264"/>
      <c r="D16" s="265"/>
      <c r="E16" s="266"/>
      <c r="F16" s="266" t="s">
        <v>213</v>
      </c>
      <c r="G16" s="266">
        <f>SUM(G14:G15)</f>
        <v>21.16</v>
      </c>
      <c r="H16" s="267">
        <f>SUM(H14:H15)</f>
        <v>3.02</v>
      </c>
    </row>
    <row r="17" spans="1:8" ht="15.75" thickBot="1">
      <c r="A17" s="268"/>
      <c r="B17" s="269"/>
      <c r="C17" s="270"/>
      <c r="D17" s="271"/>
      <c r="E17" s="272" t="s">
        <v>373</v>
      </c>
      <c r="F17" s="272"/>
      <c r="G17" s="408">
        <f>SUM(G16+H16)</f>
        <v>24.18</v>
      </c>
      <c r="H17" s="409"/>
    </row>
    <row r="18" spans="1:8">
      <c r="A18" s="273"/>
      <c r="B18" s="274"/>
      <c r="C18" s="273"/>
      <c r="D18" s="275"/>
      <c r="E18" s="276"/>
      <c r="F18" s="276"/>
      <c r="G18" s="276"/>
      <c r="H18" s="276"/>
    </row>
    <row r="20" spans="1:8">
      <c r="B20" s="242" t="s">
        <v>449</v>
      </c>
    </row>
    <row r="21" spans="1:8">
      <c r="B21" s="277" t="s">
        <v>480</v>
      </c>
    </row>
    <row r="22" spans="1:8">
      <c r="B22" s="277" t="s">
        <v>450</v>
      </c>
    </row>
    <row r="23" spans="1:8">
      <c r="B23" s="277"/>
    </row>
  </sheetData>
  <mergeCells count="4">
    <mergeCell ref="A9:H9"/>
    <mergeCell ref="B11:H11"/>
    <mergeCell ref="E12:F12"/>
    <mergeCell ref="G17:H17"/>
  </mergeCells>
  <printOptions horizontalCentered="1"/>
  <pageMargins left="1.1811023622047245" right="0.59055118110236227" top="1.3779527559055118" bottom="0.98425196850393704" header="7.874015748031496E-2" footer="0"/>
  <pageSetup paperSize="9" scale="74" fitToHeight="0" orientation="portrait" verticalDpi="300" r:id="rId1"/>
  <headerFooter>
    <oddHeader>&amp;L&amp;G&amp;C&amp;"Arial,Negrito"MINISTÉRIO DA EDUCAÇÃO
&amp;8INSTITUTO FEDERAL FARROUPILHA
REITORIA&amp;R&amp;P de &amp;N</oddHeader>
    <oddFooter>&amp;C&amp;"Arial,Normal"&amp;8Rua Esmeralda, 430 – Faixa Nova – Camobi – CEP 97110-767 – Santa Maria/RS 
Fone: (55) 3226-6630 / E-mail: coeng@iffarroupilha.edu.br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zoomScaleNormal="100" workbookViewId="0">
      <selection activeCell="I16" sqref="I16"/>
    </sheetView>
  </sheetViews>
  <sheetFormatPr defaultRowHeight="14.25"/>
  <cols>
    <col min="1" max="1" width="8.140625" style="18" customWidth="1"/>
    <col min="2" max="2" width="22.85546875" style="24" bestFit="1" customWidth="1"/>
    <col min="3" max="3" width="55.85546875" style="4" bestFit="1" customWidth="1"/>
    <col min="4" max="4" width="11.28515625" style="20" bestFit="1" customWidth="1"/>
    <col min="5" max="5" width="9" style="19" bestFit="1" customWidth="1"/>
    <col min="6" max="8" width="15.85546875" style="20" customWidth="1"/>
    <col min="9" max="9" width="15.85546875" style="129" customWidth="1"/>
    <col min="10" max="10" width="16.140625" style="129" customWidth="1"/>
    <col min="11" max="11" width="15.85546875" style="130" customWidth="1"/>
    <col min="12" max="16384" width="9.140625" style="19"/>
  </cols>
  <sheetData>
    <row r="1" spans="1:11" s="77" customFormat="1" ht="15.75">
      <c r="A1" s="72"/>
      <c r="B1" s="73"/>
      <c r="C1" s="71"/>
      <c r="D1" s="74"/>
      <c r="E1" s="75"/>
      <c r="F1" s="76"/>
      <c r="G1" s="76"/>
      <c r="H1" s="76"/>
      <c r="I1" s="127"/>
      <c r="J1" s="127"/>
      <c r="K1" s="128"/>
    </row>
    <row r="2" spans="1:11" s="77" customFormat="1" ht="16.5" thickBot="1">
      <c r="A2" s="125"/>
      <c r="B2" s="125" t="s">
        <v>379</v>
      </c>
      <c r="C2" s="125">
        <f>ORÇAMENTO!M111</f>
        <v>0</v>
      </c>
      <c r="D2" s="123"/>
      <c r="E2" s="124"/>
      <c r="I2" s="127"/>
      <c r="J2" s="127"/>
      <c r="K2" s="128"/>
    </row>
    <row r="3" spans="1:11" s="13" customFormat="1" ht="13.5" thickBot="1">
      <c r="A3" s="181"/>
      <c r="B3" s="182"/>
      <c r="C3" s="183"/>
      <c r="D3" s="184"/>
      <c r="E3" s="185"/>
      <c r="F3" s="184"/>
      <c r="G3" s="184"/>
      <c r="H3" s="184"/>
      <c r="I3" s="184"/>
      <c r="J3" s="184"/>
      <c r="K3" s="184"/>
    </row>
    <row r="4" spans="1:11" s="126" customFormat="1" ht="25.5" customHeight="1">
      <c r="A4" s="416" t="str">
        <f>ORÇAMENTO!A13</f>
        <v>ITEM</v>
      </c>
      <c r="B4" s="418" t="str">
        <f>ORÇAMENTO!B13</f>
        <v>CÓDIGO DE REFERÊNCIA</v>
      </c>
      <c r="C4" s="418" t="str">
        <f>ORÇAMENTO!C13</f>
        <v>DESCRIÇÃO</v>
      </c>
      <c r="D4" s="418" t="str">
        <f>ORÇAMENTO!D13</f>
        <v>UNID.</v>
      </c>
      <c r="E4" s="418" t="str">
        <f>ORÇAMENTO!E13</f>
        <v>QUANTIDADE</v>
      </c>
      <c r="F4" s="418" t="str">
        <f>ORÇAMENTO!F13</f>
        <v>PREÇO UNITÁRIO SEM BDI</v>
      </c>
      <c r="G4" s="418"/>
      <c r="H4" s="410" t="str">
        <f>ORÇAMENTO!L13</f>
        <v>TOTAL SERVIÇO      COM BDI</v>
      </c>
      <c r="I4" s="412" t="s">
        <v>214</v>
      </c>
      <c r="J4" s="412" t="s">
        <v>215</v>
      </c>
      <c r="K4" s="414" t="s">
        <v>216</v>
      </c>
    </row>
    <row r="5" spans="1:11" s="126" customFormat="1" ht="15.75" customHeight="1" thickBot="1">
      <c r="A5" s="417"/>
      <c r="B5" s="419"/>
      <c r="C5" s="419"/>
      <c r="D5" s="419"/>
      <c r="E5" s="419"/>
      <c r="F5" s="186" t="str">
        <f>ORÇAMENTO!H14</f>
        <v>TOTAL SEM BDI</v>
      </c>
      <c r="G5" s="186" t="str">
        <f>ORÇAMENTO!K14</f>
        <v>TOTAL COM BDI</v>
      </c>
      <c r="H5" s="411"/>
      <c r="I5" s="413"/>
      <c r="J5" s="413"/>
      <c r="K5" s="415"/>
    </row>
  </sheetData>
  <sortState ref="A5:H211">
    <sortCondition descending="1" ref="H5:H211"/>
  </sortState>
  <mergeCells count="10">
    <mergeCell ref="H4:H5"/>
    <mergeCell ref="J4:J5"/>
    <mergeCell ref="I4:I5"/>
    <mergeCell ref="K4:K5"/>
    <mergeCell ref="A4:A5"/>
    <mergeCell ref="B4:B5"/>
    <mergeCell ref="C4:C5"/>
    <mergeCell ref="D4:D5"/>
    <mergeCell ref="E4:E5"/>
    <mergeCell ref="F4:G4"/>
  </mergeCells>
  <pageMargins left="0.511811024" right="0.511811024" top="0.78740157499999996" bottom="0.78740157499999996" header="0.31496062000000002" footer="0.31496062000000002"/>
  <pageSetup orientation="portrait" horizont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opLeftCell="D1" zoomScale="85" zoomScaleNormal="85" workbookViewId="0">
      <selection activeCell="G24" sqref="G24"/>
    </sheetView>
  </sheetViews>
  <sheetFormatPr defaultRowHeight="15"/>
  <cols>
    <col min="1" max="1" width="27.85546875" style="106" customWidth="1"/>
    <col min="2" max="2" width="21.140625" style="106" customWidth="1"/>
    <col min="3" max="3" width="17" style="106" customWidth="1"/>
    <col min="4" max="4" width="15.28515625" style="106" customWidth="1"/>
    <col min="5" max="5" width="14.7109375" style="106" customWidth="1"/>
    <col min="6" max="6" width="14.140625" style="106" bestFit="1" customWidth="1"/>
    <col min="7" max="7" width="14.85546875" style="106" customWidth="1"/>
    <col min="8" max="8" width="22.85546875" style="106" customWidth="1"/>
    <col min="9" max="9" width="16.140625" style="106" customWidth="1"/>
    <col min="10" max="10" width="10.140625" style="106" customWidth="1"/>
    <col min="11" max="11" width="8.28515625" style="106" customWidth="1"/>
    <col min="12" max="12" width="8.5703125" style="106" customWidth="1"/>
    <col min="13" max="13" width="17" style="106" customWidth="1"/>
    <col min="14" max="16384" width="9.140625" style="106"/>
  </cols>
  <sheetData>
    <row r="1" spans="1:5">
      <c r="A1" s="103" t="s">
        <v>24</v>
      </c>
      <c r="B1" s="104"/>
      <c r="C1" s="105"/>
      <c r="D1" s="105"/>
      <c r="E1" s="105"/>
    </row>
    <row r="2" spans="1:5">
      <c r="A2" s="107"/>
      <c r="B2" s="105"/>
      <c r="C2" s="105"/>
      <c r="D2" s="105"/>
      <c r="E2" s="105"/>
    </row>
    <row r="3" spans="1:5">
      <c r="A3" s="107"/>
      <c r="B3" s="105"/>
      <c r="C3" s="105"/>
      <c r="D3" s="105"/>
      <c r="E3" s="105"/>
    </row>
    <row r="4" spans="1:5">
      <c r="D4" s="105"/>
      <c r="E4" s="105"/>
    </row>
    <row r="6" spans="1:5">
      <c r="A6" s="107"/>
    </row>
    <row r="7" spans="1:5">
      <c r="A7" s="107"/>
      <c r="B7" s="105"/>
      <c r="C7" s="105"/>
    </row>
    <row r="8" spans="1:5">
      <c r="A8" s="107"/>
      <c r="C8" s="105"/>
    </row>
    <row r="9" spans="1:5">
      <c r="A9" s="107"/>
      <c r="C9" s="105"/>
    </row>
    <row r="10" spans="1:5">
      <c r="A10" s="107"/>
      <c r="C10" s="105"/>
    </row>
    <row r="11" spans="1:5">
      <c r="A11" s="107"/>
      <c r="C11" s="105"/>
    </row>
    <row r="13" spans="1:5">
      <c r="A13" s="107"/>
      <c r="C13" s="105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9" workbookViewId="0">
      <selection activeCell="I18" sqref="I18"/>
    </sheetView>
  </sheetViews>
  <sheetFormatPr defaultRowHeight="15"/>
  <sheetData/>
  <pageMargins left="0.511811024" right="0.511811024" top="0.78740157499999996" bottom="0.78740157499999996" header="0.31496062000000002" footer="0.31496062000000002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8</vt:i4>
      </vt:variant>
    </vt:vector>
  </HeadingPairs>
  <TitlesOfParts>
    <vt:vector size="17" baseType="lpstr">
      <vt:lpstr>CRONOGRAMA</vt:lpstr>
      <vt:lpstr>ORÇAMENTO</vt:lpstr>
      <vt:lpstr>BDI </vt:lpstr>
      <vt:lpstr>COMPOSIÇÕES_ARQ</vt:lpstr>
      <vt:lpstr>COMPOSIÇÕES_ELET</vt:lpstr>
      <vt:lpstr>COMPOSIÇÕES_PPCI</vt:lpstr>
      <vt:lpstr>CURVA ABC</vt:lpstr>
      <vt:lpstr>Memorial de Cálculo</vt:lpstr>
      <vt:lpstr>Pesquisa de Mercado</vt:lpstr>
      <vt:lpstr>'BDI '!Area_de_impressao</vt:lpstr>
      <vt:lpstr>COMPOSIÇÕES_ARQ!Area_de_impressao</vt:lpstr>
      <vt:lpstr>COMPOSIÇÕES_ELET!Area_de_impressao</vt:lpstr>
      <vt:lpstr>COMPOSIÇÕES_PPCI!Area_de_impressao</vt:lpstr>
      <vt:lpstr>CRONOGRAMA!Area_de_impressao</vt:lpstr>
      <vt:lpstr>ORÇAMENTO!Area_de_impressao</vt:lpstr>
      <vt:lpstr>CRONOGRAMA!Titulos_de_impressao</vt:lpstr>
      <vt:lpstr>ORÇAMENTO!Titulos_de_impressao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LETICIA ZORZELA</dc:creator>
  <cp:lastModifiedBy>Coordenação de Engenharia e Arquitetura</cp:lastModifiedBy>
  <cp:lastPrinted>2016-03-14T14:45:35Z</cp:lastPrinted>
  <dcterms:created xsi:type="dcterms:W3CDTF">2014-09-10T20:48:34Z</dcterms:created>
  <dcterms:modified xsi:type="dcterms:W3CDTF">2017-09-08T17:09:26Z</dcterms:modified>
</cp:coreProperties>
</file>