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973" activeTab="8"/>
  </bookViews>
  <sheets>
    <sheet name="INFORMAÇÕES BÁSICAS" sheetId="1" r:id="rId1"/>
    <sheet name="MOTORISTA D - 40 HORAS" sheetId="3" state="hidden" r:id="rId2"/>
    <sheet name="VIGILANCIA DESARMADA 12X36 NOTU" sheetId="4" state="hidden" r:id="rId3"/>
    <sheet name="UNIF E EQUIP DESARMADA" sheetId="5" state="hidden" r:id="rId4"/>
    <sheet name="ELETRECISTA" sheetId="6" r:id="rId5"/>
    <sheet name="PEDREIRO" sheetId="7" r:id="rId6"/>
    <sheet name="uniforme eletrecista" sheetId="12" r:id="rId7"/>
    <sheet name="uniforme pedreiro" sheetId="13" r:id="rId8"/>
    <sheet name="PROPOSTA FINAL" sheetId="17" r:id="rId9"/>
  </sheets>
  <definedNames>
    <definedName name="_xlnm.Print_Area" localSheetId="0">'INFORMAÇÕES BÁSICAS'!$B$1:$G$92</definedName>
    <definedName name="_xlnm.Print_Area" localSheetId="8">'PROPOSTA FINAL'!$B$1:$F$38</definedName>
    <definedName name="_xlnm.Print_Area" localSheetId="3">'UNIF E EQUIP DESARMADA'!$B$1:$H$37</definedName>
    <definedName name="_xlnm.Print_Area" localSheetId="2">'VIGILANCIA DESARMADA 12X36 NOTU'!$B$1:$H$167</definedName>
  </definedNames>
  <calcPr calcId="125725" iterateDelta="1E-4"/>
</workbook>
</file>

<file path=xl/calcChain.xml><?xml version="1.0" encoding="utf-8"?>
<calcChain xmlns="http://schemas.openxmlformats.org/spreadsheetml/2006/main">
  <c r="F61" i="6"/>
  <c r="H17" i="7"/>
  <c r="H17" i="6"/>
  <c r="G13" i="7"/>
  <c r="G13" i="6"/>
  <c r="C38" i="17"/>
  <c r="C36"/>
  <c r="C35"/>
  <c r="C34"/>
  <c r="C27"/>
  <c r="C26"/>
  <c r="B15"/>
  <c r="B14"/>
  <c r="F13"/>
  <c r="E13"/>
  <c r="D13"/>
  <c r="C13"/>
  <c r="B13"/>
  <c r="D12"/>
  <c r="B12"/>
  <c r="D11"/>
  <c r="B11"/>
  <c r="F8"/>
  <c r="C8"/>
  <c r="C4"/>
  <c r="G24" i="13"/>
  <c r="F24"/>
  <c r="G23"/>
  <c r="F23"/>
  <c r="G22"/>
  <c r="F22"/>
  <c r="G21"/>
  <c r="F21"/>
  <c r="G20"/>
  <c r="F20"/>
  <c r="G19"/>
  <c r="F19"/>
  <c r="F18"/>
  <c r="G18" s="1"/>
  <c r="G17"/>
  <c r="F17"/>
  <c r="F16"/>
  <c r="G16" s="1"/>
  <c r="G15"/>
  <c r="F15"/>
  <c r="F14"/>
  <c r="G14" s="1"/>
  <c r="G13"/>
  <c r="F13"/>
  <c r="F12"/>
  <c r="G12" s="1"/>
  <c r="G11"/>
  <c r="F11"/>
  <c r="G8"/>
  <c r="C8"/>
  <c r="C4"/>
  <c r="F26" i="12"/>
  <c r="G26" s="1"/>
  <c r="G25"/>
  <c r="F25"/>
  <c r="F24"/>
  <c r="G24" s="1"/>
  <c r="G23"/>
  <c r="F23"/>
  <c r="F22"/>
  <c r="G22" s="1"/>
  <c r="G21"/>
  <c r="F21"/>
  <c r="F20"/>
  <c r="G20" s="1"/>
  <c r="G19"/>
  <c r="F19"/>
  <c r="F18"/>
  <c r="G18" s="1"/>
  <c r="G17"/>
  <c r="F17"/>
  <c r="F16"/>
  <c r="G16" s="1"/>
  <c r="G15"/>
  <c r="F15"/>
  <c r="F14"/>
  <c r="G14" s="1"/>
  <c r="G13"/>
  <c r="F13"/>
  <c r="F12"/>
  <c r="G12" s="1"/>
  <c r="G11"/>
  <c r="G28" s="1"/>
  <c r="H125" i="6" s="1"/>
  <c r="H126" s="1"/>
  <c r="H148" s="1"/>
  <c r="F11" i="12"/>
  <c r="G8"/>
  <c r="C8"/>
  <c r="C4"/>
  <c r="F139" i="7"/>
  <c r="G133"/>
  <c r="G131"/>
  <c r="H120"/>
  <c r="H114"/>
  <c r="I105"/>
  <c r="I103"/>
  <c r="F77"/>
  <c r="H77" s="1"/>
  <c r="F76"/>
  <c r="H76" s="1"/>
  <c r="F75"/>
  <c r="H75" s="1"/>
  <c r="F74"/>
  <c r="H74" s="1"/>
  <c r="F73"/>
  <c r="H71" s="1"/>
  <c r="F72"/>
  <c r="H45"/>
  <c r="E41"/>
  <c r="E40"/>
  <c r="F38"/>
  <c r="H37" s="1"/>
  <c r="F37"/>
  <c r="F36"/>
  <c r="E34"/>
  <c r="G34" s="1"/>
  <c r="H29"/>
  <c r="H27"/>
  <c r="F71" s="1"/>
  <c r="H26"/>
  <c r="H28" s="1"/>
  <c r="H25"/>
  <c r="B156" s="1"/>
  <c r="H16"/>
  <c r="E156" s="1"/>
  <c r="H14"/>
  <c r="F9"/>
  <c r="F136" s="1"/>
  <c r="D8"/>
  <c r="D7"/>
  <c r="B3"/>
  <c r="F139" i="6"/>
  <c r="G133"/>
  <c r="G131"/>
  <c r="H120"/>
  <c r="H114"/>
  <c r="I105"/>
  <c r="H105" s="1"/>
  <c r="I103"/>
  <c r="H103" s="1"/>
  <c r="F77"/>
  <c r="H77" s="1"/>
  <c r="F76"/>
  <c r="H76" s="1"/>
  <c r="F75"/>
  <c r="H75" s="1"/>
  <c r="F74"/>
  <c r="H74" s="1"/>
  <c r="F73"/>
  <c r="H71" s="1"/>
  <c r="F72"/>
  <c r="H45"/>
  <c r="E41"/>
  <c r="E40"/>
  <c r="F38"/>
  <c r="F37"/>
  <c r="F36"/>
  <c r="E34"/>
  <c r="G34" s="1"/>
  <c r="H29"/>
  <c r="H27"/>
  <c r="H26"/>
  <c r="H28" s="1"/>
  <c r="H25"/>
  <c r="B156" s="1"/>
  <c r="H16"/>
  <c r="E156" s="1"/>
  <c r="H14"/>
  <c r="F9"/>
  <c r="F135" s="1"/>
  <c r="D8"/>
  <c r="D7"/>
  <c r="B3"/>
  <c r="G28" i="5"/>
  <c r="F28"/>
  <c r="G27"/>
  <c r="F27"/>
  <c r="G26"/>
  <c r="F26"/>
  <c r="G25"/>
  <c r="F25"/>
  <c r="G24"/>
  <c r="F24"/>
  <c r="G23"/>
  <c r="F23"/>
  <c r="G22"/>
  <c r="F22"/>
  <c r="G21"/>
  <c r="F21"/>
  <c r="G20"/>
  <c r="F20"/>
  <c r="G19"/>
  <c r="F19"/>
  <c r="G18"/>
  <c r="F18"/>
  <c r="G17"/>
  <c r="F17"/>
  <c r="G16"/>
  <c r="F16"/>
  <c r="G15"/>
  <c r="F15"/>
  <c r="G14"/>
  <c r="F14"/>
  <c r="G13"/>
  <c r="F13"/>
  <c r="G12"/>
  <c r="F12"/>
  <c r="G11"/>
  <c r="G29" s="1"/>
  <c r="F11"/>
  <c r="E29" s="1"/>
  <c r="G8"/>
  <c r="C8"/>
  <c r="G161" i="4"/>
  <c r="D15" i="17" s="1"/>
  <c r="G138" i="4"/>
  <c r="J136"/>
  <c r="G136"/>
  <c r="H125"/>
  <c r="H119"/>
  <c r="I110"/>
  <c r="H110" s="1"/>
  <c r="I108"/>
  <c r="H108" s="1"/>
  <c r="F75"/>
  <c r="F74"/>
  <c r="F73"/>
  <c r="H72" s="1"/>
  <c r="H83" s="1"/>
  <c r="H89" s="1"/>
  <c r="F61"/>
  <c r="F39"/>
  <c r="G38"/>
  <c r="F76" s="1"/>
  <c r="F38"/>
  <c r="E38" s="1"/>
  <c r="G36"/>
  <c r="F36"/>
  <c r="F35"/>
  <c r="G33"/>
  <c r="E33"/>
  <c r="H33" s="1"/>
  <c r="H28"/>
  <c r="H27"/>
  <c r="H26"/>
  <c r="F72" s="1"/>
  <c r="H25"/>
  <c r="H24"/>
  <c r="B161" s="1"/>
  <c r="E16"/>
  <c r="H15"/>
  <c r="E161" s="1"/>
  <c r="E15"/>
  <c r="H45" s="1"/>
  <c r="H14"/>
  <c r="H44" s="1"/>
  <c r="E14"/>
  <c r="H13"/>
  <c r="G12"/>
  <c r="F8"/>
  <c r="F66" s="1"/>
  <c r="D7"/>
  <c r="D6"/>
  <c r="E195" i="3"/>
  <c r="D195"/>
  <c r="G161"/>
  <c r="D14" i="17" s="1"/>
  <c r="F144" i="3"/>
  <c r="G138"/>
  <c r="G136"/>
  <c r="H125"/>
  <c r="H119"/>
  <c r="I110"/>
  <c r="H110" s="1"/>
  <c r="I108"/>
  <c r="H108" s="1"/>
  <c r="F75"/>
  <c r="H75" s="1"/>
  <c r="F74"/>
  <c r="F73"/>
  <c r="H72" s="1"/>
  <c r="H83" s="1"/>
  <c r="H89" s="1"/>
  <c r="F61"/>
  <c r="H39"/>
  <c r="F39"/>
  <c r="G39" s="1"/>
  <c r="G38"/>
  <c r="F38"/>
  <c r="E38" s="1"/>
  <c r="G36"/>
  <c r="F36"/>
  <c r="F35"/>
  <c r="G33"/>
  <c r="E33"/>
  <c r="H33" s="1"/>
  <c r="H36" s="1"/>
  <c r="H28"/>
  <c r="H27"/>
  <c r="H26"/>
  <c r="F72" s="1"/>
  <c r="H25"/>
  <c r="H24"/>
  <c r="B161" s="1"/>
  <c r="E16"/>
  <c r="H15"/>
  <c r="E161" s="1"/>
  <c r="E15"/>
  <c r="H45" s="1"/>
  <c r="H14"/>
  <c r="H44" s="1"/>
  <c r="E14"/>
  <c r="H13"/>
  <c r="G12"/>
  <c r="F8"/>
  <c r="F141" s="1"/>
  <c r="D7"/>
  <c r="D6"/>
  <c r="F211" i="1"/>
  <c r="E190" i="7" s="1"/>
  <c r="E211" i="1"/>
  <c r="E77"/>
  <c r="F144" i="4" s="1"/>
  <c r="E74" i="1"/>
  <c r="E59"/>
  <c r="E58"/>
  <c r="E57"/>
  <c r="E56"/>
  <c r="E53"/>
  <c r="E38"/>
  <c r="E37"/>
  <c r="E36"/>
  <c r="E35"/>
  <c r="F77" i="4"/>
  <c r="H18"/>
  <c r="D18"/>
  <c r="H17" i="3"/>
  <c r="D17" i="4"/>
  <c r="D28" i="1"/>
  <c r="E28" s="1"/>
  <c r="E27"/>
  <c r="D26"/>
  <c r="E26" s="1"/>
  <c r="E25"/>
  <c r="G3" i="3" s="1"/>
  <c r="E24" i="1"/>
  <c r="F18"/>
  <c r="H9" i="6" l="1"/>
  <c r="H8" i="4"/>
  <c r="H75"/>
  <c r="H37" i="6"/>
  <c r="H9" i="7"/>
  <c r="H78"/>
  <c r="H84" s="1"/>
  <c r="H37" i="3"/>
  <c r="H40" s="1"/>
  <c r="H37" i="4"/>
  <c r="H41" s="1"/>
  <c r="F34" s="1"/>
  <c r="H34" s="1"/>
  <c r="H78" i="6"/>
  <c r="H84" s="1"/>
  <c r="H130" i="4"/>
  <c r="H131" s="1"/>
  <c r="H153" s="1"/>
  <c r="H130" i="3"/>
  <c r="H131" s="1"/>
  <c r="H153" s="1"/>
  <c r="G12" i="6"/>
  <c r="G12" i="7"/>
  <c r="G11" i="4"/>
  <c r="G11" i="3"/>
  <c r="G26" i="13"/>
  <c r="H125" i="7" s="1"/>
  <c r="H126" s="1"/>
  <c r="H148" s="1"/>
  <c r="H79" i="4"/>
  <c r="H43"/>
  <c r="H36"/>
  <c r="H46" i="3"/>
  <c r="H47"/>
  <c r="H46" i="4"/>
  <c r="H47"/>
  <c r="C3" i="3"/>
  <c r="D17"/>
  <c r="H43"/>
  <c r="F59"/>
  <c r="F63"/>
  <c r="F65"/>
  <c r="F77"/>
  <c r="G3" i="4"/>
  <c r="H17"/>
  <c r="F140"/>
  <c r="G11" i="6"/>
  <c r="F60"/>
  <c r="F62"/>
  <c r="F64"/>
  <c r="F136"/>
  <c r="F140" s="1"/>
  <c r="E190"/>
  <c r="C5" i="7"/>
  <c r="D190"/>
  <c r="G10" i="3"/>
  <c r="H18"/>
  <c r="F140"/>
  <c r="F145" s="1"/>
  <c r="C3" i="4"/>
  <c r="G39"/>
  <c r="F59"/>
  <c r="F63"/>
  <c r="F65"/>
  <c r="E195"/>
  <c r="C5" i="6"/>
  <c r="D190"/>
  <c r="G4" i="7"/>
  <c r="H34"/>
  <c r="F59"/>
  <c r="F61"/>
  <c r="F63"/>
  <c r="F65"/>
  <c r="F135"/>
  <c r="F140" s="1"/>
  <c r="C37" i="17"/>
  <c r="C4" i="3"/>
  <c r="H8"/>
  <c r="D18"/>
  <c r="E39"/>
  <c r="F60"/>
  <c r="F62"/>
  <c r="F64"/>
  <c r="F66"/>
  <c r="H79"/>
  <c r="G10" i="4"/>
  <c r="F141"/>
  <c r="D195"/>
  <c r="G4" i="6"/>
  <c r="H34"/>
  <c r="F71" s="1"/>
  <c r="F59"/>
  <c r="F63"/>
  <c r="F65"/>
  <c r="C4" i="7"/>
  <c r="C4" i="4"/>
  <c r="E39"/>
  <c r="F60"/>
  <c r="F62"/>
  <c r="F64"/>
  <c r="C4" i="6"/>
  <c r="G11" i="7"/>
  <c r="F60"/>
  <c r="F62"/>
  <c r="F64"/>
  <c r="H41" i="3" l="1"/>
  <c r="F34" s="1"/>
  <c r="H34" s="1"/>
  <c r="F67" i="4"/>
  <c r="F35" i="6"/>
  <c r="F35" i="7"/>
  <c r="H78" i="4"/>
  <c r="H53"/>
  <c r="H97"/>
  <c r="H52"/>
  <c r="H54" s="1"/>
  <c r="H87" s="1"/>
  <c r="H90" s="1"/>
  <c r="H150" s="1"/>
  <c r="H39"/>
  <c r="H40" s="1"/>
  <c r="F145"/>
  <c r="H78" i="3"/>
  <c r="H52"/>
  <c r="H54" s="1"/>
  <c r="H87" s="1"/>
  <c r="H90" s="1"/>
  <c r="H150" s="1"/>
  <c r="H53"/>
  <c r="H97"/>
  <c r="H149" i="4"/>
  <c r="H96"/>
  <c r="F66" i="6"/>
  <c r="F67" i="3"/>
  <c r="H96"/>
  <c r="H60"/>
  <c r="H149"/>
  <c r="F66" i="7"/>
  <c r="H64" i="3" l="1"/>
  <c r="H65" i="4"/>
  <c r="H98"/>
  <c r="H65" i="3"/>
  <c r="H62" i="4"/>
  <c r="H61"/>
  <c r="H61" i="3"/>
  <c r="H66" i="4"/>
  <c r="F105" i="3"/>
  <c r="H107" s="1"/>
  <c r="F105" i="4"/>
  <c r="H109" s="1"/>
  <c r="H62" i="3"/>
  <c r="H59"/>
  <c r="H67" s="1"/>
  <c r="H88" s="1"/>
  <c r="H63" i="4"/>
  <c r="H64"/>
  <c r="H66" i="3"/>
  <c r="H63"/>
  <c r="H59" i="4"/>
  <c r="H67" s="1"/>
  <c r="H88" s="1"/>
  <c r="H60"/>
  <c r="H94" i="3"/>
  <c r="H100" s="1"/>
  <c r="H154"/>
  <c r="H156" s="1"/>
  <c r="D161" s="1"/>
  <c r="F161" s="1"/>
  <c r="H111" i="4"/>
  <c r="H106"/>
  <c r="H112" s="1"/>
  <c r="H154"/>
  <c r="H156" s="1"/>
  <c r="D161" s="1"/>
  <c r="F161" s="1"/>
  <c r="H35" i="6"/>
  <c r="E15"/>
  <c r="H98" i="3"/>
  <c r="H111"/>
  <c r="H35" i="7"/>
  <c r="E15"/>
  <c r="H94" i="4"/>
  <c r="H107" l="1"/>
  <c r="H109" i="3"/>
  <c r="H106"/>
  <c r="H99" s="1"/>
  <c r="H99" i="4"/>
  <c r="H95" i="3"/>
  <c r="H95" i="4"/>
  <c r="H100"/>
  <c r="E16" i="6"/>
  <c r="F40" s="1"/>
  <c r="H40" s="1"/>
  <c r="E17"/>
  <c r="F41" s="1"/>
  <c r="H41" s="1"/>
  <c r="E18"/>
  <c r="H161" i="3"/>
  <c r="H162" s="1"/>
  <c r="C14" i="17"/>
  <c r="C15"/>
  <c r="H161" i="4"/>
  <c r="H162" s="1"/>
  <c r="H151" i="3"/>
  <c r="E18" i="7"/>
  <c r="E16"/>
  <c r="F40" s="1"/>
  <c r="H40" s="1"/>
  <c r="E17"/>
  <c r="F41" s="1"/>
  <c r="H41" s="1"/>
  <c r="H113" i="4"/>
  <c r="H114"/>
  <c r="H124" s="1"/>
  <c r="H126" s="1"/>
  <c r="H152" s="1"/>
  <c r="H46" i="7" l="1"/>
  <c r="H112" i="3"/>
  <c r="H114" s="1"/>
  <c r="H124" s="1"/>
  <c r="H126" s="1"/>
  <c r="H42" i="6"/>
  <c r="H92" s="1"/>
  <c r="H93" s="1"/>
  <c r="H91" i="7"/>
  <c r="H144"/>
  <c r="H113" i="3"/>
  <c r="H46" i="6"/>
  <c r="H42" i="7"/>
  <c r="E19"/>
  <c r="E20"/>
  <c r="E15" i="17"/>
  <c r="H166" i="4"/>
  <c r="H167" s="1"/>
  <c r="F15" i="17" s="1"/>
  <c r="E14"/>
  <c r="H166" i="3"/>
  <c r="H167" s="1"/>
  <c r="F14" i="17" s="1"/>
  <c r="E19" i="6"/>
  <c r="E20"/>
  <c r="H151" i="4"/>
  <c r="G135" s="1"/>
  <c r="H135" s="1"/>
  <c r="G137" s="1"/>
  <c r="H51" i="6" l="1"/>
  <c r="H52"/>
  <c r="H53" s="1"/>
  <c r="H92" i="7"/>
  <c r="H93" s="1"/>
  <c r="H51"/>
  <c r="H52"/>
  <c r="H145" i="4"/>
  <c r="H155" s="1"/>
  <c r="H143"/>
  <c r="H91" i="6"/>
  <c r="H144"/>
  <c r="F100"/>
  <c r="H140" i="4"/>
  <c r="H137"/>
  <c r="H144" s="1"/>
  <c r="H141"/>
  <c r="H152" i="3"/>
  <c r="G135" s="1"/>
  <c r="H135" s="1"/>
  <c r="H82" i="6" l="1"/>
  <c r="H64"/>
  <c r="H59"/>
  <c r="H63"/>
  <c r="H60"/>
  <c r="H89"/>
  <c r="H90" s="1"/>
  <c r="H65"/>
  <c r="H62"/>
  <c r="H61"/>
  <c r="H58"/>
  <c r="H53" i="7"/>
  <c r="H82" s="1"/>
  <c r="H145" i="3"/>
  <c r="H155" s="1"/>
  <c r="H143"/>
  <c r="G137"/>
  <c r="H89" i="7"/>
  <c r="F100"/>
  <c r="H106" i="6"/>
  <c r="H104"/>
  <c r="H101"/>
  <c r="H102"/>
  <c r="H62" i="7" l="1"/>
  <c r="H60"/>
  <c r="H66" i="6"/>
  <c r="H83" s="1"/>
  <c r="H85" s="1"/>
  <c r="H145" s="1"/>
  <c r="H61" i="7"/>
  <c r="H59"/>
  <c r="H64"/>
  <c r="H58"/>
  <c r="H63"/>
  <c r="H65"/>
  <c r="H105"/>
  <c r="H102"/>
  <c r="H106"/>
  <c r="H104"/>
  <c r="H101"/>
  <c r="H103"/>
  <c r="H90"/>
  <c r="H107" i="6"/>
  <c r="H94"/>
  <c r="H95" s="1"/>
  <c r="H146" s="1"/>
  <c r="H137" i="3"/>
  <c r="H144" s="1"/>
  <c r="H141"/>
  <c r="H140"/>
  <c r="H66" i="7" l="1"/>
  <c r="H83" s="1"/>
  <c r="H85" s="1"/>
  <c r="H145" s="1"/>
  <c r="H108" i="6"/>
  <c r="H109" s="1"/>
  <c r="H119" s="1"/>
  <c r="H121" s="1"/>
  <c r="H107" i="7"/>
  <c r="H94"/>
  <c r="H95" s="1"/>
  <c r="H146" s="1"/>
  <c r="H147" i="6" l="1"/>
  <c r="H108" i="7"/>
  <c r="H109" s="1"/>
  <c r="H119" s="1"/>
  <c r="H121" s="1"/>
  <c r="H147" s="1"/>
  <c r="G130" s="1"/>
  <c r="H130" s="1"/>
  <c r="H138" l="1"/>
  <c r="G130" i="6"/>
  <c r="H130" s="1"/>
  <c r="H149"/>
  <c r="H149" i="7"/>
  <c r="G132"/>
  <c r="H132" l="1"/>
  <c r="H136"/>
  <c r="H135"/>
  <c r="H138" i="6"/>
  <c r="G132"/>
  <c r="H136" l="1"/>
  <c r="H135"/>
  <c r="H132"/>
  <c r="H139" s="1"/>
  <c r="H139" i="7"/>
  <c r="H140" s="1"/>
  <c r="H150" s="1"/>
  <c r="H151" s="1"/>
  <c r="D156" s="1"/>
  <c r="F156" s="1"/>
  <c r="H156" s="1"/>
  <c r="H157" s="1"/>
  <c r="H161" s="1"/>
  <c r="H140" i="6" l="1"/>
  <c r="H150" s="1"/>
  <c r="H151" s="1"/>
  <c r="D156" s="1"/>
  <c r="F156" s="1"/>
  <c r="H156" s="1"/>
  <c r="H157" s="1"/>
  <c r="H161" s="1"/>
  <c r="C12" i="17"/>
  <c r="H162" i="7"/>
  <c r="E12" i="17" s="1"/>
  <c r="F12" s="1"/>
  <c r="C11" l="1"/>
  <c r="H162" i="6"/>
  <c r="E11" i="17" s="1"/>
  <c r="F11" s="1"/>
  <c r="F16" s="1"/>
</calcChain>
</file>

<file path=xl/comments1.xml><?xml version="1.0" encoding="utf-8"?>
<comments xmlns="http://schemas.openxmlformats.org/spreadsheetml/2006/main">
  <authors>
    <author/>
  </authors>
  <commentList>
    <comment ref="C96"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9"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0">
      <text>
        <r>
          <rPr>
            <b/>
            <sz val="9"/>
            <color rgb="FF000000"/>
            <rFont val="Tahoma"/>
            <family val="2"/>
            <charset val="1"/>
          </rPr>
          <t>Férias Obrigatória a cotação de 9,075% sobre o valor do Módulo 1 – Composição da Remuneração, conforme Anexo XII da IN 5/17 (Férias + Adicional = 9,075% + 3,025% (submodulo 2.1 letra B) = 12,10%)</t>
        </r>
      </text>
    </comment>
    <comment ref="F144" authorId="0">
      <text>
        <r>
          <rPr>
            <b/>
            <sz val="9"/>
            <color rgb="FF000000"/>
            <rFont val="Tahoma"/>
            <family val="2"/>
            <charset val="1"/>
          </rPr>
          <t>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t>
        </r>
        <r>
          <rPr>
            <b/>
            <sz val="9"/>
            <rFont val="Tahoma"/>
            <family val="2"/>
            <charset val="1"/>
          </rPr>
          <t>http://179.106.88.109/arquivos/arquivos/Leis%20Complementares/LC%2055-2017%20-%20Altera%20dispositivos%20do%20Código%20Tributário.pdf</t>
        </r>
      </text>
    </comment>
  </commentList>
</comments>
</file>

<file path=xl/comments2.xml><?xml version="1.0" encoding="utf-8"?>
<comments xmlns="http://schemas.openxmlformats.org/spreadsheetml/2006/main">
  <authors>
    <author/>
  </authors>
  <commentList>
    <comment ref="C91"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4"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1" authorId="0">
      <text>
        <r>
          <rPr>
            <b/>
            <sz val="9"/>
            <color rgb="FF000000"/>
            <rFont val="Tahoma"/>
            <family val="2"/>
            <charset val="1"/>
          </rPr>
          <t>Férias Obrigatória a cotação de 9,075% sobre o valor do Módulo 1 – Composição da Remuneração, conforme Anexo XII da IN 5/17 (Férias + Adicional = 9,075% + 3,025% (submodulo 2.1 letra B) = 12,10%)</t>
        </r>
      </text>
    </comment>
    <comment ref="F139" authorId="0">
      <text>
        <r>
          <rPr>
            <b/>
            <sz val="9"/>
            <color rgb="FF000000"/>
            <rFont val="Tahoma"/>
            <family val="2"/>
            <charset val="1"/>
          </rPr>
          <t>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t>
        </r>
        <r>
          <rPr>
            <b/>
            <sz val="9"/>
            <rFont val="Tahoma"/>
            <family val="2"/>
            <charset val="1"/>
          </rPr>
          <t>http://179.106.88.109/arquivos/arquivos/Leis%20Complementares/LC%2055-2017%20-%20Altera%20dispositivos%20do%20Código%20Tributário.pdf</t>
        </r>
      </text>
    </comment>
  </commentList>
</comments>
</file>

<file path=xl/comments3.xml><?xml version="1.0" encoding="utf-8"?>
<comments xmlns="http://schemas.openxmlformats.org/spreadsheetml/2006/main">
  <authors>
    <author/>
  </authors>
  <commentList>
    <comment ref="C91"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94"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1" authorId="0">
      <text>
        <r>
          <rPr>
            <b/>
            <sz val="9"/>
            <color rgb="FF000000"/>
            <rFont val="Tahoma"/>
            <family val="2"/>
            <charset val="1"/>
          </rPr>
          <t>Férias Obrigatória a cotação de 9,075% sobre o valor do Módulo 1 – Composição da Remuneração, conforme Anexo XII da IN 5/17 (Férias + Adicional = 9,075% + 3,025% (submodulo 2.1 letra B) = 12,10%)</t>
        </r>
      </text>
    </comment>
    <comment ref="F139" authorId="0">
      <text>
        <r>
          <rPr>
            <b/>
            <sz val="9"/>
            <color rgb="FF000000"/>
            <rFont val="Tahoma"/>
            <family val="2"/>
            <charset val="1"/>
          </rPr>
          <t>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t>
        </r>
        <r>
          <rPr>
            <b/>
            <sz val="9"/>
            <rFont val="Tahoma"/>
            <family val="2"/>
            <charset val="1"/>
          </rPr>
          <t>http://179.106.88.109/arquivos/arquivos/Leis%20Complementares/LC%2055-2017%20-%20Altera%20dispositivos%20do%20Código%20Tributário.pdf</t>
        </r>
      </text>
    </comment>
  </commentList>
</comments>
</file>

<file path=xl/sharedStrings.xml><?xml version="1.0" encoding="utf-8"?>
<sst xmlns="http://schemas.openxmlformats.org/spreadsheetml/2006/main" count="1357" uniqueCount="375">
  <si>
    <t>Ministério da Educação</t>
  </si>
  <si>
    <t>Secretaria de Educação Tecnológica</t>
  </si>
  <si>
    <t>Instituto Federal de Educação, Ciência e Tecnologia Farroupilha - IFFar</t>
  </si>
  <si>
    <t>Campus Jaguari</t>
  </si>
  <si>
    <t>Informações Básicas para Formação de Preço de Serviços</t>
  </si>
  <si>
    <t>Razão Social:</t>
  </si>
  <si>
    <t>xxxxxxxx</t>
  </si>
  <si>
    <t>Administração</t>
  </si>
  <si>
    <t>CNPJ:</t>
  </si>
  <si>
    <t>xxxxxxxxxx</t>
  </si>
  <si>
    <t>00.000.000/0001-00</t>
  </si>
  <si>
    <t>Responsável pela Empresa:</t>
  </si>
  <si>
    <t>Fulano de Tal</t>
  </si>
  <si>
    <t>CPF do Responsável:</t>
  </si>
  <si>
    <t>000.000.000-00</t>
  </si>
  <si>
    <t>Valor de Salário Mínimo Vigente para cálculo insalubridade</t>
  </si>
  <si>
    <t>Cargo ou Função:</t>
  </si>
  <si>
    <t>Gerente</t>
  </si>
  <si>
    <t>Passagem por dia</t>
  </si>
  <si>
    <t>Valor da passagem</t>
  </si>
  <si>
    <t>Custos indiretos</t>
  </si>
  <si>
    <t>Lucro</t>
  </si>
  <si>
    <t>Regime de Tributação:</t>
  </si>
  <si>
    <t>1 - Lucro Real  -  2 - lucro presumido</t>
  </si>
  <si>
    <t>(RAT x FAT)</t>
  </si>
  <si>
    <t>RAT (risco ambiental do trabalho)</t>
  </si>
  <si>
    <t>FAT ( Fator ambientário previdenciário)</t>
  </si>
  <si>
    <t>SERVIÇOS</t>
  </si>
  <si>
    <t>Contratação de SERVIÇOS DE INFRAESTRUTURA E MANUTENÇÃO PREDIAL, JORNADA DE 40 HORAS SEMANAIS, para o IF Farroupilha Campus São Vicente do Sul, conforme condições, quantidades e exigências estabelecidas neste Edital e seus anexos</t>
  </si>
  <si>
    <r>
      <t>Motorista - Contratação de pessoa jurídica para prestação de serviços continuados de motorista, habilitado na categoria “D”, com dedicação exclusiva de mão de obra, nas dependências do</t>
    </r>
    <r>
      <rPr>
        <sz val="12"/>
        <color rgb="FFFF0000"/>
        <rFont val="Calibri"/>
        <family val="2"/>
        <charset val="1"/>
      </rPr>
      <t>IF Farroupilha-, em jornada de 40 horas semanais.</t>
    </r>
  </si>
  <si>
    <t>FORNECEDOR: PREENCHER A COLUNA "D" SOMENTE OS CAMPOS EM VERDE</t>
  </si>
  <si>
    <t>Processo:</t>
  </si>
  <si>
    <t>23238.000559/2019-70</t>
  </si>
  <si>
    <t>Licitação:</t>
  </si>
  <si>
    <t>10/2019</t>
  </si>
  <si>
    <t>Dia/Hora:</t>
  </si>
  <si>
    <t>Data da Proposta:</t>
  </si>
  <si>
    <t>Município - UF:</t>
  </si>
  <si>
    <t>Ano da CCT/Convenção Coletiva/Acordo</t>
  </si>
  <si>
    <t>2019</t>
  </si>
  <si>
    <t>2017</t>
  </si>
  <si>
    <t>Jornada em horas semanais</t>
  </si>
  <si>
    <t>40</t>
  </si>
  <si>
    <t>Quantidade de Postos cálculo planilha</t>
  </si>
  <si>
    <t>01</t>
  </si>
  <si>
    <t>Homens por Posto</t>
  </si>
  <si>
    <t>Dias trabalhados no mês</t>
  </si>
  <si>
    <t>20</t>
  </si>
  <si>
    <t>Número de Meses de Contrato</t>
  </si>
  <si>
    <t>Sind dos Empregados</t>
  </si>
  <si>
    <t>SINDICATO DOS TRAB. NAS INDUST DA CONST E MOB DE SANTIAGO</t>
  </si>
  <si>
    <t>CNPJ Sind dos Empreg</t>
  </si>
  <si>
    <t>92.455.658/0001-06</t>
  </si>
  <si>
    <t>Sindicato Patronal</t>
  </si>
  <si>
    <t>SINDICATO DA INDUSTR DA CONSTRUÇÃO CIVIL DE SANTA MARIA</t>
  </si>
  <si>
    <t>CNPJ do Sind Patronal</t>
  </si>
  <si>
    <t>01.275.003/0001-09</t>
  </si>
  <si>
    <t>Ano da CCT, Sentença Normativa ou Dissídio Coletivo</t>
  </si>
  <si>
    <t>Data Base</t>
  </si>
  <si>
    <t>01 de janeiro</t>
  </si>
  <si>
    <t>Salário Normativo da Categoria:</t>
  </si>
  <si>
    <t>Adicional de Periculosidade</t>
  </si>
  <si>
    <t>1  - SIM                         2  - NÃO</t>
  </si>
  <si>
    <t>Licença paternidade</t>
  </si>
  <si>
    <t>Adicional de Insalubridade - deverá ser confirmada por laudo técnico.</t>
  </si>
  <si>
    <t>0 - Não             1 - Baixo (10%)              2 - Médio (20%)                3 - Alto (40%)</t>
  </si>
  <si>
    <t>Licença maternidade</t>
  </si>
  <si>
    <t>Prêmio Assiduidade</t>
  </si>
  <si>
    <t>Auxilio Morte/Funeral</t>
  </si>
  <si>
    <t>Auxilio Educação</t>
  </si>
  <si>
    <t>Outros benefícios não especificaos</t>
  </si>
  <si>
    <t>Quantidade de postos a contratar</t>
  </si>
  <si>
    <t>ELETRECISTA</t>
  </si>
  <si>
    <t>PEDREIRO</t>
  </si>
  <si>
    <t>Outros benefícios não especificados</t>
  </si>
  <si>
    <t>Horas Extras Normais  mês (até duas horas a mais da jornada normal por dia, até as 22 horas)</t>
  </si>
  <si>
    <t>Horas Extras Normais /mês (Terceira hora extra em diante da jornada normal por dia, até as 22 horas)</t>
  </si>
  <si>
    <t>Outras INFORMAÇÕES CCT</t>
  </si>
  <si>
    <t>IN/MPOG - nº 05/2017 - ANEXO VII-D</t>
  </si>
  <si>
    <t>Planilha de Custos e Formação de Preços</t>
  </si>
  <si>
    <t>Dia/hora:</t>
  </si>
  <si>
    <t>DADOS DO PROPONENTE</t>
  </si>
  <si>
    <t>Razão Social...................................:</t>
  </si>
  <si>
    <t>CNPJ..............................................:</t>
  </si>
  <si>
    <t>Regime de Tributação: (1)Real</t>
  </si>
  <si>
    <t>DISCRIMINAÇÃO DO SERVIÇO</t>
  </si>
  <si>
    <t>A</t>
  </si>
  <si>
    <t>Data de Apresentação da Proposta (dia/mês/ano)</t>
  </si>
  <si>
    <t>B</t>
  </si>
  <si>
    <t>Município/UF</t>
  </si>
  <si>
    <t>C</t>
  </si>
  <si>
    <t>Ano Acordo, Convenção ou Sentença Normativa em Dissídio 
Coletivo</t>
  </si>
  <si>
    <t>D</t>
  </si>
  <si>
    <t>N° de meses de execução contratual</t>
  </si>
  <si>
    <t>Nota (1):</t>
  </si>
  <si>
    <t>Valor  hora normal trabalhada</t>
  </si>
  <si>
    <t>Valor Hora extra 50%</t>
  </si>
  <si>
    <t>Quantidade de empregaos por posto:</t>
  </si>
  <si>
    <t>Valor Hora extra 100%</t>
  </si>
  <si>
    <t>Valor  hora Noturna trabalhada</t>
  </si>
  <si>
    <t>Valor H. extra 50% Noturno reduzido</t>
  </si>
  <si>
    <t>Valor H. extra 100% Noturno reduzido</t>
  </si>
  <si>
    <t>1.    M Ó D U L O S</t>
  </si>
  <si>
    <t>MÃO-DE-OBRA</t>
  </si>
  <si>
    <t>MÃO-DE-OBRA VINCULADA À EXECUÇÃO CONTRATUAL</t>
  </si>
  <si>
    <t>Dados complementares para composição dos custos referente à mão-de-obra</t>
  </si>
  <si>
    <t>Tipo de serviço (mesmo serviço com características distintas)</t>
  </si>
  <si>
    <t>Classificação Brasileira de Ocupações</t>
  </si>
  <si>
    <t>Salário Normativo da Categoria Profissional – 220 hs</t>
  </si>
  <si>
    <t>Categoria profissional (vinculada à execução contratual)</t>
  </si>
  <si>
    <t>Data base da categoria (dia/mês/ano)</t>
  </si>
  <si>
    <t>Nota:</t>
  </si>
  <si>
    <t>MÓDULO 1</t>
  </si>
  <si>
    <t>COMPOSIÇÃO DA REMUNERAÇÃO</t>
  </si>
  <si>
    <t>Composição da Remuneração</t>
  </si>
  <si>
    <t>Valor (R$)</t>
  </si>
  <si>
    <t>Salário Base</t>
  </si>
  <si>
    <t>CH por Semana</t>
  </si>
  <si>
    <t>CH por Mês</t>
  </si>
  <si>
    <t>Base de Cálculo</t>
  </si>
  <si>
    <t>Percentual (%)</t>
  </si>
  <si>
    <t>Adicional de Insalubridade</t>
  </si>
  <si>
    <t>Base de Cálculo (base de cálculo sobre o salário mínimo vigente)</t>
  </si>
  <si>
    <t>Percentual (%)</t>
  </si>
  <si>
    <t>Estimativa de Horas Extras Administração</t>
  </si>
  <si>
    <t>Valor de Hora Extra</t>
  </si>
  <si>
    <t>Adicional de H. extra Normal (50%)</t>
  </si>
  <si>
    <t>Adicional de H. extra Normal (100%)</t>
  </si>
  <si>
    <t>TOTAL DA REMUNERAÇÃO 01 (INCIDE INSS+FGTS+FÉRIAS+13 SALARIO...</t>
  </si>
  <si>
    <t>F</t>
  </si>
  <si>
    <t>Outras remunerações</t>
  </si>
  <si>
    <t>G</t>
  </si>
  <si>
    <t>H</t>
  </si>
  <si>
    <t>OBS: REMUNERAÇÃO de verbas indenizatórias sem incidência de INSS FGTS férias, 13, etc... Incide no item quadro resumo custo por posto e custos indiretos lucro e tributos</t>
  </si>
  <si>
    <t>total</t>
  </si>
  <si>
    <t>TOTAL DA REMUNERAÇÃO 02 = Valor total que o empregado irá receber</t>
  </si>
  <si>
    <t>MÓDULO 2</t>
  </si>
  <si>
    <t>ENCARGOS E BENEFÍCIOS MENSAIS, ANUAIS E DIÁRIOS</t>
  </si>
  <si>
    <t>Submódulo 2.1</t>
  </si>
  <si>
    <t>13º (decimo terceiro) Salário, Férias e Adicional de Férias</t>
  </si>
  <si>
    <t>Descricao</t>
  </si>
  <si>
    <t>Valor</t>
  </si>
  <si>
    <t>13º (Décimo Terceiro) Salario ( remuneração 01 /12)</t>
  </si>
  <si>
    <t>Férias e Adicional de férias ( remuneração 01 /3 e /12 )</t>
  </si>
  <si>
    <t>Total submódulo 2.1</t>
  </si>
  <si>
    <t>nota 01: provisão proporcional de 1/12 avos ref a valores de gratificação natalina e adicional de férias. Nota 02: adicional de féria s do submodulo 2.1 corresponde a 1/3 da remuneração, dividido por 12 meses.</t>
  </si>
  <si>
    <t>Submódulo 2.2</t>
  </si>
  <si>
    <t/>
  </si>
  <si>
    <t>Percentual</t>
  </si>
  <si>
    <t>INSS</t>
  </si>
  <si>
    <t>Salário Educação</t>
  </si>
  <si>
    <t>SESC ou SESI</t>
  </si>
  <si>
    <t>E</t>
  </si>
  <si>
    <t>SENAI - SENAC</t>
  </si>
  <si>
    <t>SEBRAE</t>
  </si>
  <si>
    <t>INCRA</t>
  </si>
  <si>
    <t>FGTS</t>
  </si>
  <si>
    <t>TOTAL SUBMODULO - 2.2 Encargos Previdenciários (GPS), 
Fundo de Garantia por Tempo de Serviço (FGTS), e Outras</t>
  </si>
  <si>
    <t>Nota 01: Os percentuais dos encargos previdenciarios do FGTS e demais contribuições são aqueles estabelecidos na legislação vigente. Nota 02: O Sat é o apresentado pela empresa, sujeito a conferência.</t>
  </si>
  <si>
    <t>Submódulo 2.3</t>
  </si>
  <si>
    <t>Beneficios Mensais e Diários</t>
  </si>
  <si>
    <t>Transporte</t>
  </si>
  <si>
    <r>
      <t>BC para Desconto</t>
    </r>
    <r>
      <rPr>
        <sz val="11"/>
        <color rgb="FFC00000"/>
        <rFont val="Calibri"/>
        <family val="2"/>
        <charset val="1"/>
      </rPr>
      <t/>
    </r>
  </si>
  <si>
    <t>Qtde de Passagens por Dia</t>
  </si>
  <si>
    <t>Valor da Passagem</t>
  </si>
  <si>
    <t>Prêmio assiduidade</t>
  </si>
  <si>
    <t>Evento de aferição mensal, mediante conferência</t>
  </si>
  <si>
    <t>Auxilio pago por ocorrência, conforme regras do Edital/TR</t>
  </si>
  <si>
    <t>OUTROS</t>
  </si>
  <si>
    <t>TOTAL SUBMODULO - 2.3  dos Benefícios Mensais e Diários</t>
  </si>
  <si>
    <t>QUADRO RESUMO</t>
  </si>
  <si>
    <t>MODULO - 2</t>
  </si>
  <si>
    <t>2.1</t>
  </si>
  <si>
    <t>2.2</t>
  </si>
  <si>
    <t>Encargos Previdenciários (GPS), Fundo de Garantia por Tempo de Serviço (FGTS), e Outras</t>
  </si>
  <si>
    <t>2.3</t>
  </si>
  <si>
    <t>(=) TOTAL MODULO - 2</t>
  </si>
  <si>
    <t>MÓDULO 3</t>
  </si>
  <si>
    <t>PROVISAO PARA RESCISÃO</t>
  </si>
  <si>
    <t>Aviso Prévio Indenizado ( considerado 5% de rotatividade anual)</t>
  </si>
  <si>
    <t>Incidência do FGTS sobre Aviso Prévio Indenizado</t>
  </si>
  <si>
    <t>Multa do FGTS sobre Aviso Prévio Indenizado</t>
  </si>
  <si>
    <t>Aviso Prévio Trabalhado ( rateio por 30 meses para 100% dos empregados)</t>
  </si>
  <si>
    <t>Incidência do Submódulo 2.2 sobre Aviso Prévio Trabalhado</t>
  </si>
  <si>
    <t>Multa FGTS sobre Aviso Prévio Trabalhado</t>
  </si>
  <si>
    <t>(=) TOTAL MODULO - 3</t>
  </si>
  <si>
    <t>MÓDULO - 4</t>
  </si>
  <si>
    <t>CUSTO DE REPOSICAO DO PROFISSIONAL AUSENTE</t>
  </si>
  <si>
    <t>Submódulo 4.1</t>
  </si>
  <si>
    <t>Ausencias legais</t>
  </si>
  <si>
    <t>INFORME ( S ou N)</t>
  </si>
  <si>
    <t>BASE DE CÁLCULO PARA PROFISSIONAL AUSENTE</t>
  </si>
  <si>
    <t>Férias</t>
  </si>
  <si>
    <t>Ausencias Legais</t>
  </si>
  <si>
    <t>Licença - Paternidade</t>
  </si>
  <si>
    <t>Ausencia por acidente de Trabalho</t>
  </si>
  <si>
    <t>Afastamento Maternidade</t>
  </si>
  <si>
    <t>Auxilio doenca</t>
  </si>
  <si>
    <t>Subtotal</t>
  </si>
  <si>
    <t>Incidência dos encargos do Submódulo 2.2 sobre o  total do Submódulo 4.1</t>
  </si>
  <si>
    <t>TOTAL Submodulo 4.1 Ausencias Legais</t>
  </si>
  <si>
    <t>Submódulo 4.2</t>
  </si>
  <si>
    <t>Intrajornada</t>
  </si>
  <si>
    <t>Intervalo para repouso ou alimentação</t>
  </si>
  <si>
    <t>TOTAL Submodulo 4.2  Intrajornada</t>
  </si>
  <si>
    <t>Nota: Intervalo intrajornada não se aplica, pois o mesmo é pago na planilha ao vigilante.</t>
  </si>
  <si>
    <t>MODULO - 4</t>
  </si>
  <si>
    <t>4.1</t>
  </si>
  <si>
    <t>4.2</t>
  </si>
  <si>
    <t>(=) TOTAL MODULO - 4</t>
  </si>
  <si>
    <t>MODULO - 5</t>
  </si>
  <si>
    <t>INSUMOS DIVERSOS</t>
  </si>
  <si>
    <t>Insumos Diversos</t>
  </si>
  <si>
    <t>Unoforme, equipamentos, materiais e outros</t>
  </si>
  <si>
    <t>(=) TOTAL MODULO - 5</t>
  </si>
  <si>
    <t>MODULO - 6</t>
  </si>
  <si>
    <t>CUSTOS INDIRETOS, TRIBUTOS E LUCRO</t>
  </si>
  <si>
    <t>Custos Indiretos</t>
  </si>
  <si>
    <t>Base de Calculo</t>
  </si>
  <si>
    <t>Lucro</t>
  </si>
  <si>
    <t>Tributos</t>
  </si>
  <si>
    <t>PIS</t>
  </si>
  <si>
    <t>COFINS</t>
  </si>
  <si>
    <t>Nota 1:  Em face dos Acórdãos TCU nºs 950/2007-P e 205/2018-P, o licitante não pode cotar expressamente os tributos de IRPJ e CSLL</t>
  </si>
  <si>
    <t>C.2 - Tributos Estaduais</t>
  </si>
  <si>
    <t>C.3 - Tributos Municipais  (ISS)</t>
  </si>
  <si>
    <t>(=) TOTAL MODULO - 6</t>
  </si>
  <si>
    <t>2.    QUADRO RESUMO DO CUSTO DO EMPREGADO</t>
  </si>
  <si>
    <t>Módulo 1 - Composição da Remuneração total do empregado</t>
  </si>
  <si>
    <t>Módulo 2 - Encargos e Beneficios Anuais , Mensais Diários</t>
  </si>
  <si>
    <t>Módulo 3 - Provisão para Rescisão</t>
  </si>
  <si>
    <t>Módulo 4 - Custo de Reposição do Profissional Ausente</t>
  </si>
  <si>
    <t>Módulo 5 - Insumos Diversos</t>
  </si>
  <si>
    <t>SUBTOTAL ( A + B + C + D + E )</t>
  </si>
  <si>
    <t>Módulo 6 - Custos Indiretos, Tributos e Lucro</t>
  </si>
  <si>
    <t>(  =  ) VALOR TOTAL POR EMPREGADO</t>
  </si>
  <si>
    <t>3.    QUADRO RESUMO DO VALOR MENSAL DOS SERVIÇOS</t>
  </si>
  <si>
    <t>TIPO DE 
SERVIÇO
( A )</t>
  </si>
  <si>
    <t>VALOR PROPOSTO
EMPREGADO 
( B )</t>
  </si>
  <si>
    <t>Qtde de 
Empregados
por posto
( C )</t>
  </si>
  <si>
    <t>VALOR PROPOSTO
POR POSTO 
( D ) = ( B × C )</t>
  </si>
  <si>
    <t>VALOR TOTAL
DO SERVIÇP
( F ) = ( C × D )</t>
  </si>
  <si>
    <t>VALOR MENSAL DOS SERVIÇOS</t>
  </si>
  <si>
    <t>4.    QUADRO RESUMO DO VALOR GLOBAL DA PROPOSTA</t>
  </si>
  <si>
    <t>DESCRIÇÃO</t>
  </si>
  <si>
    <t>VALOR</t>
  </si>
  <si>
    <t>Valor Mensal do servico, POR POSTO</t>
  </si>
  <si>
    <t>Valor global da proposta para 30 meses, POR POSTO</t>
  </si>
  <si>
    <t>Regime de Tributação: (1)Real (2)Presumido (3 e 4)Simples</t>
  </si>
  <si>
    <t>Valor salário hora sem periculosidade VSH:</t>
  </si>
  <si>
    <t>Adicional de troca uniforme:</t>
  </si>
  <si>
    <t>Valor Hora extra sem periculosidade:</t>
  </si>
  <si>
    <t>Quantidade de vigilantes por posto:</t>
  </si>
  <si>
    <t>Valor adicional noturno sem periculosidade:</t>
  </si>
  <si>
    <t>Nota (2):</t>
  </si>
  <si>
    <t>Sindicato dos Empregados:</t>
  </si>
  <si>
    <t>Sindicato Patronal:</t>
  </si>
  <si>
    <t>Deverá ser elaborado um quadro para cada tipo de serviço.</t>
  </si>
  <si>
    <t>&gt;-- Grau de Risco ---&gt;</t>
  </si>
  <si>
    <t>Adicional Noturno: sobre 7 h de 60 minutos  por dia + 1 h reduzida noturna por dia para o RS ( calculo AN sem peri x8h (7hx1,1428571x15d. Das 22 as 5 horas</t>
  </si>
  <si>
    <t>Valor hora CCT sem Periculosidade</t>
  </si>
  <si>
    <t>Horas Noturnas Trabalhadas por Turno</t>
  </si>
  <si>
    <t>Dias Trabalhados/Mês</t>
  </si>
  <si>
    <t>Adicional de Hora Noturna Reduzida</t>
  </si>
  <si>
    <t>Repouso semanal remunerado (RSM) 20% sobre adicionais  ( adicional noturno e Hora extra reduzida)</t>
  </si>
  <si>
    <t>total base de cálculo para adicional de insalubridade</t>
  </si>
  <si>
    <t>Adicional de troca de uniforme ( Valor CCT  x Dias)</t>
  </si>
  <si>
    <t>Intervalo Intrajornada ( Hora sem Periculosidade  X Dias  X 0,5) cct 2018/2020 CLÁUSULA 69</t>
  </si>
  <si>
    <t>Seguro Acidente de Trabalho SAT (Incluir RAT)</t>
  </si>
  <si>
    <t>Auxilio Alimentação (Vales, Cesta Básica, etc.)</t>
  </si>
  <si>
    <t>Vale Alimentação</t>
  </si>
  <si>
    <t>% de Desconto</t>
  </si>
  <si>
    <t>Seguro de Vida ( clausula 39 da cct 2018/2020 : 26 x remineração 01 x 0,0023%</t>
  </si>
  <si>
    <t>Auxilio Funeral ( clausula 38 da cct 2018/2020: SB x 0,52066% /12</t>
  </si>
  <si>
    <t>Outros (Especificar)</t>
  </si>
  <si>
    <t>Qtde de 
Postos
( E )</t>
  </si>
  <si>
    <t>VALOR TOTAL
DO SERVIÇP
( F ) = ( D × E )</t>
  </si>
  <si>
    <t>Valor Mensal do servico</t>
  </si>
  <si>
    <t>Valor global da proposta para 30 meses</t>
  </si>
  <si>
    <t>Campus São Vicente do Sul</t>
  </si>
  <si>
    <t>Anexo  -  Uniformes e Materiais - Vigilância Desarmada</t>
  </si>
  <si>
    <t>Processo nº:</t>
  </si>
  <si>
    <t>Licitação nº:</t>
  </si>
  <si>
    <t>Tipo</t>
  </si>
  <si>
    <t>Unidade</t>
  </si>
  <si>
    <t>Preço Unitário</t>
  </si>
  <si>
    <t>Qtd</t>
  </si>
  <si>
    <t>Preço Total</t>
  </si>
  <si>
    <t>Rateio 30 meses</t>
  </si>
  <si>
    <t>Periodicidade de Consumo</t>
  </si>
  <si>
    <t>Calça comprida tecido social/brim (leve), mínimo 3 bolsos, corte diagonal, 30 ao 48, elástico e cordão cintura, sem fecho.</t>
  </si>
  <si>
    <t>u</t>
  </si>
  <si>
    <t>semestral</t>
  </si>
  <si>
    <t>Jaqueta social manga comprida contendo nome da empresa impresso ou bordado, cor preta ou azul marinho, tecido oxford, 100% poliéster, com forro interno,</t>
  </si>
  <si>
    <t>a cada 10 meses</t>
  </si>
  <si>
    <t>Camisa social manga comprida, cor branca, contendo o nome da Empresa impresso ou bordado</t>
  </si>
  <si>
    <t>Camisa social manga curta, cor branca, contendo o nome da Empresa impresso ou bordado</t>
  </si>
  <si>
    <t>Bblusão grosso de lã de boa qualidade, cor azul marinho ou preto, contendo nome da Empresa bordado ou impresso, gola “V”, ou redonda</t>
  </si>
  <si>
    <t>Cinto social em couro, cor preta</t>
  </si>
  <si>
    <t>Par de botinas, cor preta</t>
  </si>
  <si>
    <t>Par de meias sociais, cor preta ou azul marinho</t>
  </si>
  <si>
    <t>trimestral</t>
  </si>
  <si>
    <t>Gravata, cor preta ou azul marinho</t>
  </si>
  <si>
    <t>Capa de colete a prova de balas</t>
  </si>
  <si>
    <t>01 por posto</t>
  </si>
  <si>
    <t>Apito e cordão de apito</t>
  </si>
  <si>
    <t>Livro de ocorrências</t>
  </si>
  <si>
    <t>Cassetete borracha longo, 90 mm de comprimento, resistência mecânica de 180kg/cm²</t>
  </si>
  <si>
    <t>Porta cassetete para Cassetete borracha longo, 90 mm de comprimento.</t>
  </si>
  <si>
    <t>Lanterna holofote grande 15 leds, bivolt, recarregável, com alça e carregador</t>
  </si>
  <si>
    <t>Rádio comunicação com baterias reservas e carregador, alcance de 52 km, bivolt, referência motorola mr350</t>
  </si>
  <si>
    <t>Relógio ponto, material aço, tipo eletrônico</t>
  </si>
  <si>
    <t>01 por contrato</t>
  </si>
  <si>
    <t>Cofre digital, tipo hotel</t>
  </si>
  <si>
    <t>CUSTO POR EMPREGADO</t>
  </si>
  <si>
    <t>Observações:</t>
  </si>
  <si>
    <t>(1) Os uniformes deverão ter tamanho compatível com o trabalhador contratato.</t>
  </si>
  <si>
    <t>(2) Não serão aceitos preços superiores aos de referência para uniformes e materiais.</t>
  </si>
  <si>
    <t>(3) Regras de Rateio:</t>
  </si>
  <si>
    <t>a) Relógio e Cofre Digital: Custo dividido pelo número de funcionários;</t>
  </si>
  <si>
    <t>b) Itens "Por Posto": Custo dividido pelo número de vigilantes no posto;</t>
  </si>
  <si>
    <t>c) Demais itens de custo: por vigilante;</t>
  </si>
  <si>
    <t>Tipo: Uniformes e Materiais e Epis</t>
  </si>
  <si>
    <t>Qtd 30 meses</t>
  </si>
  <si>
    <t>Periodicidade de Entrega</t>
  </si>
  <si>
    <t>Jaqueta social manga comprida contendo nome da empresa impresso ou bordado, cor preta ou azul marinho, tecido oxford, 100% poliéster, com forro interno.</t>
  </si>
  <si>
    <t>Camisa manga comprida, cor discreta, contendo o nome da Empresa impresso ou bordado. Material 100% poliéster</t>
  </si>
  <si>
    <t>Camisa manga curta, cor discreta, contendo o nome da Empresa impresso ou bordado. Material 100% poliéster.</t>
  </si>
  <si>
    <t>Chacha de identificação</t>
  </si>
  <si>
    <t>1 por contrato</t>
  </si>
  <si>
    <t>Descrição: Luva de borracha de segurança, para limpeza, em látex natural, revestimento interno aveludado, palma antiderrapante. Unidade de fornecimento: par</t>
  </si>
  <si>
    <t>par</t>
  </si>
  <si>
    <t>Protetor auricular tipo plug. 3 falanges, tripla borda. Em silicone de grau farmacêutico, de fácil higienização. Atenuação mínima: 13 db. Acompanha caixa para guardar o produto. Deve conter o no do C.A. (Certificado de Aprovação do Ministério do Trabalho).</t>
  </si>
  <si>
    <t>Mensal</t>
  </si>
  <si>
    <t>Descrição: 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</si>
  <si>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Descrição: Respirador descartável, tipo máscara, com válvula, para poeiras e névoas tóxicas, cor branca</t>
  </si>
  <si>
    <t>Semanal</t>
  </si>
  <si>
    <t>Bota de segurança, material borracha vulcanizada, cor preta, tipo cano longo, tamanho variado,  com forro e antiderrapante.</t>
  </si>
  <si>
    <t>Descrição: Capacete branco com carneira classe A, material plastico, tipo Aba frontal, aplicação construção civil/Cia eletricidade e industriais.</t>
  </si>
  <si>
    <t>Descrição: CAPA DE CHUVA Com capuz e mangas compridas, em PVC, fechamento frontal, botões de pressão e costura através de solda eletrônica. Com Certificado de Aprovação- CA, emitido e aprovado pelo Ministério do Trabalho.</t>
  </si>
  <si>
    <t>Descrição: Bloqueador, bloqueador solar, FPS 30, loção cremosa, dermatologicamente testada, vitamina E, hipoalergênico, não comedogênico, resistente a água e ao suor, com repelente, embalagem com mínimo 120 gramas.</t>
  </si>
  <si>
    <t>frasco</t>
  </si>
  <si>
    <t>Total uniforme, materiais e Epis para 30 meses, pro rata</t>
  </si>
  <si>
    <t>Anexo  -  Uniformes e Materiais Eletrecista</t>
  </si>
  <si>
    <t>Luva de segurança tipo eletrecista, material borracha, resistente a alta temperatura</t>
  </si>
  <si>
    <t>Descrição: CINTO DE SEGURANÇA TIPO PARAQUEDISTA COM TALABARTE PARA CONSTRUÇÃO CÍVIL, TAMANHO 1. USAR ESSE ITEM. - Cinto de segurança tipo paraquedista, TAMANHO 1, que possua 1 (um) ponto de ancoragem e talabarte incorporado ao cinto, que seja todo confeccionado em fitas de material sintético (poliéster). Possua 1 argola em D , para conexão dorsal, na altura dos ombros para ancoragem e proteção contra queda. Contenha 2 fivelas duplas sem pino para ajuste das pernas e uma para conexão e ajuste de cintura. Possua duas alças porta material. Indicado para uso em construção civil. Aprovado pelo ministério do trabalho e emprego. Equivalente à marca altiseg ou de melhor qualidade.</t>
  </si>
  <si>
    <t>Descrição: Cinturão para ferramentas, em couro, cinto em nylon ajustável com presilha de fixação, engates plásticos para melhor fechamento, mínimo de 2 suportes em couro para ferramentas diversas, mínimo 10 bolsos</t>
  </si>
  <si>
    <t>unidade</t>
  </si>
  <si>
    <t>Anexo  -  Uniformes e Materiais Pedreiro</t>
  </si>
  <si>
    <t>Anexo  -  Resumo da Proposta</t>
  </si>
  <si>
    <t>TIPO DE SERVIÇO</t>
  </si>
  <si>
    <t>VALOR MENSAL DA PROPOSTA POR POSTO</t>
  </si>
  <si>
    <t>QTD POSTOS</t>
  </si>
  <si>
    <t>VALOR TOTAL EM 30 MESES POR POSTO</t>
  </si>
  <si>
    <t>VALOR TOTAL 30 MESES X NUMERO DE POSTOS</t>
  </si>
  <si>
    <t>VALOR GLOBAL DA PROPOSTA PARA 30 MESES</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</si>
  <si>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</si>
  <si>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</si>
  <si>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</si>
  <si>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</si>
  <si>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</si>
  <si>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</si>
  <si>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</si>
  <si>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</si>
  <si>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</si>
  <si>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</si>
  <si>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</si>
  <si>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</si>
  <si>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</si>
  <si>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</si>
  <si>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Seguro Acidente de TraB: SAT (RAT multiplicado pelo FAT aba de informações básicas)</t>
  </si>
  <si>
    <t>ISS Municipal em JAGUARI</t>
  </si>
  <si>
    <t>Registro CCT</t>
  </si>
  <si>
    <t>RS000605/2019</t>
  </si>
  <si>
    <t>LICITANTE: ALTERAR SOMENTE OS CAMPOS EM VERDE</t>
  </si>
</sst>
</file>

<file path=xl/styles.xml><?xml version="1.0" encoding="utf-8"?>
<styleSheet xmlns="http://schemas.openxmlformats.org/spreadsheetml/2006/main">
  <numFmts count="12">
    <numFmt numFmtId="164" formatCode="[$R$-416]\ #,##0.00;[Red]\-[$R$-416]\ #,##0.00"/>
    <numFmt numFmtId="165" formatCode="&quot;R$ &quot;#,##0.00"/>
    <numFmt numFmtId="166" formatCode="d/m/yyyy\ hh:mm"/>
    <numFmt numFmtId="167" formatCode="d/m/yyyy"/>
    <numFmt numFmtId="168" formatCode="_(* #,##0.00_);_(* \(#,##0.00\);_(* \-??_);_(@_)"/>
    <numFmt numFmtId="169" formatCode="&quot;R$ &quot;#,##0.00;[Red]&quot;-R$ &quot;#,##0.00"/>
    <numFmt numFmtId="170" formatCode="dddd&quot;, &quot;mmmm\ dd&quot;, &quot;yyyy"/>
    <numFmt numFmtId="171" formatCode="&quot;R$ &quot;#,##0.00_);&quot;(R$ &quot;#,##0.00\)"/>
    <numFmt numFmtId="172" formatCode="_-&quot;R$ &quot;* #,##0.00_-;&quot;-R$ &quot;* #,##0.00_-;_-&quot;R$ &quot;* \-??_-;_-@_-"/>
    <numFmt numFmtId="173" formatCode="_-* #,##0.00_-;\-* #,##0.00_-;_-* \-??_-;_-@_-"/>
    <numFmt numFmtId="174" formatCode="_-&quot;R$ &quot;* #,##0.000000000_-;&quot;-R$ &quot;* #,##0.000000000_-;_-&quot;R$ &quot;* \-??_-;_-@_-"/>
    <numFmt numFmtId="175" formatCode="_(* #,##0_);_(* \(#,##0\);_(* \-??_);_(@_)"/>
  </numFmts>
  <fonts count="49">
    <font>
      <sz val="11"/>
      <color rgb="FF000000"/>
      <name val="Calibri"/>
      <family val="2"/>
      <charset val="1"/>
    </font>
    <font>
      <sz val="11"/>
      <name val="Calibri"/>
      <family val="2"/>
      <charset val="1"/>
    </font>
    <font>
      <b/>
      <i/>
      <u/>
      <sz val="11"/>
      <color rgb="FF000000"/>
      <name val="Arial1"/>
      <charset val="1"/>
    </font>
    <font>
      <b/>
      <sz val="16"/>
      <color rgb="FF000000"/>
      <name val="Calibri"/>
      <family val="2"/>
      <charset val="1"/>
    </font>
    <font>
      <sz val="12"/>
      <color rgb="FF000000"/>
      <name val="Calibri"/>
      <family val="2"/>
      <charset val="1"/>
    </font>
    <font>
      <b/>
      <sz val="14"/>
      <color rgb="FF000000"/>
      <name val="Calibri"/>
      <family val="2"/>
      <charset val="1"/>
    </font>
    <font>
      <b/>
      <sz val="12"/>
      <color rgb="FF000000"/>
      <name val="Calibri"/>
      <family val="2"/>
      <charset val="1"/>
    </font>
    <font>
      <b/>
      <sz val="12"/>
      <color rgb="FFFF0000"/>
      <name val="Calibri"/>
      <family val="2"/>
      <charset val="1"/>
    </font>
    <font>
      <sz val="12"/>
      <color rgb="FFFF0000"/>
      <name val="Calibri"/>
      <family val="2"/>
      <charset val="1"/>
    </font>
    <font>
      <b/>
      <sz val="18"/>
      <color rgb="FF000000"/>
      <name val="Calibri"/>
      <family val="2"/>
      <charset val="1"/>
    </font>
    <font>
      <b/>
      <sz val="11"/>
      <color rgb="FF000000"/>
      <name val="Calibri"/>
      <family val="2"/>
      <charset val="1"/>
    </font>
    <font>
      <b/>
      <sz val="20"/>
      <color rgb="FF000000"/>
      <name val="Calibri"/>
      <family val="2"/>
      <charset val="1"/>
    </font>
    <font>
      <sz val="12"/>
      <name val="Calibri"/>
      <family val="2"/>
      <charset val="1"/>
    </font>
    <font>
      <sz val="26"/>
      <color rgb="FF000000"/>
      <name val="Calibri"/>
      <family val="2"/>
      <charset val="1"/>
    </font>
    <font>
      <sz val="8"/>
      <color rgb="FF000000"/>
      <name val="Calibri"/>
      <family val="2"/>
      <charset val="1"/>
    </font>
    <font>
      <sz val="9"/>
      <color rgb="FF000000"/>
      <name val="Calibri"/>
      <family val="2"/>
      <charset val="1"/>
    </font>
    <font>
      <b/>
      <sz val="22"/>
      <color rgb="FF000000"/>
      <name val="Calibri"/>
      <family val="2"/>
      <charset val="1"/>
    </font>
    <font>
      <sz val="11"/>
      <color rgb="FFFF0000"/>
      <name val="Calibri"/>
      <family val="2"/>
      <charset val="1"/>
    </font>
    <font>
      <b/>
      <sz val="11"/>
      <color rgb="FFFF0000"/>
      <name val="Calibri"/>
      <family val="2"/>
      <charset val="1"/>
    </font>
    <font>
      <b/>
      <sz val="10"/>
      <color rgb="FF000000"/>
      <name val="Calibri"/>
      <family val="2"/>
      <charset val="1"/>
    </font>
    <font>
      <b/>
      <sz val="10"/>
      <color rgb="FFC00000"/>
      <name val="Calibri"/>
      <family val="2"/>
      <charset val="1"/>
    </font>
    <font>
      <b/>
      <sz val="11"/>
      <color rgb="FFC00000"/>
      <name val="Calibri"/>
      <family val="2"/>
      <charset val="1"/>
    </font>
    <font>
      <i/>
      <sz val="11"/>
      <color rgb="FF000000"/>
      <name val="Calibri"/>
      <family val="2"/>
      <charset val="1"/>
    </font>
    <font>
      <b/>
      <sz val="20"/>
      <color rgb="FFFFFFFF"/>
      <name val="Calibri"/>
      <family val="2"/>
      <charset val="1"/>
    </font>
    <font>
      <b/>
      <sz val="12"/>
      <color rgb="FFC00000"/>
      <name val="Calibri"/>
      <family val="2"/>
      <charset val="1"/>
    </font>
    <font>
      <sz val="10"/>
      <color rgb="FF000000"/>
      <name val="Calibri"/>
      <family val="2"/>
      <charset val="1"/>
    </font>
    <font>
      <i/>
      <sz val="11"/>
      <color rgb="FFC00000"/>
      <name val="Calibri"/>
      <family val="2"/>
      <charset val="1"/>
    </font>
    <font>
      <sz val="11"/>
      <color rgb="FF000000"/>
      <name val="Arial Narrow"/>
      <family val="2"/>
      <charset val="1"/>
    </font>
    <font>
      <sz val="11"/>
      <color rgb="FFC00000"/>
      <name val="Calibri"/>
      <family val="2"/>
      <charset val="1"/>
    </font>
    <font>
      <b/>
      <i/>
      <sz val="12"/>
      <color rgb="FF000000"/>
      <name val="Calibri"/>
      <family val="2"/>
      <charset val="1"/>
    </font>
    <font>
      <b/>
      <i/>
      <sz val="11"/>
      <color rgb="FF000000"/>
      <name val="Calibri"/>
      <family val="2"/>
      <charset val="1"/>
    </font>
    <font>
      <b/>
      <sz val="11"/>
      <color rgb="FF000000"/>
      <name val="Arial"/>
      <family val="2"/>
      <charset val="1"/>
    </font>
    <font>
      <b/>
      <sz val="11"/>
      <color rgb="FFFF0000"/>
      <name val="Arial"/>
      <family val="2"/>
      <charset val="1"/>
    </font>
    <font>
      <b/>
      <sz val="11"/>
      <name val="Calibri"/>
      <family val="2"/>
      <charset val="1"/>
    </font>
    <font>
      <b/>
      <sz val="8"/>
      <color rgb="FFFF0000"/>
      <name val="Tahoma"/>
      <family val="2"/>
      <charset val="1"/>
    </font>
    <font>
      <b/>
      <sz val="9"/>
      <color rgb="FF000000"/>
      <name val="Tahoma"/>
      <family val="2"/>
      <charset val="1"/>
    </font>
    <font>
      <b/>
      <sz val="9"/>
      <name val="Tahoma"/>
      <family val="2"/>
      <charset val="1"/>
    </font>
    <font>
      <b/>
      <sz val="12"/>
      <name val="Arial"/>
      <family val="2"/>
      <charset val="1"/>
    </font>
    <font>
      <sz val="11"/>
      <name val="Times New Roman"/>
      <family val="1"/>
      <charset val="1"/>
    </font>
    <font>
      <sz val="12"/>
      <name val="Times New Roman"/>
      <family val="1"/>
      <charset val="1"/>
    </font>
    <font>
      <b/>
      <sz val="12"/>
      <color rgb="FF000000"/>
      <name val="Arial"/>
      <family val="2"/>
      <charset val="1"/>
    </font>
    <font>
      <sz val="12"/>
      <color rgb="FF000000"/>
      <name val="Arial"/>
      <family val="2"/>
      <charset val="1"/>
    </font>
    <font>
      <sz val="12"/>
      <name val="Arial"/>
      <family val="2"/>
      <charset val="1"/>
    </font>
    <font>
      <sz val="11"/>
      <name val="Arial"/>
      <family val="2"/>
      <charset val="1"/>
    </font>
    <font>
      <sz val="9"/>
      <name val="Arial"/>
      <family val="2"/>
      <charset val="1"/>
    </font>
    <font>
      <sz val="14"/>
      <name val="Calibri"/>
      <family val="2"/>
      <charset val="1"/>
    </font>
    <font>
      <sz val="14"/>
      <name val="Arial"/>
      <family val="2"/>
      <charset val="1"/>
    </font>
    <font>
      <b/>
      <sz val="12"/>
      <name val="Calibri"/>
      <family val="2"/>
      <charset val="1"/>
    </font>
    <font>
      <sz val="11"/>
      <color rgb="FF000000"/>
      <name val="Calibri"/>
      <family val="2"/>
      <charset val="1"/>
    </font>
  </fonts>
  <fills count="22">
    <fill>
      <patternFill patternType="none"/>
    </fill>
    <fill>
      <patternFill patternType="gray125"/>
    </fill>
    <fill>
      <patternFill patternType="solid">
        <fgColor rgb="FF92D050"/>
        <bgColor rgb="FFBFBFBF"/>
      </patternFill>
    </fill>
    <fill>
      <patternFill patternType="solid">
        <fgColor rgb="FFFFFFFF"/>
        <bgColor rgb="FFF2F2F2"/>
      </patternFill>
    </fill>
    <fill>
      <patternFill patternType="solid">
        <fgColor rgb="FFFFFF00"/>
        <bgColor rgb="FFFFFF00"/>
      </patternFill>
    </fill>
    <fill>
      <patternFill patternType="solid">
        <fgColor rgb="FFFFC000"/>
        <bgColor rgb="FFF79646"/>
      </patternFill>
    </fill>
    <fill>
      <patternFill patternType="solid">
        <fgColor rgb="FFFDEADA"/>
        <bgColor rgb="FFEEECE1"/>
      </patternFill>
    </fill>
    <fill>
      <patternFill patternType="solid">
        <fgColor rgb="FFC6D9F1"/>
        <bgColor rgb="FFB7DEE8"/>
      </patternFill>
    </fill>
    <fill>
      <patternFill patternType="solid">
        <fgColor rgb="FFDCE6F2"/>
        <bgColor rgb="FFEEECE1"/>
      </patternFill>
    </fill>
    <fill>
      <patternFill patternType="solid">
        <fgColor rgb="FFD9D9D9"/>
        <bgColor rgb="FFD7E4BD"/>
      </patternFill>
    </fill>
    <fill>
      <patternFill patternType="solid">
        <fgColor rgb="FFF2F2F2"/>
        <bgColor rgb="FFEEECE1"/>
      </patternFill>
    </fill>
    <fill>
      <patternFill patternType="solid">
        <fgColor rgb="FFF79646"/>
        <bgColor rgb="FFFF8080"/>
      </patternFill>
    </fill>
    <fill>
      <patternFill patternType="solid">
        <fgColor rgb="FFEBF1DE"/>
        <bgColor rgb="FFEEECE1"/>
      </patternFill>
    </fill>
    <fill>
      <patternFill patternType="solid">
        <fgColor rgb="FF000000"/>
        <bgColor rgb="FF003300"/>
      </patternFill>
    </fill>
    <fill>
      <patternFill patternType="solid">
        <fgColor rgb="FFEEECE1"/>
        <bgColor rgb="FFEBF1DE"/>
      </patternFill>
    </fill>
    <fill>
      <patternFill patternType="solid">
        <fgColor rgb="FFD7E4BD"/>
        <bgColor rgb="FFD9D9D9"/>
      </patternFill>
    </fill>
    <fill>
      <patternFill patternType="solid">
        <fgColor rgb="FFBFBFBF"/>
        <bgColor rgb="FFD9D9D9"/>
      </patternFill>
    </fill>
    <fill>
      <patternFill patternType="solid">
        <fgColor theme="3" tint="0.79998168889431442"/>
        <bgColor rgb="FFEEECE1"/>
      </patternFill>
    </fill>
    <fill>
      <patternFill patternType="solid">
        <fgColor rgb="FFFFFF00"/>
        <bgColor rgb="FFD9D9D9"/>
      </patternFill>
    </fill>
    <fill>
      <patternFill patternType="solid">
        <fgColor rgb="FFFFFF00"/>
        <bgColor indexed="64"/>
      </patternFill>
    </fill>
    <fill>
      <patternFill patternType="solid">
        <fgColor rgb="FF92D050"/>
        <bgColor rgb="FFFFFF00"/>
      </patternFill>
    </fill>
    <fill>
      <patternFill patternType="solid">
        <fgColor rgb="FF92D050"/>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top/>
      <bottom/>
      <diagonal/>
    </border>
    <border>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style="medium">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style="medium">
        <color auto="1"/>
      </bottom>
      <diagonal/>
    </border>
    <border>
      <left/>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thin">
        <color auto="1"/>
      </top>
      <bottom style="thin">
        <color auto="1"/>
      </bottom>
      <diagonal/>
    </border>
    <border>
      <left/>
      <right style="medium">
        <color auto="1"/>
      </right>
      <top/>
      <bottom/>
      <diagonal/>
    </border>
    <border>
      <left style="medium">
        <color auto="1"/>
      </left>
      <right/>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auto="1"/>
      </left>
      <right style="medium">
        <color auto="1"/>
      </right>
      <top style="medium">
        <color auto="1"/>
      </top>
      <bottom/>
      <diagonal/>
    </border>
    <border>
      <left style="thin">
        <color auto="1"/>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bottom/>
      <diagonal/>
    </border>
  </borders>
  <cellStyleXfs count="5">
    <xf numFmtId="0" fontId="0" fillId="0" borderId="0"/>
    <xf numFmtId="168" fontId="48" fillId="0" borderId="0" applyBorder="0" applyProtection="0"/>
    <xf numFmtId="0" fontId="48" fillId="0" borderId="0" applyBorder="0" applyProtection="0"/>
    <xf numFmtId="9" fontId="48" fillId="0" borderId="0" applyBorder="0" applyProtection="0"/>
    <xf numFmtId="164" fontId="2" fillId="0" borderId="0" applyBorder="0" applyProtection="0"/>
  </cellStyleXfs>
  <cellXfs count="837">
    <xf numFmtId="0" fontId="0" fillId="0" borderId="0" xfId="0"/>
    <xf numFmtId="0" fontId="0" fillId="0" borderId="0" xfId="0" applyAlignment="1">
      <alignment horizontal="center"/>
    </xf>
    <xf numFmtId="0" fontId="0" fillId="0" borderId="0" xfId="0" applyAlignment="1" applyProtection="1">
      <alignment horizontal="center"/>
    </xf>
    <xf numFmtId="0" fontId="3" fillId="0" borderId="0" xfId="0" applyFont="1" applyAlignment="1" applyProtection="1"/>
    <xf numFmtId="0" fontId="0" fillId="0" borderId="0" xfId="0" applyFont="1" applyAlignment="1" applyProtection="1"/>
    <xf numFmtId="0" fontId="4" fillId="0" borderId="0" xfId="0" applyFont="1" applyAlignment="1" applyProtection="1"/>
    <xf numFmtId="0" fontId="0" fillId="0" borderId="0" xfId="0" applyProtection="1"/>
    <xf numFmtId="0" fontId="5" fillId="0" borderId="0" xfId="0" applyFont="1" applyAlignment="1" applyProtection="1"/>
    <xf numFmtId="0" fontId="6" fillId="0" borderId="0" xfId="0" applyFont="1" applyAlignment="1" applyProtection="1"/>
    <xf numFmtId="49" fontId="7" fillId="0" borderId="0" xfId="0" applyNumberFormat="1" applyFont="1" applyAlignment="1" applyProtection="1"/>
    <xf numFmtId="0" fontId="8" fillId="0" borderId="0" xfId="0" applyFont="1" applyAlignment="1" applyProtection="1"/>
    <xf numFmtId="0" fontId="9" fillId="0" borderId="0" xfId="0" applyFont="1" applyBorder="1" applyAlignment="1" applyProtection="1">
      <alignment vertical="center"/>
    </xf>
    <xf numFmtId="0" fontId="1" fillId="2" borderId="1" xfId="0" applyFont="1" applyFill="1" applyBorder="1" applyAlignment="1" applyProtection="1">
      <alignment horizontal="center"/>
      <protection locked="0"/>
    </xf>
    <xf numFmtId="0" fontId="1" fillId="2" borderId="1" xfId="0" applyFont="1" applyFill="1" applyBorder="1" applyAlignment="1">
      <alignment horizontal="center"/>
    </xf>
    <xf numFmtId="0" fontId="0" fillId="2" borderId="1" xfId="0" applyFill="1" applyBorder="1" applyAlignment="1">
      <alignment horizontal="center"/>
    </xf>
    <xf numFmtId="0" fontId="0" fillId="3" borderId="0" xfId="0" applyFill="1"/>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165" fontId="0" fillId="2" borderId="2" xfId="0" applyNumberFormat="1" applyFill="1" applyBorder="1" applyAlignment="1" applyProtection="1">
      <alignment horizontal="center"/>
      <protection locked="0"/>
    </xf>
    <xf numFmtId="10" fontId="1" fillId="2" borderId="2" xfId="0" applyNumberFormat="1" applyFont="1" applyFill="1" applyBorder="1" applyAlignment="1" applyProtection="1">
      <alignment horizontal="center"/>
      <protection locked="0"/>
    </xf>
    <xf numFmtId="0" fontId="1" fillId="2" borderId="3" xfId="0" applyFont="1"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1" fillId="2" borderId="1" xfId="0" applyFont="1" applyFill="1" applyBorder="1" applyAlignment="1" applyProtection="1">
      <alignment horizontal="center"/>
    </xf>
    <xf numFmtId="0" fontId="0" fillId="4" borderId="1" xfId="0" applyFont="1" applyFill="1" applyBorder="1" applyAlignment="1" applyProtection="1">
      <alignment horizontal="center"/>
    </xf>
    <xf numFmtId="10" fontId="1" fillId="2" borderId="5" xfId="0" applyNumberFormat="1" applyFont="1" applyFill="1" applyBorder="1" applyAlignment="1" applyProtection="1">
      <alignment horizontal="center"/>
      <protection locked="0"/>
    </xf>
    <xf numFmtId="0" fontId="1" fillId="2" borderId="5" xfId="0" applyFont="1" applyFill="1" applyBorder="1" applyAlignment="1" applyProtection="1">
      <alignment horizontal="center"/>
      <protection locked="0"/>
    </xf>
    <xf numFmtId="0" fontId="0" fillId="3" borderId="0" xfId="0" applyFill="1" applyAlignment="1">
      <alignment horizontal="center"/>
    </xf>
    <xf numFmtId="0" fontId="0" fillId="2" borderId="0" xfId="0" applyFill="1"/>
    <xf numFmtId="49" fontId="0" fillId="4" borderId="1" xfId="0" applyNumberFormat="1" applyFont="1" applyFill="1" applyBorder="1" applyAlignment="1" applyProtection="1">
      <alignment horizontal="center"/>
    </xf>
    <xf numFmtId="166" fontId="0" fillId="4" borderId="1" xfId="0" applyNumberFormat="1" applyFill="1" applyBorder="1" applyAlignment="1" applyProtection="1">
      <alignment horizontal="center"/>
    </xf>
    <xf numFmtId="0" fontId="0" fillId="4" borderId="2" xfId="0" applyFont="1" applyFill="1" applyBorder="1" applyAlignment="1" applyProtection="1">
      <alignment horizontal="center"/>
    </xf>
    <xf numFmtId="0" fontId="0" fillId="4" borderId="4" xfId="0" applyFill="1" applyBorder="1" applyAlignment="1" applyProtection="1">
      <alignment horizontal="center"/>
    </xf>
    <xf numFmtId="167" fontId="0" fillId="4" borderId="1" xfId="0" applyNumberFormat="1" applyFill="1" applyBorder="1" applyAlignment="1" applyProtection="1">
      <alignment horizontal="center"/>
    </xf>
    <xf numFmtId="49" fontId="0" fillId="4" borderId="1" xfId="0" applyNumberFormat="1" applyFont="1" applyFill="1" applyBorder="1" applyAlignment="1" applyProtection="1">
      <alignment horizontal="center" vertical="center"/>
    </xf>
    <xf numFmtId="0" fontId="48" fillId="4" borderId="1" xfId="1" applyNumberFormat="1" applyFill="1" applyBorder="1" applyAlignment="1" applyProtection="1">
      <alignment horizontal="center" vertical="center"/>
    </xf>
    <xf numFmtId="168" fontId="48" fillId="4" borderId="1" xfId="1" applyFill="1" applyBorder="1" applyAlignment="1" applyProtection="1">
      <alignment horizontal="center" vertical="center"/>
    </xf>
    <xf numFmtId="0" fontId="14" fillId="6" borderId="1" xfId="0" applyFont="1" applyFill="1" applyBorder="1" applyAlignment="1" applyProtection="1">
      <alignment horizontal="center" wrapText="1"/>
    </xf>
    <xf numFmtId="0" fontId="15" fillId="6" borderId="1" xfId="0" applyFont="1" applyFill="1" applyBorder="1" applyAlignment="1" applyProtection="1">
      <alignment horizontal="center" wrapText="1"/>
    </xf>
    <xf numFmtId="0" fontId="0" fillId="6" borderId="1" xfId="0" applyFont="1" applyFill="1" applyBorder="1" applyAlignment="1" applyProtection="1">
      <alignment horizontal="center" wrapText="1"/>
    </xf>
    <xf numFmtId="165" fontId="6" fillId="6" borderId="1" xfId="0" applyNumberFormat="1" applyFont="1" applyFill="1" applyBorder="1" applyAlignment="1" applyProtection="1">
      <alignment horizontal="center" vertical="center"/>
    </xf>
    <xf numFmtId="0" fontId="48" fillId="6" borderId="1" xfId="3" applyNumberFormat="1" applyFill="1" applyBorder="1" applyAlignment="1" applyProtection="1">
      <alignment horizontal="center"/>
    </xf>
    <xf numFmtId="9" fontId="48" fillId="6" borderId="1" xfId="3" applyFill="1" applyBorder="1" applyAlignment="1" applyProtection="1">
      <alignment horizontal="center"/>
    </xf>
    <xf numFmtId="165" fontId="48" fillId="6" borderId="1" xfId="2" applyNumberFormat="1" applyFill="1" applyBorder="1" applyAlignment="1" applyProtection="1">
      <alignment horizontal="center"/>
    </xf>
    <xf numFmtId="165" fontId="48" fillId="6" borderId="1" xfId="3" applyNumberFormat="1" applyFill="1" applyBorder="1" applyAlignment="1" applyProtection="1">
      <alignment horizontal="center"/>
    </xf>
    <xf numFmtId="0" fontId="14" fillId="7" borderId="1" xfId="0" applyFont="1" applyFill="1" applyBorder="1" applyAlignment="1" applyProtection="1">
      <alignment horizontal="center" wrapText="1"/>
    </xf>
    <xf numFmtId="0" fontId="15" fillId="7" borderId="1" xfId="0" applyFont="1" applyFill="1" applyBorder="1" applyAlignment="1" applyProtection="1">
      <alignment horizontal="center" wrapText="1"/>
    </xf>
    <xf numFmtId="0" fontId="0" fillId="7" borderId="1" xfId="0" applyFont="1" applyFill="1" applyBorder="1" applyAlignment="1" applyProtection="1">
      <alignment horizontal="center" wrapText="1"/>
    </xf>
    <xf numFmtId="165" fontId="6" fillId="7" borderId="1" xfId="0" applyNumberFormat="1" applyFont="1" applyFill="1" applyBorder="1" applyAlignment="1" applyProtection="1">
      <alignment horizontal="center" vertical="center"/>
    </xf>
    <xf numFmtId="0" fontId="48" fillId="7" borderId="1" xfId="3" applyNumberFormat="1" applyFill="1" applyBorder="1" applyAlignment="1" applyProtection="1">
      <alignment horizontal="center"/>
    </xf>
    <xf numFmtId="9" fontId="48" fillId="7" borderId="1" xfId="3" applyFill="1" applyBorder="1" applyAlignment="1" applyProtection="1">
      <alignment horizontal="center"/>
    </xf>
    <xf numFmtId="165" fontId="48" fillId="7" borderId="1" xfId="2" applyNumberFormat="1" applyFill="1" applyBorder="1" applyAlignment="1" applyProtection="1">
      <alignment horizontal="center"/>
    </xf>
    <xf numFmtId="165" fontId="48" fillId="7" borderId="1" xfId="3" applyNumberFormat="1" applyFill="1" applyBorder="1" applyAlignment="1" applyProtection="1">
      <alignment horizontal="center"/>
    </xf>
    <xf numFmtId="0" fontId="0" fillId="10" borderId="0" xfId="0" applyFill="1"/>
    <xf numFmtId="0" fontId="0" fillId="11" borderId="1" xfId="0" applyFont="1" applyFill="1" applyBorder="1" applyAlignment="1" applyProtection="1">
      <alignment horizontal="center"/>
    </xf>
    <xf numFmtId="10" fontId="0" fillId="11" borderId="1" xfId="0" applyNumberFormat="1" applyFill="1" applyBorder="1" applyAlignment="1" applyProtection="1">
      <alignment horizontal="center"/>
    </xf>
    <xf numFmtId="9" fontId="0" fillId="11" borderId="1" xfId="0" applyNumberFormat="1" applyFill="1" applyBorder="1" applyAlignment="1" applyProtection="1">
      <alignment horizontal="center"/>
    </xf>
    <xf numFmtId="0" fontId="0" fillId="10" borderId="0" xfId="0" applyFill="1" applyProtection="1"/>
    <xf numFmtId="0" fontId="1" fillId="11" borderId="1" xfId="0" applyFont="1" applyFill="1" applyBorder="1" applyAlignment="1" applyProtection="1">
      <alignment horizontal="center" wrapText="1"/>
    </xf>
    <xf numFmtId="0" fontId="1" fillId="11" borderId="1" xfId="0" applyFont="1" applyFill="1" applyBorder="1" applyAlignment="1" applyProtection="1">
      <alignment horizontal="center"/>
    </xf>
    <xf numFmtId="9" fontId="1" fillId="11" borderId="1" xfId="0" applyNumberFormat="1" applyFont="1" applyFill="1" applyBorder="1" applyAlignment="1" applyProtection="1">
      <alignment horizontal="center"/>
    </xf>
    <xf numFmtId="0" fontId="0" fillId="0" borderId="6" xfId="0" applyBorder="1" applyAlignment="1" applyProtection="1">
      <alignment wrapText="1"/>
    </xf>
    <xf numFmtId="0" fontId="0" fillId="0" borderId="7" xfId="0" applyBorder="1" applyAlignment="1" applyProtection="1">
      <alignment wrapText="1"/>
    </xf>
    <xf numFmtId="0" fontId="0" fillId="0" borderId="8" xfId="0" applyBorder="1" applyAlignment="1" applyProtection="1">
      <alignment wrapText="1"/>
    </xf>
    <xf numFmtId="0" fontId="0" fillId="0" borderId="0" xfId="0" applyAlignment="1" applyProtection="1">
      <alignment horizontal="center"/>
      <protection locked="0"/>
    </xf>
    <xf numFmtId="10" fontId="0" fillId="0" borderId="0" xfId="0" applyNumberFormat="1" applyAlignment="1" applyProtection="1">
      <alignment horizontal="center"/>
      <protection locked="0"/>
    </xf>
    <xf numFmtId="0" fontId="0" fillId="0" borderId="0" xfId="0" applyFont="1"/>
    <xf numFmtId="0" fontId="9" fillId="0" borderId="0" xfId="0" applyFont="1" applyBorder="1" applyAlignment="1" applyProtection="1">
      <alignment horizontal="center"/>
    </xf>
    <xf numFmtId="0" fontId="0" fillId="4" borderId="0" xfId="0" applyFill="1"/>
    <xf numFmtId="0" fontId="5" fillId="12" borderId="9" xfId="0" applyFont="1" applyFill="1" applyBorder="1" applyAlignment="1" applyProtection="1">
      <alignment horizontal="center"/>
    </xf>
    <xf numFmtId="0" fontId="10" fillId="0" borderId="11" xfId="0" applyFont="1" applyBorder="1" applyProtection="1"/>
    <xf numFmtId="0" fontId="17" fillId="3" borderId="12" xfId="0" applyFont="1" applyFill="1" applyBorder="1" applyAlignment="1" applyProtection="1">
      <alignment horizontal="center"/>
    </xf>
    <xf numFmtId="0" fontId="17" fillId="3" borderId="12" xfId="0" applyFont="1" applyFill="1" applyBorder="1" applyAlignment="1" applyProtection="1"/>
    <xf numFmtId="0" fontId="17" fillId="3" borderId="0" xfId="0" applyFont="1" applyFill="1" applyBorder="1" applyAlignment="1" applyProtection="1">
      <alignment horizontal="center"/>
    </xf>
    <xf numFmtId="0" fontId="10" fillId="3" borderId="0" xfId="0" applyFont="1" applyFill="1" applyBorder="1" applyAlignment="1" applyProtection="1">
      <alignment horizontal="right"/>
    </xf>
    <xf numFmtId="49" fontId="10" fillId="3" borderId="13" xfId="0" applyNumberFormat="1" applyFont="1" applyFill="1" applyBorder="1" applyAlignment="1" applyProtection="1">
      <alignment horizontal="center"/>
    </xf>
    <xf numFmtId="0" fontId="10" fillId="12" borderId="15" xfId="0" applyFont="1" applyFill="1" applyBorder="1" applyAlignment="1" applyProtection="1">
      <alignment horizontal="center"/>
    </xf>
    <xf numFmtId="0" fontId="0" fillId="0" borderId="0" xfId="0" applyFont="1" applyAlignment="1" applyProtection="1">
      <protection locked="0"/>
    </xf>
    <xf numFmtId="0" fontId="10" fillId="0" borderId="16" xfId="0" applyFont="1" applyBorder="1" applyAlignment="1" applyProtection="1">
      <alignment horizontal="left"/>
    </xf>
    <xf numFmtId="0" fontId="0" fillId="0" borderId="0" xfId="0" applyFont="1" applyAlignment="1" applyProtection="1">
      <alignment horizontal="center"/>
      <protection locked="0"/>
    </xf>
    <xf numFmtId="10" fontId="0" fillId="0" borderId="0" xfId="3" applyNumberFormat="1" applyFont="1" applyBorder="1" applyAlignment="1" applyProtection="1">
      <protection locked="0"/>
    </xf>
    <xf numFmtId="0" fontId="19" fillId="0" borderId="16" xfId="0" applyFont="1" applyBorder="1" applyAlignment="1" applyProtection="1">
      <alignment horizontal="center"/>
    </xf>
    <xf numFmtId="0" fontId="10" fillId="0" borderId="17" xfId="0" applyFont="1" applyBorder="1" applyAlignment="1" applyProtection="1">
      <alignment horizontal="right"/>
    </xf>
    <xf numFmtId="0" fontId="10" fillId="0" borderId="16" xfId="0" applyFont="1" applyBorder="1" applyAlignment="1" applyProtection="1">
      <alignment horizontal="center"/>
    </xf>
    <xf numFmtId="0" fontId="0" fillId="0" borderId="1" xfId="0" applyFont="1" applyBorder="1" applyAlignment="1" applyProtection="1">
      <alignment horizontal="left"/>
    </xf>
    <xf numFmtId="167" fontId="0" fillId="0" borderId="1" xfId="0" applyNumberFormat="1" applyFont="1" applyBorder="1" applyAlignment="1" applyProtection="1">
      <alignment horizontal="center"/>
    </xf>
    <xf numFmtId="0" fontId="10" fillId="0" borderId="16" xfId="0" applyFont="1" applyBorder="1" applyAlignment="1" applyProtection="1">
      <alignment horizontal="center" vertical="center"/>
    </xf>
    <xf numFmtId="0" fontId="0" fillId="0" borderId="1" xfId="0" applyFont="1" applyBorder="1" applyAlignment="1" applyProtection="1">
      <alignment horizontal="left" vertical="center" wrapText="1"/>
    </xf>
    <xf numFmtId="1" fontId="21" fillId="3" borderId="17" xfId="0" applyNumberFormat="1" applyFont="1" applyFill="1" applyBorder="1" applyAlignment="1" applyProtection="1">
      <alignment horizontal="center" vertical="center"/>
    </xf>
    <xf numFmtId="0" fontId="10" fillId="0" borderId="18" xfId="0" applyFont="1" applyBorder="1" applyAlignment="1" applyProtection="1">
      <alignment horizontal="center" vertical="center"/>
    </xf>
    <xf numFmtId="0" fontId="22" fillId="0" borderId="1" xfId="0" applyFont="1" applyBorder="1" applyAlignment="1" applyProtection="1">
      <alignment horizontal="left" wrapText="1"/>
    </xf>
    <xf numFmtId="169" fontId="22" fillId="3" borderId="1" xfId="0" applyNumberFormat="1" applyFont="1" applyFill="1" applyBorder="1" applyAlignment="1" applyProtection="1">
      <alignment wrapText="1"/>
    </xf>
    <xf numFmtId="0" fontId="22" fillId="0" borderId="1" xfId="0" applyFont="1" applyBorder="1" applyAlignment="1" applyProtection="1">
      <alignment horizontal="left"/>
    </xf>
    <xf numFmtId="165" fontId="48" fillId="0" borderId="17" xfId="2" applyNumberFormat="1" applyBorder="1" applyProtection="1"/>
    <xf numFmtId="49" fontId="22" fillId="3" borderId="17" xfId="0" applyNumberFormat="1" applyFont="1" applyFill="1" applyBorder="1" applyAlignment="1" applyProtection="1">
      <alignment horizontal="center"/>
    </xf>
    <xf numFmtId="165" fontId="22" fillId="3" borderId="17" xfId="0" applyNumberFormat="1" applyFont="1" applyFill="1" applyBorder="1" applyAlignment="1" applyProtection="1"/>
    <xf numFmtId="0" fontId="22" fillId="0" borderId="1" xfId="0" applyFont="1" applyBorder="1" applyAlignment="1" applyProtection="1">
      <alignment horizontal="center"/>
    </xf>
    <xf numFmtId="0" fontId="23" fillId="13" borderId="9" xfId="0" applyFont="1" applyFill="1" applyBorder="1" applyAlignment="1" applyProtection="1">
      <alignment horizontal="center"/>
    </xf>
    <xf numFmtId="0" fontId="10" fillId="12" borderId="19" xfId="0" applyFont="1" applyFill="1" applyBorder="1" applyAlignment="1" applyProtection="1">
      <alignment horizontal="center"/>
    </xf>
    <xf numFmtId="0" fontId="0" fillId="0" borderId="15" xfId="0" applyFont="1" applyBorder="1" applyAlignment="1" applyProtection="1">
      <alignment horizontal="left" vertical="center"/>
    </xf>
    <xf numFmtId="0" fontId="0" fillId="0" borderId="1" xfId="0" applyFont="1" applyBorder="1" applyAlignment="1" applyProtection="1">
      <alignment horizontal="left" vertical="center"/>
    </xf>
    <xf numFmtId="0" fontId="24" fillId="3" borderId="17" xfId="0" applyFont="1" applyFill="1" applyBorder="1" applyAlignment="1" applyProtection="1">
      <alignment horizontal="center" vertical="center" wrapText="1"/>
    </xf>
    <xf numFmtId="0" fontId="21" fillId="3" borderId="20" xfId="0" applyFont="1" applyFill="1" applyBorder="1" applyAlignment="1" applyProtection="1">
      <alignment horizontal="center" vertical="center" wrapText="1"/>
    </xf>
    <xf numFmtId="0" fontId="25" fillId="0" borderId="1" xfId="0" applyFont="1" applyBorder="1" applyAlignment="1" applyProtection="1">
      <alignment horizontal="left" vertical="center"/>
    </xf>
    <xf numFmtId="169" fontId="21" fillId="3" borderId="20" xfId="1" applyNumberFormat="1" applyFont="1" applyFill="1" applyBorder="1" applyAlignment="1" applyProtection="1">
      <alignment horizontal="center" vertical="center"/>
    </xf>
    <xf numFmtId="0" fontId="21" fillId="3" borderId="20" xfId="0" applyFont="1" applyFill="1" applyBorder="1" applyAlignment="1" applyProtection="1">
      <alignment horizontal="center" vertical="center"/>
    </xf>
    <xf numFmtId="167" fontId="21" fillId="3" borderId="17" xfId="0" applyNumberFormat="1" applyFont="1" applyFill="1" applyBorder="1" applyAlignment="1" applyProtection="1">
      <alignment horizontal="center" vertical="center"/>
    </xf>
    <xf numFmtId="0" fontId="10" fillId="0" borderId="21" xfId="0" applyFont="1" applyBorder="1" applyAlignment="1" applyProtection="1">
      <alignment vertical="center"/>
    </xf>
    <xf numFmtId="0" fontId="26" fillId="0" borderId="22" xfId="0" applyFont="1" applyBorder="1" applyAlignment="1" applyProtection="1">
      <alignment horizontal="left" vertical="center"/>
    </xf>
    <xf numFmtId="0" fontId="10" fillId="0" borderId="0" xfId="0" applyFont="1" applyBorder="1" applyProtection="1"/>
    <xf numFmtId="0" fontId="22" fillId="0" borderId="0" xfId="0" applyFont="1" applyBorder="1" applyAlignment="1" applyProtection="1">
      <alignment horizontal="left"/>
    </xf>
    <xf numFmtId="0" fontId="6" fillId="12" borderId="23" xfId="0" applyFont="1" applyFill="1" applyBorder="1" applyAlignment="1" applyProtection="1">
      <alignment horizontal="center"/>
    </xf>
    <xf numFmtId="0" fontId="6" fillId="12" borderId="24" xfId="0" applyFont="1" applyFill="1" applyBorder="1" applyAlignment="1" applyProtection="1">
      <alignment horizontal="center"/>
    </xf>
    <xf numFmtId="0" fontId="10" fillId="12" borderId="16" xfId="0" applyFont="1" applyFill="1" applyBorder="1" applyAlignment="1" applyProtection="1">
      <alignment horizontal="center"/>
    </xf>
    <xf numFmtId="0" fontId="10" fillId="12" borderId="1" xfId="0" applyFont="1" applyFill="1" applyBorder="1" applyAlignment="1" applyProtection="1">
      <alignment horizontal="center"/>
    </xf>
    <xf numFmtId="0" fontId="10" fillId="12" borderId="17" xfId="0" applyFont="1" applyFill="1" applyBorder="1" applyAlignment="1" applyProtection="1">
      <alignment horizontal="center"/>
    </xf>
    <xf numFmtId="0" fontId="0" fillId="0" borderId="0" xfId="0" applyFont="1" applyProtection="1">
      <protection locked="0"/>
    </xf>
    <xf numFmtId="0" fontId="0" fillId="0" borderId="2" xfId="0" applyFont="1" applyBorder="1" applyAlignment="1" applyProtection="1"/>
    <xf numFmtId="0" fontId="0" fillId="0" borderId="1" xfId="0" applyFont="1" applyBorder="1" applyAlignment="1" applyProtection="1"/>
    <xf numFmtId="49" fontId="0" fillId="0" borderId="1" xfId="0" applyNumberFormat="1" applyFont="1" applyBorder="1" applyAlignment="1" applyProtection="1"/>
    <xf numFmtId="0" fontId="0" fillId="0" borderId="1" xfId="0" applyFont="1" applyBorder="1" applyAlignment="1" applyProtection="1">
      <alignment horizontal="center"/>
    </xf>
    <xf numFmtId="49" fontId="0" fillId="0" borderId="1" xfId="0" applyNumberFormat="1" applyBorder="1" applyAlignment="1" applyProtection="1"/>
    <xf numFmtId="171" fontId="1" fillId="2" borderId="17" xfId="0" applyNumberFormat="1" applyFont="1" applyFill="1" applyBorder="1" applyAlignment="1" applyProtection="1">
      <alignment horizontal="distributed" vertical="distributed" wrapText="1"/>
    </xf>
    <xf numFmtId="171" fontId="0" fillId="2" borderId="17" xfId="0" applyNumberFormat="1" applyFont="1" applyFill="1" applyBorder="1" applyAlignment="1" applyProtection="1">
      <alignment horizontal="distributed" vertical="distributed" wrapText="1"/>
    </xf>
    <xf numFmtId="0" fontId="17" fillId="0" borderId="0" xfId="0" applyFont="1"/>
    <xf numFmtId="0" fontId="0" fillId="0" borderId="5" xfId="0" applyFont="1" applyBorder="1" applyAlignment="1" applyProtection="1"/>
    <xf numFmtId="0" fontId="17" fillId="0" borderId="0" xfId="0" applyFont="1" applyProtection="1">
      <protection locked="0"/>
    </xf>
    <xf numFmtId="9" fontId="1" fillId="3" borderId="1" xfId="3" applyFont="1" applyFill="1" applyBorder="1" applyAlignment="1" applyProtection="1">
      <alignment horizontal="center" wrapText="1"/>
    </xf>
    <xf numFmtId="171" fontId="0" fillId="2" borderId="26" xfId="0" applyNumberFormat="1" applyFont="1" applyFill="1" applyBorder="1" applyAlignment="1" applyProtection="1">
      <alignment horizontal="distributed" vertical="distributed" wrapText="1"/>
    </xf>
    <xf numFmtId="0" fontId="1" fillId="3" borderId="1" xfId="3" applyNumberFormat="1" applyFont="1" applyFill="1" applyBorder="1" applyAlignment="1" applyProtection="1">
      <alignment horizontal="center"/>
    </xf>
    <xf numFmtId="0" fontId="10" fillId="12" borderId="11" xfId="0" applyFont="1" applyFill="1" applyBorder="1" applyAlignment="1" applyProtection="1">
      <alignment horizontal="center"/>
    </xf>
    <xf numFmtId="0" fontId="10" fillId="12" borderId="4" xfId="0" applyFont="1" applyFill="1" applyBorder="1" applyAlignment="1" applyProtection="1">
      <alignment horizontal="center"/>
    </xf>
    <xf numFmtId="171" fontId="0" fillId="5" borderId="27" xfId="0" applyNumberFormat="1" applyFont="1" applyFill="1" applyBorder="1" applyAlignment="1" applyProtection="1">
      <alignment horizontal="center" vertical="distributed" wrapText="1"/>
    </xf>
    <xf numFmtId="0" fontId="10" fillId="0" borderId="0" xfId="0" applyFont="1" applyAlignment="1" applyProtection="1">
      <alignment horizontal="center"/>
    </xf>
    <xf numFmtId="165" fontId="0" fillId="2" borderId="0" xfId="0" applyNumberFormat="1" applyFont="1" applyFill="1" applyProtection="1"/>
    <xf numFmtId="169" fontId="0" fillId="2" borderId="0" xfId="0" applyNumberFormat="1" applyFont="1" applyFill="1" applyProtection="1"/>
    <xf numFmtId="0" fontId="0" fillId="0" borderId="3" xfId="0" applyFont="1" applyBorder="1" applyAlignment="1" applyProtection="1">
      <alignment horizontal="center" vertical="center" wrapText="1"/>
    </xf>
    <xf numFmtId="0" fontId="0" fillId="0" borderId="28" xfId="0" applyFont="1" applyBorder="1" applyAlignment="1" applyProtection="1">
      <alignment wrapText="1"/>
    </xf>
    <xf numFmtId="165" fontId="0" fillId="4" borderId="26" xfId="0" applyNumberFormat="1" applyFont="1" applyFill="1" applyBorder="1" applyAlignment="1" applyProtection="1">
      <alignment horizontal="distributed" vertical="distributed" wrapText="1"/>
    </xf>
    <xf numFmtId="0" fontId="6" fillId="12" borderId="29" xfId="0" applyFont="1" applyFill="1" applyBorder="1" applyAlignment="1" applyProtection="1">
      <alignment horizontal="center" vertical="center"/>
    </xf>
    <xf numFmtId="165" fontId="6" fillId="12" borderId="30" xfId="0" applyNumberFormat="1" applyFont="1" applyFill="1" applyBorder="1" applyAlignment="1" applyProtection="1">
      <alignment horizontal="distributed" vertical="center"/>
    </xf>
    <xf numFmtId="0" fontId="0" fillId="0" borderId="0" xfId="0" applyFont="1" applyBorder="1" applyProtection="1">
      <protection locked="0"/>
    </xf>
    <xf numFmtId="0" fontId="10" fillId="0" borderId="0" xfId="0" applyFont="1" applyBorder="1" applyAlignment="1" applyProtection="1">
      <alignment horizontal="center"/>
    </xf>
    <xf numFmtId="171" fontId="10" fillId="0" borderId="0" xfId="0" applyNumberFormat="1" applyFont="1" applyBorder="1" applyAlignment="1" applyProtection="1">
      <alignment horizontal="distributed" vertical="center"/>
    </xf>
    <xf numFmtId="0" fontId="0" fillId="0" borderId="0" xfId="0" applyFont="1" applyBorder="1"/>
    <xf numFmtId="0" fontId="6" fillId="12" borderId="16" xfId="0" applyFont="1" applyFill="1" applyBorder="1" applyAlignment="1" applyProtection="1">
      <alignment horizontal="center" vertical="center"/>
    </xf>
    <xf numFmtId="0" fontId="6" fillId="12" borderId="17" xfId="0" applyFont="1" applyFill="1" applyBorder="1" applyAlignment="1" applyProtection="1">
      <alignment horizontal="center" vertical="center"/>
    </xf>
    <xf numFmtId="0" fontId="4" fillId="12" borderId="16" xfId="0" applyFont="1" applyFill="1" applyBorder="1" applyAlignment="1" applyProtection="1">
      <alignment horizontal="center"/>
    </xf>
    <xf numFmtId="0" fontId="0" fillId="0" borderId="0" xfId="0" applyFont="1" applyAlignment="1" applyProtection="1">
      <alignment vertical="center"/>
      <protection locked="0"/>
    </xf>
    <xf numFmtId="0" fontId="10" fillId="0" borderId="16" xfId="0" applyFont="1" applyBorder="1" applyAlignment="1" applyProtection="1">
      <alignment horizontal="center" vertical="center"/>
    </xf>
    <xf numFmtId="172" fontId="0" fillId="2" borderId="17" xfId="0" applyNumberFormat="1" applyFont="1" applyFill="1" applyBorder="1" applyAlignment="1" applyProtection="1">
      <alignment horizontal="right" vertical="center"/>
    </xf>
    <xf numFmtId="0" fontId="0" fillId="0" borderId="0" xfId="0" applyFont="1" applyAlignment="1">
      <alignment vertical="center"/>
    </xf>
    <xf numFmtId="0" fontId="0" fillId="0" borderId="0" xfId="0" applyFont="1" applyAlignment="1" applyProtection="1">
      <alignment vertical="center"/>
      <protection locked="0"/>
    </xf>
    <xf numFmtId="0" fontId="0" fillId="0" borderId="0" xfId="0" applyFont="1" applyAlignment="1">
      <alignment vertical="center"/>
    </xf>
    <xf numFmtId="0" fontId="10" fillId="12" borderId="25" xfId="0" applyFont="1" applyFill="1" applyBorder="1" applyAlignment="1" applyProtection="1">
      <alignment horizontal="center" vertical="center"/>
    </xf>
    <xf numFmtId="172" fontId="0" fillId="12" borderId="26" xfId="0" applyNumberFormat="1" applyFont="1" applyFill="1" applyBorder="1" applyAlignment="1" applyProtection="1">
      <alignment horizontal="right" vertical="center"/>
    </xf>
    <xf numFmtId="0" fontId="6" fillId="12" borderId="29" xfId="0" applyFont="1" applyFill="1" applyBorder="1" applyAlignment="1" applyProtection="1">
      <alignment horizontal="center" vertical="center" wrapText="1"/>
    </xf>
    <xf numFmtId="171" fontId="6" fillId="12" borderId="30" xfId="0" applyNumberFormat="1" applyFont="1" applyFill="1" applyBorder="1" applyAlignment="1" applyProtection="1">
      <alignment horizontal="distributed" vertical="center"/>
    </xf>
    <xf numFmtId="0" fontId="6" fillId="12" borderId="31" xfId="0" applyFont="1" applyFill="1" applyBorder="1" applyAlignment="1" applyProtection="1">
      <alignment horizontal="center" vertical="center"/>
    </xf>
    <xf numFmtId="0" fontId="6" fillId="12" borderId="32" xfId="0" applyFont="1" applyFill="1" applyBorder="1" applyAlignment="1" applyProtection="1">
      <alignment horizontal="center" vertical="center" wrapText="1"/>
    </xf>
    <xf numFmtId="0" fontId="4" fillId="12" borderId="33" xfId="0" applyFont="1" applyFill="1" applyBorder="1" applyAlignment="1" applyProtection="1">
      <alignment horizontal="center"/>
    </xf>
    <xf numFmtId="0" fontId="10" fillId="12" borderId="34" xfId="0" applyFont="1" applyFill="1" applyBorder="1" applyAlignment="1" applyProtection="1">
      <alignment horizontal="center"/>
    </xf>
    <xf numFmtId="10" fontId="6" fillId="12" borderId="35" xfId="0" applyNumberFormat="1" applyFont="1" applyFill="1" applyBorder="1" applyAlignment="1" applyProtection="1">
      <alignment horizontal="center" vertical="center"/>
    </xf>
    <xf numFmtId="172" fontId="6" fillId="12" borderId="30" xfId="0" applyNumberFormat="1" applyFont="1" applyFill="1" applyBorder="1" applyAlignment="1" applyProtection="1">
      <alignment vertical="center"/>
    </xf>
    <xf numFmtId="0" fontId="10" fillId="0" borderId="0" xfId="0" applyFont="1" applyBorder="1" applyAlignment="1" applyProtection="1">
      <alignment horizontal="right"/>
    </xf>
    <xf numFmtId="0" fontId="27" fillId="0" borderId="0" xfId="0" applyFont="1" applyBorder="1" applyAlignment="1" applyProtection="1">
      <alignment horizontal="left"/>
    </xf>
    <xf numFmtId="0" fontId="0" fillId="0" borderId="0" xfId="0" applyFont="1" applyBorder="1" applyAlignment="1" applyProtection="1">
      <alignment horizontal="left"/>
    </xf>
    <xf numFmtId="10" fontId="10" fillId="0" borderId="0" xfId="0" applyNumberFormat="1" applyFont="1" applyBorder="1" applyAlignment="1" applyProtection="1">
      <alignment horizontal="center"/>
    </xf>
    <xf numFmtId="0" fontId="0" fillId="0" borderId="2" xfId="0" applyFont="1" applyBorder="1" applyAlignment="1" applyProtection="1">
      <alignment horizontal="center" vertical="center"/>
    </xf>
    <xf numFmtId="0" fontId="0" fillId="0" borderId="1" xfId="0" applyFont="1" applyBorder="1" applyAlignment="1" applyProtection="1">
      <alignment vertical="center"/>
    </xf>
    <xf numFmtId="165" fontId="10" fillId="3" borderId="1" xfId="0" applyNumberFormat="1" applyFont="1" applyFill="1" applyBorder="1" applyAlignment="1" applyProtection="1">
      <alignment horizontal="right" vertical="center"/>
    </xf>
    <xf numFmtId="173" fontId="0" fillId="0" borderId="0" xfId="0" applyNumberFormat="1" applyFont="1" applyAlignment="1">
      <alignment vertical="center"/>
    </xf>
    <xf numFmtId="0" fontId="10" fillId="0" borderId="25" xfId="0" applyFont="1" applyBorder="1" applyAlignment="1" applyProtection="1">
      <alignment horizontal="center" vertical="center"/>
    </xf>
    <xf numFmtId="0" fontId="0" fillId="0" borderId="5"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172" fontId="0" fillId="2" borderId="26" xfId="0" applyNumberFormat="1" applyFont="1" applyFill="1" applyBorder="1" applyAlignment="1" applyProtection="1">
      <alignment horizontal="center" vertical="center"/>
    </xf>
    <xf numFmtId="0" fontId="0" fillId="0" borderId="5" xfId="0" applyFont="1" applyBorder="1" applyAlignment="1" applyProtection="1">
      <alignment horizontal="center" vertical="center"/>
    </xf>
    <xf numFmtId="165" fontId="0" fillId="2" borderId="26" xfId="0" applyNumberFormat="1" applyFont="1" applyFill="1" applyBorder="1" applyAlignment="1" applyProtection="1">
      <alignment horizontal="right" vertical="center"/>
    </xf>
    <xf numFmtId="0" fontId="0" fillId="0" borderId="38" xfId="0" applyFont="1" applyBorder="1" applyAlignment="1" applyProtection="1">
      <alignment horizontal="center" vertical="center" wrapText="1"/>
    </xf>
    <xf numFmtId="165" fontId="0" fillId="2" borderId="27" xfId="0" applyNumberFormat="1" applyFont="1" applyFill="1" applyBorder="1" applyAlignment="1" applyProtection="1">
      <alignment horizontal="right" vertical="center"/>
    </xf>
    <xf numFmtId="0" fontId="10" fillId="0" borderId="33" xfId="0" applyFont="1" applyBorder="1" applyAlignment="1" applyProtection="1">
      <alignment horizontal="center" vertical="center"/>
    </xf>
    <xf numFmtId="172" fontId="6" fillId="12" borderId="17" xfId="0" applyNumberFormat="1" applyFont="1" applyFill="1" applyBorder="1" applyAlignment="1" applyProtection="1">
      <alignment horizontal="distributed" vertical="center"/>
    </xf>
    <xf numFmtId="0" fontId="0" fillId="0" borderId="0" xfId="0" applyFont="1" applyBorder="1" applyProtection="1">
      <protection locked="0"/>
    </xf>
    <xf numFmtId="0" fontId="0" fillId="0" borderId="0" xfId="0" applyFont="1" applyBorder="1" applyProtection="1"/>
    <xf numFmtId="0" fontId="0" fillId="0" borderId="0" xfId="0" applyFont="1" applyBorder="1"/>
    <xf numFmtId="0" fontId="6" fillId="12" borderId="32" xfId="0" applyFont="1" applyFill="1" applyBorder="1" applyAlignment="1" applyProtection="1">
      <alignment horizontal="left" vertical="center" wrapText="1"/>
    </xf>
    <xf numFmtId="0" fontId="4" fillId="12" borderId="33" xfId="0" applyFont="1" applyFill="1" applyBorder="1" applyAlignment="1" applyProtection="1">
      <alignment horizontal="center" vertical="center"/>
    </xf>
    <xf numFmtId="0" fontId="10" fillId="12" borderId="34" xfId="0" applyFont="1" applyFill="1" applyBorder="1" applyAlignment="1" applyProtection="1">
      <alignment horizontal="center" vertical="center"/>
    </xf>
    <xf numFmtId="0" fontId="0" fillId="0" borderId="16" xfId="0" applyFont="1" applyBorder="1" applyAlignment="1" applyProtection="1">
      <alignment vertical="center"/>
    </xf>
    <xf numFmtId="0" fontId="6" fillId="12" borderId="29" xfId="0" applyFont="1" applyFill="1" applyBorder="1" applyAlignment="1" applyProtection="1">
      <alignment vertical="center"/>
    </xf>
    <xf numFmtId="172" fontId="29" fillId="12" borderId="30" xfId="0" applyNumberFormat="1" applyFont="1" applyFill="1" applyBorder="1" applyAlignment="1" applyProtection="1">
      <alignment vertical="center"/>
    </xf>
    <xf numFmtId="0" fontId="10" fillId="0" borderId="0" xfId="0" applyFont="1" applyBorder="1" applyAlignment="1" applyProtection="1">
      <alignment vertical="center"/>
    </xf>
    <xf numFmtId="0" fontId="0" fillId="0" borderId="0" xfId="0" applyFont="1" applyBorder="1" applyAlignment="1" applyProtection="1">
      <alignment vertical="center"/>
    </xf>
    <xf numFmtId="4" fontId="30" fillId="0" borderId="0" xfId="0" applyNumberFormat="1" applyFont="1" applyBorder="1" applyAlignment="1" applyProtection="1">
      <alignment vertical="center"/>
    </xf>
    <xf numFmtId="0" fontId="6" fillId="12" borderId="23" xfId="0" applyFont="1" applyFill="1" applyBorder="1" applyAlignment="1" applyProtection="1">
      <alignment horizontal="center" vertical="center"/>
    </xf>
    <xf numFmtId="0" fontId="6" fillId="12" borderId="24" xfId="0" applyFont="1" applyFill="1" applyBorder="1" applyAlignment="1" applyProtection="1">
      <alignment horizontal="center" vertical="center"/>
    </xf>
    <xf numFmtId="0" fontId="4" fillId="12" borderId="37" xfId="0" applyFont="1" applyFill="1" applyBorder="1" applyAlignment="1" applyProtection="1">
      <alignment horizontal="center"/>
    </xf>
    <xf numFmtId="0" fontId="10" fillId="12" borderId="27" xfId="0" applyFont="1" applyFill="1" applyBorder="1" applyAlignment="1" applyProtection="1">
      <alignment horizontal="center"/>
    </xf>
    <xf numFmtId="0" fontId="0" fillId="0" borderId="0" xfId="0" applyFont="1"/>
    <xf numFmtId="171" fontId="0" fillId="2" borderId="17" xfId="0" applyNumberFormat="1" applyFill="1" applyBorder="1" applyAlignment="1" applyProtection="1">
      <alignment horizontal="distributed" vertical="center"/>
    </xf>
    <xf numFmtId="165" fontId="0" fillId="2" borderId="17" xfId="0" applyNumberFormat="1" applyFill="1" applyBorder="1" applyAlignment="1" applyProtection="1">
      <alignment horizontal="distributed" vertical="center"/>
    </xf>
    <xf numFmtId="171" fontId="0" fillId="0" borderId="0" xfId="0" applyNumberFormat="1" applyFont="1" applyProtection="1">
      <protection locked="0"/>
    </xf>
    <xf numFmtId="171" fontId="0" fillId="2" borderId="17" xfId="0" applyNumberFormat="1" applyFont="1" applyFill="1" applyBorder="1" applyAlignment="1" applyProtection="1">
      <alignment horizontal="distributed" vertical="center"/>
    </xf>
    <xf numFmtId="0" fontId="6" fillId="15" borderId="29" xfId="0" applyFont="1" applyFill="1" applyBorder="1" applyAlignment="1" applyProtection="1">
      <alignment vertical="center"/>
    </xf>
    <xf numFmtId="172" fontId="29" fillId="15" borderId="30" xfId="0" applyNumberFormat="1" applyFont="1" applyFill="1" applyBorder="1" applyAlignment="1" applyProtection="1">
      <alignment vertical="center"/>
    </xf>
    <xf numFmtId="0" fontId="0" fillId="0" borderId="0" xfId="0" applyFont="1" applyProtection="1">
      <protection locked="0"/>
    </xf>
    <xf numFmtId="0" fontId="0" fillId="0" borderId="0" xfId="0" applyFont="1" applyProtection="1"/>
    <xf numFmtId="0" fontId="6" fillId="12" borderId="40" xfId="0" applyFont="1" applyFill="1" applyBorder="1" applyAlignment="1" applyProtection="1">
      <alignment horizontal="center" vertical="center"/>
    </xf>
    <xf numFmtId="0" fontId="6" fillId="12" borderId="41" xfId="0" applyFont="1" applyFill="1" applyBorder="1" applyAlignment="1" applyProtection="1">
      <alignment horizontal="center" vertical="center"/>
    </xf>
    <xf numFmtId="0" fontId="4" fillId="0" borderId="0" xfId="0" applyFont="1"/>
    <xf numFmtId="0" fontId="6" fillId="12" borderId="42" xfId="0" applyFont="1" applyFill="1" applyBorder="1" applyAlignment="1" applyProtection="1">
      <alignment horizontal="center" vertical="center"/>
    </xf>
    <xf numFmtId="0" fontId="6" fillId="12" borderId="20" xfId="0" applyFont="1" applyFill="1" applyBorder="1" applyAlignment="1" applyProtection="1">
      <alignment horizontal="center" vertical="center" wrapText="1"/>
    </xf>
    <xf numFmtId="0" fontId="31" fillId="9" borderId="4" xfId="0" applyFont="1" applyFill="1" applyBorder="1" applyAlignment="1" applyProtection="1">
      <alignment horizontal="center" vertical="center"/>
    </xf>
    <xf numFmtId="0" fontId="4" fillId="10" borderId="37" xfId="0" applyFont="1" applyFill="1" applyBorder="1" applyAlignment="1" applyProtection="1">
      <alignment horizontal="center"/>
    </xf>
    <xf numFmtId="0" fontId="10" fillId="10" borderId="27" xfId="0" applyFont="1" applyFill="1" applyBorder="1" applyAlignment="1" applyProtection="1">
      <alignment horizontal="center"/>
    </xf>
    <xf numFmtId="0" fontId="0" fillId="0" borderId="0" xfId="0"/>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32" fillId="4" borderId="4" xfId="0" applyFont="1" applyFill="1" applyBorder="1" applyAlignment="1" applyProtection="1">
      <alignment horizontal="center" vertical="center"/>
      <protection locked="0"/>
    </xf>
    <xf numFmtId="0" fontId="32" fillId="0" borderId="4" xfId="0" applyFont="1" applyBorder="1" applyAlignment="1" applyProtection="1">
      <alignment horizontal="center" vertical="center"/>
      <protection locked="0"/>
    </xf>
    <xf numFmtId="165" fontId="32" fillId="4" borderId="4" xfId="0" applyNumberFormat="1" applyFont="1" applyFill="1" applyBorder="1" applyAlignment="1" applyProtection="1">
      <alignment horizontal="center" vertical="center"/>
      <protection locked="0"/>
    </xf>
    <xf numFmtId="0" fontId="1" fillId="0" borderId="16" xfId="0" applyFont="1" applyBorder="1" applyAlignment="1" applyProtection="1">
      <alignment horizontal="center" vertical="center"/>
    </xf>
    <xf numFmtId="0" fontId="1" fillId="0" borderId="1" xfId="0" applyFont="1" applyBorder="1" applyAlignment="1" applyProtection="1">
      <alignment horizontal="left" vertical="center"/>
    </xf>
    <xf numFmtId="172" fontId="1" fillId="2" borderId="17" xfId="0" applyNumberFormat="1" applyFont="1" applyFill="1" applyBorder="1" applyAlignment="1" applyProtection="1">
      <alignment horizontal="right" vertical="center"/>
    </xf>
    <xf numFmtId="0" fontId="1" fillId="0" borderId="42" xfId="0" applyFont="1" applyBorder="1" applyAlignment="1" applyProtection="1">
      <alignment horizontal="center" vertical="center"/>
    </xf>
    <xf numFmtId="0" fontId="1" fillId="0" borderId="2" xfId="0" applyFont="1" applyBorder="1" applyAlignment="1" applyProtection="1">
      <alignment horizontal="left" vertical="center"/>
    </xf>
    <xf numFmtId="0" fontId="1" fillId="0" borderId="3" xfId="0" applyFont="1" applyBorder="1" applyAlignment="1" applyProtection="1">
      <alignment horizontal="left" vertical="center"/>
    </xf>
    <xf numFmtId="0" fontId="1" fillId="0" borderId="3" xfId="0" applyFont="1" applyBorder="1" applyAlignment="1" applyProtection="1"/>
    <xf numFmtId="10" fontId="1" fillId="0" borderId="3" xfId="3" applyNumberFormat="1" applyFont="1" applyBorder="1" applyAlignment="1" applyProtection="1">
      <alignment horizontal="center" vertical="center"/>
    </xf>
    <xf numFmtId="0" fontId="33" fillId="0" borderId="4" xfId="0" applyFont="1" applyBorder="1" applyAlignment="1" applyProtection="1"/>
    <xf numFmtId="172" fontId="33" fillId="2" borderId="20" xfId="0" applyNumberFormat="1" applyFont="1" applyFill="1" applyBorder="1" applyAlignment="1" applyProtection="1">
      <alignment horizontal="right" vertical="center"/>
    </xf>
    <xf numFmtId="0" fontId="1" fillId="0" borderId="7" xfId="0" applyFont="1" applyBorder="1" applyAlignment="1" applyProtection="1">
      <alignment horizontal="left" vertical="center"/>
    </xf>
    <xf numFmtId="0" fontId="1" fillId="0" borderId="7" xfId="0" applyFont="1" applyBorder="1" applyAlignment="1" applyProtection="1"/>
    <xf numFmtId="10" fontId="1" fillId="0" borderId="7" xfId="3" applyNumberFormat="1" applyFont="1" applyBorder="1" applyAlignment="1" applyProtection="1">
      <alignment horizontal="center" vertical="center"/>
    </xf>
    <xf numFmtId="0" fontId="33" fillId="0" borderId="8" xfId="0" applyFont="1" applyBorder="1" applyAlignment="1" applyProtection="1"/>
    <xf numFmtId="172" fontId="1" fillId="2" borderId="20" xfId="0" applyNumberFormat="1" applyFont="1" applyFill="1" applyBorder="1" applyAlignment="1" applyProtection="1">
      <alignment horizontal="right" vertical="center"/>
    </xf>
    <xf numFmtId="0" fontId="6" fillId="12" borderId="29" xfId="0" applyFont="1" applyFill="1" applyBorder="1" applyAlignment="1" applyProtection="1">
      <alignment horizontal="center"/>
    </xf>
    <xf numFmtId="172" fontId="6" fillId="12" borderId="30" xfId="0" applyNumberFormat="1" applyFont="1" applyFill="1" applyBorder="1" applyAlignment="1" applyProtection="1">
      <alignment horizontal="right" vertical="center"/>
    </xf>
    <xf numFmtId="0" fontId="4" fillId="0" borderId="0" xfId="0" applyFont="1"/>
    <xf numFmtId="10" fontId="10" fillId="0" borderId="0" xfId="3" applyNumberFormat="1" applyFont="1" applyBorder="1" applyAlignment="1" applyProtection="1">
      <alignment horizontal="center"/>
    </xf>
    <xf numFmtId="4" fontId="10" fillId="0" borderId="0" xfId="0" applyNumberFormat="1" applyFont="1" applyBorder="1" applyAlignment="1" applyProtection="1">
      <alignment horizontal="right" vertical="center"/>
    </xf>
    <xf numFmtId="0" fontId="31" fillId="0" borderId="0" xfId="0" applyFont="1" applyBorder="1" applyAlignment="1" applyProtection="1">
      <alignment horizontal="center" vertical="center"/>
    </xf>
    <xf numFmtId="0" fontId="6" fillId="12" borderId="16" xfId="0" applyFont="1" applyFill="1" applyBorder="1" applyAlignment="1" applyProtection="1">
      <alignment horizontal="center"/>
    </xf>
    <xf numFmtId="165" fontId="6" fillId="12" borderId="17" xfId="0" applyNumberFormat="1" applyFont="1" applyFill="1" applyBorder="1" applyAlignment="1" applyProtection="1">
      <alignment horizontal="right" vertical="center"/>
    </xf>
    <xf numFmtId="0" fontId="6" fillId="12" borderId="11" xfId="0" applyFont="1" applyFill="1" applyBorder="1" applyAlignment="1" applyProtection="1">
      <alignment horizontal="center"/>
    </xf>
    <xf numFmtId="0" fontId="6" fillId="12" borderId="12" xfId="0" applyFont="1" applyFill="1" applyBorder="1" applyAlignment="1" applyProtection="1">
      <alignment horizontal="center"/>
    </xf>
    <xf numFmtId="172" fontId="6" fillId="12" borderId="43" xfId="0" applyNumberFormat="1" applyFont="1" applyFill="1" applyBorder="1" applyAlignment="1" applyProtection="1">
      <alignment horizontal="right" vertical="center"/>
    </xf>
    <xf numFmtId="0" fontId="4" fillId="0" borderId="11" xfId="0" applyFont="1" applyBorder="1" applyAlignment="1" applyProtection="1">
      <alignment horizontal="center"/>
    </xf>
    <xf numFmtId="0" fontId="0" fillId="0" borderId="0" xfId="0" applyBorder="1" applyAlignment="1" applyProtection="1">
      <alignment horizontal="center"/>
    </xf>
    <xf numFmtId="0" fontId="10" fillId="0" borderId="43" xfId="0" applyFont="1" applyBorder="1" applyAlignment="1" applyProtection="1">
      <alignment horizontal="center"/>
    </xf>
    <xf numFmtId="0" fontId="6" fillId="12" borderId="20" xfId="0" applyFont="1" applyFill="1" applyBorder="1" applyAlignment="1" applyProtection="1">
      <alignment horizontal="left" vertical="center" wrapText="1"/>
    </xf>
    <xf numFmtId="0" fontId="4" fillId="12" borderId="37" xfId="0" applyFont="1" applyFill="1" applyBorder="1" applyAlignment="1" applyProtection="1">
      <alignment horizontal="center" vertical="center"/>
    </xf>
    <xf numFmtId="0" fontId="10" fillId="12" borderId="27" xfId="0" applyFont="1" applyFill="1" applyBorder="1" applyAlignment="1" applyProtection="1">
      <alignment horizontal="center" vertical="center"/>
    </xf>
    <xf numFmtId="0" fontId="4" fillId="0" borderId="16" xfId="0" applyFont="1" applyBorder="1" applyAlignment="1" applyProtection="1">
      <alignment horizontal="center"/>
    </xf>
    <xf numFmtId="172" fontId="0" fillId="2" borderId="17" xfId="0" applyNumberFormat="1" applyFill="1" applyBorder="1" applyAlignment="1" applyProtection="1">
      <alignment horizontal="right"/>
    </xf>
    <xf numFmtId="165" fontId="0" fillId="2" borderId="17" xfId="0" applyNumberFormat="1" applyFill="1" applyBorder="1" applyAlignment="1" applyProtection="1">
      <alignment horizontal="right"/>
    </xf>
    <xf numFmtId="0" fontId="6" fillId="12" borderId="29" xfId="0" applyFont="1" applyFill="1" applyBorder="1" applyAlignment="1" applyProtection="1">
      <alignment horizontal="left" vertical="center"/>
    </xf>
    <xf numFmtId="0" fontId="0" fillId="0" borderId="0" xfId="0" applyFont="1" applyProtection="1"/>
    <xf numFmtId="0" fontId="6" fillId="12" borderId="44" xfId="0" applyFont="1" applyFill="1" applyBorder="1" applyAlignment="1" applyProtection="1">
      <alignment horizontal="center"/>
    </xf>
    <xf numFmtId="0" fontId="10" fillId="12" borderId="14" xfId="0" applyFont="1" applyFill="1" applyBorder="1" applyAlignment="1" applyProtection="1">
      <alignment horizontal="center"/>
    </xf>
    <xf numFmtId="0" fontId="6" fillId="0" borderId="37" xfId="0" applyFont="1" applyBorder="1" applyAlignment="1" applyProtection="1">
      <alignment horizontal="center"/>
    </xf>
    <xf numFmtId="172" fontId="0" fillId="2" borderId="27" xfId="0" applyNumberFormat="1" applyFont="1" applyFill="1" applyBorder="1" applyAlignment="1" applyProtection="1">
      <alignment horizontal="center"/>
    </xf>
    <xf numFmtId="0" fontId="10"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6" fillId="12" borderId="44" xfId="0" applyFont="1" applyFill="1" applyBorder="1" applyAlignment="1" applyProtection="1">
      <alignment horizontal="center" vertical="center"/>
    </xf>
    <xf numFmtId="0" fontId="10" fillId="12" borderId="14" xfId="0" applyFont="1" applyFill="1" applyBorder="1" applyAlignment="1" applyProtection="1">
      <alignment horizontal="center" vertical="center"/>
    </xf>
    <xf numFmtId="0" fontId="6" fillId="0" borderId="16" xfId="0" applyFont="1" applyBorder="1" applyAlignment="1" applyProtection="1">
      <alignment horizontal="center" vertical="center"/>
    </xf>
    <xf numFmtId="10" fontId="0" fillId="0" borderId="45" xfId="0" applyNumberFormat="1" applyFont="1" applyBorder="1" applyAlignment="1" applyProtection="1">
      <alignment horizontal="center" vertical="center"/>
    </xf>
    <xf numFmtId="172" fontId="10" fillId="4" borderId="46" xfId="0" applyNumberFormat="1" applyFont="1" applyFill="1" applyBorder="1" applyAlignment="1" applyProtection="1">
      <alignment horizontal="center" vertical="center"/>
    </xf>
    <xf numFmtId="10" fontId="0" fillId="3" borderId="6" xfId="0" applyNumberFormat="1" applyFont="1" applyFill="1" applyBorder="1" applyAlignment="1" applyProtection="1">
      <alignment horizontal="center" vertical="center"/>
    </xf>
    <xf numFmtId="10" fontId="21" fillId="3" borderId="8" xfId="0" applyNumberFormat="1" applyFont="1" applyFill="1" applyBorder="1" applyAlignment="1" applyProtection="1">
      <alignment horizontal="center" vertical="center"/>
    </xf>
    <xf numFmtId="10" fontId="0" fillId="3" borderId="45" xfId="0" applyNumberFormat="1" applyFont="1" applyFill="1" applyBorder="1" applyAlignment="1" applyProtection="1">
      <alignment horizontal="center" vertical="center"/>
    </xf>
    <xf numFmtId="165" fontId="10" fillId="4" borderId="46" xfId="0" applyNumberFormat="1" applyFont="1" applyFill="1" applyBorder="1" applyAlignment="1" applyProtection="1">
      <alignment horizontal="center" vertical="center"/>
    </xf>
    <xf numFmtId="0" fontId="0" fillId="0" borderId="3" xfId="0" applyBorder="1" applyAlignment="1" applyProtection="1">
      <alignment vertical="center"/>
    </xf>
    <xf numFmtId="0" fontId="0" fillId="0" borderId="4" xfId="0" applyBorder="1" applyAlignment="1" applyProtection="1">
      <alignment vertical="center"/>
    </xf>
    <xf numFmtId="172" fontId="10" fillId="0" borderId="17" xfId="0" applyNumberFormat="1" applyFont="1" applyBorder="1" applyAlignment="1" applyProtection="1">
      <alignment horizontal="center" vertical="center"/>
    </xf>
    <xf numFmtId="172" fontId="0" fillId="2" borderId="17" xfId="0" applyNumberFormat="1" applyFont="1" applyFill="1" applyBorder="1" applyAlignment="1" applyProtection="1">
      <alignment horizontal="center" vertical="center"/>
    </xf>
    <xf numFmtId="10" fontId="10" fillId="0" borderId="0" xfId="0" applyNumberFormat="1" applyFont="1" applyBorder="1" applyAlignment="1" applyProtection="1">
      <alignment horizontal="center" vertical="center"/>
    </xf>
    <xf numFmtId="0" fontId="23" fillId="13" borderId="47" xfId="0" applyFont="1" applyFill="1" applyBorder="1" applyAlignment="1" applyProtection="1">
      <alignment horizontal="center"/>
    </xf>
    <xf numFmtId="0" fontId="10" fillId="12" borderId="9" xfId="0" applyFont="1" applyFill="1" applyBorder="1" applyAlignment="1" applyProtection="1">
      <alignment horizontal="center"/>
    </xf>
    <xf numFmtId="0" fontId="10" fillId="0" borderId="2" xfId="0" applyFont="1" applyBorder="1" applyAlignment="1" applyProtection="1">
      <alignment vertical="center"/>
    </xf>
    <xf numFmtId="0" fontId="10" fillId="0" borderId="3" xfId="0" applyFont="1" applyBorder="1" applyAlignment="1" applyProtection="1">
      <alignment vertical="center"/>
    </xf>
    <xf numFmtId="0" fontId="10" fillId="0" borderId="4" xfId="0" applyFont="1" applyBorder="1" applyAlignment="1" applyProtection="1">
      <alignment vertical="center"/>
    </xf>
    <xf numFmtId="165" fontId="10" fillId="2" borderId="17" xfId="0" applyNumberFormat="1" applyFont="1" applyFill="1" applyBorder="1" applyAlignment="1" applyProtection="1">
      <alignment horizontal="right" vertical="center"/>
    </xf>
    <xf numFmtId="172" fontId="10" fillId="2" borderId="17" xfId="0" applyNumberFormat="1" applyFont="1" applyFill="1" applyBorder="1" applyAlignment="1" applyProtection="1">
      <alignment horizontal="right" vertical="center"/>
    </xf>
    <xf numFmtId="0" fontId="10" fillId="5" borderId="16" xfId="0" applyFont="1" applyFill="1" applyBorder="1" applyAlignment="1" applyProtection="1">
      <alignment horizontal="center" vertical="center"/>
    </xf>
    <xf numFmtId="0" fontId="10" fillId="5" borderId="1" xfId="0" applyFont="1" applyFill="1" applyBorder="1" applyAlignment="1" applyProtection="1">
      <alignment horizontal="center" vertical="center"/>
    </xf>
    <xf numFmtId="172" fontId="30" fillId="5" borderId="17" xfId="0" applyNumberFormat="1" applyFont="1" applyFill="1" applyBorder="1" applyAlignment="1" applyProtection="1">
      <alignment horizontal="right" vertical="center"/>
    </xf>
    <xf numFmtId="0" fontId="10" fillId="5" borderId="2" xfId="0" applyFont="1" applyFill="1" applyBorder="1" applyAlignment="1" applyProtection="1">
      <alignment vertical="center"/>
    </xf>
    <xf numFmtId="0" fontId="10" fillId="5" borderId="3" xfId="0" applyFont="1" applyFill="1" applyBorder="1" applyAlignment="1" applyProtection="1">
      <alignment vertical="center"/>
    </xf>
    <xf numFmtId="0" fontId="10" fillId="5" borderId="4" xfId="0" applyFont="1" applyFill="1" applyBorder="1" applyAlignment="1" applyProtection="1">
      <alignment vertical="center"/>
    </xf>
    <xf numFmtId="172" fontId="10" fillId="5" borderId="17" xfId="0" applyNumberFormat="1" applyFont="1" applyFill="1" applyBorder="1" applyAlignment="1" applyProtection="1">
      <alignment horizontal="right" vertical="center"/>
    </xf>
    <xf numFmtId="0" fontId="9" fillId="12" borderId="29" xfId="0" applyFont="1" applyFill="1" applyBorder="1" applyAlignment="1" applyProtection="1">
      <alignment horizontal="center" vertical="center"/>
    </xf>
    <xf numFmtId="172" fontId="30" fillId="12" borderId="30" xfId="0" applyNumberFormat="1" applyFont="1" applyFill="1" applyBorder="1" applyAlignment="1" applyProtection="1">
      <alignment horizontal="right" vertical="center"/>
    </xf>
    <xf numFmtId="0" fontId="10"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10" fillId="12" borderId="15" xfId="0" applyFont="1" applyFill="1" applyBorder="1" applyAlignment="1" applyProtection="1">
      <alignment horizontal="center" vertical="center"/>
    </xf>
    <xf numFmtId="0" fontId="10" fillId="12" borderId="16" xfId="0" applyFont="1" applyFill="1" applyBorder="1" applyAlignment="1" applyProtection="1">
      <alignment horizontal="center" vertical="center" wrapText="1"/>
    </xf>
    <xf numFmtId="0" fontId="10" fillId="12" borderId="1" xfId="0" applyFont="1" applyFill="1" applyBorder="1" applyAlignment="1" applyProtection="1">
      <alignment horizontal="center" vertical="center" wrapText="1"/>
    </xf>
    <xf numFmtId="0" fontId="10" fillId="12" borderId="27" xfId="0" applyFont="1" applyFill="1" applyBorder="1" applyAlignment="1" applyProtection="1">
      <alignment horizontal="center" vertical="center" wrapText="1"/>
    </xf>
    <xf numFmtId="172" fontId="6" fillId="0" borderId="5" xfId="0" applyNumberFormat="1" applyFont="1" applyBorder="1" applyAlignment="1" applyProtection="1">
      <alignment horizontal="center" vertical="center"/>
    </xf>
    <xf numFmtId="0" fontId="7" fillId="3" borderId="5" xfId="0" applyFont="1" applyFill="1" applyBorder="1" applyAlignment="1" applyProtection="1">
      <alignment horizontal="center" vertical="center"/>
    </xf>
    <xf numFmtId="172" fontId="6" fillId="0" borderId="26" xfId="0" applyNumberFormat="1" applyFont="1" applyBorder="1" applyAlignment="1" applyProtection="1">
      <alignment horizontal="center" vertical="center"/>
    </xf>
    <xf numFmtId="0" fontId="9" fillId="16" borderId="21" xfId="0" applyFont="1" applyFill="1" applyBorder="1" applyAlignment="1" applyProtection="1">
      <alignment horizontal="center" vertical="center"/>
    </xf>
    <xf numFmtId="172" fontId="11" fillId="16" borderId="22" xfId="0" applyNumberFormat="1" applyFont="1" applyFill="1" applyBorder="1" applyAlignment="1" applyProtection="1">
      <alignment horizontal="right" vertical="center"/>
    </xf>
    <xf numFmtId="4" fontId="10" fillId="0" borderId="0" xfId="0" applyNumberFormat="1" applyFont="1" applyBorder="1" applyAlignment="1" applyProtection="1">
      <alignment horizontal="right"/>
    </xf>
    <xf numFmtId="0" fontId="10" fillId="12" borderId="42" xfId="0" applyFont="1" applyFill="1" applyBorder="1" applyAlignment="1" applyProtection="1">
      <alignment horizontal="center" vertical="center"/>
    </xf>
    <xf numFmtId="0" fontId="10" fillId="12" borderId="20" xfId="0" applyFont="1" applyFill="1" applyBorder="1" applyAlignment="1" applyProtection="1">
      <alignment horizontal="center" vertical="center"/>
    </xf>
    <xf numFmtId="0" fontId="10" fillId="0" borderId="42"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172" fontId="6" fillId="0" borderId="27" xfId="0" applyNumberFormat="1" applyFont="1" applyBorder="1" applyAlignment="1" applyProtection="1">
      <alignment horizontal="center" vertical="center" wrapText="1"/>
    </xf>
    <xf numFmtId="0" fontId="10" fillId="0" borderId="29"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172" fontId="6" fillId="0" borderId="30" xfId="0" applyNumberFormat="1" applyFont="1" applyBorder="1" applyAlignment="1" applyProtection="1">
      <alignment horizontal="center" vertical="center" wrapText="1"/>
    </xf>
    <xf numFmtId="174" fontId="0" fillId="0" borderId="0" xfId="0" applyNumberFormat="1" applyFont="1"/>
    <xf numFmtId="0" fontId="17" fillId="3" borderId="12" xfId="0" applyFont="1" applyFill="1" applyBorder="1" applyAlignment="1" applyProtection="1">
      <alignment horizontal="center"/>
      <protection locked="0"/>
    </xf>
    <xf numFmtId="0" fontId="17" fillId="3" borderId="12" xfId="0" applyFont="1" applyFill="1" applyBorder="1" applyAlignment="1" applyProtection="1">
      <protection locked="0"/>
    </xf>
    <xf numFmtId="0" fontId="17" fillId="3" borderId="0" xfId="0" applyFont="1" applyFill="1" applyBorder="1" applyAlignment="1" applyProtection="1">
      <alignment horizontal="center"/>
      <protection locked="0"/>
    </xf>
    <xf numFmtId="170" fontId="18" fillId="3" borderId="14" xfId="0" applyNumberFormat="1" applyFont="1" applyFill="1" applyBorder="1" applyAlignment="1" applyProtection="1">
      <alignment horizontal="center"/>
      <protection locked="0"/>
    </xf>
    <xf numFmtId="0" fontId="18" fillId="0" borderId="17" xfId="0" applyFont="1" applyBorder="1" applyAlignment="1" applyProtection="1">
      <alignment horizontal="center"/>
      <protection locked="0"/>
    </xf>
    <xf numFmtId="0" fontId="18" fillId="0" borderId="1" xfId="0" applyFont="1" applyBorder="1" applyAlignment="1" applyProtection="1">
      <alignment horizontal="right"/>
      <protection locked="0"/>
    </xf>
    <xf numFmtId="0" fontId="18" fillId="4" borderId="1" xfId="0" applyFont="1" applyFill="1" applyBorder="1" applyAlignment="1" applyProtection="1">
      <alignment horizontal="center" vertical="center"/>
      <protection locked="0"/>
    </xf>
    <xf numFmtId="1" fontId="20" fillId="3" borderId="1" xfId="0" applyNumberFormat="1" applyFont="1" applyFill="1" applyBorder="1" applyAlignment="1" applyProtection="1">
      <alignment horizontal="center" wrapText="1"/>
      <protection locked="0"/>
    </xf>
    <xf numFmtId="1" fontId="21" fillId="3" borderId="17" xfId="0" applyNumberFormat="1" applyFont="1" applyFill="1" applyBorder="1" applyAlignment="1" applyProtection="1">
      <alignment horizontal="center" vertical="center"/>
      <protection locked="0"/>
    </xf>
    <xf numFmtId="0" fontId="10" fillId="0" borderId="42" xfId="0" applyFont="1" applyBorder="1" applyAlignment="1" applyProtection="1">
      <alignment horizontal="center" vertical="center"/>
    </xf>
    <xf numFmtId="0" fontId="22" fillId="3" borderId="17" xfId="0" applyFont="1" applyFill="1" applyBorder="1" applyAlignment="1" applyProtection="1"/>
    <xf numFmtId="169" fontId="22" fillId="3" borderId="1" xfId="0" applyNumberFormat="1" applyFont="1" applyFill="1" applyBorder="1" applyAlignment="1" applyProtection="1"/>
    <xf numFmtId="0" fontId="0" fillId="0" borderId="1" xfId="0" applyBorder="1" applyAlignment="1" applyProtection="1">
      <alignment horizontal="left"/>
      <protection locked="0"/>
    </xf>
    <xf numFmtId="0" fontId="22" fillId="0" borderId="17" xfId="0" applyFont="1" applyBorder="1" applyAlignment="1" applyProtection="1"/>
    <xf numFmtId="0" fontId="10" fillId="0" borderId="21" xfId="0" applyFont="1" applyBorder="1" applyAlignment="1" applyProtection="1">
      <alignment horizontal="center" vertical="center"/>
    </xf>
    <xf numFmtId="0" fontId="0" fillId="0" borderId="1" xfId="0" applyFont="1" applyBorder="1" applyProtection="1">
      <protection locked="0"/>
    </xf>
    <xf numFmtId="0" fontId="22" fillId="0" borderId="1" xfId="0" applyFont="1" applyBorder="1" applyAlignment="1" applyProtection="1"/>
    <xf numFmtId="0" fontId="22" fillId="0" borderId="17" xfId="0" applyFont="1" applyBorder="1" applyAlignment="1" applyProtection="1">
      <alignment horizontal="center"/>
    </xf>
    <xf numFmtId="0" fontId="0" fillId="0" borderId="35" xfId="0" applyFont="1" applyBorder="1" applyProtection="1">
      <protection locked="0"/>
    </xf>
    <xf numFmtId="0" fontId="22" fillId="0" borderId="35" xfId="0" applyFont="1" applyBorder="1" applyAlignment="1" applyProtection="1">
      <alignment horizontal="center"/>
    </xf>
    <xf numFmtId="0" fontId="22" fillId="0" borderId="35" xfId="0" applyFont="1" applyBorder="1" applyAlignment="1" applyProtection="1"/>
    <xf numFmtId="0" fontId="22" fillId="0" borderId="30" xfId="0" applyFont="1" applyBorder="1" applyAlignment="1" applyProtection="1">
      <alignment horizontal="center"/>
    </xf>
    <xf numFmtId="0" fontId="10" fillId="0" borderId="0" xfId="0" applyFont="1" applyBorder="1" applyAlignment="1" applyProtection="1">
      <alignment horizontal="center"/>
    </xf>
    <xf numFmtId="0" fontId="24" fillId="3" borderId="17"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169" fontId="21" fillId="3" borderId="20" xfId="1" applyNumberFormat="1" applyFont="1" applyFill="1" applyBorder="1" applyAlignment="1" applyProtection="1">
      <alignment horizontal="center" vertical="center"/>
      <protection locked="0"/>
    </xf>
    <xf numFmtId="0" fontId="21" fillId="3" borderId="20" xfId="0" applyFont="1" applyFill="1" applyBorder="1" applyAlignment="1" applyProtection="1">
      <alignment horizontal="center" vertical="center"/>
      <protection locked="0"/>
    </xf>
    <xf numFmtId="167" fontId="21" fillId="3" borderId="17" xfId="0" applyNumberFormat="1" applyFont="1" applyFill="1" applyBorder="1" applyAlignment="1" applyProtection="1">
      <alignment horizontal="center" vertical="center"/>
      <protection locked="0"/>
    </xf>
    <xf numFmtId="0" fontId="0" fillId="0" borderId="1" xfId="0" applyBorder="1" applyAlignment="1"/>
    <xf numFmtId="171" fontId="1" fillId="2" borderId="17" xfId="0" applyNumberFormat="1" applyFont="1" applyFill="1" applyBorder="1" applyAlignment="1" applyProtection="1">
      <alignment horizontal="distributed" vertical="distributed" wrapText="1"/>
      <protection locked="0"/>
    </xf>
    <xf numFmtId="0" fontId="0" fillId="0" borderId="48" xfId="0" applyFont="1" applyBorder="1" applyAlignment="1" applyProtection="1">
      <alignment horizontal="left" vertical="center"/>
    </xf>
    <xf numFmtId="165" fontId="0" fillId="4" borderId="1" xfId="0" applyNumberFormat="1" applyFont="1" applyFill="1" applyBorder="1" applyAlignment="1" applyProtection="1">
      <alignment horizontal="center" wrapText="1"/>
      <protection locked="0"/>
    </xf>
    <xf numFmtId="9" fontId="21" fillId="0" borderId="1" xfId="0" applyNumberFormat="1" applyFont="1" applyBorder="1" applyAlignment="1" applyProtection="1">
      <alignment horizontal="center"/>
      <protection locked="0"/>
    </xf>
    <xf numFmtId="0" fontId="10" fillId="0" borderId="42" xfId="0" applyFont="1" applyBorder="1" applyAlignment="1" applyProtection="1">
      <alignment horizontal="center"/>
    </xf>
    <xf numFmtId="9" fontId="1" fillId="9" borderId="1" xfId="3" applyFont="1" applyFill="1" applyBorder="1" applyAlignment="1" applyProtection="1">
      <alignment horizontal="center"/>
    </xf>
    <xf numFmtId="0" fontId="18" fillId="3" borderId="3" xfId="0" applyFont="1" applyFill="1" applyBorder="1" applyAlignment="1" applyProtection="1">
      <alignment horizontal="center"/>
    </xf>
    <xf numFmtId="9" fontId="18" fillId="3" borderId="4" xfId="0" applyNumberFormat="1" applyFont="1" applyFill="1" applyBorder="1" applyAlignment="1">
      <alignment horizontal="center"/>
    </xf>
    <xf numFmtId="171" fontId="0" fillId="2" borderId="17" xfId="0" applyNumberFormat="1" applyFont="1" applyFill="1" applyBorder="1" applyAlignment="1" applyProtection="1">
      <alignment horizontal="distributed" vertical="distributed" wrapText="1"/>
      <protection locked="0"/>
    </xf>
    <xf numFmtId="9" fontId="0" fillId="0" borderId="1" xfId="0" applyNumberFormat="1" applyFont="1" applyBorder="1" applyAlignment="1" applyProtection="1">
      <alignment horizontal="center" vertical="center" wrapText="1"/>
    </xf>
    <xf numFmtId="0" fontId="0" fillId="3" borderId="1" xfId="0" applyFont="1" applyFill="1" applyBorder="1" applyAlignment="1" applyProtection="1">
      <alignment horizontal="center" vertical="center" wrapText="1"/>
    </xf>
    <xf numFmtId="10" fontId="1" fillId="3" borderId="1" xfId="0" applyNumberFormat="1" applyFont="1" applyFill="1" applyBorder="1" applyAlignment="1">
      <alignment horizontal="center" wrapText="1"/>
    </xf>
    <xf numFmtId="172" fontId="0" fillId="2" borderId="17" xfId="0" applyNumberFormat="1" applyFont="1" applyFill="1" applyBorder="1" applyAlignment="1" applyProtection="1">
      <alignment horizontal="right" vertical="distributed" wrapText="1"/>
      <protection locked="0"/>
    </xf>
    <xf numFmtId="169" fontId="0" fillId="0" borderId="1" xfId="0" applyNumberFormat="1" applyFont="1" applyBorder="1" applyAlignment="1" applyProtection="1"/>
    <xf numFmtId="0" fontId="0" fillId="3" borderId="1" xfId="0" applyFont="1" applyFill="1" applyBorder="1" applyAlignment="1" applyProtection="1"/>
    <xf numFmtId="0" fontId="1" fillId="3" borderId="1" xfId="0" applyFont="1" applyFill="1" applyBorder="1" applyAlignment="1"/>
    <xf numFmtId="0" fontId="0" fillId="0" borderId="1" xfId="0" applyFont="1" applyBorder="1" applyAlignment="1">
      <alignment horizontal="left"/>
    </xf>
    <xf numFmtId="171" fontId="0" fillId="2" borderId="26" xfId="0" applyNumberFormat="1" applyFont="1" applyFill="1" applyBorder="1" applyAlignment="1" applyProtection="1">
      <alignment vertical="distributed" wrapText="1"/>
      <protection locked="0"/>
    </xf>
    <xf numFmtId="171" fontId="0" fillId="4" borderId="17" xfId="0" applyNumberFormat="1" applyFont="1" applyFill="1" applyBorder="1" applyAlignment="1" applyProtection="1">
      <alignment horizontal="center" vertical="distributed" wrapText="1"/>
      <protection locked="0"/>
    </xf>
    <xf numFmtId="171" fontId="0" fillId="5" borderId="27" xfId="0" applyNumberFormat="1" applyFont="1" applyFill="1" applyBorder="1" applyAlignment="1" applyProtection="1">
      <alignment horizontal="center" vertical="distributed" wrapText="1"/>
      <protection locked="0"/>
    </xf>
    <xf numFmtId="0" fontId="10" fillId="0" borderId="0" xfId="0" applyFont="1"/>
    <xf numFmtId="0" fontId="0" fillId="0" borderId="13" xfId="0" applyFont="1" applyBorder="1" applyAlignment="1" applyProtection="1">
      <alignment horizontal="center"/>
      <protection locked="0"/>
    </xf>
    <xf numFmtId="165" fontId="0" fillId="2" borderId="0" xfId="0" applyNumberFormat="1" applyFont="1" applyFill="1"/>
    <xf numFmtId="0" fontId="0" fillId="0" borderId="14" xfId="0" applyFont="1" applyBorder="1" applyAlignment="1">
      <alignment horizontal="center"/>
    </xf>
    <xf numFmtId="169" fontId="0" fillId="2" borderId="0" xfId="0" applyNumberFormat="1" applyFont="1" applyFill="1"/>
    <xf numFmtId="0" fontId="0" fillId="0" borderId="28" xfId="0" applyFont="1" applyBorder="1" applyAlignment="1">
      <alignment wrapText="1"/>
    </xf>
    <xf numFmtId="165" fontId="0" fillId="4" borderId="26" xfId="0" applyNumberFormat="1" applyFont="1" applyFill="1" applyBorder="1" applyAlignment="1" applyProtection="1">
      <alignment horizontal="distributed" vertical="distributed" wrapText="1"/>
      <protection locked="0"/>
    </xf>
    <xf numFmtId="0" fontId="10" fillId="12" borderId="1" xfId="0" applyFont="1" applyFill="1" applyBorder="1" applyAlignment="1">
      <alignment horizontal="center"/>
    </xf>
    <xf numFmtId="0" fontId="10" fillId="12" borderId="17" xfId="0" applyFont="1" applyFill="1" applyBorder="1" applyAlignment="1">
      <alignment horizontal="center"/>
    </xf>
    <xf numFmtId="0" fontId="0" fillId="0" borderId="1" xfId="0" applyFont="1" applyBorder="1" applyAlignment="1">
      <alignment horizontal="left" vertical="center"/>
    </xf>
    <xf numFmtId="172" fontId="0" fillId="2" borderId="17" xfId="0" applyNumberFormat="1" applyFont="1" applyFill="1" applyBorder="1" applyAlignment="1">
      <alignment horizontal="right" vertical="center"/>
    </xf>
    <xf numFmtId="0" fontId="0" fillId="12" borderId="1" xfId="0" applyFont="1" applyFill="1" applyBorder="1" applyAlignment="1">
      <alignment horizontal="center" vertical="center" wrapText="1"/>
    </xf>
    <xf numFmtId="172" fontId="0" fillId="12" borderId="26" xfId="0" applyNumberFormat="1" applyFont="1" applyFill="1" applyBorder="1" applyAlignment="1">
      <alignment horizontal="right" vertical="center"/>
    </xf>
    <xf numFmtId="0" fontId="10" fillId="12" borderId="34" xfId="0" applyFont="1" applyFill="1" applyBorder="1" applyAlignment="1">
      <alignment horizontal="center"/>
    </xf>
    <xf numFmtId="10" fontId="0" fillId="0" borderId="1" xfId="0" applyNumberFormat="1" applyFont="1" applyBorder="1" applyAlignment="1">
      <alignment horizontal="center" vertical="center"/>
    </xf>
    <xf numFmtId="10" fontId="17" fillId="4" borderId="1" xfId="0" applyNumberFormat="1" applyFont="1" applyFill="1" applyBorder="1" applyAlignment="1">
      <alignment horizontal="center" vertical="center"/>
    </xf>
    <xf numFmtId="0" fontId="27" fillId="12" borderId="36" xfId="0" applyFont="1" applyFill="1" applyBorder="1" applyAlignment="1">
      <alignment horizontal="left" wrapText="1"/>
    </xf>
    <xf numFmtId="0" fontId="27" fillId="0" borderId="0" xfId="0" applyFont="1" applyBorder="1" applyAlignment="1">
      <alignment horizontal="left"/>
    </xf>
    <xf numFmtId="0" fontId="0" fillId="0" borderId="0" xfId="0" applyFont="1" applyBorder="1" applyAlignment="1">
      <alignment horizontal="left"/>
    </xf>
    <xf numFmtId="0" fontId="10" fillId="4" borderId="1" xfId="0" applyFont="1" applyFill="1" applyBorder="1" applyAlignment="1" applyProtection="1">
      <alignment horizontal="right" vertical="center"/>
      <protection locked="0"/>
    </xf>
    <xf numFmtId="165" fontId="10" fillId="4" borderId="1" xfId="0" applyNumberFormat="1" applyFont="1" applyFill="1" applyBorder="1" applyAlignment="1" applyProtection="1">
      <alignment horizontal="right" vertical="center"/>
      <protection locked="0"/>
    </xf>
    <xf numFmtId="165" fontId="10" fillId="3" borderId="1" xfId="0" applyNumberFormat="1" applyFont="1" applyFill="1" applyBorder="1" applyAlignment="1" applyProtection="1">
      <alignment horizontal="right" vertical="center"/>
      <protection locked="0"/>
    </xf>
    <xf numFmtId="175" fontId="10" fillId="3" borderId="1" xfId="1" applyNumberFormat="1" applyFont="1" applyFill="1" applyBorder="1" applyAlignment="1" applyProtection="1">
      <alignment horizontal="right" vertical="center"/>
      <protection locked="0"/>
    </xf>
    <xf numFmtId="10" fontId="10" fillId="3" borderId="1" xfId="0" applyNumberFormat="1" applyFont="1" applyFill="1" applyBorder="1" applyAlignment="1" applyProtection="1">
      <alignment horizontal="right" vertical="center"/>
      <protection locked="0"/>
    </xf>
    <xf numFmtId="172" fontId="0" fillId="2" borderId="17" xfId="0" applyNumberFormat="1" applyFont="1" applyFill="1" applyBorder="1" applyAlignment="1" applyProtection="1">
      <alignment horizontal="right" vertical="center"/>
      <protection locked="0"/>
    </xf>
    <xf numFmtId="172" fontId="0" fillId="0" borderId="1" xfId="0" applyNumberFormat="1" applyFont="1" applyBorder="1" applyAlignment="1" applyProtection="1">
      <alignment horizontal="center" vertical="center"/>
      <protection locked="0"/>
    </xf>
    <xf numFmtId="172" fontId="0" fillId="0" borderId="17" xfId="0" applyNumberFormat="1" applyFont="1" applyBorder="1" applyAlignment="1" applyProtection="1">
      <alignment vertical="center"/>
      <protection locked="0"/>
    </xf>
    <xf numFmtId="0" fontId="0" fillId="0" borderId="38" xfId="0" applyFont="1" applyBorder="1" applyAlignment="1" applyProtection="1">
      <alignment horizontal="center" vertical="center"/>
      <protection locked="0"/>
    </xf>
    <xf numFmtId="172" fontId="0" fillId="0" borderId="27" xfId="0" applyNumberFormat="1" applyFont="1" applyBorder="1" applyAlignment="1" applyProtection="1">
      <alignment horizontal="right" vertical="center"/>
      <protection locked="0"/>
    </xf>
    <xf numFmtId="0" fontId="10" fillId="12" borderId="1" xfId="0" applyFont="1" applyFill="1" applyBorder="1" applyAlignment="1">
      <alignment horizontal="center" vertical="center"/>
    </xf>
    <xf numFmtId="0" fontId="10" fillId="12" borderId="34" xfId="0" applyFont="1" applyFill="1" applyBorder="1" applyAlignment="1">
      <alignment horizontal="center" vertical="center"/>
    </xf>
    <xf numFmtId="0" fontId="0" fillId="0" borderId="0" xfId="0" applyFont="1" applyBorder="1" applyAlignment="1">
      <alignment vertical="center"/>
    </xf>
    <xf numFmtId="0" fontId="10" fillId="12" borderId="27" xfId="0" applyFont="1" applyFill="1" applyBorder="1" applyAlignment="1">
      <alignment horizontal="center"/>
    </xf>
    <xf numFmtId="10" fontId="6" fillId="15" borderId="35" xfId="0" applyNumberFormat="1" applyFont="1" applyFill="1" applyBorder="1" applyAlignment="1">
      <alignment horizontal="center" vertical="center"/>
    </xf>
    <xf numFmtId="0" fontId="10" fillId="10" borderId="1" xfId="0" applyFont="1" applyFill="1" applyBorder="1" applyAlignment="1">
      <alignment horizontal="center"/>
    </xf>
    <xf numFmtId="0" fontId="10" fillId="10" borderId="27" xfId="0" applyFont="1" applyFill="1" applyBorder="1" applyAlignment="1">
      <alignment horizontal="center"/>
    </xf>
    <xf numFmtId="0" fontId="10" fillId="10" borderId="2" xfId="0" applyFont="1" applyFill="1" applyBorder="1" applyAlignment="1">
      <alignment horizontal="center"/>
    </xf>
    <xf numFmtId="172" fontId="10" fillId="4" borderId="4" xfId="0" applyNumberFormat="1" applyFont="1" applyFill="1" applyBorder="1" applyAlignment="1">
      <alignment horizontal="center"/>
    </xf>
    <xf numFmtId="0" fontId="1" fillId="0" borderId="3" xfId="0" applyFont="1" applyBorder="1" applyAlignment="1"/>
    <xf numFmtId="0" fontId="33" fillId="0" borderId="4" xfId="0" applyFont="1" applyBorder="1" applyAlignment="1"/>
    <xf numFmtId="0" fontId="1" fillId="0" borderId="7" xfId="0" applyFont="1" applyBorder="1" applyAlignment="1"/>
    <xf numFmtId="0" fontId="33" fillId="0" borderId="8" xfId="0" applyFont="1" applyBorder="1" applyAlignment="1"/>
    <xf numFmtId="172" fontId="6" fillId="12" borderId="17" xfId="0" applyNumberFormat="1" applyFont="1" applyFill="1" applyBorder="1" applyAlignment="1" applyProtection="1">
      <alignment horizontal="right" vertical="center"/>
    </xf>
    <xf numFmtId="0" fontId="10" fillId="0" borderId="0" xfId="0" applyFont="1" applyBorder="1" applyAlignment="1">
      <alignment horizontal="center"/>
    </xf>
    <xf numFmtId="0" fontId="0" fillId="0" borderId="0" xfId="0" applyBorder="1" applyAlignment="1">
      <alignment horizontal="center"/>
    </xf>
    <xf numFmtId="0" fontId="10" fillId="0" borderId="43" xfId="0" applyFont="1" applyBorder="1" applyAlignment="1">
      <alignment horizontal="center"/>
    </xf>
    <xf numFmtId="0" fontId="10" fillId="12" borderId="27" xfId="0" applyFont="1" applyFill="1" applyBorder="1" applyAlignment="1">
      <alignment horizontal="center" vertical="center"/>
    </xf>
    <xf numFmtId="0" fontId="0" fillId="0" borderId="1" xfId="0" applyFont="1" applyBorder="1" applyAlignment="1">
      <alignment horizontal="left"/>
    </xf>
    <xf numFmtId="172" fontId="0" fillId="2" borderId="17" xfId="0" applyNumberFormat="1" applyFill="1" applyBorder="1" applyAlignment="1">
      <alignment horizontal="right"/>
    </xf>
    <xf numFmtId="0" fontId="10" fillId="12" borderId="6" xfId="0" applyFont="1" applyFill="1" applyBorder="1" applyAlignment="1">
      <alignment horizontal="center"/>
    </xf>
    <xf numFmtId="0" fontId="10" fillId="12" borderId="14" xfId="0" applyFont="1" applyFill="1" applyBorder="1" applyAlignment="1">
      <alignment horizontal="center"/>
    </xf>
    <xf numFmtId="0" fontId="0" fillId="0" borderId="5" xfId="0" applyFont="1" applyBorder="1" applyAlignment="1">
      <alignment horizontal="center"/>
    </xf>
    <xf numFmtId="172" fontId="0" fillId="2" borderId="27" xfId="0" applyNumberFormat="1" applyFont="1" applyFill="1" applyBorder="1" applyAlignment="1">
      <alignment horizontal="center"/>
    </xf>
    <xf numFmtId="0" fontId="10" fillId="12" borderId="5" xfId="0" applyFont="1" applyFill="1" applyBorder="1" applyAlignment="1">
      <alignment horizontal="center" vertical="center"/>
    </xf>
    <xf numFmtId="0" fontId="10" fillId="12" borderId="14" xfId="0" applyFont="1" applyFill="1" applyBorder="1" applyAlignment="1">
      <alignment horizontal="center" vertical="center"/>
    </xf>
    <xf numFmtId="0" fontId="0" fillId="0" borderId="2" xfId="0" applyFont="1" applyBorder="1" applyAlignment="1">
      <alignment horizontal="left" vertical="center"/>
    </xf>
    <xf numFmtId="10" fontId="0" fillId="0" borderId="45" xfId="0" applyNumberFormat="1" applyFont="1" applyBorder="1" applyAlignment="1">
      <alignment horizontal="center" vertical="center"/>
    </xf>
    <xf numFmtId="172" fontId="10" fillId="4" borderId="46" xfId="0" applyNumberFormat="1" applyFont="1" applyFill="1" applyBorder="1" applyAlignment="1">
      <alignment horizontal="center" vertical="center"/>
    </xf>
    <xf numFmtId="172" fontId="0" fillId="2" borderId="17" xfId="0" applyNumberFormat="1" applyFill="1" applyBorder="1" applyAlignment="1">
      <alignment vertical="center"/>
    </xf>
    <xf numFmtId="10" fontId="0" fillId="3" borderId="6" xfId="0" applyNumberFormat="1" applyFont="1" applyFill="1" applyBorder="1" applyAlignment="1">
      <alignment horizontal="center" vertical="center"/>
    </xf>
    <xf numFmtId="10" fontId="21" fillId="3" borderId="8" xfId="0" applyNumberFormat="1" applyFont="1" applyFill="1" applyBorder="1" applyAlignment="1">
      <alignment horizontal="center" vertical="center"/>
    </xf>
    <xf numFmtId="0" fontId="0" fillId="0" borderId="1" xfId="0" applyFont="1" applyBorder="1" applyAlignment="1">
      <alignment horizontal="left" vertical="center"/>
    </xf>
    <xf numFmtId="10" fontId="0" fillId="3" borderId="45" xfId="0" applyNumberFormat="1" applyFont="1" applyFill="1" applyBorder="1" applyAlignment="1">
      <alignment horizontal="center" vertical="center"/>
    </xf>
    <xf numFmtId="165" fontId="10" fillId="4" borderId="46" xfId="0" applyNumberFormat="1" applyFont="1" applyFill="1"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10" fontId="10" fillId="3" borderId="1" xfId="0" applyNumberFormat="1" applyFont="1" applyFill="1" applyBorder="1" applyAlignment="1">
      <alignment horizontal="center" vertical="center"/>
    </xf>
    <xf numFmtId="172" fontId="10" fillId="0" borderId="17" xfId="0" applyNumberFormat="1" applyFont="1" applyBorder="1" applyAlignment="1">
      <alignment horizontal="center" vertical="center"/>
    </xf>
    <xf numFmtId="0" fontId="10" fillId="0" borderId="37" xfId="0" applyFont="1" applyBorder="1" applyAlignment="1">
      <alignment horizontal="center" vertical="center"/>
    </xf>
    <xf numFmtId="0" fontId="0" fillId="8" borderId="38" xfId="0" applyFont="1" applyFill="1" applyBorder="1" applyAlignment="1">
      <alignment horizontal="left" vertical="center"/>
    </xf>
    <xf numFmtId="0" fontId="0" fillId="8" borderId="1" xfId="0" applyFont="1" applyFill="1" applyBorder="1" applyAlignment="1">
      <alignment vertical="center"/>
    </xf>
    <xf numFmtId="10" fontId="18" fillId="8" borderId="1" xfId="0" applyNumberFormat="1" applyFont="1" applyFill="1" applyBorder="1" applyAlignment="1">
      <alignment horizontal="center" vertical="center"/>
    </xf>
    <xf numFmtId="172" fontId="0" fillId="2" borderId="17" xfId="0" applyNumberFormat="1" applyFont="1" applyFill="1" applyBorder="1" applyAlignment="1">
      <alignment horizontal="center" vertical="center"/>
    </xf>
    <xf numFmtId="0" fontId="10" fillId="0" borderId="37" xfId="0" applyFont="1" applyBorder="1" applyAlignment="1">
      <alignment horizontal="center" vertical="center"/>
    </xf>
    <xf numFmtId="0" fontId="0" fillId="8" borderId="1" xfId="0" applyFont="1" applyFill="1" applyBorder="1" applyAlignment="1">
      <alignment horizontal="center" vertical="center" wrapText="1"/>
    </xf>
    <xf numFmtId="0" fontId="0" fillId="8" borderId="1" xfId="0" applyFont="1" applyFill="1" applyBorder="1" applyAlignment="1">
      <alignment horizontal="left" vertical="center"/>
    </xf>
    <xf numFmtId="10" fontId="0" fillId="8" borderId="1" xfId="0" applyNumberFormat="1" applyFont="1" applyFill="1" applyBorder="1" applyAlignment="1">
      <alignment horizontal="center" vertical="center"/>
    </xf>
    <xf numFmtId="10" fontId="6" fillId="12" borderId="35" xfId="0" applyNumberFormat="1" applyFont="1" applyFill="1" applyBorder="1" applyAlignment="1">
      <alignment horizontal="center" vertical="center"/>
    </xf>
    <xf numFmtId="10" fontId="10" fillId="0" borderId="0" xfId="0" applyNumberFormat="1" applyFont="1" applyBorder="1" applyAlignment="1">
      <alignment horizontal="center" vertical="center"/>
    </xf>
    <xf numFmtId="0" fontId="10" fillId="0" borderId="16" xfId="0" applyFont="1" applyBorder="1" applyAlignment="1" applyProtection="1">
      <alignment horizontal="center" vertical="center" wrapText="1"/>
    </xf>
    <xf numFmtId="172" fontId="6" fillId="0" borderId="5" xfId="0" applyNumberFormat="1" applyFont="1" applyBorder="1" applyAlignment="1">
      <alignment horizontal="center" vertical="center"/>
    </xf>
    <xf numFmtId="0" fontId="7" fillId="3" borderId="5" xfId="0" applyFont="1" applyFill="1" applyBorder="1" applyAlignment="1">
      <alignment horizontal="center" vertical="center"/>
    </xf>
    <xf numFmtId="172" fontId="6" fillId="0" borderId="28" xfId="0" applyNumberFormat="1" applyFont="1" applyBorder="1" applyAlignment="1">
      <alignment horizontal="center" vertical="center"/>
    </xf>
    <xf numFmtId="0" fontId="7" fillId="4" borderId="28" xfId="0" applyFont="1" applyFill="1" applyBorder="1" applyAlignment="1">
      <alignment horizontal="center" vertical="center"/>
    </xf>
    <xf numFmtId="0" fontId="10" fillId="0" borderId="0" xfId="0" applyFont="1" applyBorder="1" applyAlignment="1" applyProtection="1">
      <alignment horizontal="left"/>
    </xf>
    <xf numFmtId="10" fontId="0" fillId="0" borderId="0" xfId="0" applyNumberFormat="1"/>
    <xf numFmtId="169" fontId="0" fillId="0" borderId="0" xfId="0" applyNumberFormat="1" applyFont="1" applyProtection="1">
      <protection locked="0"/>
    </xf>
    <xf numFmtId="173" fontId="0" fillId="0" borderId="0" xfId="0" applyNumberFormat="1" applyFont="1" applyAlignment="1" applyProtection="1">
      <alignment vertical="center"/>
      <protection locked="0"/>
    </xf>
    <xf numFmtId="172" fontId="37" fillId="15" borderId="30" xfId="0" applyNumberFormat="1" applyFont="1" applyFill="1" applyBorder="1" applyAlignment="1">
      <alignment horizontal="center" vertical="center" wrapText="1"/>
    </xf>
    <xf numFmtId="165" fontId="0" fillId="0" borderId="0" xfId="0" applyNumberFormat="1" applyFont="1" applyProtection="1">
      <protection locked="0"/>
    </xf>
    <xf numFmtId="10" fontId="0" fillId="0" borderId="0" xfId="0" applyNumberFormat="1" applyFont="1" applyProtection="1">
      <protection locked="0"/>
    </xf>
    <xf numFmtId="0" fontId="3" fillId="0" borderId="0" xfId="0" applyFont="1" applyAlignment="1"/>
    <xf numFmtId="0" fontId="0" fillId="0" borderId="0" xfId="0" applyFont="1" applyAlignment="1"/>
    <xf numFmtId="0" fontId="4" fillId="0" borderId="0" xfId="0" applyFont="1" applyAlignment="1"/>
    <xf numFmtId="4" fontId="38" fillId="0" borderId="0" xfId="0" applyNumberFormat="1" applyFont="1" applyProtection="1">
      <protection locked="0"/>
    </xf>
    <xf numFmtId="0" fontId="38" fillId="0" borderId="0" xfId="0" applyFont="1" applyProtection="1">
      <protection locked="0"/>
    </xf>
    <xf numFmtId="0" fontId="5" fillId="0" borderId="0" xfId="0" applyFont="1" applyAlignment="1"/>
    <xf numFmtId="0" fontId="6" fillId="0" borderId="0" xfId="0" applyFont="1" applyAlignment="1"/>
    <xf numFmtId="0" fontId="7" fillId="0" borderId="0" xfId="0" applyFont="1" applyAlignment="1"/>
    <xf numFmtId="0" fontId="8" fillId="0" borderId="0" xfId="0" applyFont="1" applyAlignment="1"/>
    <xf numFmtId="0" fontId="9" fillId="0" borderId="0" xfId="0" applyFont="1" applyBorder="1" applyAlignment="1">
      <alignment horizontal="left" vertical="center"/>
    </xf>
    <xf numFmtId="0" fontId="39" fillId="0" borderId="0" xfId="0" applyFont="1" applyProtection="1"/>
    <xf numFmtId="0" fontId="40" fillId="15" borderId="49" xfId="0" applyFont="1" applyFill="1" applyBorder="1" applyAlignment="1">
      <alignment horizontal="left"/>
    </xf>
    <xf numFmtId="0" fontId="41" fillId="15" borderId="50" xfId="0" applyFont="1" applyFill="1" applyBorder="1" applyAlignment="1">
      <alignment horizontal="left" vertical="center"/>
    </xf>
    <xf numFmtId="0" fontId="40" fillId="15" borderId="50" xfId="0" applyFont="1" applyFill="1" applyBorder="1" applyAlignment="1">
      <alignment horizontal="left" vertical="center"/>
    </xf>
    <xf numFmtId="49" fontId="41" fillId="15" borderId="51" xfId="0" applyNumberFormat="1" applyFont="1" applyFill="1" applyBorder="1" applyAlignment="1">
      <alignment horizontal="center" vertical="center"/>
    </xf>
    <xf numFmtId="0" fontId="37" fillId="15" borderId="52" xfId="0" applyFont="1" applyFill="1" applyBorder="1" applyAlignment="1" applyProtection="1">
      <alignment horizontal="center" vertical="center" wrapText="1"/>
      <protection locked="0"/>
    </xf>
    <xf numFmtId="0" fontId="37" fillId="15" borderId="53" xfId="0" applyFont="1" applyFill="1" applyBorder="1" applyAlignment="1" applyProtection="1">
      <alignment horizontal="center" vertical="center" wrapText="1"/>
      <protection locked="0"/>
    </xf>
    <xf numFmtId="4" fontId="37" fillId="15" borderId="53" xfId="0" applyNumberFormat="1" applyFont="1" applyFill="1" applyBorder="1" applyAlignment="1" applyProtection="1">
      <alignment horizontal="center" vertical="center" wrapText="1"/>
      <protection locked="0"/>
    </xf>
    <xf numFmtId="0" fontId="37" fillId="15" borderId="54" xfId="0" applyFont="1" applyFill="1" applyBorder="1" applyAlignment="1" applyProtection="1">
      <alignment horizontal="center" vertical="center" wrapText="1"/>
      <protection locked="0"/>
    </xf>
    <xf numFmtId="0" fontId="42" fillId="0" borderId="37" xfId="0" applyFont="1" applyBorder="1" applyAlignment="1">
      <alignment horizontal="justify" vertical="center"/>
    </xf>
    <xf numFmtId="0" fontId="42" fillId="0" borderId="38" xfId="0" applyFont="1" applyBorder="1" applyAlignment="1">
      <alignment horizontal="center" vertical="center" wrapText="1"/>
    </xf>
    <xf numFmtId="172" fontId="42" fillId="15" borderId="38" xfId="0" applyNumberFormat="1" applyFont="1" applyFill="1" applyBorder="1" applyAlignment="1">
      <alignment horizontal="center" vertical="center" wrapText="1"/>
    </xf>
    <xf numFmtId="172" fontId="42" fillId="0" borderId="38" xfId="0" applyNumberFormat="1" applyFont="1" applyBorder="1" applyAlignment="1">
      <alignment horizontal="center" vertical="center" wrapText="1"/>
    </xf>
    <xf numFmtId="0" fontId="42" fillId="0" borderId="27" xfId="0" applyFont="1" applyBorder="1" applyAlignment="1">
      <alignment horizontal="center" vertical="center" wrapText="1"/>
    </xf>
    <xf numFmtId="0" fontId="42" fillId="0" borderId="16" xfId="0" applyFont="1" applyBorder="1" applyAlignment="1">
      <alignment horizontal="justify" vertical="center"/>
    </xf>
    <xf numFmtId="0" fontId="42" fillId="0" borderId="1" xfId="0" applyFont="1" applyBorder="1" applyAlignment="1">
      <alignment horizontal="center" vertical="center" wrapText="1"/>
    </xf>
    <xf numFmtId="172" fontId="42" fillId="15" borderId="1" xfId="0" applyNumberFormat="1" applyFont="1" applyFill="1" applyBorder="1" applyAlignment="1">
      <alignment horizontal="center" vertical="center" wrapText="1"/>
    </xf>
    <xf numFmtId="172" fontId="42" fillId="0" borderId="1" xfId="0" applyNumberFormat="1" applyFont="1" applyBorder="1" applyAlignment="1">
      <alignment horizontal="center" vertical="center" wrapText="1"/>
    </xf>
    <xf numFmtId="0" fontId="42" fillId="0" borderId="17" xfId="0" applyFont="1" applyBorder="1" applyAlignment="1">
      <alignment horizontal="center" vertical="center" wrapText="1"/>
    </xf>
    <xf numFmtId="0" fontId="42" fillId="0" borderId="16" xfId="0" applyFont="1" applyBorder="1" applyAlignment="1">
      <alignment horizontal="justify" vertical="top"/>
    </xf>
    <xf numFmtId="2" fontId="42" fillId="0" borderId="1" xfId="0" applyNumberFormat="1" applyFont="1" applyBorder="1" applyAlignment="1">
      <alignment horizontal="center" vertical="center" wrapText="1"/>
    </xf>
    <xf numFmtId="0" fontId="37" fillId="15" borderId="29" xfId="0" applyFont="1" applyFill="1" applyBorder="1" applyAlignment="1">
      <alignment horizontal="center" wrapText="1"/>
    </xf>
    <xf numFmtId="172" fontId="37" fillId="15" borderId="35" xfId="0" applyNumberFormat="1" applyFont="1" applyFill="1" applyBorder="1" applyAlignment="1">
      <alignment horizontal="center" vertical="center" wrapText="1"/>
    </xf>
    <xf numFmtId="0" fontId="39" fillId="0" borderId="0" xfId="0" applyFont="1" applyProtection="1"/>
    <xf numFmtId="0" fontId="42" fillId="0" borderId="0" xfId="0" applyFont="1" applyProtection="1"/>
    <xf numFmtId="4" fontId="42" fillId="0" borderId="0" xfId="0" applyNumberFormat="1" applyFont="1" applyProtection="1"/>
    <xf numFmtId="0" fontId="37" fillId="0" borderId="47" xfId="0" applyFont="1" applyBorder="1" applyAlignment="1" applyProtection="1">
      <alignment horizontal="left"/>
      <protection locked="0"/>
    </xf>
    <xf numFmtId="0" fontId="42" fillId="0" borderId="55" xfId="0" applyFont="1" applyBorder="1" applyAlignment="1" applyProtection="1">
      <alignment horizontal="left"/>
      <protection locked="0"/>
    </xf>
    <xf numFmtId="0" fontId="43" fillId="0" borderId="55" xfId="0" applyFont="1" applyBorder="1" applyAlignment="1" applyProtection="1">
      <alignment horizontal="left"/>
      <protection locked="0"/>
    </xf>
    <xf numFmtId="0" fontId="43" fillId="0" borderId="56" xfId="0" applyFont="1" applyBorder="1" applyAlignment="1" applyProtection="1">
      <alignment horizontal="left"/>
      <protection locked="0"/>
    </xf>
    <xf numFmtId="49" fontId="7" fillId="0" borderId="0" xfId="0" applyNumberFormat="1" applyFont="1" applyBorder="1" applyAlignment="1">
      <alignment horizontal="left"/>
    </xf>
    <xf numFmtId="0" fontId="39" fillId="0" borderId="0" xfId="0" applyFont="1" applyProtection="1">
      <protection locked="0"/>
    </xf>
    <xf numFmtId="0" fontId="37" fillId="15" borderId="53" xfId="0" applyFont="1" applyFill="1" applyBorder="1" applyAlignment="1" applyProtection="1">
      <alignment horizontal="center" vertical="center" wrapText="1"/>
    </xf>
    <xf numFmtId="4" fontId="37" fillId="15" borderId="53" xfId="0" applyNumberFormat="1" applyFont="1" applyFill="1" applyBorder="1" applyAlignment="1" applyProtection="1">
      <alignment horizontal="center" vertical="center" wrapText="1"/>
    </xf>
    <xf numFmtId="0" fontId="37" fillId="15" borderId="54" xfId="0" applyFont="1" applyFill="1" applyBorder="1" applyAlignment="1" applyProtection="1">
      <alignment horizontal="center" vertical="center" wrapText="1"/>
    </xf>
    <xf numFmtId="0" fontId="42" fillId="0" borderId="37" xfId="0" applyFont="1" applyBorder="1" applyAlignment="1" applyProtection="1">
      <alignment horizontal="justify" vertical="center" wrapText="1"/>
    </xf>
    <xf numFmtId="0" fontId="42" fillId="0" borderId="38" xfId="0" applyFont="1" applyBorder="1" applyAlignment="1" applyProtection="1">
      <alignment horizontal="center" vertical="center" wrapText="1"/>
    </xf>
    <xf numFmtId="172" fontId="42" fillId="4" borderId="38" xfId="0" applyNumberFormat="1" applyFont="1" applyFill="1" applyBorder="1" applyAlignment="1" applyProtection="1">
      <alignment horizontal="center" vertical="center" wrapText="1"/>
      <protection locked="0"/>
    </xf>
    <xf numFmtId="172" fontId="42" fillId="0" borderId="38" xfId="0" applyNumberFormat="1" applyFont="1" applyBorder="1" applyAlignment="1" applyProtection="1">
      <alignment horizontal="center" vertical="center" wrapText="1"/>
    </xf>
    <xf numFmtId="0" fontId="42" fillId="0" borderId="27" xfId="0" applyFont="1" applyBorder="1" applyAlignment="1" applyProtection="1">
      <alignment horizontal="center" vertical="center" wrapText="1"/>
    </xf>
    <xf numFmtId="0" fontId="42" fillId="0" borderId="16" xfId="0" applyFont="1" applyBorder="1" applyAlignment="1" applyProtection="1">
      <alignment horizontal="justify" vertical="center" wrapText="1"/>
    </xf>
    <xf numFmtId="0" fontId="42" fillId="0" borderId="1" xfId="0" applyFont="1" applyBorder="1" applyAlignment="1" applyProtection="1">
      <alignment horizontal="center" vertical="center" wrapText="1"/>
    </xf>
    <xf numFmtId="172" fontId="42" fillId="0" borderId="1" xfId="0" applyNumberFormat="1" applyFont="1" applyBorder="1" applyAlignment="1" applyProtection="1">
      <alignment horizontal="center" vertical="center" wrapText="1"/>
    </xf>
    <xf numFmtId="0" fontId="42" fillId="0" borderId="17" xfId="0" applyFont="1" applyBorder="1" applyAlignment="1" applyProtection="1">
      <alignment horizontal="center" vertical="center" wrapText="1"/>
    </xf>
    <xf numFmtId="0" fontId="42" fillId="0" borderId="16" xfId="0" applyFont="1" applyBorder="1" applyAlignment="1" applyProtection="1">
      <alignment horizontal="justify" vertical="center"/>
    </xf>
    <xf numFmtId="0" fontId="42" fillId="0" borderId="16" xfId="0" applyFont="1" applyBorder="1" applyAlignment="1" applyProtection="1">
      <alignment horizontal="justify" vertical="center" wrapText="1"/>
    </xf>
    <xf numFmtId="172" fontId="42" fillId="4" borderId="1" xfId="0" applyNumberFormat="1" applyFont="1" applyFill="1" applyBorder="1" applyAlignment="1" applyProtection="1">
      <alignment horizontal="center" vertical="center" wrapText="1"/>
      <protection locked="0"/>
    </xf>
    <xf numFmtId="0" fontId="42" fillId="0" borderId="16" xfId="0" applyFont="1" applyBorder="1" applyAlignment="1" applyProtection="1">
      <alignment horizontal="left" vertical="center" wrapText="1"/>
    </xf>
    <xf numFmtId="0" fontId="4" fillId="9" borderId="1" xfId="0" applyFont="1" applyFill="1" applyBorder="1" applyAlignment="1">
      <alignment vertical="center" wrapText="1"/>
    </xf>
    <xf numFmtId="0" fontId="42" fillId="0" borderId="0" xfId="0" applyFont="1" applyProtection="1">
      <protection locked="0"/>
    </xf>
    <xf numFmtId="4" fontId="42" fillId="0" borderId="0" xfId="0" applyNumberFormat="1" applyFont="1" applyProtection="1">
      <protection locked="0"/>
    </xf>
    <xf numFmtId="0" fontId="37" fillId="15" borderId="33" xfId="0" applyFont="1" applyFill="1" applyBorder="1" applyAlignment="1" applyProtection="1">
      <alignment horizontal="center" vertical="center" wrapText="1"/>
      <protection locked="0"/>
    </xf>
    <xf numFmtId="165" fontId="37" fillId="15" borderId="34" xfId="0" applyNumberFormat="1" applyFont="1" applyFill="1" applyBorder="1" applyAlignment="1" applyProtection="1">
      <alignment horizontal="center" vertical="center" wrapText="1"/>
    </xf>
    <xf numFmtId="0" fontId="42" fillId="0" borderId="19" xfId="0" applyFont="1" applyBorder="1" applyAlignment="1" applyProtection="1">
      <alignment horizontal="left" vertical="center" wrapText="1"/>
    </xf>
    <xf numFmtId="0" fontId="38" fillId="0" borderId="12" xfId="0" applyFont="1" applyBorder="1" applyAlignment="1" applyProtection="1">
      <alignment horizontal="left"/>
      <protection locked="0"/>
    </xf>
    <xf numFmtId="0" fontId="42" fillId="0" borderId="37" xfId="0" applyFont="1" applyBorder="1" applyAlignment="1" applyProtection="1">
      <alignment horizontal="justify" vertical="center" wrapText="1"/>
    </xf>
    <xf numFmtId="0" fontId="44" fillId="0" borderId="0" xfId="0" applyFont="1"/>
    <xf numFmtId="0" fontId="9" fillId="0" borderId="0" xfId="0" applyFont="1" applyBorder="1" applyAlignment="1">
      <alignment vertical="center"/>
    </xf>
    <xf numFmtId="0" fontId="42" fillId="15" borderId="49" xfId="0" applyFont="1" applyFill="1" applyBorder="1"/>
    <xf numFmtId="0" fontId="42" fillId="15" borderId="50" xfId="0" applyFont="1" applyFill="1" applyBorder="1"/>
    <xf numFmtId="49" fontId="37" fillId="15" borderId="51" xfId="0" applyNumberFormat="1" applyFont="1" applyFill="1" applyBorder="1" applyAlignment="1">
      <alignment horizontal="center"/>
    </xf>
    <xf numFmtId="0" fontId="37" fillId="15" borderId="52" xfId="0" applyFont="1" applyFill="1" applyBorder="1" applyAlignment="1">
      <alignment horizontal="center" vertical="center"/>
    </xf>
    <xf numFmtId="0" fontId="37" fillId="15" borderId="53" xfId="0" applyFont="1" applyFill="1" applyBorder="1" applyAlignment="1">
      <alignment horizontal="center" vertical="center" wrapText="1"/>
    </xf>
    <xf numFmtId="0" fontId="37" fillId="15" borderId="54" xfId="0" applyFont="1" applyFill="1" applyBorder="1" applyAlignment="1">
      <alignment horizontal="center" vertical="center" wrapText="1"/>
    </xf>
    <xf numFmtId="0" fontId="37" fillId="2" borderId="37" xfId="0" applyFont="1" applyFill="1" applyBorder="1" applyAlignment="1">
      <alignment horizontal="center" vertical="center" wrapText="1"/>
    </xf>
    <xf numFmtId="172" fontId="37" fillId="2" borderId="39" xfId="0" applyNumberFormat="1" applyFont="1" applyFill="1" applyBorder="1" applyAlignment="1">
      <alignment horizontal="center" vertical="center" wrapText="1"/>
    </xf>
    <xf numFmtId="0" fontId="37" fillId="2" borderId="39" xfId="0" applyFont="1" applyFill="1" applyBorder="1" applyAlignment="1">
      <alignment horizontal="center" vertical="center" wrapText="1"/>
    </xf>
    <xf numFmtId="172" fontId="37" fillId="2" borderId="34" xfId="0" applyNumberFormat="1" applyFont="1" applyFill="1" applyBorder="1" applyAlignment="1">
      <alignment horizontal="center" vertical="center" wrapText="1"/>
    </xf>
    <xf numFmtId="0" fontId="10" fillId="2" borderId="1" xfId="3" applyNumberFormat="1" applyFont="1" applyFill="1" applyBorder="1" applyAlignment="1" applyProtection="1">
      <alignment horizontal="center"/>
    </xf>
    <xf numFmtId="0" fontId="37" fillId="4" borderId="16" xfId="0" applyFont="1" applyFill="1" applyBorder="1" applyAlignment="1">
      <alignment horizontal="center" vertical="center" wrapText="1"/>
    </xf>
    <xf numFmtId="165" fontId="45" fillId="4" borderId="1" xfId="2" applyNumberFormat="1" applyFont="1" applyFill="1" applyBorder="1" applyAlignment="1" applyProtection="1">
      <alignment vertical="center"/>
    </xf>
    <xf numFmtId="0" fontId="46" fillId="4" borderId="1" xfId="0" applyFont="1" applyFill="1" applyBorder="1" applyAlignment="1">
      <alignment horizontal="center" vertical="center"/>
    </xf>
    <xf numFmtId="165" fontId="45" fillId="4" borderId="17" xfId="2" applyNumberFormat="1" applyFont="1" applyFill="1" applyBorder="1" applyAlignment="1" applyProtection="1">
      <alignment vertical="center"/>
    </xf>
    <xf numFmtId="0" fontId="37" fillId="2" borderId="16" xfId="0" applyFont="1" applyFill="1" applyBorder="1" applyAlignment="1">
      <alignment horizontal="center" vertical="center" wrapText="1"/>
    </xf>
    <xf numFmtId="165" fontId="45" fillId="2" borderId="1" xfId="2" applyNumberFormat="1" applyFont="1" applyFill="1" applyBorder="1" applyAlignment="1" applyProtection="1">
      <alignment vertical="center"/>
    </xf>
    <xf numFmtId="0" fontId="46" fillId="2" borderId="1" xfId="0" applyFont="1" applyFill="1" applyBorder="1" applyAlignment="1">
      <alignment horizontal="center" vertical="center"/>
    </xf>
    <xf numFmtId="165" fontId="45" fillId="2" borderId="17" xfId="2" applyNumberFormat="1" applyFont="1" applyFill="1" applyBorder="1" applyAlignment="1" applyProtection="1">
      <alignment vertical="center"/>
    </xf>
    <xf numFmtId="0" fontId="37" fillId="4" borderId="29" xfId="0" applyFont="1" applyFill="1" applyBorder="1" applyAlignment="1">
      <alignment horizontal="center" vertical="center" wrapText="1"/>
    </xf>
    <xf numFmtId="165" fontId="45" fillId="4" borderId="35" xfId="2" applyNumberFormat="1" applyFont="1" applyFill="1" applyBorder="1" applyAlignment="1" applyProtection="1">
      <alignment vertical="center"/>
    </xf>
    <xf numFmtId="0" fontId="47" fillId="4" borderId="28" xfId="0" applyFont="1" applyFill="1" applyBorder="1" applyAlignment="1">
      <alignment horizontal="center" vertical="center"/>
    </xf>
    <xf numFmtId="165" fontId="45" fillId="4" borderId="30" xfId="2" applyNumberFormat="1" applyFont="1" applyFill="1" applyBorder="1" applyAlignment="1" applyProtection="1">
      <alignment vertical="center"/>
    </xf>
    <xf numFmtId="165" fontId="45" fillId="5" borderId="0" xfId="2" applyNumberFormat="1" applyFont="1" applyFill="1" applyBorder="1" applyAlignment="1" applyProtection="1">
      <alignment vertical="center"/>
    </xf>
    <xf numFmtId="0" fontId="44" fillId="0" borderId="0" xfId="0" applyFont="1" applyBorder="1" applyAlignment="1">
      <alignment horizontal="center" vertical="center" wrapText="1"/>
    </xf>
    <xf numFmtId="165" fontId="1" fillId="0" borderId="0" xfId="2" applyNumberFormat="1" applyFont="1" applyBorder="1" applyAlignment="1" applyProtection="1">
      <alignment horizontal="center" vertical="center"/>
    </xf>
    <xf numFmtId="0" fontId="44" fillId="0" borderId="0" xfId="0" applyFont="1" applyBorder="1" applyAlignment="1">
      <alignment horizontal="center" vertical="center"/>
    </xf>
    <xf numFmtId="0" fontId="37" fillId="0" borderId="0" xfId="0" applyFont="1"/>
    <xf numFmtId="0" fontId="42" fillId="0" borderId="0" xfId="0" applyFont="1"/>
    <xf numFmtId="0" fontId="37" fillId="0" borderId="0" xfId="0" applyFont="1" applyAlignment="1">
      <alignment horizontal="left"/>
    </xf>
    <xf numFmtId="167" fontId="42" fillId="0" borderId="0" xfId="0" applyNumberFormat="1" applyFont="1"/>
    <xf numFmtId="0" fontId="42" fillId="0" borderId="0" xfId="0" applyFont="1" applyBorder="1"/>
    <xf numFmtId="0" fontId="42" fillId="0" borderId="0" xfId="0" applyFont="1" applyAlignment="1"/>
    <xf numFmtId="0" fontId="42" fillId="0" borderId="57" xfId="0" applyFont="1" applyBorder="1" applyAlignment="1"/>
    <xf numFmtId="0" fontId="42" fillId="0" borderId="0" xfId="0" applyFont="1" applyAlignment="1">
      <alignment vertical="center"/>
    </xf>
    <xf numFmtId="0" fontId="0" fillId="6" borderId="1" xfId="0" applyFont="1" applyFill="1" applyBorder="1" applyAlignment="1" applyProtection="1">
      <alignment horizontal="center"/>
    </xf>
    <xf numFmtId="0" fontId="1" fillId="6" borderId="1" xfId="0" applyFont="1" applyFill="1" applyBorder="1" applyAlignment="1" applyProtection="1">
      <alignment horizontal="center"/>
    </xf>
    <xf numFmtId="0" fontId="0" fillId="7" borderId="1" xfId="0" applyFont="1" applyFill="1" applyBorder="1" applyAlignment="1" applyProtection="1">
      <alignment horizontal="center"/>
    </xf>
    <xf numFmtId="0" fontId="1" fillId="7" borderId="1" xfId="0" applyFont="1" applyFill="1" applyBorder="1" applyAlignment="1" applyProtection="1">
      <alignment horizontal="center"/>
    </xf>
    <xf numFmtId="0" fontId="9" fillId="0" borderId="0" xfId="0" applyFont="1" applyBorder="1" applyAlignment="1" applyProtection="1">
      <alignment horizontal="left" vertical="center"/>
    </xf>
    <xf numFmtId="0" fontId="10" fillId="0" borderId="0" xfId="0" applyFont="1" applyBorder="1" applyAlignment="1" applyProtection="1">
      <alignment horizontal="center" vertical="center"/>
    </xf>
    <xf numFmtId="0" fontId="6" fillId="0" borderId="16" xfId="0" applyFont="1" applyBorder="1" applyAlignment="1" applyProtection="1">
      <alignment horizontal="center" vertical="center"/>
    </xf>
    <xf numFmtId="0" fontId="10" fillId="0" borderId="16" xfId="0" applyFont="1" applyBorder="1" applyAlignment="1" applyProtection="1">
      <alignment horizontal="center" vertical="center"/>
    </xf>
    <xf numFmtId="172" fontId="0" fillId="2" borderId="17" xfId="0" applyNumberFormat="1" applyFont="1" applyFill="1" applyBorder="1" applyAlignment="1" applyProtection="1">
      <alignment horizontal="right" vertical="center"/>
    </xf>
    <xf numFmtId="0" fontId="10" fillId="12" borderId="16" xfId="0" applyFont="1" applyFill="1" applyBorder="1" applyAlignment="1" applyProtection="1">
      <alignment horizontal="center"/>
    </xf>
    <xf numFmtId="0" fontId="10" fillId="0" borderId="0" xfId="0" applyFont="1" applyBorder="1" applyAlignment="1" applyProtection="1">
      <alignment horizontal="center"/>
    </xf>
    <xf numFmtId="0" fontId="10" fillId="12" borderId="1" xfId="0" applyFont="1" applyFill="1" applyBorder="1" applyAlignment="1" applyProtection="1">
      <alignment horizontal="center" vertical="center" wrapText="1"/>
    </xf>
    <xf numFmtId="0" fontId="10" fillId="0" borderId="37" xfId="0" applyFont="1" applyBorder="1" applyAlignment="1" applyProtection="1">
      <alignment horizontal="center" vertical="center"/>
    </xf>
    <xf numFmtId="0" fontId="0" fillId="0" borderId="2" xfId="0" applyFont="1" applyBorder="1" applyAlignment="1" applyProtection="1">
      <alignment horizontal="left" vertical="center"/>
    </xf>
    <xf numFmtId="165" fontId="0" fillId="2" borderId="17" xfId="0" applyNumberFormat="1" applyFont="1" applyFill="1" applyBorder="1" applyAlignment="1" applyProtection="1">
      <alignment horizontal="right" vertical="center"/>
    </xf>
    <xf numFmtId="0" fontId="0" fillId="0" borderId="1" xfId="0" applyFont="1" applyBorder="1" applyAlignment="1" applyProtection="1">
      <alignment horizontal="center"/>
    </xf>
    <xf numFmtId="0" fontId="10" fillId="0" borderId="18" xfId="0" applyFont="1" applyBorder="1" applyAlignment="1" applyProtection="1">
      <alignment horizontal="center" vertical="center"/>
    </xf>
    <xf numFmtId="0" fontId="0" fillId="11" borderId="1" xfId="0" applyFill="1" applyBorder="1" applyAlignment="1" applyProtection="1">
      <alignment horizontal="center"/>
    </xf>
    <xf numFmtId="0" fontId="10" fillId="4" borderId="2" xfId="0" applyFont="1" applyFill="1" applyBorder="1" applyAlignment="1" applyProtection="1">
      <alignment horizontal="justify"/>
    </xf>
    <xf numFmtId="0" fontId="10" fillId="4" borderId="3" xfId="0" applyFont="1" applyFill="1" applyBorder="1" applyAlignment="1" applyProtection="1">
      <alignment horizontal="justify"/>
    </xf>
    <xf numFmtId="0" fontId="10" fillId="4" borderId="4" xfId="0" applyFont="1" applyFill="1" applyBorder="1" applyAlignment="1" applyProtection="1">
      <alignment horizontal="justify"/>
    </xf>
    <xf numFmtId="0" fontId="0" fillId="6" borderId="1" xfId="0" applyFill="1" applyBorder="1" applyAlignment="1" applyProtection="1">
      <alignment horizontal="center" wrapText="1"/>
    </xf>
    <xf numFmtId="0" fontId="0" fillId="6" borderId="1" xfId="0" applyFill="1" applyBorder="1" applyAlignment="1" applyProtection="1">
      <alignment horizontal="center"/>
    </xf>
    <xf numFmtId="0" fontId="0" fillId="17" borderId="1" xfId="0" applyFill="1" applyBorder="1" applyAlignment="1" applyProtection="1">
      <alignment horizontal="center" wrapText="1"/>
    </xf>
    <xf numFmtId="0" fontId="0" fillId="17" borderId="1" xfId="0" applyFill="1" applyBorder="1" applyAlignment="1" applyProtection="1">
      <alignment horizontal="center"/>
    </xf>
    <xf numFmtId="0" fontId="9" fillId="0" borderId="0" xfId="0" applyFont="1" applyBorder="1" applyAlignment="1" applyProtection="1">
      <alignment horizontal="left" vertical="center"/>
    </xf>
    <xf numFmtId="0" fontId="0" fillId="2" borderId="1" xfId="0" applyFont="1" applyFill="1" applyBorder="1" applyAlignment="1">
      <alignment horizontal="center"/>
    </xf>
    <xf numFmtId="0" fontId="0" fillId="3" borderId="0" xfId="0" applyFill="1" applyBorder="1" applyAlignment="1">
      <alignment horizontal="center"/>
    </xf>
    <xf numFmtId="0" fontId="10" fillId="4" borderId="0" xfId="0" applyFont="1" applyFill="1" applyBorder="1" applyAlignment="1">
      <alignment horizontal="center" wrapText="1"/>
    </xf>
    <xf numFmtId="0" fontId="0" fillId="2" borderId="1" xfId="0" applyFont="1" applyFill="1" applyBorder="1" applyAlignment="1" applyProtection="1">
      <alignment horizontal="center" vertical="center"/>
      <protection locked="0"/>
    </xf>
    <xf numFmtId="165" fontId="11" fillId="5" borderId="0" xfId="0" applyNumberFormat="1" applyFont="1" applyFill="1" applyBorder="1" applyAlignment="1">
      <alignment horizontal="center" vertical="center"/>
    </xf>
    <xf numFmtId="0" fontId="0" fillId="4" borderId="1" xfId="0" applyFont="1" applyFill="1" applyBorder="1" applyAlignment="1" applyProtection="1">
      <alignment horizontal="center"/>
    </xf>
    <xf numFmtId="10" fontId="0" fillId="4" borderId="1" xfId="0" applyNumberFormat="1" applyFill="1" applyBorder="1" applyAlignment="1" applyProtection="1">
      <alignment horizontal="center"/>
    </xf>
    <xf numFmtId="0" fontId="13" fillId="2" borderId="0" xfId="0" applyFont="1" applyFill="1" applyBorder="1" applyAlignment="1">
      <alignment horizontal="center" wrapText="1"/>
    </xf>
    <xf numFmtId="0" fontId="12" fillId="4" borderId="4"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0" fillId="4" borderId="1" xfId="0" applyFont="1" applyFill="1" applyBorder="1" applyAlignment="1" applyProtection="1">
      <alignment horizontal="center" vertical="center" wrapText="1"/>
    </xf>
    <xf numFmtId="0" fontId="0" fillId="6" borderId="1" xfId="0" applyFont="1" applyFill="1" applyBorder="1" applyAlignment="1" applyProtection="1">
      <alignment horizontal="center" vertical="center"/>
    </xf>
    <xf numFmtId="0" fontId="0" fillId="6" borderId="1" xfId="0" applyFont="1" applyFill="1" applyBorder="1" applyAlignment="1" applyProtection="1">
      <alignment horizontal="center"/>
    </xf>
    <xf numFmtId="0" fontId="10" fillId="6" borderId="1" xfId="0" applyFont="1" applyFill="1" applyBorder="1" applyAlignment="1" applyProtection="1">
      <alignment horizontal="center" vertical="center"/>
    </xf>
    <xf numFmtId="0" fontId="1" fillId="6" borderId="1" xfId="0" applyFont="1" applyFill="1" applyBorder="1" applyAlignment="1" applyProtection="1">
      <alignment horizontal="center"/>
    </xf>
    <xf numFmtId="0" fontId="10" fillId="6" borderId="1" xfId="3" applyNumberFormat="1" applyFont="1" applyFill="1" applyBorder="1" applyAlignment="1" applyProtection="1">
      <alignment horizontal="center"/>
    </xf>
    <xf numFmtId="0" fontId="1" fillId="6" borderId="1" xfId="0" applyFont="1" applyFill="1" applyBorder="1" applyAlignment="1" applyProtection="1">
      <alignment horizontal="center" wrapText="1"/>
    </xf>
    <xf numFmtId="0" fontId="16" fillId="6" borderId="1" xfId="0" applyFont="1" applyFill="1" applyBorder="1" applyAlignment="1" applyProtection="1">
      <alignment horizontal="center" wrapText="1"/>
    </xf>
    <xf numFmtId="0" fontId="5" fillId="9" borderId="1" xfId="0" applyFont="1" applyFill="1" applyBorder="1" applyAlignment="1" applyProtection="1">
      <alignment horizontal="center" wrapText="1"/>
    </xf>
    <xf numFmtId="0" fontId="16" fillId="0" borderId="0" xfId="0" applyFont="1" applyBorder="1" applyAlignment="1" applyProtection="1">
      <alignment horizontal="center"/>
    </xf>
    <xf numFmtId="0" fontId="0" fillId="7" borderId="1" xfId="0" applyFont="1" applyFill="1" applyBorder="1" applyAlignment="1" applyProtection="1">
      <alignment horizontal="center" vertical="center"/>
    </xf>
    <xf numFmtId="0" fontId="0" fillId="7" borderId="1" xfId="0" applyFont="1" applyFill="1" applyBorder="1" applyAlignment="1" applyProtection="1">
      <alignment horizontal="center"/>
    </xf>
    <xf numFmtId="0" fontId="10" fillId="7" borderId="1" xfId="0" applyFont="1" applyFill="1" applyBorder="1" applyAlignment="1" applyProtection="1">
      <alignment horizontal="center" vertical="center"/>
    </xf>
    <xf numFmtId="0" fontId="1" fillId="7" borderId="1" xfId="0" applyFont="1" applyFill="1" applyBorder="1" applyAlignment="1" applyProtection="1">
      <alignment horizontal="center"/>
    </xf>
    <xf numFmtId="0" fontId="10" fillId="7" borderId="1" xfId="3" applyNumberFormat="1" applyFont="1" applyFill="1" applyBorder="1" applyAlignment="1" applyProtection="1">
      <alignment horizontal="center"/>
    </xf>
    <xf numFmtId="0" fontId="1" fillId="7" borderId="1" xfId="0" applyFont="1" applyFill="1" applyBorder="1" applyAlignment="1" applyProtection="1">
      <alignment horizontal="center" wrapText="1"/>
    </xf>
    <xf numFmtId="0" fontId="9" fillId="0" borderId="0" xfId="0" applyFont="1" applyBorder="1" applyAlignment="1" applyProtection="1">
      <alignment horizontal="center"/>
    </xf>
    <xf numFmtId="0" fontId="5" fillId="12" borderId="9" xfId="0" applyFont="1" applyFill="1" applyBorder="1" applyAlignment="1" applyProtection="1">
      <alignment horizontal="center"/>
    </xf>
    <xf numFmtId="49" fontId="10" fillId="3" borderId="13" xfId="0" applyNumberFormat="1" applyFont="1" applyFill="1" applyBorder="1" applyAlignment="1" applyProtection="1">
      <alignment horizontal="center"/>
    </xf>
    <xf numFmtId="170" fontId="18" fillId="3" borderId="14" xfId="0" applyNumberFormat="1" applyFont="1" applyFill="1" applyBorder="1" applyAlignment="1" applyProtection="1">
      <alignment horizontal="center"/>
      <protection locked="0"/>
    </xf>
    <xf numFmtId="0" fontId="10" fillId="12" borderId="15" xfId="0" applyFont="1" applyFill="1" applyBorder="1" applyAlignment="1" applyProtection="1">
      <alignment horizontal="center"/>
    </xf>
    <xf numFmtId="0" fontId="10" fillId="0" borderId="16" xfId="0" applyFont="1" applyBorder="1" applyAlignment="1" applyProtection="1">
      <alignment horizontal="left"/>
    </xf>
    <xf numFmtId="0" fontId="18" fillId="0" borderId="17" xfId="0" applyFont="1" applyBorder="1" applyAlignment="1" applyProtection="1">
      <alignment horizontal="center"/>
      <protection locked="0"/>
    </xf>
    <xf numFmtId="0" fontId="19" fillId="0" borderId="16" xfId="0" applyFont="1" applyBorder="1" applyAlignment="1" applyProtection="1">
      <alignment horizontal="center"/>
    </xf>
    <xf numFmtId="0" fontId="18" fillId="0" borderId="1" xfId="0" applyFont="1" applyBorder="1" applyAlignment="1" applyProtection="1">
      <alignment horizontal="right"/>
      <protection locked="0"/>
    </xf>
    <xf numFmtId="0" fontId="0" fillId="0" borderId="1" xfId="0" applyFont="1" applyBorder="1" applyAlignment="1" applyProtection="1">
      <alignment horizontal="left"/>
    </xf>
    <xf numFmtId="167" fontId="0" fillId="0" borderId="1" xfId="0" applyNumberFormat="1" applyFont="1" applyBorder="1" applyAlignment="1" applyProtection="1">
      <alignment horizontal="center"/>
    </xf>
    <xf numFmtId="0" fontId="18" fillId="4" borderId="1" xfId="0" applyFont="1" applyFill="1" applyBorder="1" applyAlignment="1" applyProtection="1">
      <alignment horizontal="center" vertical="center"/>
      <protection locked="0"/>
    </xf>
    <xf numFmtId="0" fontId="0" fillId="0" borderId="1" xfId="0" applyFont="1" applyBorder="1" applyAlignment="1" applyProtection="1">
      <alignment horizontal="left" vertical="center" wrapText="1"/>
    </xf>
    <xf numFmtId="1" fontId="20" fillId="3" borderId="1" xfId="0" applyNumberFormat="1" applyFont="1" applyFill="1" applyBorder="1" applyAlignment="1" applyProtection="1">
      <alignment horizontal="center" wrapText="1"/>
      <protection locked="0"/>
    </xf>
    <xf numFmtId="0" fontId="10" fillId="0" borderId="42" xfId="0" applyFont="1" applyBorder="1" applyAlignment="1" applyProtection="1">
      <alignment horizontal="center" vertical="center"/>
    </xf>
    <xf numFmtId="0" fontId="22" fillId="0" borderId="1" xfId="0" applyFont="1" applyBorder="1" applyAlignment="1" applyProtection="1">
      <alignment horizontal="left" wrapText="1"/>
    </xf>
    <xf numFmtId="0" fontId="22" fillId="0" borderId="1" xfId="0" applyFont="1" applyBorder="1" applyAlignment="1" applyProtection="1">
      <alignment horizontal="left"/>
    </xf>
    <xf numFmtId="0" fontId="0" fillId="0" borderId="1" xfId="0" applyBorder="1" applyAlignment="1" applyProtection="1">
      <alignment horizontal="left"/>
      <protection locked="0"/>
    </xf>
    <xf numFmtId="0" fontId="10" fillId="0" borderId="21" xfId="0" applyFont="1" applyBorder="1" applyAlignment="1" applyProtection="1">
      <alignment horizontal="center" vertical="center"/>
    </xf>
    <xf numFmtId="0" fontId="22" fillId="0" borderId="1" xfId="0" applyFont="1" applyBorder="1" applyAlignment="1" applyProtection="1">
      <alignment horizontal="center"/>
    </xf>
    <xf numFmtId="0" fontId="22" fillId="0" borderId="35" xfId="0" applyFont="1" applyBorder="1" applyAlignment="1" applyProtection="1">
      <alignment horizontal="center"/>
    </xf>
    <xf numFmtId="0" fontId="10" fillId="0" borderId="0" xfId="0" applyFont="1" applyBorder="1" applyAlignment="1" applyProtection="1">
      <alignment horizontal="center"/>
    </xf>
    <xf numFmtId="0" fontId="23" fillId="13" borderId="9" xfId="0" applyFont="1" applyFill="1" applyBorder="1" applyAlignment="1" applyProtection="1">
      <alignment horizontal="center"/>
    </xf>
    <xf numFmtId="0" fontId="10" fillId="12" borderId="19" xfId="0" applyFont="1" applyFill="1" applyBorder="1" applyAlignment="1" applyProtection="1">
      <alignment horizontal="center"/>
    </xf>
    <xf numFmtId="0" fontId="0" fillId="0" borderId="15" xfId="0" applyFont="1" applyBorder="1" applyAlignment="1" applyProtection="1">
      <alignment horizontal="left" vertical="center"/>
    </xf>
    <xf numFmtId="0" fontId="0" fillId="0" borderId="1" xfId="0" applyFont="1" applyBorder="1" applyAlignment="1" applyProtection="1">
      <alignment horizontal="left" vertical="center"/>
    </xf>
    <xf numFmtId="0" fontId="25" fillId="0" borderId="1" xfId="0" applyFont="1" applyBorder="1" applyAlignment="1" applyProtection="1">
      <alignment horizontal="left" vertical="center"/>
    </xf>
    <xf numFmtId="0" fontId="26" fillId="0" borderId="22" xfId="0" applyFont="1" applyBorder="1" applyAlignment="1" applyProtection="1">
      <alignment horizontal="left" vertical="center"/>
    </xf>
    <xf numFmtId="0" fontId="6" fillId="12" borderId="23" xfId="0" applyFont="1" applyFill="1" applyBorder="1" applyAlignment="1" applyProtection="1">
      <alignment horizontal="center"/>
    </xf>
    <xf numFmtId="0" fontId="6" fillId="12" borderId="24" xfId="0" applyFont="1" applyFill="1" applyBorder="1" applyAlignment="1" applyProtection="1">
      <alignment horizontal="center"/>
    </xf>
    <xf numFmtId="0" fontId="10" fillId="12" borderId="1" xfId="0" applyFont="1" applyFill="1" applyBorder="1" applyAlignment="1" applyProtection="1">
      <alignment horizontal="center"/>
    </xf>
    <xf numFmtId="0" fontId="10" fillId="0" borderId="16" xfId="0" applyFont="1" applyBorder="1" applyAlignment="1" applyProtection="1">
      <alignment horizontal="center" vertical="center"/>
    </xf>
    <xf numFmtId="0" fontId="0" fillId="0" borderId="48" xfId="0" applyFont="1" applyBorder="1" applyAlignment="1" applyProtection="1">
      <alignment horizontal="left" vertical="center"/>
    </xf>
    <xf numFmtId="165" fontId="0" fillId="4" borderId="1" xfId="0" applyNumberFormat="1" applyFont="1" applyFill="1" applyBorder="1" applyAlignment="1" applyProtection="1">
      <alignment horizontal="center" wrapText="1"/>
      <protection locked="0"/>
    </xf>
    <xf numFmtId="171" fontId="0" fillId="2" borderId="17" xfId="0" applyNumberFormat="1" applyFont="1" applyFill="1" applyBorder="1" applyAlignment="1" applyProtection="1">
      <alignment horizontal="distributed" vertical="distributed" wrapText="1"/>
    </xf>
    <xf numFmtId="0" fontId="0" fillId="0" borderId="5" xfId="0" applyFont="1" applyBorder="1" applyAlignment="1" applyProtection="1"/>
    <xf numFmtId="9" fontId="21" fillId="0" borderId="1" xfId="0" applyNumberFormat="1" applyFont="1" applyBorder="1" applyAlignment="1" applyProtection="1">
      <alignment horizontal="center"/>
      <protection locked="0"/>
    </xf>
    <xf numFmtId="172" fontId="0" fillId="2" borderId="17" xfId="0" applyNumberFormat="1" applyFont="1" applyFill="1" applyBorder="1" applyAlignment="1" applyProtection="1">
      <alignment horizontal="right" vertical="distributed" wrapText="1"/>
      <protection locked="0"/>
    </xf>
    <xf numFmtId="0" fontId="0" fillId="0" borderId="1" xfId="0" applyFont="1" applyBorder="1" applyAlignment="1">
      <alignment horizontal="left"/>
    </xf>
    <xf numFmtId="0" fontId="10" fillId="12" borderId="16" xfId="0" applyFont="1" applyFill="1" applyBorder="1" applyAlignment="1" applyProtection="1">
      <alignment horizontal="center"/>
    </xf>
    <xf numFmtId="171" fontId="0" fillId="4" borderId="17" xfId="0" applyNumberFormat="1" applyFont="1" applyFill="1" applyBorder="1" applyAlignment="1" applyProtection="1">
      <alignment horizontal="center" vertical="distributed" wrapText="1"/>
      <protection locked="0"/>
    </xf>
    <xf numFmtId="0" fontId="10" fillId="12" borderId="4" xfId="0" applyFont="1" applyFill="1" applyBorder="1" applyAlignment="1" applyProtection="1">
      <alignment horizontal="center"/>
    </xf>
    <xf numFmtId="0" fontId="0" fillId="0" borderId="13" xfId="0" applyFont="1" applyBorder="1" applyAlignment="1" applyProtection="1">
      <alignment horizontal="center"/>
      <protection locked="0"/>
    </xf>
    <xf numFmtId="0" fontId="0" fillId="0" borderId="14" xfId="0" applyFont="1" applyBorder="1" applyAlignment="1">
      <alignment horizontal="center"/>
    </xf>
    <xf numFmtId="0" fontId="0" fillId="0" borderId="3" xfId="0" applyFont="1" applyBorder="1" applyAlignment="1" applyProtection="1">
      <alignment horizontal="center" vertical="center" wrapText="1"/>
    </xf>
    <xf numFmtId="0" fontId="6" fillId="12" borderId="29" xfId="0" applyFont="1" applyFill="1" applyBorder="1" applyAlignment="1" applyProtection="1">
      <alignment horizontal="center" vertical="center"/>
    </xf>
    <xf numFmtId="0" fontId="6" fillId="12" borderId="16" xfId="0" applyFont="1" applyFill="1" applyBorder="1" applyAlignment="1" applyProtection="1">
      <alignment horizontal="center" vertical="center"/>
    </xf>
    <xf numFmtId="0" fontId="6" fillId="12" borderId="17" xfId="0" applyFont="1" applyFill="1" applyBorder="1" applyAlignment="1" applyProtection="1">
      <alignment horizontal="center" vertical="center"/>
    </xf>
    <xf numFmtId="0" fontId="10" fillId="12" borderId="1" xfId="0" applyFont="1" applyFill="1" applyBorder="1" applyAlignment="1">
      <alignment horizontal="center"/>
    </xf>
    <xf numFmtId="0" fontId="0" fillId="0" borderId="1" xfId="0" applyFont="1" applyBorder="1" applyAlignment="1">
      <alignment horizontal="left" vertical="center"/>
    </xf>
    <xf numFmtId="0" fontId="0" fillId="12" borderId="1" xfId="0" applyFont="1" applyFill="1" applyBorder="1" applyAlignment="1">
      <alignment horizontal="center" vertical="center" wrapText="1"/>
    </xf>
    <xf numFmtId="0" fontId="6" fillId="12" borderId="29" xfId="0" applyFont="1" applyFill="1" applyBorder="1" applyAlignment="1" applyProtection="1">
      <alignment horizontal="center" vertical="center" wrapText="1"/>
    </xf>
    <xf numFmtId="0" fontId="6" fillId="12" borderId="31" xfId="0" applyFont="1" applyFill="1" applyBorder="1" applyAlignment="1" applyProtection="1">
      <alignment horizontal="center" vertical="center"/>
    </xf>
    <xf numFmtId="0" fontId="6" fillId="12" borderId="32" xfId="0" applyFont="1" applyFill="1" applyBorder="1" applyAlignment="1" applyProtection="1">
      <alignment horizontal="center" vertical="center" wrapText="1"/>
    </xf>
    <xf numFmtId="10" fontId="0" fillId="0" borderId="1" xfId="0" applyNumberFormat="1" applyFont="1" applyBorder="1" applyAlignment="1">
      <alignment horizontal="center" vertical="center"/>
    </xf>
    <xf numFmtId="10" fontId="17" fillId="4" borderId="1" xfId="0" applyNumberFormat="1" applyFont="1" applyFill="1" applyBorder="1" applyAlignment="1">
      <alignment horizontal="center" vertical="center"/>
    </xf>
    <xf numFmtId="10" fontId="6" fillId="12" borderId="35" xfId="0" applyNumberFormat="1" applyFont="1" applyFill="1" applyBorder="1" applyAlignment="1" applyProtection="1">
      <alignment horizontal="center" vertical="center"/>
    </xf>
    <xf numFmtId="0" fontId="27" fillId="12" borderId="36" xfId="0" applyFont="1" applyFill="1" applyBorder="1" applyAlignment="1">
      <alignment horizontal="left" wrapText="1"/>
    </xf>
    <xf numFmtId="0" fontId="0" fillId="0" borderId="2" xfId="0" applyFont="1" applyBorder="1" applyAlignment="1" applyProtection="1">
      <alignment horizontal="center" vertical="center"/>
    </xf>
    <xf numFmtId="0" fontId="0" fillId="0" borderId="1" xfId="0" applyFont="1" applyBorder="1" applyAlignment="1" applyProtection="1">
      <alignment vertical="center"/>
    </xf>
    <xf numFmtId="165" fontId="10" fillId="3" borderId="1" xfId="0" applyNumberFormat="1" applyFont="1" applyFill="1" applyBorder="1" applyAlignment="1" applyProtection="1">
      <alignment horizontal="right" vertical="center"/>
    </xf>
    <xf numFmtId="172" fontId="0" fillId="2" borderId="17" xfId="0" applyNumberFormat="1" applyFont="1" applyFill="1" applyBorder="1" applyAlignment="1" applyProtection="1">
      <alignment horizontal="right" vertical="center"/>
    </xf>
    <xf numFmtId="0" fontId="10" fillId="4" borderId="1" xfId="0" applyFont="1" applyFill="1" applyBorder="1" applyAlignment="1" applyProtection="1">
      <alignment horizontal="right" vertical="center"/>
      <protection locked="0"/>
    </xf>
    <xf numFmtId="165" fontId="10" fillId="4" borderId="1" xfId="0" applyNumberFormat="1" applyFont="1" applyFill="1" applyBorder="1" applyAlignment="1" applyProtection="1">
      <alignment horizontal="right" vertical="center"/>
      <protection locked="0"/>
    </xf>
    <xf numFmtId="0" fontId="0" fillId="0" borderId="1" xfId="0" applyFont="1" applyBorder="1" applyAlignment="1" applyProtection="1">
      <alignment horizontal="center" vertical="center" wrapText="1"/>
    </xf>
    <xf numFmtId="165" fontId="10" fillId="3" borderId="1" xfId="0" applyNumberFormat="1" applyFont="1" applyFill="1" applyBorder="1" applyAlignment="1" applyProtection="1">
      <alignment horizontal="right" vertical="center"/>
      <protection locked="0"/>
    </xf>
    <xf numFmtId="175" fontId="10" fillId="3" borderId="1" xfId="1" applyNumberFormat="1" applyFont="1" applyFill="1" applyBorder="1" applyAlignment="1" applyProtection="1">
      <alignment horizontal="right" vertical="center"/>
      <protection locked="0"/>
    </xf>
    <xf numFmtId="10" fontId="10" fillId="3" borderId="1" xfId="0" applyNumberFormat="1" applyFont="1" applyFill="1" applyBorder="1" applyAlignment="1" applyProtection="1">
      <alignment horizontal="right" vertical="center"/>
      <protection locked="0"/>
    </xf>
    <xf numFmtId="172" fontId="0" fillId="0" borderId="1" xfId="0" applyNumberFormat="1" applyFont="1" applyBorder="1" applyAlignment="1" applyProtection="1">
      <alignment horizontal="center" vertical="center"/>
      <protection locked="0"/>
    </xf>
    <xf numFmtId="0" fontId="0" fillId="0" borderId="38" xfId="0" applyFont="1" applyBorder="1" applyAlignment="1" applyProtection="1">
      <alignment horizontal="center" vertical="center"/>
      <protection locked="0"/>
    </xf>
    <xf numFmtId="0" fontId="6" fillId="12" borderId="32" xfId="0" applyFont="1" applyFill="1" applyBorder="1" applyAlignment="1" applyProtection="1">
      <alignment horizontal="left" vertical="center" wrapText="1"/>
    </xf>
    <xf numFmtId="0" fontId="10" fillId="12" borderId="1" xfId="0" applyFont="1" applyFill="1" applyBorder="1" applyAlignment="1">
      <alignment horizontal="center" vertical="center"/>
    </xf>
    <xf numFmtId="0" fontId="6" fillId="12" borderId="29" xfId="0" applyFont="1" applyFill="1" applyBorder="1" applyAlignment="1" applyProtection="1">
      <alignment vertical="center"/>
    </xf>
    <xf numFmtId="0" fontId="6" fillId="12" borderId="23" xfId="0" applyFont="1" applyFill="1" applyBorder="1" applyAlignment="1" applyProtection="1">
      <alignment horizontal="center" vertical="center"/>
    </xf>
    <xf numFmtId="0" fontId="6" fillId="12" borderId="24" xfId="0" applyFont="1" applyFill="1" applyBorder="1" applyAlignment="1" applyProtection="1">
      <alignment horizontal="center" vertical="center"/>
    </xf>
    <xf numFmtId="0" fontId="6" fillId="15" borderId="29" xfId="0" applyFont="1" applyFill="1" applyBorder="1" applyAlignment="1" applyProtection="1">
      <alignment vertical="center"/>
    </xf>
    <xf numFmtId="10" fontId="6" fillId="15" borderId="35" xfId="0" applyNumberFormat="1" applyFont="1" applyFill="1" applyBorder="1" applyAlignment="1">
      <alignment horizontal="center" vertical="center"/>
    </xf>
    <xf numFmtId="0" fontId="6" fillId="12" borderId="40" xfId="0" applyFont="1" applyFill="1" applyBorder="1" applyAlignment="1" applyProtection="1">
      <alignment horizontal="center" vertical="center"/>
    </xf>
    <xf numFmtId="0" fontId="6" fillId="12" borderId="41" xfId="0" applyFont="1" applyFill="1" applyBorder="1" applyAlignment="1" applyProtection="1">
      <alignment horizontal="center" vertical="center"/>
    </xf>
    <xf numFmtId="0" fontId="6" fillId="12" borderId="42" xfId="0" applyFont="1" applyFill="1" applyBorder="1" applyAlignment="1" applyProtection="1">
      <alignment horizontal="center" vertical="center"/>
    </xf>
    <xf numFmtId="0" fontId="6" fillId="12" borderId="20" xfId="0" applyFont="1" applyFill="1" applyBorder="1" applyAlignment="1" applyProtection="1">
      <alignment horizontal="center" vertical="center" wrapText="1"/>
    </xf>
    <xf numFmtId="0" fontId="10" fillId="10" borderId="1" xfId="0" applyFont="1" applyFill="1" applyBorder="1" applyAlignment="1">
      <alignment horizontal="center"/>
    </xf>
    <xf numFmtId="0" fontId="10" fillId="10" borderId="2" xfId="0" applyFont="1" applyFill="1" applyBorder="1" applyAlignment="1">
      <alignment horizontal="center"/>
    </xf>
    <xf numFmtId="172" fontId="10" fillId="4" borderId="4" xfId="0" applyNumberFormat="1" applyFont="1" applyFill="1" applyBorder="1" applyAlignment="1">
      <alignment horizontal="center"/>
    </xf>
    <xf numFmtId="0" fontId="1" fillId="0" borderId="1" xfId="0" applyFont="1" applyBorder="1" applyAlignment="1" applyProtection="1">
      <alignment horizontal="left" vertical="center"/>
    </xf>
    <xf numFmtId="0" fontId="6" fillId="12" borderId="29" xfId="0" applyFont="1" applyFill="1" applyBorder="1" applyAlignment="1" applyProtection="1">
      <alignment horizontal="center"/>
    </xf>
    <xf numFmtId="0" fontId="6" fillId="12" borderId="16" xfId="0" applyFont="1" applyFill="1" applyBorder="1" applyAlignment="1" applyProtection="1">
      <alignment horizontal="center"/>
    </xf>
    <xf numFmtId="0" fontId="6" fillId="12" borderId="12" xfId="0" applyFont="1" applyFill="1" applyBorder="1" applyAlignment="1" applyProtection="1">
      <alignment horizontal="center"/>
    </xf>
    <xf numFmtId="0" fontId="6" fillId="12" borderId="20" xfId="0" applyFont="1" applyFill="1" applyBorder="1" applyAlignment="1" applyProtection="1">
      <alignment horizontal="left" vertical="center" wrapText="1"/>
    </xf>
    <xf numFmtId="0" fontId="6" fillId="12" borderId="29" xfId="0" applyFont="1" applyFill="1" applyBorder="1" applyAlignment="1" applyProtection="1">
      <alignment horizontal="left" vertical="center"/>
    </xf>
    <xf numFmtId="0" fontId="10" fillId="12" borderId="6" xfId="0" applyFont="1" applyFill="1" applyBorder="1" applyAlignment="1">
      <alignment horizontal="center"/>
    </xf>
    <xf numFmtId="0" fontId="0" fillId="0" borderId="5" xfId="0" applyFont="1" applyBorder="1" applyAlignment="1">
      <alignment horizontal="center"/>
    </xf>
    <xf numFmtId="0" fontId="10" fillId="12" borderId="5" xfId="0" applyFont="1" applyFill="1" applyBorder="1" applyAlignment="1">
      <alignment horizontal="center" vertical="center"/>
    </xf>
    <xf numFmtId="0" fontId="6" fillId="0" borderId="16" xfId="0" applyFont="1" applyBorder="1" applyAlignment="1" applyProtection="1">
      <alignment horizontal="center" vertical="center"/>
    </xf>
    <xf numFmtId="0" fontId="0" fillId="0" borderId="2" xfId="0" applyFont="1" applyBorder="1" applyAlignment="1">
      <alignment horizontal="left" vertical="center"/>
    </xf>
    <xf numFmtId="172" fontId="0" fillId="2" borderId="17" xfId="0" applyNumberFormat="1" applyFill="1" applyBorder="1" applyAlignment="1">
      <alignment vertical="center"/>
    </xf>
    <xf numFmtId="10" fontId="10" fillId="3" borderId="1" xfId="0" applyNumberFormat="1" applyFont="1" applyFill="1" applyBorder="1" applyAlignment="1">
      <alignment horizontal="center" vertical="center"/>
    </xf>
    <xf numFmtId="0" fontId="10" fillId="0" borderId="37" xfId="0" applyFont="1" applyBorder="1" applyAlignment="1">
      <alignment horizontal="center" vertical="center"/>
    </xf>
    <xf numFmtId="0" fontId="0" fillId="8" borderId="38" xfId="0" applyFont="1" applyFill="1" applyBorder="1" applyAlignment="1">
      <alignment horizontal="left" vertical="center"/>
    </xf>
    <xf numFmtId="0" fontId="0" fillId="8" borderId="1" xfId="0" applyFont="1" applyFill="1" applyBorder="1" applyAlignment="1">
      <alignment vertical="center"/>
    </xf>
    <xf numFmtId="10" fontId="18" fillId="8" borderId="1" xfId="0" applyNumberFormat="1" applyFont="1" applyFill="1" applyBorder="1" applyAlignment="1">
      <alignment horizontal="center" vertical="center"/>
    </xf>
    <xf numFmtId="0" fontId="0" fillId="8" borderId="1" xfId="0" applyFont="1" applyFill="1" applyBorder="1" applyAlignment="1">
      <alignment horizontal="center" vertical="center" wrapText="1"/>
    </xf>
    <xf numFmtId="0" fontId="0" fillId="8" borderId="1" xfId="0" applyFont="1" applyFill="1" applyBorder="1" applyAlignment="1">
      <alignment horizontal="left" vertical="center"/>
    </xf>
    <xf numFmtId="10" fontId="0" fillId="8" borderId="1" xfId="0" applyNumberFormat="1" applyFont="1" applyFill="1" applyBorder="1" applyAlignment="1">
      <alignment horizontal="center" vertical="center"/>
    </xf>
    <xf numFmtId="10" fontId="6" fillId="12" borderId="35" xfId="0" applyNumberFormat="1" applyFont="1" applyFill="1" applyBorder="1" applyAlignment="1">
      <alignment horizontal="center" vertical="center"/>
    </xf>
    <xf numFmtId="0" fontId="23" fillId="13" borderId="47" xfId="0" applyFont="1" applyFill="1" applyBorder="1" applyAlignment="1" applyProtection="1">
      <alignment horizontal="center"/>
    </xf>
    <xf numFmtId="0" fontId="10" fillId="12" borderId="9" xfId="0" applyFont="1" applyFill="1" applyBorder="1" applyAlignment="1" applyProtection="1">
      <alignment horizontal="center"/>
    </xf>
    <xf numFmtId="0" fontId="10" fillId="12" borderId="42" xfId="0" applyFont="1" applyFill="1" applyBorder="1" applyAlignment="1" applyProtection="1">
      <alignment horizontal="center" vertical="center"/>
    </xf>
    <xf numFmtId="0" fontId="4" fillId="0" borderId="1" xfId="0" applyFont="1" applyBorder="1" applyAlignment="1" applyProtection="1">
      <alignment horizontal="center" vertical="center" wrapText="1"/>
    </xf>
    <xf numFmtId="0" fontId="4" fillId="0" borderId="35" xfId="0" applyFont="1" applyBorder="1" applyAlignment="1" applyProtection="1">
      <alignment horizontal="center" vertical="center" wrapText="1"/>
    </xf>
    <xf numFmtId="0" fontId="10" fillId="5" borderId="1" xfId="0" applyFont="1" applyFill="1" applyBorder="1" applyAlignment="1" applyProtection="1">
      <alignment horizontal="center" vertical="center"/>
    </xf>
    <xf numFmtId="0" fontId="9" fillId="12" borderId="29" xfId="0" applyFont="1" applyFill="1" applyBorder="1" applyAlignment="1" applyProtection="1">
      <alignment horizontal="center" vertical="center"/>
    </xf>
    <xf numFmtId="0" fontId="10" fillId="12" borderId="15" xfId="0" applyFont="1" applyFill="1" applyBorder="1" applyAlignment="1" applyProtection="1">
      <alignment horizontal="center" vertical="center"/>
    </xf>
    <xf numFmtId="0" fontId="10" fillId="12" borderId="16" xfId="0" applyFont="1" applyFill="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9" fillId="16" borderId="21"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5" fillId="12" borderId="10" xfId="0" applyFont="1" applyFill="1" applyBorder="1" applyAlignment="1" applyProtection="1">
      <alignment horizontal="center"/>
    </xf>
    <xf numFmtId="170" fontId="18" fillId="3" borderId="14" xfId="0" applyNumberFormat="1" applyFont="1" applyFill="1" applyBorder="1" applyAlignment="1" applyProtection="1">
      <alignment horizontal="center"/>
    </xf>
    <xf numFmtId="0" fontId="18" fillId="0" borderId="17" xfId="0" applyFont="1" applyBorder="1" applyAlignment="1" applyProtection="1">
      <alignment horizontal="center"/>
    </xf>
    <xf numFmtId="0" fontId="18" fillId="0" borderId="1" xfId="0" applyFont="1" applyBorder="1" applyAlignment="1" applyProtection="1">
      <alignment horizontal="right"/>
    </xf>
    <xf numFmtId="0" fontId="18" fillId="4" borderId="1" xfId="0" applyFont="1" applyFill="1" applyBorder="1" applyAlignment="1" applyProtection="1">
      <alignment horizontal="center" vertical="center"/>
    </xf>
    <xf numFmtId="1" fontId="20" fillId="3" borderId="1" xfId="0" applyNumberFormat="1" applyFont="1" applyFill="1" applyBorder="1" applyAlignment="1" applyProtection="1">
      <alignment horizontal="center" wrapText="1"/>
    </xf>
    <xf numFmtId="0" fontId="10" fillId="0" borderId="18" xfId="0" applyFont="1" applyBorder="1" applyAlignment="1" applyProtection="1">
      <alignment horizontal="center" vertical="center"/>
    </xf>
    <xf numFmtId="10" fontId="22" fillId="0" borderId="1" xfId="0" applyNumberFormat="1" applyFont="1" applyBorder="1" applyAlignment="1" applyProtection="1">
      <alignment horizontal="center"/>
    </xf>
    <xf numFmtId="165" fontId="0" fillId="4" borderId="1" xfId="0" applyNumberFormat="1" applyFont="1" applyFill="1" applyBorder="1" applyAlignment="1" applyProtection="1">
      <alignment horizontal="center" wrapText="1"/>
    </xf>
    <xf numFmtId="9" fontId="21" fillId="0" borderId="1" xfId="0" applyNumberFormat="1" applyFont="1" applyBorder="1" applyAlignment="1" applyProtection="1">
      <alignment horizontal="center"/>
    </xf>
    <xf numFmtId="0" fontId="0" fillId="0" borderId="1" xfId="0" applyFont="1" applyBorder="1" applyAlignment="1" applyProtection="1">
      <alignment horizontal="left" wrapText="1"/>
    </xf>
    <xf numFmtId="0" fontId="0" fillId="0" borderId="1" xfId="0" applyFont="1" applyBorder="1" applyAlignment="1" applyProtection="1">
      <alignment wrapText="1"/>
    </xf>
    <xf numFmtId="0" fontId="10" fillId="0" borderId="25" xfId="0" applyFont="1" applyBorder="1" applyAlignment="1" applyProtection="1">
      <alignment horizontal="center"/>
    </xf>
    <xf numFmtId="0" fontId="0" fillId="0" borderId="1" xfId="0" applyFont="1" applyBorder="1" applyAlignment="1" applyProtection="1">
      <alignment horizontal="center"/>
    </xf>
    <xf numFmtId="0" fontId="18" fillId="3" borderId="1" xfId="0" applyFont="1" applyFill="1" applyBorder="1" applyAlignment="1" applyProtection="1">
      <alignment horizontal="center"/>
    </xf>
    <xf numFmtId="169" fontId="18" fillId="3" borderId="1" xfId="0" applyNumberFormat="1" applyFont="1" applyFill="1" applyBorder="1" applyAlignment="1" applyProtection="1">
      <alignment horizontal="center"/>
    </xf>
    <xf numFmtId="0" fontId="0" fillId="0" borderId="13" xfId="0" applyFont="1" applyBorder="1" applyAlignment="1" applyProtection="1">
      <alignment horizontal="center"/>
    </xf>
    <xf numFmtId="0" fontId="0" fillId="0" borderId="14" xfId="0" applyFont="1" applyBorder="1" applyAlignment="1" applyProtection="1">
      <alignment horizontal="center"/>
    </xf>
    <xf numFmtId="0" fontId="0" fillId="12" borderId="1" xfId="0" applyFont="1" applyFill="1" applyBorder="1" applyAlignment="1" applyProtection="1">
      <alignment horizontal="center" vertical="center" wrapText="1"/>
    </xf>
    <xf numFmtId="0" fontId="0" fillId="0" borderId="2" xfId="0" applyBorder="1" applyAlignment="1" applyProtection="1">
      <alignment horizontal="left" vertical="center" wrapText="1"/>
    </xf>
    <xf numFmtId="0" fontId="0" fillId="0" borderId="3" xfId="0" applyFont="1" applyBorder="1" applyAlignment="1" applyProtection="1">
      <alignment horizontal="left" vertical="center" wrapText="1"/>
    </xf>
    <xf numFmtId="0" fontId="0" fillId="0" borderId="4" xfId="0" applyFont="1" applyBorder="1" applyAlignment="1" applyProtection="1">
      <alignment horizontal="left" vertical="center" wrapText="1"/>
    </xf>
    <xf numFmtId="10" fontId="17" fillId="4" borderId="1" xfId="0" applyNumberFormat="1" applyFont="1" applyFill="1" applyBorder="1" applyAlignment="1" applyProtection="1">
      <alignment horizontal="center" vertical="center"/>
    </xf>
    <xf numFmtId="0" fontId="27" fillId="12" borderId="36" xfId="0" applyFont="1" applyFill="1" applyBorder="1" applyAlignment="1" applyProtection="1">
      <alignment horizontal="left" wrapText="1"/>
    </xf>
    <xf numFmtId="165" fontId="0" fillId="2" borderId="17" xfId="0" applyNumberFormat="1" applyFont="1" applyFill="1" applyBorder="1" applyAlignment="1" applyProtection="1">
      <alignment horizontal="right" vertical="center"/>
    </xf>
    <xf numFmtId="0" fontId="10" fillId="4" borderId="1" xfId="0" applyFont="1" applyFill="1" applyBorder="1" applyAlignment="1" applyProtection="1">
      <alignment horizontal="right" vertical="center"/>
    </xf>
    <xf numFmtId="165" fontId="10" fillId="4" borderId="1" xfId="0" applyNumberFormat="1" applyFont="1" applyFill="1" applyBorder="1" applyAlignment="1" applyProtection="1">
      <alignment horizontal="right" vertical="center"/>
    </xf>
    <xf numFmtId="165" fontId="10" fillId="14" borderId="5" xfId="0" applyNumberFormat="1" applyFont="1" applyFill="1" applyBorder="1" applyAlignment="1" applyProtection="1">
      <alignment horizontal="center" vertical="center"/>
    </xf>
    <xf numFmtId="165" fontId="0" fillId="0" borderId="5" xfId="0" applyNumberFormat="1" applyFont="1" applyBorder="1" applyAlignment="1" applyProtection="1">
      <alignment horizontal="center" vertical="center" wrapText="1"/>
    </xf>
    <xf numFmtId="165" fontId="10" fillId="14" borderId="5" xfId="0" applyNumberFormat="1" applyFont="1" applyFill="1" applyBorder="1" applyAlignment="1" applyProtection="1">
      <alignment horizontal="center" vertical="center" wrapText="1"/>
    </xf>
    <xf numFmtId="0" fontId="0" fillId="0" borderId="39" xfId="0" applyFont="1" applyBorder="1" applyAlignment="1" applyProtection="1">
      <alignment horizontal="center" vertical="center" wrapText="1"/>
    </xf>
    <xf numFmtId="165" fontId="10" fillId="3" borderId="39" xfId="0" applyNumberFormat="1" applyFont="1" applyFill="1" applyBorder="1" applyAlignment="1" applyProtection="1">
      <alignment horizontal="center" vertical="center"/>
    </xf>
    <xf numFmtId="0" fontId="10" fillId="12" borderId="1" xfId="0" applyFont="1" applyFill="1" applyBorder="1" applyAlignment="1" applyProtection="1">
      <alignment horizontal="center" vertical="center"/>
    </xf>
    <xf numFmtId="10" fontId="6" fillId="15" borderId="35" xfId="0" applyNumberFormat="1" applyFont="1" applyFill="1" applyBorder="1" applyAlignment="1" applyProtection="1">
      <alignment horizontal="center" vertical="center"/>
    </xf>
    <xf numFmtId="0" fontId="10" fillId="10" borderId="1" xfId="0" applyFont="1" applyFill="1" applyBorder="1" applyAlignment="1" applyProtection="1">
      <alignment horizontal="center"/>
    </xf>
    <xf numFmtId="0" fontId="10" fillId="10" borderId="2" xfId="0" applyFont="1" applyFill="1" applyBorder="1" applyAlignment="1" applyProtection="1">
      <alignment horizontal="center"/>
    </xf>
    <xf numFmtId="172" fontId="10" fillId="4" borderId="4" xfId="0" applyNumberFormat="1" applyFont="1" applyFill="1" applyBorder="1" applyAlignment="1" applyProtection="1">
      <alignment horizontal="center"/>
    </xf>
    <xf numFmtId="0" fontId="10" fillId="12" borderId="6" xfId="0" applyFont="1" applyFill="1" applyBorder="1" applyAlignment="1" applyProtection="1">
      <alignment horizontal="center"/>
    </xf>
    <xf numFmtId="0" fontId="0" fillId="0" borderId="5" xfId="0" applyFont="1" applyBorder="1" applyAlignment="1" applyProtection="1">
      <alignment horizontal="center"/>
    </xf>
    <xf numFmtId="0" fontId="10" fillId="12" borderId="5" xfId="0" applyFont="1" applyFill="1" applyBorder="1" applyAlignment="1" applyProtection="1">
      <alignment horizontal="center" vertical="center"/>
    </xf>
    <xf numFmtId="0" fontId="0" fillId="0" borderId="2" xfId="0" applyFont="1" applyBorder="1" applyAlignment="1" applyProtection="1">
      <alignment horizontal="left" vertical="center"/>
    </xf>
    <xf numFmtId="172" fontId="0" fillId="2" borderId="17" xfId="0" applyNumberFormat="1" applyFill="1" applyBorder="1" applyAlignment="1" applyProtection="1">
      <alignment vertical="center"/>
    </xf>
    <xf numFmtId="10" fontId="10" fillId="3" borderId="1" xfId="0" applyNumberFormat="1" applyFont="1" applyFill="1" applyBorder="1" applyAlignment="1" applyProtection="1">
      <alignment horizontal="center" vertical="center"/>
    </xf>
    <xf numFmtId="0" fontId="10" fillId="0" borderId="37" xfId="0" applyFont="1" applyBorder="1" applyAlignment="1" applyProtection="1">
      <alignment horizontal="center" vertical="center"/>
    </xf>
    <xf numFmtId="0" fontId="0" fillId="8" borderId="38" xfId="0" applyFont="1" applyFill="1" applyBorder="1" applyAlignment="1" applyProtection="1">
      <alignment horizontal="left" vertical="center"/>
    </xf>
    <xf numFmtId="0" fontId="0" fillId="8" borderId="1" xfId="0" applyFont="1" applyFill="1" applyBorder="1" applyAlignment="1" applyProtection="1">
      <alignment vertical="center"/>
    </xf>
    <xf numFmtId="10" fontId="18" fillId="8" borderId="1" xfId="0" applyNumberFormat="1" applyFont="1" applyFill="1" applyBorder="1" applyAlignment="1" applyProtection="1">
      <alignment horizontal="center" vertical="center"/>
    </xf>
    <xf numFmtId="0" fontId="0" fillId="8" borderId="1" xfId="0" applyFont="1" applyFill="1" applyBorder="1" applyAlignment="1" applyProtection="1">
      <alignment horizontal="center" vertical="center" wrapText="1"/>
    </xf>
    <xf numFmtId="0" fontId="0" fillId="8" borderId="1" xfId="0" applyFont="1" applyFill="1" applyBorder="1" applyAlignment="1" applyProtection="1">
      <alignment horizontal="left" vertical="center"/>
    </xf>
    <xf numFmtId="10" fontId="0" fillId="8" borderId="1" xfId="0" applyNumberFormat="1" applyFont="1" applyFill="1" applyBorder="1" applyAlignment="1" applyProtection="1">
      <alignment horizontal="center" vertical="center"/>
    </xf>
    <xf numFmtId="0" fontId="10" fillId="12" borderId="1" xfId="0" applyFont="1" applyFill="1" applyBorder="1" applyAlignment="1" applyProtection="1">
      <alignment horizontal="center" vertical="center" wrapText="1"/>
    </xf>
    <xf numFmtId="172" fontId="6" fillId="0" borderId="1" xfId="0" applyNumberFormat="1" applyFont="1" applyBorder="1" applyAlignment="1" applyProtection="1">
      <alignment horizontal="center" vertical="center"/>
    </xf>
    <xf numFmtId="0" fontId="3" fillId="0" borderId="0" xfId="0" applyFont="1" applyBorder="1" applyAlignment="1">
      <alignment horizontal="left"/>
    </xf>
    <xf numFmtId="0" fontId="5" fillId="0" borderId="0" xfId="0" applyFont="1" applyBorder="1" applyAlignment="1">
      <alignment horizontal="left"/>
    </xf>
    <xf numFmtId="0" fontId="6" fillId="0" borderId="0" xfId="0" applyFont="1" applyBorder="1" applyAlignment="1">
      <alignment horizontal="left"/>
    </xf>
    <xf numFmtId="49" fontId="7" fillId="0" borderId="0" xfId="0" applyNumberFormat="1" applyFont="1" applyBorder="1" applyAlignment="1">
      <alignment horizontal="left"/>
    </xf>
    <xf numFmtId="0" fontId="9" fillId="0" borderId="0" xfId="0" applyFont="1" applyBorder="1" applyAlignment="1">
      <alignment horizontal="left" vertical="center"/>
    </xf>
    <xf numFmtId="0" fontId="37" fillId="15" borderId="50" xfId="0" applyFont="1" applyFill="1" applyBorder="1" applyAlignment="1">
      <alignment horizontal="center"/>
    </xf>
    <xf numFmtId="0" fontId="37" fillId="4" borderId="0" xfId="0" applyFont="1" applyFill="1" applyBorder="1" applyAlignment="1">
      <alignment horizontal="center" vertical="center" wrapText="1"/>
    </xf>
    <xf numFmtId="0" fontId="42" fillId="0" borderId="0" xfId="0" applyFont="1" applyBorder="1" applyAlignment="1">
      <alignment horizontal="justify"/>
    </xf>
    <xf numFmtId="0" fontId="42" fillId="0" borderId="0" xfId="0" applyFont="1" applyBorder="1" applyAlignment="1">
      <alignment horizontal="justify" wrapText="1"/>
    </xf>
    <xf numFmtId="0" fontId="42" fillId="0" borderId="0" xfId="0" applyFont="1" applyBorder="1" applyAlignment="1">
      <alignment horizontal="left"/>
    </xf>
    <xf numFmtId="0" fontId="42" fillId="0" borderId="7" xfId="0" applyFont="1" applyBorder="1" applyAlignment="1">
      <alignment horizontal="center"/>
    </xf>
    <xf numFmtId="0" fontId="42" fillId="0" borderId="1" xfId="0" applyFont="1" applyBorder="1" applyAlignment="1">
      <alignment horizontal="center"/>
    </xf>
    <xf numFmtId="0" fontId="42" fillId="0" borderId="57" xfId="0" applyFont="1" applyBorder="1" applyAlignment="1">
      <alignment horizontal="center"/>
    </xf>
    <xf numFmtId="0" fontId="42" fillId="0" borderId="57" xfId="0" applyFont="1" applyBorder="1" applyAlignment="1">
      <alignment horizontal="left" vertical="center"/>
    </xf>
    <xf numFmtId="167" fontId="42" fillId="0" borderId="57" xfId="0" applyNumberFormat="1" applyFont="1" applyBorder="1" applyAlignment="1">
      <alignment horizontal="left" vertical="center"/>
    </xf>
    <xf numFmtId="10" fontId="0" fillId="0" borderId="1" xfId="0" applyNumberFormat="1" applyFont="1" applyBorder="1" applyAlignment="1" applyProtection="1">
      <alignment horizontal="center" vertical="center"/>
      <protection locked="0"/>
    </xf>
    <xf numFmtId="0" fontId="0" fillId="0" borderId="0" xfId="0" applyFont="1" applyAlignment="1" applyProtection="1">
      <alignment horizontal="center" vertical="center"/>
    </xf>
    <xf numFmtId="0" fontId="0" fillId="0" borderId="7" xfId="0" applyFont="1" applyBorder="1" applyAlignment="1" applyProtection="1">
      <alignment horizontal="center" vertical="center"/>
    </xf>
    <xf numFmtId="165" fontId="10" fillId="0" borderId="7" xfId="0" applyNumberFormat="1" applyFont="1" applyBorder="1" applyAlignment="1" applyProtection="1">
      <alignment horizontal="center" vertical="center"/>
    </xf>
    <xf numFmtId="165" fontId="0" fillId="2" borderId="0" xfId="0" applyNumberFormat="1" applyFill="1" applyProtection="1"/>
    <xf numFmtId="0" fontId="0" fillId="4" borderId="0" xfId="0" applyFill="1" applyProtection="1"/>
    <xf numFmtId="0" fontId="0" fillId="0" borderId="0" xfId="0" applyFont="1" applyAlignment="1" applyProtection="1">
      <alignment horizontal="center"/>
    </xf>
    <xf numFmtId="10" fontId="0" fillId="0" borderId="0" xfId="3" applyNumberFormat="1" applyFont="1" applyBorder="1" applyAlignment="1" applyProtection="1"/>
    <xf numFmtId="0" fontId="17" fillId="0" borderId="0" xfId="0" applyFont="1" applyProtection="1"/>
    <xf numFmtId="0" fontId="0" fillId="0" borderId="0" xfId="0" applyFont="1" applyAlignment="1" applyProtection="1">
      <alignment vertical="center"/>
    </xf>
    <xf numFmtId="173" fontId="0" fillId="0" borderId="0" xfId="0" applyNumberFormat="1" applyFont="1" applyAlignment="1" applyProtection="1">
      <alignment vertical="center"/>
    </xf>
    <xf numFmtId="171" fontId="0" fillId="0" borderId="0" xfId="0" applyNumberFormat="1" applyFont="1" applyProtection="1"/>
    <xf numFmtId="0" fontId="4" fillId="0" borderId="0" xfId="0" applyFont="1" applyProtection="1"/>
    <xf numFmtId="0" fontId="32" fillId="4" borderId="4" xfId="0" applyFont="1" applyFill="1" applyBorder="1" applyAlignment="1" applyProtection="1">
      <alignment horizontal="center" vertical="center"/>
    </xf>
    <xf numFmtId="0" fontId="32" fillId="0" borderId="4" xfId="0" applyFont="1" applyBorder="1" applyAlignment="1" applyProtection="1">
      <alignment horizontal="center" vertical="center"/>
    </xf>
    <xf numFmtId="165" fontId="32" fillId="4" borderId="4" xfId="0" applyNumberFormat="1" applyFont="1" applyFill="1" applyBorder="1" applyAlignment="1" applyProtection="1">
      <alignment horizontal="center" vertical="center"/>
    </xf>
    <xf numFmtId="174" fontId="0" fillId="0" borderId="0" xfId="0" applyNumberFormat="1" applyFont="1" applyProtection="1"/>
    <xf numFmtId="49" fontId="7" fillId="0" borderId="0" xfId="0" applyNumberFormat="1" applyFont="1" applyBorder="1" applyAlignment="1" applyProtection="1">
      <alignment horizontal="left"/>
    </xf>
    <xf numFmtId="49" fontId="7" fillId="0" borderId="0" xfId="0" applyNumberFormat="1" applyFont="1" applyAlignment="1" applyProtection="1">
      <alignment horizontal="left"/>
    </xf>
    <xf numFmtId="0" fontId="4" fillId="9" borderId="1" xfId="0" applyFont="1" applyFill="1" applyBorder="1" applyAlignment="1" applyProtection="1">
      <alignment vertical="center" wrapText="1"/>
    </xf>
    <xf numFmtId="0" fontId="40" fillId="18" borderId="49" xfId="0" applyFont="1" applyFill="1" applyBorder="1" applyAlignment="1" applyProtection="1">
      <alignment horizontal="left"/>
    </xf>
    <xf numFmtId="0" fontId="41" fillId="18" borderId="50" xfId="0" applyFont="1" applyFill="1" applyBorder="1" applyAlignment="1" applyProtection="1">
      <alignment horizontal="left" vertical="center"/>
    </xf>
    <xf numFmtId="0" fontId="40" fillId="18" borderId="50" xfId="0" applyFont="1" applyFill="1" applyBorder="1" applyAlignment="1" applyProtection="1">
      <alignment horizontal="left" vertical="center"/>
    </xf>
    <xf numFmtId="49" fontId="41" fillId="18" borderId="51" xfId="0" applyNumberFormat="1" applyFont="1" applyFill="1" applyBorder="1" applyAlignment="1" applyProtection="1">
      <alignment horizontal="center" vertical="center"/>
    </xf>
    <xf numFmtId="0" fontId="0" fillId="19" borderId="0" xfId="0" applyFill="1" applyProtection="1"/>
    <xf numFmtId="0" fontId="38" fillId="19" borderId="0" xfId="0" applyFont="1" applyFill="1" applyProtection="1"/>
    <xf numFmtId="0" fontId="37" fillId="18" borderId="52" xfId="0" applyFont="1" applyFill="1" applyBorder="1" applyAlignment="1" applyProtection="1">
      <alignment horizontal="center" vertical="center" wrapText="1"/>
    </xf>
    <xf numFmtId="0" fontId="37" fillId="18" borderId="53" xfId="0" applyFont="1" applyFill="1" applyBorder="1" applyAlignment="1" applyProtection="1">
      <alignment horizontal="center" vertical="center" wrapText="1"/>
    </xf>
    <xf numFmtId="4" fontId="37" fillId="18" borderId="53" xfId="0" applyNumberFormat="1" applyFont="1" applyFill="1" applyBorder="1" applyAlignment="1" applyProtection="1">
      <alignment horizontal="center" vertical="center" wrapText="1"/>
    </xf>
    <xf numFmtId="0" fontId="37" fillId="18" borderId="54" xfId="0" applyFont="1" applyFill="1" applyBorder="1" applyAlignment="1" applyProtection="1">
      <alignment horizontal="center" vertical="center" wrapText="1"/>
    </xf>
    <xf numFmtId="172" fontId="42" fillId="20" borderId="38" xfId="0" applyNumberFormat="1" applyFont="1" applyFill="1" applyBorder="1" applyAlignment="1" applyProtection="1">
      <alignment horizontal="center" vertical="center" wrapText="1"/>
      <protection locked="0"/>
    </xf>
    <xf numFmtId="172" fontId="42" fillId="20" borderId="1" xfId="0" applyNumberFormat="1" applyFont="1" applyFill="1" applyBorder="1" applyAlignment="1" applyProtection="1">
      <alignment horizontal="center" vertical="center" wrapText="1"/>
      <protection locked="0"/>
    </xf>
    <xf numFmtId="0" fontId="37" fillId="18" borderId="33" xfId="0" applyFont="1" applyFill="1" applyBorder="1" applyAlignment="1" applyProtection="1">
      <alignment horizontal="center" vertical="center" wrapText="1"/>
    </xf>
    <xf numFmtId="165" fontId="37" fillId="18" borderId="34" xfId="0" applyNumberFormat="1" applyFont="1" applyFill="1" applyBorder="1" applyAlignment="1" applyProtection="1">
      <alignment horizontal="center" vertical="center" wrapText="1"/>
    </xf>
    <xf numFmtId="0" fontId="42" fillId="19" borderId="19" xfId="0" applyFont="1" applyFill="1" applyBorder="1" applyAlignment="1" applyProtection="1">
      <alignment horizontal="left" vertical="center" wrapText="1"/>
    </xf>
    <xf numFmtId="0" fontId="38" fillId="19" borderId="12" xfId="0" applyFont="1" applyFill="1" applyBorder="1" applyAlignment="1" applyProtection="1">
      <alignment horizontal="left"/>
    </xf>
    <xf numFmtId="0" fontId="0" fillId="21" borderId="0" xfId="0" applyFill="1" applyAlignment="1" applyProtection="1">
      <alignment horizontal="center" wrapText="1"/>
    </xf>
  </cellXfs>
  <cellStyles count="5">
    <cellStyle name="Moeda" xfId="2" builtinId="4"/>
    <cellStyle name="Normal" xfId="0" builtinId="0"/>
    <cellStyle name="Porcentagem" xfId="3" builtinId="5"/>
    <cellStyle name="Separador de milhares" xfId="1" builtinId="3"/>
    <cellStyle name="TableStyleLight1" xfId="4"/>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BFBFBF"/>
      <rgbColor rgb="FF808080"/>
      <rgbColor rgb="FF9999FF"/>
      <rgbColor rgb="FF993366"/>
      <rgbColor rgb="FFEBF1DE"/>
      <rgbColor rgb="FFDCE6F2"/>
      <rgbColor rgb="FF660066"/>
      <rgbColor rgb="FFFF8080"/>
      <rgbColor rgb="FF0066CC"/>
      <rgbColor rgb="FFC6D9F1"/>
      <rgbColor rgb="FF000080"/>
      <rgbColor rgb="FFFF00FF"/>
      <rgbColor rgb="FFFFFF00"/>
      <rgbColor rgb="FF00FFFF"/>
      <rgbColor rgb="FF800080"/>
      <rgbColor rgb="FF800000"/>
      <rgbColor rgb="FF008080"/>
      <rgbColor rgb="FF0000FF"/>
      <rgbColor rgb="FF00B0F0"/>
      <rgbColor rgb="FFF2F2F2"/>
      <rgbColor rgb="FFD7E4BD"/>
      <rgbColor rgb="FFFDEADA"/>
      <rgbColor rgb="FFB7DEE8"/>
      <rgbColor rgb="FFEEECE1"/>
      <rgbColor rgb="FFD9D9D9"/>
      <rgbColor rgb="FFFCD5B5"/>
      <rgbColor rgb="FF3366FF"/>
      <rgbColor rgb="FF33CCCC"/>
      <rgbColor rgb="FF92D050"/>
      <rgbColor rgb="FFFFC000"/>
      <rgbColor rgb="FFF79646"/>
      <rgbColor rgb="FFFF6600"/>
      <rgbColor rgb="FF66669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370080</xdr:colOff>
      <xdr:row>0</xdr:row>
      <xdr:rowOff>38520</xdr:rowOff>
    </xdr:from>
    <xdr:to>
      <xdr:col>1</xdr:col>
      <xdr:colOff>1258560</xdr:colOff>
      <xdr:row>5</xdr:row>
      <xdr:rowOff>154440</xdr:rowOff>
    </xdr:to>
    <xdr:pic>
      <xdr:nvPicPr>
        <xdr:cNvPr id="2" name="image1.png"/>
        <xdr:cNvPicPr/>
      </xdr:nvPicPr>
      <xdr:blipFill>
        <a:blip xmlns:r="http://schemas.openxmlformats.org/officeDocument/2006/relationships" r:embed="rId1" cstate="print"/>
        <a:stretch/>
      </xdr:blipFill>
      <xdr:spPr>
        <a:xfrm>
          <a:off x="985680" y="38520"/>
          <a:ext cx="888480" cy="12110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73440</xdr:colOff>
      <xdr:row>7</xdr:row>
      <xdr:rowOff>25920</xdr:rowOff>
    </xdr:from>
    <xdr:to>
      <xdr:col>5</xdr:col>
      <xdr:colOff>639000</xdr:colOff>
      <xdr:row>7</xdr:row>
      <xdr:rowOff>149040</xdr:rowOff>
    </xdr:to>
    <xdr:sp macro="" textlink="">
      <xdr:nvSpPr>
        <xdr:cNvPr id="6" name="CustomShape 1"/>
        <xdr:cNvSpPr/>
      </xdr:nvSpPr>
      <xdr:spPr>
        <a:xfrm>
          <a:off x="5215320" y="152100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7</xdr:row>
      <xdr:rowOff>25920</xdr:rowOff>
    </xdr:from>
    <xdr:to>
      <xdr:col>5</xdr:col>
      <xdr:colOff>639000</xdr:colOff>
      <xdr:row>7</xdr:row>
      <xdr:rowOff>149040</xdr:rowOff>
    </xdr:to>
    <xdr:sp macro="" textlink="">
      <xdr:nvSpPr>
        <xdr:cNvPr id="7" name="CustomShape 1"/>
        <xdr:cNvSpPr/>
      </xdr:nvSpPr>
      <xdr:spPr>
        <a:xfrm>
          <a:off x="5215320" y="152100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7</xdr:row>
      <xdr:rowOff>25920</xdr:rowOff>
    </xdr:from>
    <xdr:to>
      <xdr:col>5</xdr:col>
      <xdr:colOff>639000</xdr:colOff>
      <xdr:row>7</xdr:row>
      <xdr:rowOff>149040</xdr:rowOff>
    </xdr:to>
    <xdr:sp macro="" textlink="">
      <xdr:nvSpPr>
        <xdr:cNvPr id="8" name="CustomShape 1"/>
        <xdr:cNvSpPr/>
      </xdr:nvSpPr>
      <xdr:spPr>
        <a:xfrm>
          <a:off x="5215320" y="152100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7</xdr:row>
      <xdr:rowOff>25920</xdr:rowOff>
    </xdr:from>
    <xdr:to>
      <xdr:col>5</xdr:col>
      <xdr:colOff>639000</xdr:colOff>
      <xdr:row>7</xdr:row>
      <xdr:rowOff>149040</xdr:rowOff>
    </xdr:to>
    <xdr:sp macro="" textlink="">
      <xdr:nvSpPr>
        <xdr:cNvPr id="9" name="CustomShape 1"/>
        <xdr:cNvSpPr/>
      </xdr:nvSpPr>
      <xdr:spPr>
        <a:xfrm>
          <a:off x="5215320" y="152100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7</xdr:row>
      <xdr:rowOff>25920</xdr:rowOff>
    </xdr:from>
    <xdr:to>
      <xdr:col>5</xdr:col>
      <xdr:colOff>639000</xdr:colOff>
      <xdr:row>7</xdr:row>
      <xdr:rowOff>149040</xdr:rowOff>
    </xdr:to>
    <xdr:sp macro="" textlink="">
      <xdr:nvSpPr>
        <xdr:cNvPr id="10" name="CustomShape 1"/>
        <xdr:cNvSpPr/>
      </xdr:nvSpPr>
      <xdr:spPr>
        <a:xfrm>
          <a:off x="5215320" y="152100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73440</xdr:colOff>
      <xdr:row>8</xdr:row>
      <xdr:rowOff>25920</xdr:rowOff>
    </xdr:from>
    <xdr:to>
      <xdr:col>5</xdr:col>
      <xdr:colOff>639000</xdr:colOff>
      <xdr:row>8</xdr:row>
      <xdr:rowOff>149040</xdr:rowOff>
    </xdr:to>
    <xdr:sp macro="" textlink="">
      <xdr:nvSpPr>
        <xdr:cNvPr id="17"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18"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19"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20"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21"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73440</xdr:colOff>
      <xdr:row>8</xdr:row>
      <xdr:rowOff>25920</xdr:rowOff>
    </xdr:from>
    <xdr:to>
      <xdr:col>5</xdr:col>
      <xdr:colOff>639000</xdr:colOff>
      <xdr:row>8</xdr:row>
      <xdr:rowOff>149040</xdr:rowOff>
    </xdr:to>
    <xdr:sp macro="" textlink="">
      <xdr:nvSpPr>
        <xdr:cNvPr id="22"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23"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24"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25"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twoCellAnchor editAs="oneCell">
    <xdr:from>
      <xdr:col>5</xdr:col>
      <xdr:colOff>73440</xdr:colOff>
      <xdr:row>8</xdr:row>
      <xdr:rowOff>25920</xdr:rowOff>
    </xdr:from>
    <xdr:to>
      <xdr:col>5</xdr:col>
      <xdr:colOff>639000</xdr:colOff>
      <xdr:row>8</xdr:row>
      <xdr:rowOff>149040</xdr:rowOff>
    </xdr:to>
    <xdr:sp macro="" textlink="">
      <xdr:nvSpPr>
        <xdr:cNvPr id="26" name="CustomShape 1"/>
        <xdr:cNvSpPr/>
      </xdr:nvSpPr>
      <xdr:spPr>
        <a:xfrm>
          <a:off x="4397040" y="1759320"/>
          <a:ext cx="565560" cy="123120"/>
        </a:xfrm>
        <a:prstGeom prst="rightArrow">
          <a:avLst>
            <a:gd name="adj1" fmla="val 50000"/>
            <a:gd name="adj2" fmla="val 50000"/>
          </a:avLst>
        </a:prstGeom>
        <a:solidFill>
          <a:srgbClr val="0070C0"/>
        </a:solidFill>
        <a:ln w="25560">
          <a:solidFill>
            <a:srgbClr val="3A5F8B"/>
          </a:solidFill>
          <a:round/>
        </a:ln>
      </xdr:spPr>
      <xdr:style>
        <a:lnRef idx="0">
          <a:scrgbClr r="0" g="0" b="0"/>
        </a:lnRef>
        <a:fillRef idx="0">
          <a:scrgbClr r="0" g="0" b="0"/>
        </a:fillRef>
        <a:effectRef idx="0">
          <a:scrgbClr r="0" g="0" b="0"/>
        </a:effectRef>
        <a:fontRef idx="minor"/>
      </xdr:style>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370080</xdr:colOff>
      <xdr:row>0</xdr:row>
      <xdr:rowOff>38520</xdr:rowOff>
    </xdr:from>
    <xdr:to>
      <xdr:col>1</xdr:col>
      <xdr:colOff>1258560</xdr:colOff>
      <xdr:row>5</xdr:row>
      <xdr:rowOff>154440</xdr:rowOff>
    </xdr:to>
    <xdr:pic>
      <xdr:nvPicPr>
        <xdr:cNvPr id="53" name="image1.png"/>
        <xdr:cNvPicPr/>
      </xdr:nvPicPr>
      <xdr:blipFill>
        <a:blip xmlns:r="http://schemas.openxmlformats.org/officeDocument/2006/relationships" r:embed="rId1" cstate="print"/>
        <a:stretch/>
      </xdr:blipFill>
      <xdr:spPr>
        <a:xfrm>
          <a:off x="1015200" y="38520"/>
          <a:ext cx="888480" cy="1211040"/>
        </a:xfrm>
        <a:prstGeom prst="rect">
          <a:avLst/>
        </a:prstGeom>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FFFF00"/>
  </sheetPr>
  <dimension ref="B1:Q211"/>
  <sheetViews>
    <sheetView showGridLines="0" topLeftCell="B35" zoomScaleNormal="100" workbookViewId="0">
      <selection activeCell="D72" sqref="D72"/>
    </sheetView>
  </sheetViews>
  <sheetFormatPr defaultRowHeight="15"/>
  <cols>
    <col min="1" max="1" width="8.7109375"/>
    <col min="2" max="3" width="35.140625" style="1"/>
    <col min="4" max="4" width="78.7109375" style="1"/>
    <col min="5" max="5" width="0" style="1" hidden="1"/>
    <col min="6" max="6" width="6.140625" style="1"/>
    <col min="7" max="7" width="7.42578125" style="1"/>
    <col min="8" max="8" width="0" hidden="1"/>
    <col min="10" max="1025" width="8.7109375"/>
  </cols>
  <sheetData>
    <row r="1" spans="2:16" ht="21">
      <c r="B1" s="2"/>
      <c r="C1" s="2"/>
      <c r="D1" s="3" t="s">
        <v>0</v>
      </c>
      <c r="E1" s="4"/>
      <c r="F1" s="5"/>
      <c r="G1" s="5"/>
      <c r="H1" s="5"/>
      <c r="I1" s="6"/>
    </row>
    <row r="2" spans="2:16" ht="18.75">
      <c r="B2" s="2"/>
      <c r="C2" s="2"/>
      <c r="D2" s="7" t="s">
        <v>1</v>
      </c>
      <c r="E2" s="4"/>
      <c r="F2" s="5"/>
      <c r="G2" s="5"/>
      <c r="H2" s="5"/>
      <c r="I2" s="6"/>
    </row>
    <row r="3" spans="2:16" ht="15.75">
      <c r="B3" s="2"/>
      <c r="C3" s="2"/>
      <c r="D3" s="8" t="s">
        <v>2</v>
      </c>
      <c r="E3" s="4"/>
      <c r="F3" s="5"/>
      <c r="G3" s="5"/>
      <c r="H3" s="5"/>
      <c r="I3" s="6"/>
    </row>
    <row r="4" spans="2:16" ht="15.75">
      <c r="B4" s="2"/>
      <c r="C4" s="2"/>
      <c r="D4" s="9" t="s">
        <v>3</v>
      </c>
      <c r="E4" s="4"/>
      <c r="F4" s="10"/>
      <c r="G4" s="10"/>
      <c r="H4" s="10"/>
      <c r="I4" s="6"/>
    </row>
    <row r="5" spans="2:16" ht="15" customHeight="1">
      <c r="B5" s="2"/>
      <c r="C5" s="2"/>
      <c r="D5" s="589" t="s">
        <v>4</v>
      </c>
      <c r="E5" s="589"/>
      <c r="F5" s="589"/>
      <c r="G5" s="589"/>
      <c r="H5" s="11"/>
      <c r="I5" s="6"/>
    </row>
    <row r="6" spans="2:16" ht="48.75" customHeight="1">
      <c r="B6" s="2"/>
      <c r="C6" s="2"/>
      <c r="D6" s="589"/>
      <c r="E6" s="589"/>
      <c r="F6" s="589"/>
      <c r="G6" s="589"/>
      <c r="H6" s="11"/>
      <c r="I6" s="6"/>
    </row>
    <row r="7" spans="2:16">
      <c r="B7" s="590" t="s">
        <v>5</v>
      </c>
      <c r="C7" s="590"/>
      <c r="D7" s="12" t="s">
        <v>6</v>
      </c>
      <c r="E7" s="13" t="s">
        <v>7</v>
      </c>
      <c r="F7" s="14"/>
      <c r="G7" s="14"/>
      <c r="I7" s="15"/>
      <c r="J7" s="15"/>
      <c r="K7" s="15"/>
      <c r="L7" s="15"/>
      <c r="M7" s="15"/>
      <c r="N7" s="15"/>
      <c r="O7" s="15"/>
    </row>
    <row r="8" spans="2:16">
      <c r="B8" s="590" t="s">
        <v>8</v>
      </c>
      <c r="C8" s="590"/>
      <c r="D8" s="12" t="s">
        <v>9</v>
      </c>
      <c r="E8" s="13" t="s">
        <v>10</v>
      </c>
      <c r="F8" s="14"/>
      <c r="G8" s="14"/>
      <c r="I8" s="15"/>
      <c r="J8" s="15"/>
      <c r="K8" s="15"/>
      <c r="L8" s="591"/>
      <c r="M8" s="591"/>
      <c r="N8" s="591"/>
      <c r="O8" s="591"/>
    </row>
    <row r="9" spans="2:16">
      <c r="B9" s="590" t="s">
        <v>11</v>
      </c>
      <c r="C9" s="590"/>
      <c r="D9" s="12"/>
      <c r="E9" s="13" t="s">
        <v>12</v>
      </c>
      <c r="F9" s="14"/>
      <c r="G9" s="14"/>
      <c r="I9" s="15"/>
      <c r="J9" s="15"/>
      <c r="K9" s="15"/>
      <c r="L9" s="591"/>
      <c r="M9" s="591"/>
      <c r="N9" s="591"/>
      <c r="O9" s="591"/>
    </row>
    <row r="10" spans="2:16" ht="15" customHeight="1">
      <c r="B10" s="590" t="s">
        <v>13</v>
      </c>
      <c r="C10" s="590"/>
      <c r="D10" s="12"/>
      <c r="E10" s="13" t="s">
        <v>14</v>
      </c>
      <c r="F10" s="14"/>
      <c r="G10" s="14"/>
      <c r="I10" s="15"/>
      <c r="J10" s="15"/>
      <c r="K10" s="15"/>
      <c r="L10" s="592" t="s">
        <v>15</v>
      </c>
      <c r="M10" s="592"/>
      <c r="N10" s="592"/>
      <c r="O10" s="592"/>
      <c r="P10" s="592"/>
    </row>
    <row r="11" spans="2:16">
      <c r="B11" s="590" t="s">
        <v>16</v>
      </c>
      <c r="C11" s="590"/>
      <c r="D11" s="12"/>
      <c r="E11" s="13" t="s">
        <v>17</v>
      </c>
      <c r="F11" s="14"/>
      <c r="G11" s="14"/>
      <c r="L11" s="592"/>
      <c r="M11" s="592"/>
      <c r="N11" s="592"/>
      <c r="O11" s="592"/>
      <c r="P11" s="592"/>
    </row>
    <row r="12" spans="2:16">
      <c r="B12" s="593" t="s">
        <v>18</v>
      </c>
      <c r="C12" s="593"/>
      <c r="D12" s="16">
        <v>20</v>
      </c>
      <c r="E12" s="17"/>
      <c r="F12" s="17"/>
      <c r="G12" s="18"/>
      <c r="L12" s="594">
        <v>998</v>
      </c>
      <c r="M12" s="594"/>
      <c r="N12" s="594"/>
      <c r="O12" s="594"/>
      <c r="P12" s="594"/>
    </row>
    <row r="13" spans="2:16">
      <c r="B13" s="593" t="s">
        <v>19</v>
      </c>
      <c r="C13" s="593"/>
      <c r="D13" s="19">
        <v>0</v>
      </c>
      <c r="E13" s="17"/>
      <c r="F13" s="17"/>
      <c r="G13" s="18"/>
      <c r="L13" s="594"/>
      <c r="M13" s="594"/>
      <c r="N13" s="594"/>
      <c r="O13" s="594"/>
      <c r="P13" s="594"/>
    </row>
    <row r="14" spans="2:16">
      <c r="B14" s="590" t="s">
        <v>20</v>
      </c>
      <c r="C14" s="590"/>
      <c r="D14" s="20">
        <v>6.7900000000000002E-2</v>
      </c>
      <c r="E14" s="21"/>
      <c r="F14" s="22"/>
      <c r="G14" s="23"/>
      <c r="L14" s="594"/>
      <c r="M14" s="594"/>
      <c r="N14" s="594"/>
      <c r="O14" s="594"/>
      <c r="P14" s="594"/>
    </row>
    <row r="15" spans="2:16">
      <c r="B15" s="590" t="s">
        <v>21</v>
      </c>
      <c r="C15" s="590"/>
      <c r="D15" s="20">
        <v>0.06</v>
      </c>
      <c r="E15" s="21"/>
      <c r="F15" s="22"/>
      <c r="G15" s="23"/>
      <c r="L15" s="594"/>
      <c r="M15" s="594"/>
      <c r="N15" s="594"/>
      <c r="O15" s="594"/>
      <c r="P15" s="594"/>
    </row>
    <row r="16" spans="2:16">
      <c r="B16" s="593" t="s">
        <v>22</v>
      </c>
      <c r="C16" s="593"/>
      <c r="D16" s="582" t="s">
        <v>23</v>
      </c>
      <c r="E16" s="583"/>
      <c r="F16" s="583"/>
      <c r="G16" s="584"/>
      <c r="L16" s="594"/>
      <c r="M16" s="594"/>
      <c r="N16" s="594"/>
      <c r="O16" s="594"/>
      <c r="P16" s="594"/>
    </row>
    <row r="17" spans="2:17">
      <c r="B17" s="593"/>
      <c r="C17" s="593"/>
      <c r="D17" s="12">
        <v>1</v>
      </c>
      <c r="E17" s="24">
        <v>1</v>
      </c>
      <c r="F17" s="595" t="s">
        <v>24</v>
      </c>
      <c r="G17" s="595"/>
      <c r="J17" s="15"/>
      <c r="L17" s="594"/>
      <c r="M17" s="594"/>
      <c r="N17" s="594"/>
      <c r="O17" s="594"/>
      <c r="P17" s="594"/>
    </row>
    <row r="18" spans="2:17">
      <c r="B18" s="593" t="s">
        <v>25</v>
      </c>
      <c r="C18" s="593"/>
      <c r="D18" s="26">
        <v>0.03</v>
      </c>
      <c r="E18" s="24"/>
      <c r="F18" s="596">
        <f>D18*D19</f>
        <v>0.06</v>
      </c>
      <c r="G18" s="596"/>
      <c r="J18" s="15"/>
      <c r="L18" s="594"/>
      <c r="M18" s="594"/>
      <c r="N18" s="594"/>
      <c r="O18" s="594"/>
      <c r="P18" s="594"/>
    </row>
    <row r="19" spans="2:17">
      <c r="B19" s="593" t="s">
        <v>26</v>
      </c>
      <c r="C19" s="593"/>
      <c r="D19" s="27">
        <v>2</v>
      </c>
      <c r="E19" s="24"/>
      <c r="F19" s="596"/>
      <c r="G19" s="596"/>
      <c r="J19" s="15"/>
      <c r="L19" s="28"/>
      <c r="M19" s="28"/>
      <c r="N19" s="28"/>
      <c r="O19" s="28"/>
      <c r="P19" s="15"/>
    </row>
    <row r="20" spans="2:17" ht="18.75" customHeight="1">
      <c r="B20" s="595" t="s">
        <v>27</v>
      </c>
      <c r="C20" s="595"/>
      <c r="D20" s="598" t="s">
        <v>28</v>
      </c>
      <c r="E20" s="599" t="s">
        <v>29</v>
      </c>
      <c r="F20" s="599"/>
      <c r="G20" s="599"/>
      <c r="H20" s="6"/>
      <c r="I20" s="6"/>
      <c r="J20" s="597" t="s">
        <v>30</v>
      </c>
      <c r="K20" s="597"/>
      <c r="L20" s="597"/>
      <c r="M20" s="597"/>
      <c r="N20" s="597"/>
      <c r="O20" s="597"/>
      <c r="P20" s="597"/>
      <c r="Q20" s="597"/>
    </row>
    <row r="21" spans="2:17" ht="18.75" customHeight="1">
      <c r="B21" s="595"/>
      <c r="C21" s="595"/>
      <c r="D21" s="598"/>
      <c r="E21" s="599"/>
      <c r="F21" s="599"/>
      <c r="G21" s="599"/>
      <c r="H21" s="6"/>
      <c r="I21" s="6"/>
      <c r="J21" s="597"/>
      <c r="K21" s="597"/>
      <c r="L21" s="597"/>
      <c r="M21" s="597"/>
      <c r="N21" s="597"/>
      <c r="O21" s="597"/>
      <c r="P21" s="597"/>
      <c r="Q21" s="597"/>
    </row>
    <row r="22" spans="2:17" ht="18.75" customHeight="1">
      <c r="B22" s="595"/>
      <c r="C22" s="595"/>
      <c r="D22" s="598"/>
      <c r="E22" s="599"/>
      <c r="F22" s="599"/>
      <c r="G22" s="599"/>
      <c r="H22" s="6"/>
      <c r="I22" s="6"/>
      <c r="J22" s="597"/>
      <c r="K22" s="597"/>
      <c r="L22" s="597"/>
      <c r="M22" s="597"/>
      <c r="N22" s="597"/>
      <c r="O22" s="597"/>
      <c r="P22" s="597"/>
      <c r="Q22" s="597"/>
    </row>
    <row r="23" spans="2:17" ht="68.25" customHeight="1">
      <c r="B23" s="595"/>
      <c r="C23" s="595"/>
      <c r="D23" s="598"/>
      <c r="E23" s="599"/>
      <c r="F23" s="599"/>
      <c r="G23" s="599"/>
      <c r="H23" s="6"/>
      <c r="I23" s="6"/>
      <c r="J23" s="597"/>
      <c r="K23" s="597"/>
      <c r="L23" s="597"/>
      <c r="M23" s="597"/>
      <c r="N23" s="597"/>
      <c r="O23" s="597"/>
      <c r="P23" s="597"/>
      <c r="Q23" s="597"/>
    </row>
    <row r="24" spans="2:17">
      <c r="B24" s="595" t="s">
        <v>31</v>
      </c>
      <c r="C24" s="595"/>
      <c r="D24" s="25" t="s">
        <v>32</v>
      </c>
      <c r="E24" s="25" t="str">
        <f>D24</f>
        <v>23238.000559/2019-70</v>
      </c>
      <c r="F24" s="25"/>
      <c r="G24" s="25"/>
      <c r="H24" s="6"/>
      <c r="I24" s="6"/>
      <c r="J24" s="29"/>
      <c r="K24" s="29"/>
      <c r="L24" s="29"/>
      <c r="M24" s="29"/>
      <c r="N24" s="29"/>
      <c r="O24" s="29"/>
      <c r="P24" s="29"/>
      <c r="Q24" s="29"/>
    </row>
    <row r="25" spans="2:17">
      <c r="B25" s="595" t="s">
        <v>33</v>
      </c>
      <c r="C25" s="595"/>
      <c r="D25" s="30" t="s">
        <v>34</v>
      </c>
      <c r="E25" s="30" t="str">
        <f>D25</f>
        <v>10/2019</v>
      </c>
      <c r="F25" s="30"/>
      <c r="G25" s="30"/>
      <c r="H25" s="6"/>
      <c r="I25" s="6"/>
    </row>
    <row r="26" spans="2:17">
      <c r="B26" s="595" t="s">
        <v>35</v>
      </c>
      <c r="C26" s="595"/>
      <c r="D26" s="31">
        <f ca="1">NOW()</f>
        <v>43731.368808217594</v>
      </c>
      <c r="E26" s="31">
        <f ca="1">D26</f>
        <v>43731.368808217594</v>
      </c>
      <c r="F26" s="31"/>
      <c r="G26" s="31"/>
      <c r="H26" s="6"/>
      <c r="I26" s="6"/>
      <c r="J26" s="15"/>
      <c r="K26" s="15"/>
      <c r="L26" s="15"/>
      <c r="M26" s="15"/>
      <c r="N26" s="15"/>
      <c r="O26" s="15"/>
      <c r="P26" s="15"/>
    </row>
    <row r="27" spans="2:17">
      <c r="B27" s="32" t="s">
        <v>36</v>
      </c>
      <c r="C27" s="33"/>
      <c r="D27" s="34">
        <v>43592</v>
      </c>
      <c r="E27" s="34">
        <f>D27</f>
        <v>43592</v>
      </c>
      <c r="F27" s="34"/>
      <c r="G27" s="34"/>
      <c r="H27" s="6"/>
      <c r="I27" s="6"/>
      <c r="J27" s="15"/>
      <c r="K27" s="15"/>
      <c r="L27" s="28"/>
      <c r="M27" s="28"/>
      <c r="N27" s="28"/>
      <c r="O27" s="28"/>
      <c r="P27" s="15"/>
    </row>
    <row r="28" spans="2:17">
      <c r="B28" s="595" t="s">
        <v>37</v>
      </c>
      <c r="C28" s="595"/>
      <c r="D28" s="30" t="str">
        <f>$D$4</f>
        <v>Campus Jaguari</v>
      </c>
      <c r="E28" s="25" t="str">
        <f>D28</f>
        <v>Campus Jaguari</v>
      </c>
      <c r="F28" s="25"/>
      <c r="G28" s="25"/>
      <c r="H28" s="6"/>
      <c r="I28" s="6"/>
      <c r="J28" s="15"/>
      <c r="K28" s="15"/>
      <c r="L28" s="15"/>
      <c r="M28" s="15"/>
      <c r="N28" s="15"/>
      <c r="O28" s="15"/>
      <c r="P28" s="15"/>
    </row>
    <row r="29" spans="2:17" ht="15" customHeight="1">
      <c r="B29" s="600" t="s">
        <v>38</v>
      </c>
      <c r="C29" s="600"/>
      <c r="D29" s="35" t="s">
        <v>39</v>
      </c>
      <c r="E29" s="35" t="s">
        <v>40</v>
      </c>
      <c r="F29" s="35"/>
      <c r="G29" s="35"/>
      <c r="H29" s="6"/>
      <c r="I29" s="6"/>
      <c r="J29" s="15"/>
      <c r="K29" s="15"/>
      <c r="L29" s="15"/>
      <c r="M29" s="15"/>
      <c r="N29" s="15"/>
      <c r="O29" s="15"/>
      <c r="P29" s="15"/>
    </row>
    <row r="30" spans="2:17" ht="15" customHeight="1">
      <c r="B30" s="600" t="s">
        <v>41</v>
      </c>
      <c r="C30" s="600"/>
      <c r="D30" s="35" t="s">
        <v>42</v>
      </c>
      <c r="E30" s="35"/>
      <c r="F30" s="35"/>
      <c r="G30" s="35"/>
      <c r="H30" s="6"/>
      <c r="I30" s="6"/>
      <c r="J30" s="15"/>
      <c r="K30" s="15"/>
      <c r="L30" s="15"/>
      <c r="M30" s="15"/>
      <c r="N30" s="15"/>
      <c r="O30" s="15"/>
      <c r="P30" s="15"/>
    </row>
    <row r="31" spans="2:17" ht="15" customHeight="1">
      <c r="B31" s="600" t="s">
        <v>43</v>
      </c>
      <c r="C31" s="600"/>
      <c r="D31" s="35" t="s">
        <v>44</v>
      </c>
      <c r="E31" s="35"/>
      <c r="F31" s="35"/>
      <c r="G31" s="35"/>
      <c r="H31" s="6"/>
      <c r="I31" s="6"/>
      <c r="J31" s="15"/>
      <c r="K31" s="15"/>
      <c r="L31" s="15"/>
      <c r="M31" s="15"/>
      <c r="N31" s="15"/>
      <c r="O31" s="15"/>
      <c r="P31" s="15"/>
    </row>
    <row r="32" spans="2:17" ht="15" customHeight="1">
      <c r="B32" s="600" t="s">
        <v>45</v>
      </c>
      <c r="C32" s="600"/>
      <c r="D32" s="35" t="s">
        <v>44</v>
      </c>
      <c r="E32" s="35"/>
      <c r="F32" s="35"/>
      <c r="G32" s="35"/>
      <c r="H32" s="6"/>
      <c r="I32" s="6"/>
      <c r="J32" s="15"/>
      <c r="K32" s="15"/>
      <c r="L32" s="15"/>
      <c r="M32" s="15"/>
      <c r="N32" s="15"/>
      <c r="O32" s="15"/>
      <c r="P32" s="15"/>
    </row>
    <row r="33" spans="2:16" ht="15" customHeight="1">
      <c r="B33" s="600" t="s">
        <v>46</v>
      </c>
      <c r="C33" s="600"/>
      <c r="D33" s="35" t="s">
        <v>47</v>
      </c>
      <c r="E33" s="35"/>
      <c r="F33" s="35"/>
      <c r="G33" s="35"/>
      <c r="H33" s="6"/>
      <c r="I33" s="6"/>
      <c r="J33" s="15"/>
      <c r="K33" s="15"/>
      <c r="L33" s="15"/>
      <c r="M33" s="15"/>
      <c r="N33" s="15"/>
      <c r="O33" s="15"/>
      <c r="P33" s="15"/>
    </row>
    <row r="34" spans="2:16" ht="15" customHeight="1">
      <c r="B34" s="600" t="s">
        <v>48</v>
      </c>
      <c r="C34" s="600"/>
      <c r="D34" s="36">
        <v>30</v>
      </c>
      <c r="E34" s="37">
        <v>30</v>
      </c>
      <c r="F34" s="37"/>
      <c r="G34" s="37"/>
      <c r="H34" s="6"/>
      <c r="I34" s="6"/>
      <c r="J34" s="15"/>
      <c r="K34" s="15"/>
      <c r="L34" s="591"/>
      <c r="M34" s="591"/>
      <c r="N34" s="591"/>
      <c r="O34" s="591"/>
      <c r="P34" s="15"/>
    </row>
    <row r="35" spans="2:16" ht="15.75" customHeight="1">
      <c r="B35" s="601" t="s">
        <v>72</v>
      </c>
      <c r="C35" s="564" t="s">
        <v>49</v>
      </c>
      <c r="D35" s="38" t="s">
        <v>50</v>
      </c>
      <c r="E35" s="38" t="str">
        <f>D35</f>
        <v>SINDICATO DOS TRAB. NAS INDUST DA CONST E MOB DE SANTIAGO</v>
      </c>
      <c r="F35" s="38"/>
      <c r="G35" s="38"/>
    </row>
    <row r="36" spans="2:16" ht="15.75" customHeight="1">
      <c r="B36" s="601"/>
      <c r="C36" s="564" t="s">
        <v>51</v>
      </c>
      <c r="D36" s="564" t="s">
        <v>52</v>
      </c>
      <c r="E36" s="564" t="str">
        <f>D36</f>
        <v>92.455.658/0001-06</v>
      </c>
      <c r="F36" s="564"/>
      <c r="G36" s="564"/>
    </row>
    <row r="37" spans="2:16" ht="15.75" customHeight="1">
      <c r="B37" s="601"/>
      <c r="C37" s="564" t="s">
        <v>53</v>
      </c>
      <c r="D37" s="39" t="s">
        <v>54</v>
      </c>
      <c r="E37" s="39" t="str">
        <f>D37</f>
        <v>SINDICATO DA INDUSTR DA CONSTRUÇÃO CIVIL DE SANTA MARIA</v>
      </c>
      <c r="F37" s="39"/>
      <c r="G37" s="39"/>
    </row>
    <row r="38" spans="2:16" ht="15.75" customHeight="1">
      <c r="B38" s="601"/>
      <c r="C38" s="564" t="s">
        <v>55</v>
      </c>
      <c r="D38" s="564" t="s">
        <v>56</v>
      </c>
      <c r="E38" s="564" t="str">
        <f>D38</f>
        <v>01.275.003/0001-09</v>
      </c>
      <c r="F38" s="564"/>
      <c r="G38" s="564"/>
    </row>
    <row r="39" spans="2:16" ht="15.75" customHeight="1">
      <c r="B39" s="601"/>
      <c r="C39" s="40" t="s">
        <v>57</v>
      </c>
      <c r="D39" s="564">
        <v>2019</v>
      </c>
      <c r="E39" s="564"/>
      <c r="F39" s="564"/>
      <c r="G39" s="564"/>
    </row>
    <row r="40" spans="2:16" s="216" customFormat="1" ht="15.75" customHeight="1">
      <c r="B40" s="601"/>
      <c r="C40" s="585" t="s">
        <v>372</v>
      </c>
      <c r="D40" s="586" t="s">
        <v>373</v>
      </c>
      <c r="E40" s="564"/>
      <c r="F40" s="564"/>
      <c r="G40" s="564"/>
    </row>
    <row r="41" spans="2:16" ht="15.75" customHeight="1">
      <c r="B41" s="601"/>
      <c r="C41" s="564" t="s">
        <v>58</v>
      </c>
      <c r="D41" s="564" t="s">
        <v>59</v>
      </c>
      <c r="E41" s="564"/>
      <c r="F41" s="564"/>
      <c r="G41" s="564"/>
    </row>
    <row r="42" spans="2:16" ht="15.75" customHeight="1">
      <c r="B42" s="601"/>
      <c r="C42" s="40" t="s">
        <v>60</v>
      </c>
      <c r="D42" s="41">
        <v>1542</v>
      </c>
      <c r="E42" s="41">
        <v>2198.1799999999998</v>
      </c>
      <c r="F42" s="41"/>
      <c r="G42" s="41"/>
    </row>
    <row r="43" spans="2:16" ht="15.75" customHeight="1">
      <c r="B43" s="601"/>
      <c r="C43" s="602" t="s">
        <v>61</v>
      </c>
      <c r="D43" s="603" t="s">
        <v>62</v>
      </c>
      <c r="E43" s="603"/>
      <c r="F43" s="603"/>
      <c r="G43" s="603"/>
    </row>
    <row r="44" spans="2:16" ht="15.75" customHeight="1">
      <c r="B44" s="601"/>
      <c r="C44" s="602"/>
      <c r="D44" s="42">
        <v>1</v>
      </c>
      <c r="E44" s="43"/>
      <c r="F44" s="43"/>
      <c r="G44" s="43"/>
    </row>
    <row r="45" spans="2:16" ht="15.75" customHeight="1">
      <c r="B45" s="601"/>
      <c r="C45" s="604" t="s">
        <v>63</v>
      </c>
      <c r="D45" s="605" t="s">
        <v>62</v>
      </c>
      <c r="E45" s="605"/>
      <c r="F45" s="605"/>
      <c r="G45" s="605"/>
    </row>
    <row r="46" spans="2:16" ht="15.75" customHeight="1">
      <c r="B46" s="601"/>
      <c r="C46" s="604"/>
      <c r="D46" s="42">
        <v>2</v>
      </c>
      <c r="E46" s="43"/>
      <c r="F46" s="43"/>
      <c r="G46" s="43"/>
    </row>
    <row r="47" spans="2:16" ht="15.75" customHeight="1">
      <c r="B47" s="601"/>
      <c r="C47" s="606" t="s">
        <v>64</v>
      </c>
      <c r="D47" s="42" t="s">
        <v>65</v>
      </c>
      <c r="E47" s="43"/>
      <c r="F47" s="43"/>
      <c r="G47" s="43"/>
    </row>
    <row r="48" spans="2:16" ht="15.75" customHeight="1">
      <c r="B48" s="601"/>
      <c r="C48" s="606"/>
      <c r="D48" s="42">
        <v>0</v>
      </c>
      <c r="E48" s="43"/>
      <c r="F48" s="43"/>
      <c r="G48" s="43"/>
    </row>
    <row r="49" spans="2:7" ht="15.75" customHeight="1">
      <c r="B49" s="601"/>
      <c r="C49" s="604" t="s">
        <v>66</v>
      </c>
      <c r="D49" s="605" t="s">
        <v>62</v>
      </c>
      <c r="E49" s="605"/>
      <c r="F49" s="605"/>
      <c r="G49" s="605"/>
    </row>
    <row r="50" spans="2:7" ht="15.75" customHeight="1">
      <c r="B50" s="601"/>
      <c r="C50" s="604"/>
      <c r="D50" s="42">
        <v>2</v>
      </c>
      <c r="E50" s="43"/>
      <c r="F50" s="43"/>
      <c r="G50" s="43"/>
    </row>
    <row r="51" spans="2:7" ht="15.75" customHeight="1">
      <c r="B51" s="601"/>
      <c r="C51" s="564" t="s">
        <v>67</v>
      </c>
      <c r="D51" s="44">
        <v>100</v>
      </c>
      <c r="E51" s="44">
        <v>19.2</v>
      </c>
      <c r="F51" s="44"/>
      <c r="G51" s="44"/>
    </row>
    <row r="52" spans="2:7" ht="15.75" customHeight="1">
      <c r="B52" s="601"/>
      <c r="C52" s="564" t="s">
        <v>68</v>
      </c>
      <c r="D52" s="44">
        <v>0</v>
      </c>
      <c r="E52" s="44"/>
      <c r="F52" s="44"/>
      <c r="G52" s="44"/>
    </row>
    <row r="53" spans="2:7" ht="15.75" customHeight="1">
      <c r="B53" s="601"/>
      <c r="C53" s="565" t="s">
        <v>69</v>
      </c>
      <c r="D53" s="45">
        <v>0</v>
      </c>
      <c r="E53" s="43">
        <f>D53</f>
        <v>0</v>
      </c>
      <c r="F53" s="43"/>
      <c r="G53" s="43"/>
    </row>
    <row r="54" spans="2:7" ht="15.75" customHeight="1">
      <c r="B54" s="601"/>
      <c r="C54" s="565" t="s">
        <v>70</v>
      </c>
      <c r="D54" s="45">
        <v>0</v>
      </c>
      <c r="E54" s="43"/>
      <c r="F54" s="43"/>
      <c r="G54" s="43"/>
    </row>
    <row r="55" spans="2:7" ht="15.75" customHeight="1">
      <c r="B55" s="601"/>
      <c r="C55" s="565" t="s">
        <v>71</v>
      </c>
      <c r="D55" s="42">
        <v>1</v>
      </c>
      <c r="E55" s="43"/>
      <c r="F55" s="43"/>
      <c r="G55" s="43"/>
    </row>
    <row r="56" spans="2:7" ht="15.75" customHeight="1">
      <c r="B56" s="610" t="s">
        <v>73</v>
      </c>
      <c r="C56" s="566" t="s">
        <v>49</v>
      </c>
      <c r="D56" s="46" t="s">
        <v>50</v>
      </c>
      <c r="E56" s="46" t="str">
        <f>D56</f>
        <v>SINDICATO DOS TRAB. NAS INDUST DA CONST E MOB DE SANTIAGO</v>
      </c>
      <c r="F56" s="46"/>
      <c r="G56" s="46"/>
    </row>
    <row r="57" spans="2:7" ht="15.75" customHeight="1">
      <c r="B57" s="610"/>
      <c r="C57" s="566" t="s">
        <v>51</v>
      </c>
      <c r="D57" s="566" t="s">
        <v>52</v>
      </c>
      <c r="E57" s="566" t="str">
        <f>D57</f>
        <v>92.455.658/0001-06</v>
      </c>
      <c r="F57" s="566"/>
      <c r="G57" s="566"/>
    </row>
    <row r="58" spans="2:7" ht="15.75" customHeight="1">
      <c r="B58" s="610"/>
      <c r="C58" s="566" t="s">
        <v>53</v>
      </c>
      <c r="D58" s="47" t="s">
        <v>54</v>
      </c>
      <c r="E58" s="47" t="str">
        <f>D58</f>
        <v>SINDICATO DA INDUSTR DA CONSTRUÇÃO CIVIL DE SANTA MARIA</v>
      </c>
      <c r="F58" s="47"/>
      <c r="G58" s="47"/>
    </row>
    <row r="59" spans="2:7" ht="15.75" customHeight="1">
      <c r="B59" s="610"/>
      <c r="C59" s="566" t="s">
        <v>55</v>
      </c>
      <c r="D59" s="566" t="s">
        <v>56</v>
      </c>
      <c r="E59" s="566" t="str">
        <f>D59</f>
        <v>01.275.003/0001-09</v>
      </c>
      <c r="F59" s="566"/>
      <c r="G59" s="566"/>
    </row>
    <row r="60" spans="2:7" ht="15.75" customHeight="1">
      <c r="B60" s="610"/>
      <c r="C60" s="48" t="s">
        <v>57</v>
      </c>
      <c r="D60" s="566">
        <v>2019</v>
      </c>
      <c r="E60" s="566"/>
      <c r="F60" s="566"/>
      <c r="G60" s="566"/>
    </row>
    <row r="61" spans="2:7" ht="15.75" customHeight="1">
      <c r="B61" s="610"/>
      <c r="C61" s="566" t="s">
        <v>58</v>
      </c>
      <c r="D61" s="566" t="s">
        <v>59</v>
      </c>
      <c r="E61" s="566"/>
      <c r="F61" s="566"/>
      <c r="G61" s="566"/>
    </row>
    <row r="62" spans="2:7" s="216" customFormat="1" ht="15.75" customHeight="1">
      <c r="B62" s="610"/>
      <c r="C62" s="587" t="s">
        <v>372</v>
      </c>
      <c r="D62" s="588" t="s">
        <v>373</v>
      </c>
      <c r="E62" s="566"/>
      <c r="F62" s="566"/>
      <c r="G62" s="566"/>
    </row>
    <row r="63" spans="2:7" ht="15.75" customHeight="1">
      <c r="B63" s="610"/>
      <c r="C63" s="48" t="s">
        <v>60</v>
      </c>
      <c r="D63" s="49">
        <v>1542</v>
      </c>
      <c r="E63" s="49">
        <v>2198.1799999999998</v>
      </c>
      <c r="F63" s="49"/>
      <c r="G63" s="49"/>
    </row>
    <row r="64" spans="2:7" ht="15.75" customHeight="1">
      <c r="B64" s="610"/>
      <c r="C64" s="611" t="s">
        <v>61</v>
      </c>
      <c r="D64" s="612" t="s">
        <v>62</v>
      </c>
      <c r="E64" s="612"/>
      <c r="F64" s="612"/>
      <c r="G64" s="612"/>
    </row>
    <row r="65" spans="2:9" ht="15.75" customHeight="1">
      <c r="B65" s="610"/>
      <c r="C65" s="611"/>
      <c r="D65" s="50">
        <v>2</v>
      </c>
      <c r="E65" s="51"/>
      <c r="F65" s="51"/>
      <c r="G65" s="51"/>
    </row>
    <row r="66" spans="2:9" ht="15.75" customHeight="1">
      <c r="B66" s="610"/>
      <c r="C66" s="613" t="s">
        <v>63</v>
      </c>
      <c r="D66" s="614" t="s">
        <v>62</v>
      </c>
      <c r="E66" s="614"/>
      <c r="F66" s="614"/>
      <c r="G66" s="614"/>
    </row>
    <row r="67" spans="2:9" ht="15.75" customHeight="1">
      <c r="B67" s="610"/>
      <c r="C67" s="613"/>
      <c r="D67" s="50">
        <v>1</v>
      </c>
      <c r="E67" s="51"/>
      <c r="F67" s="51"/>
      <c r="G67" s="51"/>
    </row>
    <row r="68" spans="2:9" ht="15.75" customHeight="1">
      <c r="B68" s="610"/>
      <c r="C68" s="615" t="s">
        <v>64</v>
      </c>
      <c r="D68" s="50" t="s">
        <v>65</v>
      </c>
      <c r="E68" s="51"/>
      <c r="F68" s="51"/>
      <c r="G68" s="51"/>
    </row>
    <row r="69" spans="2:9" ht="15.75" customHeight="1">
      <c r="B69" s="610"/>
      <c r="C69" s="615"/>
      <c r="D69" s="50">
        <v>2</v>
      </c>
      <c r="E69" s="51"/>
      <c r="F69" s="51"/>
      <c r="G69" s="51"/>
    </row>
    <row r="70" spans="2:9" ht="15.75" customHeight="1">
      <c r="B70" s="610"/>
      <c r="C70" s="613" t="s">
        <v>66</v>
      </c>
      <c r="D70" s="614" t="s">
        <v>62</v>
      </c>
      <c r="E70" s="614"/>
      <c r="F70" s="614"/>
      <c r="G70" s="614"/>
    </row>
    <row r="71" spans="2:9" ht="15.75" customHeight="1">
      <c r="B71" s="610"/>
      <c r="C71" s="613"/>
      <c r="D71" s="50">
        <v>1</v>
      </c>
      <c r="E71" s="51"/>
      <c r="F71" s="51"/>
      <c r="G71" s="51"/>
    </row>
    <row r="72" spans="2:9" ht="15.75" customHeight="1">
      <c r="B72" s="610"/>
      <c r="C72" s="566" t="s">
        <v>67</v>
      </c>
      <c r="D72" s="52">
        <v>100</v>
      </c>
      <c r="E72" s="52">
        <v>19.2</v>
      </c>
      <c r="F72" s="52"/>
      <c r="G72" s="52"/>
    </row>
    <row r="73" spans="2:9">
      <c r="B73" s="610"/>
      <c r="C73" s="566" t="s">
        <v>68</v>
      </c>
      <c r="D73" s="52">
        <v>0</v>
      </c>
      <c r="E73" s="52"/>
      <c r="F73" s="52"/>
      <c r="G73" s="52"/>
    </row>
    <row r="74" spans="2:9" ht="15.75" customHeight="1">
      <c r="B74" s="610"/>
      <c r="C74" s="567" t="s">
        <v>69</v>
      </c>
      <c r="D74" s="53">
        <v>0</v>
      </c>
      <c r="E74" s="51">
        <f>D74</f>
        <v>0</v>
      </c>
      <c r="F74" s="51"/>
      <c r="G74" s="51"/>
    </row>
    <row r="75" spans="2:9" ht="15.75" customHeight="1">
      <c r="B75" s="610"/>
      <c r="C75" s="567" t="s">
        <v>70</v>
      </c>
      <c r="D75" s="53">
        <v>0</v>
      </c>
      <c r="E75" s="51"/>
      <c r="F75" s="51"/>
      <c r="G75" s="51"/>
    </row>
    <row r="76" spans="2:9" ht="15.75" customHeight="1">
      <c r="B76" s="610"/>
      <c r="C76" s="567" t="s">
        <v>71</v>
      </c>
      <c r="D76" s="50">
        <v>1</v>
      </c>
      <c r="E76" s="51"/>
      <c r="F76" s="51"/>
      <c r="G76" s="51"/>
    </row>
    <row r="77" spans="2:9" s="54" customFormat="1">
      <c r="B77" s="581" t="s">
        <v>371</v>
      </c>
      <c r="C77" s="55"/>
      <c r="D77" s="56">
        <v>0.05</v>
      </c>
      <c r="E77" s="57">
        <f>D77</f>
        <v>0.05</v>
      </c>
      <c r="F77" s="57"/>
      <c r="G77" s="57"/>
      <c r="H77" s="58"/>
      <c r="I77" s="58"/>
    </row>
    <row r="78" spans="2:9" ht="45">
      <c r="B78" s="59" t="s">
        <v>75</v>
      </c>
      <c r="C78" s="59"/>
      <c r="D78" s="60">
        <v>0</v>
      </c>
      <c r="E78" s="61"/>
      <c r="F78" s="61"/>
      <c r="G78" s="61"/>
      <c r="H78" s="6"/>
      <c r="I78" s="6"/>
    </row>
    <row r="79" spans="2:9" ht="45">
      <c r="B79" s="59" t="s">
        <v>76</v>
      </c>
      <c r="C79" s="59"/>
      <c r="D79" s="60">
        <v>0</v>
      </c>
      <c r="E79" s="61"/>
      <c r="F79" s="61"/>
      <c r="G79" s="61"/>
      <c r="H79" s="6"/>
      <c r="I79" s="6"/>
    </row>
    <row r="80" spans="2:9" ht="15" customHeight="1">
      <c r="B80" s="607" t="s">
        <v>77</v>
      </c>
      <c r="C80" s="607"/>
      <c r="D80" s="607"/>
      <c r="E80" s="607"/>
      <c r="F80" s="607"/>
      <c r="G80" s="607"/>
      <c r="H80" s="6"/>
      <c r="I80" s="6"/>
    </row>
    <row r="81" spans="2:9" ht="15" customHeight="1">
      <c r="B81" s="607"/>
      <c r="C81" s="607"/>
      <c r="D81" s="607"/>
      <c r="E81" s="607"/>
      <c r="F81" s="607"/>
      <c r="G81" s="607"/>
      <c r="H81" s="6"/>
      <c r="I81" s="6"/>
    </row>
    <row r="82" spans="2:9" ht="15" customHeight="1">
      <c r="B82" s="607"/>
      <c r="C82" s="607"/>
      <c r="D82" s="607"/>
      <c r="E82" s="607"/>
      <c r="F82" s="607"/>
      <c r="G82" s="607"/>
      <c r="H82" s="6"/>
      <c r="I82" s="6"/>
    </row>
    <row r="83" spans="2:9" ht="15" customHeight="1">
      <c r="B83" s="607"/>
      <c r="C83" s="607"/>
      <c r="D83" s="607"/>
      <c r="E83" s="607"/>
      <c r="F83" s="607"/>
      <c r="G83" s="607"/>
      <c r="H83" s="6"/>
      <c r="I83" s="6"/>
    </row>
    <row r="84" spans="2:9" ht="15" customHeight="1">
      <c r="B84" s="62"/>
      <c r="C84" s="63"/>
      <c r="D84" s="63"/>
      <c r="E84" s="63"/>
      <c r="F84" s="63"/>
      <c r="G84" s="64"/>
      <c r="H84" s="6"/>
      <c r="I84" s="6"/>
    </row>
    <row r="85" spans="2:9" ht="44.25" customHeight="1">
      <c r="B85" s="608"/>
      <c r="C85" s="608"/>
      <c r="D85" s="608"/>
      <c r="E85" s="608"/>
      <c r="F85" s="608"/>
      <c r="G85" s="608"/>
      <c r="H85" s="6"/>
      <c r="I85" s="6"/>
    </row>
    <row r="86" spans="2:9">
      <c r="B86" s="608"/>
      <c r="C86" s="608"/>
      <c r="D86" s="608"/>
      <c r="E86" s="608"/>
      <c r="F86" s="608"/>
      <c r="G86" s="608"/>
      <c r="H86" s="6"/>
      <c r="I86" s="6"/>
    </row>
    <row r="87" spans="2:9">
      <c r="B87" s="608"/>
      <c r="C87" s="608"/>
      <c r="D87" s="608"/>
      <c r="E87" s="608"/>
      <c r="F87" s="608"/>
      <c r="G87" s="608"/>
      <c r="H87" s="6"/>
      <c r="I87" s="6"/>
    </row>
    <row r="88" spans="2:9">
      <c r="B88" s="608"/>
      <c r="C88" s="608"/>
      <c r="D88" s="608"/>
      <c r="E88" s="608"/>
      <c r="F88" s="608"/>
      <c r="G88" s="608"/>
      <c r="H88" s="6"/>
      <c r="I88" s="6"/>
    </row>
    <row r="89" spans="2:9">
      <c r="B89" s="608"/>
      <c r="C89" s="608"/>
      <c r="D89" s="608"/>
      <c r="E89" s="608"/>
      <c r="F89" s="608"/>
      <c r="G89" s="608"/>
      <c r="H89" s="6"/>
      <c r="I89" s="6"/>
    </row>
    <row r="90" spans="2:9">
      <c r="B90" s="608"/>
      <c r="C90" s="608"/>
      <c r="D90" s="608"/>
      <c r="E90" s="608"/>
      <c r="F90" s="608"/>
      <c r="G90" s="608"/>
      <c r="H90" s="6"/>
      <c r="I90" s="6"/>
    </row>
    <row r="91" spans="2:9">
      <c r="B91" s="608"/>
      <c r="C91" s="608"/>
      <c r="D91" s="608"/>
      <c r="E91" s="608"/>
      <c r="F91" s="608"/>
      <c r="G91" s="608"/>
      <c r="H91" s="6"/>
      <c r="I91" s="6"/>
    </row>
    <row r="92" spans="2:9">
      <c r="B92" s="608"/>
      <c r="C92" s="608"/>
      <c r="D92" s="608"/>
      <c r="E92" s="608"/>
      <c r="F92" s="608"/>
      <c r="G92" s="608"/>
      <c r="H92" s="6"/>
      <c r="I92" s="6"/>
    </row>
    <row r="93" spans="2:9">
      <c r="B93" s="2"/>
      <c r="C93" s="2"/>
      <c r="D93" s="2"/>
      <c r="E93" s="2"/>
      <c r="F93" s="2"/>
      <c r="G93" s="2"/>
      <c r="H93" s="6"/>
      <c r="I93" s="6"/>
    </row>
    <row r="94" spans="2:9">
      <c r="B94" s="2"/>
      <c r="C94" s="2"/>
      <c r="D94" s="2"/>
      <c r="E94" s="2"/>
      <c r="F94" s="2"/>
      <c r="G94" s="2"/>
      <c r="H94" s="6"/>
      <c r="I94" s="6"/>
    </row>
    <row r="95" spans="2:9">
      <c r="B95" s="2"/>
      <c r="C95" s="2"/>
      <c r="D95" s="2"/>
      <c r="E95" s="2"/>
      <c r="F95" s="2"/>
      <c r="G95" s="2"/>
    </row>
    <row r="96" spans="2:9" ht="15" customHeight="1">
      <c r="B96" s="609"/>
      <c r="C96" s="609"/>
      <c r="D96" s="609"/>
      <c r="E96" s="609"/>
      <c r="F96" s="609"/>
      <c r="G96" s="609"/>
    </row>
    <row r="97" spans="2:7">
      <c r="B97" s="609"/>
      <c r="C97" s="609"/>
      <c r="D97" s="609"/>
      <c r="E97" s="609"/>
      <c r="F97" s="609"/>
      <c r="G97" s="609"/>
    </row>
    <row r="98" spans="2:7">
      <c r="B98" s="609"/>
      <c r="C98" s="609"/>
      <c r="D98" s="609"/>
      <c r="E98" s="609"/>
      <c r="F98" s="609"/>
      <c r="G98" s="609"/>
    </row>
    <row r="99" spans="2:7">
      <c r="B99" s="2"/>
      <c r="C99" s="2"/>
      <c r="D99" s="6"/>
      <c r="E99" s="6"/>
      <c r="F99" s="6"/>
      <c r="G99" s="2"/>
    </row>
    <row r="100" spans="2:7">
      <c r="B100" s="2"/>
      <c r="C100" s="2"/>
      <c r="D100" s="6"/>
      <c r="E100" s="6"/>
      <c r="F100" s="6"/>
      <c r="G100" s="2"/>
    </row>
    <row r="101" spans="2:7">
      <c r="B101" s="2"/>
      <c r="C101" s="2"/>
      <c r="D101" s="6"/>
      <c r="E101" s="6"/>
      <c r="F101" s="6"/>
      <c r="G101" s="2"/>
    </row>
    <row r="102" spans="2:7">
      <c r="B102" s="2"/>
      <c r="C102" s="2"/>
      <c r="D102" s="6"/>
      <c r="E102" s="6"/>
      <c r="F102" s="6"/>
      <c r="G102" s="2"/>
    </row>
    <row r="103" spans="2:7">
      <c r="B103" s="2"/>
      <c r="C103" s="2"/>
      <c r="D103" s="6"/>
      <c r="E103" s="6"/>
      <c r="F103" s="6"/>
      <c r="G103" s="2"/>
    </row>
    <row r="104" spans="2:7">
      <c r="B104" s="2"/>
      <c r="C104" s="2"/>
      <c r="D104" s="6"/>
      <c r="E104" s="6"/>
      <c r="F104" s="6"/>
      <c r="G104" s="2"/>
    </row>
    <row r="105" spans="2:7">
      <c r="B105" s="2"/>
      <c r="C105" s="2"/>
      <c r="D105" s="6"/>
      <c r="E105" s="6"/>
      <c r="F105" s="6"/>
      <c r="G105" s="2"/>
    </row>
    <row r="106" spans="2:7">
      <c r="B106" s="2"/>
      <c r="C106" s="2"/>
      <c r="D106" s="6"/>
      <c r="E106" s="6"/>
      <c r="F106" s="6"/>
      <c r="G106" s="2"/>
    </row>
    <row r="107" spans="2:7">
      <c r="B107" s="2"/>
      <c r="C107" s="2"/>
      <c r="D107" s="6"/>
      <c r="E107" s="6"/>
      <c r="F107" s="6"/>
      <c r="G107" s="2"/>
    </row>
    <row r="108" spans="2:7">
      <c r="B108" s="2"/>
      <c r="C108" s="2"/>
      <c r="D108" s="6"/>
      <c r="E108" s="6"/>
      <c r="F108" s="6"/>
      <c r="G108" s="2"/>
    </row>
    <row r="109" spans="2:7">
      <c r="B109" s="2"/>
      <c r="C109" s="2"/>
      <c r="D109" s="6"/>
      <c r="E109" s="6"/>
      <c r="F109" s="6"/>
      <c r="G109" s="2"/>
    </row>
    <row r="110" spans="2:7">
      <c r="B110" s="2"/>
      <c r="C110" s="2"/>
      <c r="D110" s="6"/>
      <c r="E110" s="6"/>
      <c r="F110" s="6"/>
      <c r="G110" s="2"/>
    </row>
    <row r="111" spans="2:7">
      <c r="B111" s="2"/>
      <c r="C111" s="2"/>
      <c r="D111" s="6"/>
      <c r="E111" s="6"/>
      <c r="F111" s="6"/>
      <c r="G111" s="2"/>
    </row>
    <row r="112" spans="2:7">
      <c r="B112" s="2"/>
      <c r="C112" s="2"/>
      <c r="D112" s="6"/>
      <c r="E112" s="6"/>
      <c r="F112" s="6"/>
      <c r="G112" s="2"/>
    </row>
    <row r="113" spans="2:7">
      <c r="B113" s="2"/>
      <c r="C113" s="2"/>
      <c r="D113" s="6"/>
      <c r="E113" s="6"/>
      <c r="F113" s="6"/>
      <c r="G113" s="2"/>
    </row>
    <row r="114" spans="2:7">
      <c r="B114" s="2"/>
      <c r="C114" s="2"/>
      <c r="D114" s="6"/>
      <c r="E114" s="6"/>
      <c r="F114" s="6"/>
      <c r="G114" s="2"/>
    </row>
    <row r="115" spans="2:7">
      <c r="B115" s="2"/>
      <c r="C115" s="2"/>
      <c r="D115" s="6"/>
      <c r="E115" s="6"/>
      <c r="F115" s="6"/>
      <c r="G115" s="2"/>
    </row>
    <row r="116" spans="2:7">
      <c r="D116"/>
      <c r="E116"/>
      <c r="F116"/>
    </row>
    <row r="117" spans="2:7">
      <c r="D117"/>
      <c r="E117"/>
      <c r="F117"/>
    </row>
    <row r="118" spans="2:7">
      <c r="D118"/>
      <c r="E118"/>
      <c r="F118"/>
    </row>
    <row r="119" spans="2:7">
      <c r="D119"/>
      <c r="E119"/>
      <c r="F119"/>
    </row>
    <row r="120" spans="2:7">
      <c r="D120"/>
      <c r="E120"/>
      <c r="F120"/>
    </row>
    <row r="121" spans="2:7">
      <c r="D121"/>
      <c r="E121"/>
      <c r="F121"/>
    </row>
    <row r="122" spans="2:7">
      <c r="D122"/>
      <c r="E122"/>
      <c r="F122"/>
    </row>
    <row r="123" spans="2:7">
      <c r="D123"/>
      <c r="E123"/>
      <c r="F123"/>
    </row>
    <row r="124" spans="2:7">
      <c r="D124"/>
      <c r="E124"/>
      <c r="F124"/>
    </row>
    <row r="125" spans="2:7">
      <c r="D125"/>
      <c r="E125"/>
      <c r="F125"/>
    </row>
    <row r="126" spans="2:7">
      <c r="D126"/>
      <c r="E126"/>
      <c r="F126"/>
    </row>
    <row r="127" spans="2:7">
      <c r="D127"/>
      <c r="E127"/>
      <c r="F127"/>
    </row>
    <row r="128" spans="2:7">
      <c r="D128"/>
      <c r="E128"/>
      <c r="F128"/>
    </row>
    <row r="129" spans="4:6">
      <c r="D129"/>
      <c r="E129"/>
      <c r="F129"/>
    </row>
    <row r="130" spans="4:6">
      <c r="D130"/>
      <c r="E130"/>
      <c r="F130"/>
    </row>
    <row r="131" spans="4:6">
      <c r="D131"/>
      <c r="E131"/>
      <c r="F131"/>
    </row>
    <row r="132" spans="4:6">
      <c r="D132"/>
      <c r="E132"/>
      <c r="F132"/>
    </row>
    <row r="133" spans="4:6">
      <c r="D133"/>
      <c r="E133"/>
      <c r="F133"/>
    </row>
    <row r="134" spans="4:6">
      <c r="D134"/>
      <c r="E134"/>
      <c r="F134"/>
    </row>
    <row r="135" spans="4:6">
      <c r="D135"/>
      <c r="E135"/>
      <c r="F135"/>
    </row>
    <row r="136" spans="4:6">
      <c r="D136"/>
      <c r="E136"/>
      <c r="F136"/>
    </row>
    <row r="137" spans="4:6">
      <c r="D137"/>
      <c r="E137"/>
      <c r="F137"/>
    </row>
    <row r="138" spans="4:6">
      <c r="D138"/>
      <c r="E138"/>
      <c r="F138"/>
    </row>
    <row r="139" spans="4:6">
      <c r="D139"/>
      <c r="E139"/>
      <c r="F139"/>
    </row>
    <row r="140" spans="4:6">
      <c r="D140"/>
      <c r="E140"/>
      <c r="F140"/>
    </row>
    <row r="141" spans="4:6">
      <c r="D141"/>
      <c r="E141"/>
      <c r="F141"/>
    </row>
    <row r="142" spans="4:6">
      <c r="D142"/>
      <c r="E142"/>
      <c r="F142"/>
    </row>
    <row r="143" spans="4:6">
      <c r="D143"/>
      <c r="E143"/>
      <c r="F143"/>
    </row>
    <row r="144" spans="4:6">
      <c r="D144"/>
      <c r="E144"/>
      <c r="F144"/>
    </row>
    <row r="145" spans="4:6">
      <c r="D145"/>
      <c r="E145"/>
      <c r="F145"/>
    </row>
    <row r="146" spans="4:6">
      <c r="D146"/>
      <c r="E146"/>
      <c r="F146"/>
    </row>
    <row r="147" spans="4:6">
      <c r="D147"/>
      <c r="E147"/>
      <c r="F147"/>
    </row>
    <row r="148" spans="4:6">
      <c r="D148"/>
      <c r="E148"/>
      <c r="F148"/>
    </row>
    <row r="149" spans="4:6">
      <c r="D149"/>
      <c r="E149"/>
      <c r="F149"/>
    </row>
    <row r="150" spans="4:6">
      <c r="D150"/>
      <c r="E150"/>
      <c r="F150"/>
    </row>
    <row r="151" spans="4:6">
      <c r="D151"/>
      <c r="E151"/>
      <c r="F151"/>
    </row>
    <row r="152" spans="4:6">
      <c r="D152"/>
      <c r="E152"/>
      <c r="F152"/>
    </row>
    <row r="153" spans="4:6">
      <c r="D153"/>
      <c r="E153"/>
      <c r="F153"/>
    </row>
    <row r="154" spans="4:6">
      <c r="D154"/>
      <c r="E154"/>
      <c r="F154"/>
    </row>
    <row r="155" spans="4:6">
      <c r="D155"/>
      <c r="E155"/>
      <c r="F155"/>
    </row>
    <row r="156" spans="4:6">
      <c r="D156"/>
      <c r="E156"/>
      <c r="F156"/>
    </row>
    <row r="157" spans="4:6">
      <c r="D157"/>
      <c r="E157"/>
      <c r="F157"/>
    </row>
    <row r="158" spans="4:6">
      <c r="D158"/>
      <c r="E158"/>
      <c r="F158"/>
    </row>
    <row r="159" spans="4:6">
      <c r="D159"/>
      <c r="E159"/>
      <c r="F159"/>
    </row>
    <row r="160" spans="4:6">
      <c r="D160"/>
      <c r="E160"/>
      <c r="F160"/>
    </row>
    <row r="161" spans="4:6">
      <c r="D161"/>
      <c r="E161"/>
      <c r="F161"/>
    </row>
    <row r="162" spans="4:6">
      <c r="D162"/>
      <c r="E162"/>
      <c r="F162"/>
    </row>
    <row r="163" spans="4:6">
      <c r="D163"/>
      <c r="E163"/>
      <c r="F163"/>
    </row>
    <row r="164" spans="4:6">
      <c r="D164"/>
      <c r="E164"/>
      <c r="F164"/>
    </row>
    <row r="165" spans="4:6">
      <c r="D165"/>
      <c r="E165"/>
      <c r="F165"/>
    </row>
    <row r="166" spans="4:6">
      <c r="D166"/>
      <c r="E166"/>
      <c r="F166"/>
    </row>
    <row r="167" spans="4:6">
      <c r="D167"/>
      <c r="E167"/>
      <c r="F167"/>
    </row>
    <row r="168" spans="4:6">
      <c r="D168"/>
      <c r="E168"/>
      <c r="F168"/>
    </row>
    <row r="169" spans="4:6">
      <c r="D169"/>
      <c r="E169"/>
      <c r="F169"/>
    </row>
    <row r="170" spans="4:6">
      <c r="D170"/>
      <c r="E170"/>
      <c r="F170"/>
    </row>
    <row r="171" spans="4:6">
      <c r="D171"/>
      <c r="E171"/>
      <c r="F171"/>
    </row>
    <row r="172" spans="4:6">
      <c r="D172"/>
      <c r="E172"/>
      <c r="F172"/>
    </row>
    <row r="173" spans="4:6">
      <c r="D173"/>
      <c r="E173"/>
      <c r="F173"/>
    </row>
    <row r="174" spans="4:6">
      <c r="D174"/>
      <c r="E174"/>
      <c r="F174"/>
    </row>
    <row r="175" spans="4:6">
      <c r="D175"/>
      <c r="E175"/>
      <c r="F175"/>
    </row>
    <row r="176" spans="4:6">
      <c r="D176"/>
      <c r="E176"/>
      <c r="F176"/>
    </row>
    <row r="177" spans="4:6">
      <c r="D177"/>
      <c r="E177"/>
      <c r="F177"/>
    </row>
    <row r="178" spans="4:6">
      <c r="D178"/>
      <c r="E178"/>
      <c r="F178"/>
    </row>
    <row r="179" spans="4:6">
      <c r="D179"/>
      <c r="E179"/>
      <c r="F179"/>
    </row>
    <row r="180" spans="4:6">
      <c r="D180"/>
      <c r="E180"/>
      <c r="F180"/>
    </row>
    <row r="181" spans="4:6">
      <c r="D181"/>
      <c r="E181"/>
      <c r="F181"/>
    </row>
    <row r="182" spans="4:6">
      <c r="D182"/>
      <c r="E182"/>
      <c r="F182"/>
    </row>
    <row r="183" spans="4:6">
      <c r="D183"/>
      <c r="E183"/>
      <c r="F183"/>
    </row>
    <row r="184" spans="4:6">
      <c r="D184"/>
      <c r="E184"/>
      <c r="F184"/>
    </row>
    <row r="185" spans="4:6">
      <c r="D185"/>
      <c r="E185"/>
      <c r="F185"/>
    </row>
    <row r="186" spans="4:6">
      <c r="D186"/>
      <c r="E186"/>
      <c r="F186"/>
    </row>
    <row r="187" spans="4:6">
      <c r="D187"/>
      <c r="E187"/>
      <c r="F187"/>
    </row>
    <row r="188" spans="4:6">
      <c r="D188"/>
      <c r="E188"/>
      <c r="F188"/>
    </row>
    <row r="189" spans="4:6">
      <c r="D189"/>
      <c r="E189"/>
      <c r="F189"/>
    </row>
    <row r="190" spans="4:6">
      <c r="D190"/>
      <c r="E190"/>
      <c r="F190"/>
    </row>
    <row r="191" spans="4:6">
      <c r="D191"/>
      <c r="E191"/>
      <c r="F191"/>
    </row>
    <row r="192" spans="4:6">
      <c r="D192"/>
      <c r="E192"/>
      <c r="F192"/>
    </row>
    <row r="193" spans="4:6">
      <c r="D193"/>
      <c r="E193"/>
      <c r="F193"/>
    </row>
    <row r="194" spans="4:6">
      <c r="D194"/>
      <c r="E194"/>
      <c r="F194"/>
    </row>
    <row r="195" spans="4:6">
      <c r="D195"/>
      <c r="E195"/>
      <c r="F195"/>
    </row>
    <row r="196" spans="4:6">
      <c r="D196"/>
      <c r="E196"/>
      <c r="F196"/>
    </row>
    <row r="197" spans="4:6">
      <c r="D197"/>
      <c r="E197"/>
      <c r="F197"/>
    </row>
    <row r="198" spans="4:6">
      <c r="D198"/>
      <c r="E198"/>
      <c r="F198"/>
    </row>
    <row r="199" spans="4:6">
      <c r="D199"/>
      <c r="E199"/>
      <c r="F199"/>
    </row>
    <row r="200" spans="4:6">
      <c r="D200"/>
      <c r="E200"/>
      <c r="F200"/>
    </row>
    <row r="201" spans="4:6">
      <c r="D201"/>
      <c r="E201"/>
      <c r="F201"/>
    </row>
    <row r="202" spans="4:6">
      <c r="D202"/>
      <c r="E202"/>
      <c r="F202"/>
    </row>
    <row r="203" spans="4:6">
      <c r="D203"/>
      <c r="E203"/>
      <c r="F203"/>
    </row>
    <row r="204" spans="4:6">
      <c r="D204"/>
      <c r="E204"/>
      <c r="F204"/>
    </row>
    <row r="205" spans="4:6">
      <c r="D205"/>
      <c r="E205"/>
      <c r="F205"/>
    </row>
    <row r="206" spans="4:6">
      <c r="D206"/>
      <c r="E206"/>
      <c r="F206"/>
    </row>
    <row r="207" spans="4:6">
      <c r="D207"/>
      <c r="E207"/>
      <c r="F207"/>
    </row>
    <row r="208" spans="4:6">
      <c r="D208"/>
      <c r="E208"/>
      <c r="F208"/>
    </row>
    <row r="209" spans="4:6">
      <c r="D209" s="65"/>
      <c r="E209" s="65"/>
      <c r="F209" s="65"/>
    </row>
    <row r="210" spans="4:6">
      <c r="D210" s="65"/>
      <c r="E210" s="65"/>
      <c r="F210" s="65"/>
    </row>
    <row r="211" spans="4:6">
      <c r="D211" s="65"/>
      <c r="E211" s="66" t="e">
        <f>#REF!</f>
        <v>#REF!</v>
      </c>
      <c r="F211" s="66" t="e">
        <f>#REF!</f>
        <v>#REF!</v>
      </c>
    </row>
  </sheetData>
  <sheetProtection password="F5F7" sheet="1" objects="1" scenarios="1"/>
  <mergeCells count="54">
    <mergeCell ref="B80:G83"/>
    <mergeCell ref="B85:G92"/>
    <mergeCell ref="B96:G98"/>
    <mergeCell ref="B56:B76"/>
    <mergeCell ref="C64:C65"/>
    <mergeCell ref="D64:G64"/>
    <mergeCell ref="C66:C67"/>
    <mergeCell ref="D66:G66"/>
    <mergeCell ref="C68:C69"/>
    <mergeCell ref="C70:C71"/>
    <mergeCell ref="D70:G70"/>
    <mergeCell ref="B35:B55"/>
    <mergeCell ref="C43:C44"/>
    <mergeCell ref="D43:G43"/>
    <mergeCell ref="C45:C46"/>
    <mergeCell ref="D45:G45"/>
    <mergeCell ref="C47:C48"/>
    <mergeCell ref="C49:C50"/>
    <mergeCell ref="D49:G49"/>
    <mergeCell ref="B34:C34"/>
    <mergeCell ref="L34:O34"/>
    <mergeCell ref="B29:C29"/>
    <mergeCell ref="B30:C30"/>
    <mergeCell ref="B31:C31"/>
    <mergeCell ref="B32:C32"/>
    <mergeCell ref="B33:C33"/>
    <mergeCell ref="J20:Q23"/>
    <mergeCell ref="B24:C24"/>
    <mergeCell ref="B25:C25"/>
    <mergeCell ref="B26:C26"/>
    <mergeCell ref="B28:C28"/>
    <mergeCell ref="B20:C23"/>
    <mergeCell ref="D20:D23"/>
    <mergeCell ref="E20:E23"/>
    <mergeCell ref="F20:F23"/>
    <mergeCell ref="G20:G23"/>
    <mergeCell ref="B10:C10"/>
    <mergeCell ref="L10:P11"/>
    <mergeCell ref="B11:C11"/>
    <mergeCell ref="B12:C12"/>
    <mergeCell ref="L12:P18"/>
    <mergeCell ref="B13:C13"/>
    <mergeCell ref="B14:C14"/>
    <mergeCell ref="B15:C15"/>
    <mergeCell ref="B16:C17"/>
    <mergeCell ref="F17:G17"/>
    <mergeCell ref="B18:C18"/>
    <mergeCell ref="F18:G19"/>
    <mergeCell ref="B19:C19"/>
    <mergeCell ref="D5:G6"/>
    <mergeCell ref="B7:C7"/>
    <mergeCell ref="B8:C8"/>
    <mergeCell ref="L8:O9"/>
    <mergeCell ref="B9:C9"/>
  </mergeCells>
  <printOptions horizontalCentered="1" verticalCentered="1"/>
  <pageMargins left="0" right="0" top="0" bottom="0" header="0.51181102362204722" footer="0.51181102362204722"/>
  <pageSetup paperSize="9" scale="50" firstPageNumber="0" orientation="portrait" horizontalDpi="0" verticalDpi="0" r:id="rId1"/>
  <drawing r:id="rId2"/>
</worksheet>
</file>

<file path=xl/worksheets/sheet2.xml><?xml version="1.0" encoding="utf-8"?>
<worksheet xmlns="http://schemas.openxmlformats.org/spreadsheetml/2006/main" xmlns:r="http://schemas.openxmlformats.org/officeDocument/2006/relationships">
  <sheetPr>
    <tabColor rgb="FF00B050"/>
  </sheetPr>
  <dimension ref="A1:I195"/>
  <sheetViews>
    <sheetView topLeftCell="A50" zoomScaleNormal="100" workbookViewId="0">
      <selection activeCell="I76" sqref="I76"/>
    </sheetView>
  </sheetViews>
  <sheetFormatPr defaultRowHeight="15"/>
  <cols>
    <col min="1" max="1" width="3.28515625"/>
    <col min="2" max="3" width="8.7109375"/>
    <col min="4" max="4" width="29.7109375"/>
    <col min="5" max="5" width="22.42578125"/>
    <col min="6" max="6" width="19.85546875"/>
    <col min="7" max="7" width="21.28515625"/>
    <col min="8" max="8" width="24.7109375"/>
    <col min="9" max="9" width="37.140625"/>
    <col min="10" max="10" width="36.5703125"/>
    <col min="11" max="1025" width="8.7109375"/>
  </cols>
  <sheetData>
    <row r="1" spans="1:9" ht="23.25">
      <c r="A1" s="67"/>
      <c r="B1" s="616" t="s">
        <v>78</v>
      </c>
      <c r="C1" s="616"/>
      <c r="D1" s="616"/>
      <c r="E1" s="616"/>
      <c r="F1" s="616"/>
      <c r="G1" s="616"/>
      <c r="H1" s="616"/>
      <c r="I1" s="67"/>
    </row>
    <row r="2" spans="1:9" ht="18.75">
      <c r="A2" s="67"/>
      <c r="B2" s="617" t="s">
        <v>79</v>
      </c>
      <c r="C2" s="617"/>
      <c r="D2" s="617"/>
      <c r="E2" s="617"/>
      <c r="F2" s="617"/>
      <c r="G2" s="617"/>
      <c r="H2" s="617"/>
      <c r="I2" s="67"/>
    </row>
    <row r="3" spans="1:9">
      <c r="A3" s="67"/>
      <c r="B3" s="71" t="s">
        <v>31</v>
      </c>
      <c r="C3" s="321" t="str">
        <f>'INFORMAÇÕES BÁSICAS'!E24</f>
        <v>23238.000559/2019-70</v>
      </c>
      <c r="D3" s="322"/>
      <c r="E3" s="323"/>
      <c r="F3" s="75" t="s">
        <v>33</v>
      </c>
      <c r="G3" s="618" t="str">
        <f>'INFORMAÇÕES BÁSICAS'!$E$25</f>
        <v>10/2019</v>
      </c>
      <c r="H3" s="618"/>
      <c r="I3" s="67"/>
    </row>
    <row r="4" spans="1:9">
      <c r="A4" s="67"/>
      <c r="B4" s="71" t="s">
        <v>80</v>
      </c>
      <c r="C4" s="619">
        <f ca="1">'INFORMAÇÕES BÁSICAS'!E26</f>
        <v>43731.368808217594</v>
      </c>
      <c r="D4" s="619"/>
      <c r="E4" s="619"/>
      <c r="F4" s="619"/>
      <c r="G4" s="619"/>
      <c r="H4" s="619"/>
      <c r="I4" s="67"/>
    </row>
    <row r="5" spans="1:9">
      <c r="A5" s="67"/>
      <c r="B5" s="620" t="s">
        <v>81</v>
      </c>
      <c r="C5" s="620"/>
      <c r="D5" s="620"/>
      <c r="E5" s="620"/>
      <c r="F5" s="620"/>
      <c r="G5" s="620"/>
      <c r="H5" s="620"/>
      <c r="I5" s="78"/>
    </row>
    <row r="6" spans="1:9">
      <c r="A6" s="67"/>
      <c r="B6" s="621" t="s">
        <v>82</v>
      </c>
      <c r="C6" s="621"/>
      <c r="D6" s="622" t="str">
        <f>'INFORMAÇÕES BÁSICAS'!E7</f>
        <v>Administração</v>
      </c>
      <c r="E6" s="622"/>
      <c r="F6" s="622"/>
      <c r="G6" s="622"/>
      <c r="H6" s="622"/>
      <c r="I6" s="80"/>
    </row>
    <row r="7" spans="1:9">
      <c r="A7" s="67"/>
      <c r="B7" s="621" t="s">
        <v>83</v>
      </c>
      <c r="C7" s="621"/>
      <c r="D7" s="622" t="str">
        <f>'INFORMAÇÕES BÁSICAS'!E8</f>
        <v>00.000.000/0001-00</v>
      </c>
      <c r="E7" s="622"/>
      <c r="F7" s="622"/>
      <c r="G7" s="622"/>
      <c r="H7" s="622"/>
      <c r="I7" s="81"/>
    </row>
    <row r="8" spans="1:9">
      <c r="A8" s="67"/>
      <c r="B8" s="623" t="s">
        <v>248</v>
      </c>
      <c r="C8" s="623"/>
      <c r="D8" s="623"/>
      <c r="E8" s="623"/>
      <c r="F8" s="624">
        <f>'INFORMAÇÕES BÁSICAS'!E17</f>
        <v>1</v>
      </c>
      <c r="G8" s="624"/>
      <c r="H8" s="83" t="str">
        <f>IF(F8=1,"Lucro Real",IF(F8=2,"Lucro Presumido",IF(F8=3,"SIMPLES-Anexo III",IF(F8=4,"SIMPLES-Anexo IV","RT Inválido"))))</f>
        <v>Lucro Real</v>
      </c>
      <c r="I8" s="81"/>
    </row>
    <row r="9" spans="1:9">
      <c r="A9" s="67"/>
      <c r="B9" s="620" t="s">
        <v>85</v>
      </c>
      <c r="C9" s="620"/>
      <c r="D9" s="620"/>
      <c r="E9" s="620"/>
      <c r="F9" s="620"/>
      <c r="G9" s="620"/>
      <c r="H9" s="620"/>
      <c r="I9" s="81"/>
    </row>
    <row r="10" spans="1:9">
      <c r="A10" s="67"/>
      <c r="B10" s="84" t="s">
        <v>86</v>
      </c>
      <c r="C10" s="625" t="s">
        <v>87</v>
      </c>
      <c r="D10" s="625"/>
      <c r="E10" s="625"/>
      <c r="F10" s="625"/>
      <c r="G10" s="626">
        <f>'INFORMAÇÕES BÁSICAS'!E27</f>
        <v>43592</v>
      </c>
      <c r="H10" s="626"/>
      <c r="I10" s="81"/>
    </row>
    <row r="11" spans="1:9">
      <c r="A11" s="67"/>
      <c r="B11" s="84" t="s">
        <v>88</v>
      </c>
      <c r="C11" s="625" t="s">
        <v>89</v>
      </c>
      <c r="D11" s="625"/>
      <c r="E11" s="625"/>
      <c r="F11" s="625"/>
      <c r="G11" s="627" t="str">
        <f>'INFORMAÇÕES BÁSICAS'!E28</f>
        <v>Campus Jaguari</v>
      </c>
      <c r="H11" s="627"/>
      <c r="I11" s="67"/>
    </row>
    <row r="12" spans="1:9" ht="15" customHeight="1">
      <c r="A12" s="67"/>
      <c r="B12" s="87" t="s">
        <v>90</v>
      </c>
      <c r="C12" s="628" t="s">
        <v>91</v>
      </c>
      <c r="D12" s="628"/>
      <c r="E12" s="628"/>
      <c r="F12" s="628"/>
      <c r="G12" s="629" t="str">
        <f>'INFORMAÇÕES BÁSICAS'!E29</f>
        <v>2017</v>
      </c>
      <c r="H12" s="629"/>
      <c r="I12" s="67"/>
    </row>
    <row r="13" spans="1:9">
      <c r="A13" s="67"/>
      <c r="B13" s="84" t="s">
        <v>92</v>
      </c>
      <c r="C13" s="625" t="s">
        <v>93</v>
      </c>
      <c r="D13" s="625"/>
      <c r="E13" s="625"/>
      <c r="F13" s="625"/>
      <c r="G13" s="625"/>
      <c r="H13" s="329">
        <f>'INFORMAÇÕES BÁSICAS'!E34</f>
        <v>30</v>
      </c>
      <c r="I13" s="67"/>
    </row>
    <row r="14" spans="1:9" ht="15" customHeight="1">
      <c r="A14" s="67"/>
      <c r="B14" s="630" t="s">
        <v>94</v>
      </c>
      <c r="C14" s="631" t="s">
        <v>249</v>
      </c>
      <c r="D14" s="631"/>
      <c r="E14" s="92" t="e">
        <f>'INFORMAÇÕES BÁSICAS'!#REF!</f>
        <v>#REF!</v>
      </c>
      <c r="F14" s="632" t="s">
        <v>250</v>
      </c>
      <c r="G14" s="632"/>
      <c r="H14" s="94" t="e">
        <f>'INFORMAÇÕES BÁSICAS'!#REF!</f>
        <v>#REF!</v>
      </c>
      <c r="I14" s="67"/>
    </row>
    <row r="15" spans="1:9" ht="15" customHeight="1">
      <c r="A15" s="67"/>
      <c r="B15" s="630"/>
      <c r="C15" s="631" t="s">
        <v>251</v>
      </c>
      <c r="D15" s="631"/>
      <c r="E15" s="92" t="e">
        <f>'INFORMAÇÕES BÁSICAS'!#REF!</f>
        <v>#REF!</v>
      </c>
      <c r="F15" s="632" t="s">
        <v>252</v>
      </c>
      <c r="G15" s="632"/>
      <c r="H15" s="331" t="e">
        <f>'INFORMAÇÕES BÁSICAS'!#REF!</f>
        <v>#REF!</v>
      </c>
      <c r="I15" s="67"/>
    </row>
    <row r="16" spans="1:9">
      <c r="A16" s="67"/>
      <c r="B16" s="630"/>
      <c r="C16" s="632" t="s">
        <v>253</v>
      </c>
      <c r="D16" s="632"/>
      <c r="E16" s="332" t="e">
        <f>'INFORMAÇÕES BÁSICAS'!#REF!</f>
        <v>#REF!</v>
      </c>
      <c r="F16" s="633"/>
      <c r="G16" s="633"/>
      <c r="H16" s="334"/>
      <c r="I16" s="67"/>
    </row>
    <row r="17" spans="1:9">
      <c r="A17" s="67"/>
      <c r="B17" s="634" t="s">
        <v>254</v>
      </c>
      <c r="C17" s="336" t="s">
        <v>255</v>
      </c>
      <c r="D17" s="635" t="e">
        <f>'INFORMAÇÕES BÁSICAS'!#REF!</f>
        <v>#REF!</v>
      </c>
      <c r="E17" s="635"/>
      <c r="F17" s="635"/>
      <c r="G17" s="337" t="s">
        <v>8</v>
      </c>
      <c r="H17" s="338" t="e">
        <f>'INFORMAÇÕES BÁSICAS'!#REF!</f>
        <v>#REF!</v>
      </c>
      <c r="I17" s="67"/>
    </row>
    <row r="18" spans="1:9">
      <c r="A18" s="67"/>
      <c r="B18" s="634"/>
      <c r="C18" s="339" t="s">
        <v>256</v>
      </c>
      <c r="D18" s="636" t="e">
        <f>'INFORMAÇÕES BÁSICAS'!#REF!</f>
        <v>#REF!</v>
      </c>
      <c r="E18" s="636"/>
      <c r="F18" s="636"/>
      <c r="G18" s="341" t="s">
        <v>8</v>
      </c>
      <c r="H18" s="342" t="e">
        <f>'INFORMAÇÕES BÁSICAS'!#REF!</f>
        <v>#REF!</v>
      </c>
      <c r="I18" s="67"/>
    </row>
    <row r="19" spans="1:9">
      <c r="A19" s="67"/>
      <c r="B19" s="637"/>
      <c r="C19" s="637"/>
      <c r="D19" s="637"/>
      <c r="E19" s="637"/>
      <c r="F19" s="637"/>
      <c r="G19" s="637"/>
      <c r="H19" s="637"/>
      <c r="I19" s="67"/>
    </row>
    <row r="20" spans="1:9" ht="26.25">
      <c r="A20" s="67"/>
      <c r="B20" s="638" t="s">
        <v>102</v>
      </c>
      <c r="C20" s="638"/>
      <c r="D20" s="638"/>
      <c r="E20" s="638"/>
      <c r="F20" s="638"/>
      <c r="G20" s="638"/>
      <c r="H20" s="638"/>
      <c r="I20" s="67"/>
    </row>
    <row r="21" spans="1:9">
      <c r="A21" s="67"/>
      <c r="B21" s="639" t="s">
        <v>103</v>
      </c>
      <c r="C21" s="639"/>
      <c r="D21" s="639"/>
      <c r="E21" s="639"/>
      <c r="F21" s="639"/>
      <c r="G21" s="639"/>
      <c r="H21" s="639"/>
      <c r="I21" s="67"/>
    </row>
    <row r="22" spans="1:9">
      <c r="A22" s="67"/>
      <c r="B22" s="620" t="s">
        <v>104</v>
      </c>
      <c r="C22" s="620"/>
      <c r="D22" s="620"/>
      <c r="E22" s="620"/>
      <c r="F22" s="620"/>
      <c r="G22" s="620"/>
      <c r="H22" s="620"/>
      <c r="I22" s="67"/>
    </row>
    <row r="23" spans="1:9">
      <c r="A23" s="67"/>
      <c r="B23" s="640" t="s">
        <v>105</v>
      </c>
      <c r="C23" s="640"/>
      <c r="D23" s="640"/>
      <c r="E23" s="640"/>
      <c r="F23" s="640"/>
      <c r="G23" s="640"/>
      <c r="H23" s="640"/>
      <c r="I23" s="67"/>
    </row>
    <row r="24" spans="1:9" ht="204.75">
      <c r="A24" s="67"/>
      <c r="B24" s="87">
        <v>1</v>
      </c>
      <c r="C24" s="641" t="s">
        <v>106</v>
      </c>
      <c r="D24" s="641"/>
      <c r="E24" s="641"/>
      <c r="F24" s="641"/>
      <c r="G24" s="641"/>
      <c r="H24" s="344" t="str">
        <f>'INFORMAÇÕES BÁSICAS'!$E$20</f>
        <v>Motorista - Contratação de pessoa jurídica para prestação de serviços continuados de motorista, habilitado na categoria “D”, com dedicação exclusiva de mão de obra, nas dependências doIF Farroupilha-, em jornada de 40 horas semanais.</v>
      </c>
      <c r="I24" s="67"/>
    </row>
    <row r="25" spans="1:9">
      <c r="A25" s="67"/>
      <c r="B25" s="87">
        <v>2</v>
      </c>
      <c r="C25" s="641" t="s">
        <v>107</v>
      </c>
      <c r="D25" s="641"/>
      <c r="E25" s="641"/>
      <c r="F25" s="641"/>
      <c r="G25" s="641"/>
      <c r="H25" s="345" t="e">
        <f>'INFORMAÇÕES BÁSICAS'!#REF!</f>
        <v>#REF!</v>
      </c>
      <c r="I25" s="67"/>
    </row>
    <row r="26" spans="1:9">
      <c r="A26" s="67"/>
      <c r="B26" s="87">
        <v>3</v>
      </c>
      <c r="C26" s="642" t="s">
        <v>108</v>
      </c>
      <c r="D26" s="642"/>
      <c r="E26" s="642"/>
      <c r="F26" s="642"/>
      <c r="G26" s="642"/>
      <c r="H26" s="346" t="e">
        <f>'INFORMAÇÕES BÁSICAS'!#REF!</f>
        <v>#REF!</v>
      </c>
      <c r="I26" s="67"/>
    </row>
    <row r="27" spans="1:9">
      <c r="A27" s="67"/>
      <c r="B27" s="87">
        <v>4</v>
      </c>
      <c r="C27" s="641" t="s">
        <v>109</v>
      </c>
      <c r="D27" s="641"/>
      <c r="E27" s="641"/>
      <c r="F27" s="641"/>
      <c r="G27" s="641"/>
      <c r="H27" s="347" t="e">
        <f>'INFORMAÇÕES BÁSICAS'!#REF!</f>
        <v>#REF!</v>
      </c>
      <c r="I27" s="67"/>
    </row>
    <row r="28" spans="1:9">
      <c r="A28" s="67"/>
      <c r="B28" s="87">
        <v>5</v>
      </c>
      <c r="C28" s="641" t="s">
        <v>110</v>
      </c>
      <c r="D28" s="641"/>
      <c r="E28" s="641"/>
      <c r="F28" s="641"/>
      <c r="G28" s="641"/>
      <c r="H28" s="348" t="e">
        <f>'INFORMAÇÕES BÁSICAS'!#REF!</f>
        <v>#REF!</v>
      </c>
      <c r="I28" s="67"/>
    </row>
    <row r="29" spans="1:9">
      <c r="A29" s="67"/>
      <c r="B29" s="108" t="s">
        <v>111</v>
      </c>
      <c r="C29" s="643" t="s">
        <v>257</v>
      </c>
      <c r="D29" s="643"/>
      <c r="E29" s="643"/>
      <c r="F29" s="643"/>
      <c r="G29" s="643"/>
      <c r="H29" s="643"/>
      <c r="I29" s="67"/>
    </row>
    <row r="30" spans="1:9">
      <c r="A30" s="67"/>
      <c r="B30" s="110"/>
      <c r="C30" s="111"/>
      <c r="D30" s="111"/>
      <c r="E30" s="111"/>
      <c r="F30" s="111"/>
      <c r="G30" s="111"/>
      <c r="H30" s="111"/>
      <c r="I30" s="67"/>
    </row>
    <row r="31" spans="1:9" ht="15.75">
      <c r="A31" s="67"/>
      <c r="B31" s="644" t="s">
        <v>112</v>
      </c>
      <c r="C31" s="644"/>
      <c r="D31" s="645" t="s">
        <v>113</v>
      </c>
      <c r="E31" s="645"/>
      <c r="F31" s="645"/>
      <c r="G31" s="645"/>
      <c r="H31" s="645"/>
      <c r="I31" s="67"/>
    </row>
    <row r="32" spans="1:9">
      <c r="A32" s="67"/>
      <c r="B32" s="114">
        <v>1</v>
      </c>
      <c r="C32" s="646" t="s">
        <v>114</v>
      </c>
      <c r="D32" s="646"/>
      <c r="E32" s="646"/>
      <c r="F32" s="646"/>
      <c r="G32" s="646"/>
      <c r="H32" s="116" t="s">
        <v>115</v>
      </c>
      <c r="I32" s="67"/>
    </row>
    <row r="33" spans="1:9">
      <c r="A33" s="117"/>
      <c r="B33" s="84" t="s">
        <v>86</v>
      </c>
      <c r="C33" s="118" t="s">
        <v>116</v>
      </c>
      <c r="D33" s="119" t="s">
        <v>117</v>
      </c>
      <c r="E33" s="119" t="e">
        <f>'INFORMAÇÕES BÁSICAS'!#REF!</f>
        <v>#REF!</v>
      </c>
      <c r="F33" s="121" t="s">
        <v>118</v>
      </c>
      <c r="G33" s="349" t="e">
        <f>'INFORMAÇÕES BÁSICAS'!#REF!</f>
        <v>#REF!</v>
      </c>
      <c r="H33" s="350" t="e">
        <f>IF(E33=0,H26/220*G33,H26/44*E33)</f>
        <v>#REF!</v>
      </c>
      <c r="I33" s="67"/>
    </row>
    <row r="34" spans="1:9">
      <c r="A34" s="117"/>
      <c r="B34" s="647" t="s">
        <v>88</v>
      </c>
      <c r="C34" s="648" t="s">
        <v>61</v>
      </c>
      <c r="D34" s="625" t="s">
        <v>119</v>
      </c>
      <c r="E34" s="625"/>
      <c r="F34" s="649" t="e">
        <f>H41</f>
        <v>#REF!</v>
      </c>
      <c r="G34" s="649"/>
      <c r="H34" s="650" t="e">
        <f>F34*F35</f>
        <v>#REF!</v>
      </c>
      <c r="I34" s="125"/>
    </row>
    <row r="35" spans="1:9">
      <c r="A35" s="117"/>
      <c r="B35" s="647"/>
      <c r="C35" s="648"/>
      <c r="D35" s="651" t="s">
        <v>120</v>
      </c>
      <c r="E35" s="651"/>
      <c r="F35" s="652" t="e">
        <f>IF('INFORMAÇÕES BÁSICAS'!#REF!=1,0.3,0)</f>
        <v>#REF!</v>
      </c>
      <c r="G35" s="652"/>
      <c r="H35" s="650"/>
      <c r="I35" s="127"/>
    </row>
    <row r="36" spans="1:9">
      <c r="A36" s="117"/>
      <c r="B36" s="354" t="s">
        <v>90</v>
      </c>
      <c r="C36" s="625" t="s">
        <v>121</v>
      </c>
      <c r="D36" s="625"/>
      <c r="E36" s="355" t="s">
        <v>258</v>
      </c>
      <c r="F36" s="356" t="e">
        <f>IF('INFORMAÇÕES BÁSICAS'!#REF!=0,"Risco Inexistente",(IF('INFORMAÇÕES BÁSICAS'!#REF!=1,"Baixo",(IF('INFORMAÇÕES BÁSICAS'!#REF!=2,"Médio",(IF('INFORMAÇÕES BÁSICAS'!#REF!=3,"Alto","ERRO")))))))</f>
        <v>#REF!</v>
      </c>
      <c r="G36" s="357" t="e">
        <f>IF('INFORMAÇÕES BÁSICAS'!#REF!=0,"0%",(IF('INFORMAÇÕES BÁSICAS'!#REF!=1,0.1,(IF('INFORMAÇÕES BÁSICAS'!#REF!=2,0.2,(IF('INFORMAÇÕES BÁSICAS'!#REF!=3,0.4,"ERRO")))))))</f>
        <v>#REF!</v>
      </c>
      <c r="H36" s="358" t="e">
        <f>G36*H33</f>
        <v>#REF!</v>
      </c>
      <c r="I36" s="127"/>
    </row>
    <row r="37" spans="1:9" ht="45" customHeight="1">
      <c r="A37" s="117"/>
      <c r="B37" s="647" t="s">
        <v>92</v>
      </c>
      <c r="C37" s="628" t="s">
        <v>259</v>
      </c>
      <c r="D37" s="628"/>
      <c r="E37" s="359" t="s">
        <v>260</v>
      </c>
      <c r="F37" s="360" t="s">
        <v>261</v>
      </c>
      <c r="G37" s="361" t="s">
        <v>262</v>
      </c>
      <c r="H37" s="653" t="e">
        <f>(E38*F38*G38)</f>
        <v>#REF!</v>
      </c>
      <c r="I37" s="127"/>
    </row>
    <row r="38" spans="1:9">
      <c r="A38" s="117"/>
      <c r="B38" s="647"/>
      <c r="C38" s="628"/>
      <c r="D38" s="628"/>
      <c r="E38" s="363" t="e">
        <f>IF(F38&gt;0,E16,0)</f>
        <v>#REF!</v>
      </c>
      <c r="F38" s="364" t="e">
        <f>'INFORMAÇÕES BÁSICAS'!#REF!</f>
        <v>#REF!</v>
      </c>
      <c r="G38" s="365" t="e">
        <f>'INFORMAÇÕES BÁSICAS'!#REF!</f>
        <v>#REF!</v>
      </c>
      <c r="H38" s="653"/>
      <c r="I38" s="67"/>
    </row>
    <row r="39" spans="1:9">
      <c r="A39" s="117"/>
      <c r="B39" s="84" t="s">
        <v>152</v>
      </c>
      <c r="C39" s="654" t="s">
        <v>263</v>
      </c>
      <c r="D39" s="654"/>
      <c r="E39" s="363" t="e">
        <f>E15</f>
        <v>#REF!</v>
      </c>
      <c r="F39" s="364" t="e">
        <f>'INFORMAÇÕES BÁSICAS'!#REF!</f>
        <v>#REF!</v>
      </c>
      <c r="G39" s="365" t="e">
        <f>IF(F39=0,0,(((G38*F39)+180)-190.67))</f>
        <v>#REF!</v>
      </c>
      <c r="H39" s="367">
        <f>0</f>
        <v>0</v>
      </c>
      <c r="I39" s="67"/>
    </row>
    <row r="40" spans="1:9">
      <c r="A40" s="117"/>
      <c r="B40" s="84" t="s">
        <v>129</v>
      </c>
      <c r="C40" s="625" t="s">
        <v>264</v>
      </c>
      <c r="D40" s="625"/>
      <c r="E40" s="625"/>
      <c r="F40" s="625"/>
      <c r="G40" s="625"/>
      <c r="H40" s="358" t="e">
        <f>(H37+H39)*0.2</f>
        <v>#REF!</v>
      </c>
      <c r="I40" s="67"/>
    </row>
    <row r="41" spans="1:9">
      <c r="A41" s="117"/>
      <c r="B41" s="655" t="s">
        <v>265</v>
      </c>
      <c r="C41" s="655"/>
      <c r="D41" s="655"/>
      <c r="E41" s="655"/>
      <c r="F41" s="655"/>
      <c r="G41" s="655"/>
      <c r="H41" s="656" t="e">
        <f>SUM(H37:H40)+H33</f>
        <v>#REF!</v>
      </c>
      <c r="I41" s="67"/>
    </row>
    <row r="42" spans="1:9">
      <c r="A42" s="117"/>
      <c r="B42" s="655"/>
      <c r="C42" s="655"/>
      <c r="D42" s="655"/>
      <c r="E42" s="655"/>
      <c r="F42" s="655"/>
      <c r="G42" s="655"/>
      <c r="H42" s="656"/>
      <c r="I42" s="67"/>
    </row>
    <row r="43" spans="1:9">
      <c r="A43" s="117"/>
      <c r="B43" s="131"/>
      <c r="C43" s="657" t="s">
        <v>128</v>
      </c>
      <c r="D43" s="657"/>
      <c r="E43" s="657"/>
      <c r="F43" s="657"/>
      <c r="G43" s="657"/>
      <c r="H43" s="369" t="e">
        <f>SUM(H33:H40)</f>
        <v>#REF!</v>
      </c>
      <c r="I43" s="67"/>
    </row>
    <row r="44" spans="1:9">
      <c r="A44" s="117"/>
      <c r="B44" s="370" t="s">
        <v>131</v>
      </c>
      <c r="C44" s="658" t="s">
        <v>266</v>
      </c>
      <c r="D44" s="658"/>
      <c r="E44" s="658"/>
      <c r="F44" s="658"/>
      <c r="G44" s="658"/>
      <c r="H44" s="372" t="e">
        <f>H14*15</f>
        <v>#REF!</v>
      </c>
      <c r="I44" s="117"/>
    </row>
    <row r="45" spans="1:9">
      <c r="A45" s="117"/>
      <c r="B45" s="370" t="s">
        <v>132</v>
      </c>
      <c r="C45" s="659" t="s">
        <v>267</v>
      </c>
      <c r="D45" s="659"/>
      <c r="E45" s="659"/>
      <c r="F45" s="659"/>
      <c r="G45" s="659"/>
      <c r="H45" s="374" t="e">
        <f>E15*15*0.5</f>
        <v>#REF!</v>
      </c>
      <c r="I45" s="117"/>
    </row>
    <row r="46" spans="1:9" ht="15" customHeight="1">
      <c r="A46" s="117"/>
      <c r="B46" s="90"/>
      <c r="C46" s="660" t="s">
        <v>133</v>
      </c>
      <c r="D46" s="660"/>
      <c r="E46" s="660"/>
      <c r="F46" s="660"/>
      <c r="G46" s="375" t="s">
        <v>134</v>
      </c>
      <c r="H46" s="376" t="e">
        <f>SUM(H44:H45)</f>
        <v>#REF!</v>
      </c>
      <c r="I46" s="67"/>
    </row>
    <row r="47" spans="1:9" ht="15.75">
      <c r="A47" s="117"/>
      <c r="B47" s="661" t="s">
        <v>135</v>
      </c>
      <c r="C47" s="661"/>
      <c r="D47" s="661"/>
      <c r="E47" s="661"/>
      <c r="F47" s="661"/>
      <c r="G47" s="661"/>
      <c r="H47" s="141" t="e">
        <f>SUM(H33:H40)+H44+H45</f>
        <v>#REF!</v>
      </c>
      <c r="I47" s="67"/>
    </row>
    <row r="48" spans="1:9">
      <c r="A48" s="142"/>
      <c r="B48" s="143"/>
      <c r="C48" s="143"/>
      <c r="D48" s="143"/>
      <c r="E48" s="143"/>
      <c r="F48" s="143"/>
      <c r="G48" s="143"/>
      <c r="H48" s="144"/>
      <c r="I48" s="145"/>
    </row>
    <row r="49" spans="1:9" ht="15.75">
      <c r="A49" s="117"/>
      <c r="B49" s="644" t="s">
        <v>136</v>
      </c>
      <c r="C49" s="644"/>
      <c r="D49" s="645" t="s">
        <v>137</v>
      </c>
      <c r="E49" s="645"/>
      <c r="F49" s="645"/>
      <c r="G49" s="645"/>
      <c r="H49" s="645"/>
      <c r="I49" s="67"/>
    </row>
    <row r="50" spans="1:9" ht="15.75">
      <c r="A50" s="117"/>
      <c r="B50" s="662" t="s">
        <v>138</v>
      </c>
      <c r="C50" s="662"/>
      <c r="D50" s="663" t="s">
        <v>139</v>
      </c>
      <c r="E50" s="663"/>
      <c r="F50" s="663"/>
      <c r="G50" s="663"/>
      <c r="H50" s="663"/>
      <c r="I50" s="67"/>
    </row>
    <row r="51" spans="1:9" ht="15.75">
      <c r="A51" s="117"/>
      <c r="B51" s="148"/>
      <c r="C51" s="664" t="s">
        <v>140</v>
      </c>
      <c r="D51" s="664"/>
      <c r="E51" s="664"/>
      <c r="F51" s="664"/>
      <c r="G51" s="664"/>
      <c r="H51" s="378" t="s">
        <v>141</v>
      </c>
      <c r="I51" s="67"/>
    </row>
    <row r="52" spans="1:9">
      <c r="A52" s="149"/>
      <c r="B52" s="150" t="s">
        <v>86</v>
      </c>
      <c r="C52" s="665" t="s">
        <v>142</v>
      </c>
      <c r="D52" s="665"/>
      <c r="E52" s="665"/>
      <c r="F52" s="665"/>
      <c r="G52" s="665"/>
      <c r="H52" s="380" t="e">
        <f>H43/12</f>
        <v>#REF!</v>
      </c>
      <c r="I52" s="152"/>
    </row>
    <row r="53" spans="1:9">
      <c r="A53" s="153"/>
      <c r="B53" s="150" t="s">
        <v>88</v>
      </c>
      <c r="C53" s="665" t="s">
        <v>143</v>
      </c>
      <c r="D53" s="665"/>
      <c r="E53" s="665"/>
      <c r="F53" s="665"/>
      <c r="G53" s="665"/>
      <c r="H53" s="380" t="e">
        <f>(H43/3)/12</f>
        <v>#REF!</v>
      </c>
      <c r="I53" s="154"/>
    </row>
    <row r="54" spans="1:9" ht="15" customHeight="1">
      <c r="A54" s="153"/>
      <c r="B54" s="155"/>
      <c r="C54" s="666" t="s">
        <v>144</v>
      </c>
      <c r="D54" s="666"/>
      <c r="E54" s="666"/>
      <c r="F54" s="666"/>
      <c r="G54" s="666"/>
      <c r="H54" s="382" t="e">
        <f>SUM(H52:H53)</f>
        <v>#REF!</v>
      </c>
      <c r="I54" s="154"/>
    </row>
    <row r="55" spans="1:9" ht="16.5" customHeight="1">
      <c r="A55" s="153"/>
      <c r="B55" s="667" t="s">
        <v>145</v>
      </c>
      <c r="C55" s="667"/>
      <c r="D55" s="667"/>
      <c r="E55" s="667"/>
      <c r="F55" s="667"/>
      <c r="G55" s="667"/>
      <c r="H55" s="158"/>
      <c r="I55" s="154"/>
    </row>
    <row r="56" spans="1:9">
      <c r="A56" s="142"/>
      <c r="B56" s="143"/>
      <c r="C56" s="143"/>
      <c r="D56" s="143"/>
      <c r="E56" s="143"/>
      <c r="F56" s="143"/>
      <c r="G56" s="143"/>
      <c r="H56" s="144"/>
      <c r="I56" s="145"/>
    </row>
    <row r="57" spans="1:9" ht="15.75" customHeight="1">
      <c r="A57" s="117"/>
      <c r="B57" s="668" t="s">
        <v>146</v>
      </c>
      <c r="C57" s="668"/>
      <c r="D57" s="669" t="s">
        <v>147</v>
      </c>
      <c r="E57" s="669"/>
      <c r="F57" s="669"/>
      <c r="G57" s="669"/>
      <c r="H57" s="669"/>
      <c r="I57" s="67"/>
    </row>
    <row r="58" spans="1:9" ht="15.75">
      <c r="A58" s="117"/>
      <c r="B58" s="161"/>
      <c r="C58" s="664" t="s">
        <v>140</v>
      </c>
      <c r="D58" s="664"/>
      <c r="E58" s="664"/>
      <c r="F58" s="664" t="s">
        <v>148</v>
      </c>
      <c r="G58" s="664"/>
      <c r="H58" s="383" t="s">
        <v>141</v>
      </c>
      <c r="I58" s="67"/>
    </row>
    <row r="59" spans="1:9">
      <c r="A59" s="149"/>
      <c r="B59" s="150" t="s">
        <v>86</v>
      </c>
      <c r="C59" s="665" t="s">
        <v>149</v>
      </c>
      <c r="D59" s="665"/>
      <c r="E59" s="665"/>
      <c r="F59" s="670">
        <f>IF($F$8=1,0.2,IF($F$8=2,0.2,IF($F$8=3,0,IF($F$8=4,0.2,"ESCOLHA UM RT"))))</f>
        <v>0.2</v>
      </c>
      <c r="G59" s="670"/>
      <c r="H59" s="151" t="e">
        <f>ROUND(($H$47+H54)*F59,2)</f>
        <v>#REF!</v>
      </c>
      <c r="I59" s="152"/>
    </row>
    <row r="60" spans="1:9">
      <c r="A60" s="149"/>
      <c r="B60" s="150" t="s">
        <v>88</v>
      </c>
      <c r="C60" s="665" t="s">
        <v>150</v>
      </c>
      <c r="D60" s="665"/>
      <c r="E60" s="665"/>
      <c r="F60" s="670">
        <f>IF($F$8=1,0.025,IF($F$8=2,0.025,IF($F$8=3,0,IF($F$8=4,0,"ESCOLHA UM RT"))))</f>
        <v>2.5000000000000001E-2</v>
      </c>
      <c r="G60" s="670"/>
      <c r="H60" s="151" t="e">
        <f>ROUND(($H$47+H54)*F60,2)</f>
        <v>#REF!</v>
      </c>
      <c r="I60" s="152"/>
    </row>
    <row r="61" spans="1:9">
      <c r="A61" s="149"/>
      <c r="B61" s="150" t="s">
        <v>90</v>
      </c>
      <c r="C61" s="665" t="s">
        <v>268</v>
      </c>
      <c r="D61" s="665"/>
      <c r="E61" s="665"/>
      <c r="F61" s="671" t="e">
        <f>'INFORMAÇÕES BÁSICAS'!#REF!</f>
        <v>#REF!</v>
      </c>
      <c r="G61" s="671"/>
      <c r="H61" s="151" t="e">
        <f>ROUND(($H$47+H54)*F61,2)</f>
        <v>#REF!</v>
      </c>
      <c r="I61" s="152"/>
    </row>
    <row r="62" spans="1:9">
      <c r="A62" s="149"/>
      <c r="B62" s="150" t="s">
        <v>92</v>
      </c>
      <c r="C62" s="665" t="s">
        <v>151</v>
      </c>
      <c r="D62" s="665"/>
      <c r="E62" s="665"/>
      <c r="F62" s="670">
        <f>IF($F$8=1,0.015,IF($F$8=2,0.015,IF($F$8=3,0,IF($F$8=4,0,"ESCOLHA UM RT"))))</f>
        <v>1.4999999999999999E-2</v>
      </c>
      <c r="G62" s="670"/>
      <c r="H62" s="151" t="e">
        <f>ROUND(($H$47+H54)*F62,2)</f>
        <v>#REF!</v>
      </c>
      <c r="I62" s="152"/>
    </row>
    <row r="63" spans="1:9">
      <c r="A63" s="149"/>
      <c r="B63" s="150" t="s">
        <v>152</v>
      </c>
      <c r="C63" s="665" t="s">
        <v>153</v>
      </c>
      <c r="D63" s="665"/>
      <c r="E63" s="665"/>
      <c r="F63" s="670">
        <f>IF($F$8=1,0.01,IF($F$8=2,0.01,IF($F$8=3,0,IF($F$8=4,0,"ESCOLHA UM RT"))))</f>
        <v>0.01</v>
      </c>
      <c r="G63" s="670"/>
      <c r="H63" s="151" t="e">
        <f>ROUND(($H$47+H54)*F63,2)</f>
        <v>#REF!</v>
      </c>
      <c r="I63" s="152"/>
    </row>
    <row r="64" spans="1:9">
      <c r="A64" s="149"/>
      <c r="B64" s="150" t="s">
        <v>129</v>
      </c>
      <c r="C64" s="665" t="s">
        <v>154</v>
      </c>
      <c r="D64" s="665"/>
      <c r="E64" s="665"/>
      <c r="F64" s="670">
        <f>IF($F$8=1,0.006,IF($F$8=2,0.006,IF($F$8=3,0,IF($F$8=4,0,"ESCOLHA UM RT"))))</f>
        <v>6.0000000000000001E-3</v>
      </c>
      <c r="G64" s="670"/>
      <c r="H64" s="151" t="e">
        <f>ROUND(($H$47+H54)*F64,2)</f>
        <v>#REF!</v>
      </c>
      <c r="I64" s="152"/>
    </row>
    <row r="65" spans="1:9">
      <c r="A65" s="149"/>
      <c r="B65" s="150" t="s">
        <v>131</v>
      </c>
      <c r="C65" s="665" t="s">
        <v>155</v>
      </c>
      <c r="D65" s="665"/>
      <c r="E65" s="665"/>
      <c r="F65" s="670">
        <f>IF($F$8=1,0.002,IF($F$8=2,0.002,IF($F$8=3,0,IF($F$8=4,0,"ESCOLHA UM RT"))))</f>
        <v>2E-3</v>
      </c>
      <c r="G65" s="670"/>
      <c r="H65" s="151" t="e">
        <f>ROUND(($H$47+H54)*F65,2)</f>
        <v>#REF!</v>
      </c>
      <c r="I65" s="152"/>
    </row>
    <row r="66" spans="1:9">
      <c r="A66" s="149"/>
      <c r="B66" s="150" t="s">
        <v>132</v>
      </c>
      <c r="C66" s="665" t="s">
        <v>156</v>
      </c>
      <c r="D66" s="665"/>
      <c r="E66" s="665"/>
      <c r="F66" s="670">
        <f>IF($F$8=1,0.08,IF($F$8=2,0.08,IF($F$8=3,0.08,IF($F$8=4,0.08,"ESCOLHA UM RT"))))</f>
        <v>0.08</v>
      </c>
      <c r="G66" s="670"/>
      <c r="H66" s="151" t="e">
        <f>ROUND(($H$47+H54)*F66,2)</f>
        <v>#REF!</v>
      </c>
      <c r="I66" s="152"/>
    </row>
    <row r="67" spans="1:9" ht="16.5" customHeight="1">
      <c r="A67" s="142"/>
      <c r="B67" s="667" t="s">
        <v>157</v>
      </c>
      <c r="C67" s="667"/>
      <c r="D67" s="667"/>
      <c r="E67" s="667"/>
      <c r="F67" s="672" t="e">
        <f>SUM(F59:G66)</f>
        <v>#REF!</v>
      </c>
      <c r="G67" s="672"/>
      <c r="H67" s="164" t="e">
        <f>SUM(H59:H66)</f>
        <v>#REF!</v>
      </c>
      <c r="I67" s="145"/>
    </row>
    <row r="68" spans="1:9" ht="16.5" customHeight="1">
      <c r="A68" s="142"/>
      <c r="B68" s="143"/>
      <c r="C68" s="673" t="s">
        <v>158</v>
      </c>
      <c r="D68" s="673"/>
      <c r="E68" s="673"/>
      <c r="F68" s="673"/>
      <c r="G68" s="673"/>
      <c r="H68" s="165"/>
      <c r="I68" s="145"/>
    </row>
    <row r="69" spans="1:9" ht="16.5">
      <c r="A69" s="142"/>
      <c r="B69" s="143"/>
      <c r="C69" s="387"/>
      <c r="D69" s="388"/>
      <c r="E69" s="388"/>
      <c r="F69" s="168"/>
      <c r="G69" s="168"/>
      <c r="H69" s="165"/>
      <c r="I69" s="145"/>
    </row>
    <row r="70" spans="1:9" ht="15.75" customHeight="1">
      <c r="A70" s="117"/>
      <c r="B70" s="668" t="s">
        <v>159</v>
      </c>
      <c r="C70" s="668"/>
      <c r="D70" s="669" t="s">
        <v>160</v>
      </c>
      <c r="E70" s="669"/>
      <c r="F70" s="669"/>
      <c r="G70" s="669"/>
      <c r="H70" s="669"/>
      <c r="I70" s="67"/>
    </row>
    <row r="71" spans="1:9" ht="15.75">
      <c r="A71" s="117"/>
      <c r="B71" s="161"/>
      <c r="C71" s="664" t="s">
        <v>140</v>
      </c>
      <c r="D71" s="664"/>
      <c r="E71" s="664"/>
      <c r="F71" s="664"/>
      <c r="G71" s="664"/>
      <c r="H71" s="383" t="s">
        <v>141</v>
      </c>
      <c r="I71" s="67"/>
    </row>
    <row r="72" spans="1:9">
      <c r="A72" s="149"/>
      <c r="B72" s="647" t="s">
        <v>86</v>
      </c>
      <c r="C72" s="674" t="s">
        <v>161</v>
      </c>
      <c r="D72" s="675" t="s">
        <v>162</v>
      </c>
      <c r="E72" s="675"/>
      <c r="F72" s="676" t="e">
        <f>H26</f>
        <v>#REF!</v>
      </c>
      <c r="G72" s="676"/>
      <c r="H72" s="677" t="e">
        <f>IF(F73&lt;&gt;0,ROUND((F73*F74*F76)-(F72*0.06),2),0)</f>
        <v>#REF!</v>
      </c>
      <c r="I72" s="152"/>
    </row>
    <row r="73" spans="1:9">
      <c r="A73" s="149"/>
      <c r="B73" s="647"/>
      <c r="C73" s="674"/>
      <c r="D73" s="675" t="s">
        <v>163</v>
      </c>
      <c r="E73" s="675"/>
      <c r="F73" s="678" t="e">
        <f>'INFORMAÇÕES BÁSICAS'!#REF!</f>
        <v>#REF!</v>
      </c>
      <c r="G73" s="678"/>
      <c r="H73" s="677"/>
      <c r="I73" s="152"/>
    </row>
    <row r="74" spans="1:9">
      <c r="A74" s="149"/>
      <c r="B74" s="647"/>
      <c r="C74" s="674"/>
      <c r="D74" s="675" t="s">
        <v>164</v>
      </c>
      <c r="E74" s="675"/>
      <c r="F74" s="679" t="e">
        <f>'INFORMAÇÕES BÁSICAS'!#REF!</f>
        <v>#REF!</v>
      </c>
      <c r="G74" s="679"/>
      <c r="H74" s="677"/>
      <c r="I74" s="172"/>
    </row>
    <row r="75" spans="1:9" ht="15" customHeight="1">
      <c r="A75" s="149"/>
      <c r="B75" s="647" t="s">
        <v>88</v>
      </c>
      <c r="C75" s="680" t="s">
        <v>269</v>
      </c>
      <c r="D75" s="675" t="s">
        <v>270</v>
      </c>
      <c r="E75" s="675"/>
      <c r="F75" s="681" t="e">
        <f>'INFORMAÇÕES BÁSICAS'!#REF!</f>
        <v>#REF!</v>
      </c>
      <c r="G75" s="681"/>
      <c r="H75" s="677" t="e">
        <f>(F75*F76)-(20/100)</f>
        <v>#REF!</v>
      </c>
      <c r="I75" s="152"/>
    </row>
    <row r="76" spans="1:9">
      <c r="A76" s="149"/>
      <c r="B76" s="647"/>
      <c r="C76" s="680"/>
      <c r="D76" s="675" t="s">
        <v>262</v>
      </c>
      <c r="E76" s="675"/>
      <c r="F76" s="682">
        <v>20</v>
      </c>
      <c r="G76" s="682"/>
      <c r="H76" s="677"/>
      <c r="I76" s="152"/>
    </row>
    <row r="77" spans="1:9">
      <c r="A77" s="149"/>
      <c r="B77" s="647"/>
      <c r="C77" s="680"/>
      <c r="D77" s="641" t="s">
        <v>271</v>
      </c>
      <c r="E77" s="641"/>
      <c r="F77" s="683" t="e">
        <f>'INFORMAÇÕES BÁSICAS'!#REF!</f>
        <v>#REF!</v>
      </c>
      <c r="G77" s="683"/>
      <c r="H77" s="677"/>
      <c r="I77" s="152"/>
    </row>
    <row r="78" spans="1:9">
      <c r="A78" s="149"/>
      <c r="B78" s="87" t="s">
        <v>90</v>
      </c>
      <c r="C78" s="641" t="s">
        <v>272</v>
      </c>
      <c r="D78" s="641"/>
      <c r="E78" s="641"/>
      <c r="F78" s="641"/>
      <c r="G78" s="641"/>
      <c r="H78" s="394" t="e">
        <f>(H43*26)*(0.023/100)</f>
        <v>#REF!</v>
      </c>
      <c r="I78" s="152"/>
    </row>
    <row r="79" spans="1:9">
      <c r="A79" s="149"/>
      <c r="B79" s="87" t="s">
        <v>92</v>
      </c>
      <c r="C79" s="641" t="s">
        <v>273</v>
      </c>
      <c r="D79" s="641"/>
      <c r="E79" s="641"/>
      <c r="F79" s="641"/>
      <c r="G79" s="641"/>
      <c r="H79" s="394" t="e">
        <f>(H33*(0.52066/100))/12</f>
        <v>#REF!</v>
      </c>
      <c r="I79" s="152"/>
    </row>
    <row r="80" spans="1:9">
      <c r="A80" s="149"/>
      <c r="B80" s="647" t="s">
        <v>152</v>
      </c>
      <c r="C80" s="674" t="s">
        <v>274</v>
      </c>
      <c r="D80" s="684"/>
      <c r="E80" s="684"/>
      <c r="F80" s="684"/>
      <c r="G80" s="684"/>
      <c r="H80" s="396">
        <v>0</v>
      </c>
      <c r="I80" s="152"/>
    </row>
    <row r="81" spans="1:9">
      <c r="A81" s="149"/>
      <c r="B81" s="647"/>
      <c r="C81" s="674"/>
      <c r="D81" s="684"/>
      <c r="E81" s="684"/>
      <c r="F81" s="684"/>
      <c r="G81" s="684"/>
      <c r="H81" s="396">
        <v>0</v>
      </c>
      <c r="I81" s="152"/>
    </row>
    <row r="82" spans="1:9">
      <c r="A82" s="149"/>
      <c r="B82" s="647"/>
      <c r="C82" s="674"/>
      <c r="D82" s="685"/>
      <c r="E82" s="685"/>
      <c r="F82" s="685"/>
      <c r="G82" s="685"/>
      <c r="H82" s="398">
        <v>0</v>
      </c>
      <c r="I82" s="152"/>
    </row>
    <row r="83" spans="1:9" ht="15.75">
      <c r="A83" s="117"/>
      <c r="B83" s="662" t="s">
        <v>169</v>
      </c>
      <c r="C83" s="662"/>
      <c r="D83" s="662"/>
      <c r="E83" s="662"/>
      <c r="F83" s="662"/>
      <c r="G83" s="662"/>
      <c r="H83" s="182" t="e">
        <f>SUM(H72:H82)</f>
        <v>#REF!</v>
      </c>
      <c r="I83" s="67"/>
    </row>
    <row r="84" spans="1:9">
      <c r="A84" s="183"/>
      <c r="B84" s="184"/>
      <c r="C84" s="111"/>
      <c r="D84" s="111"/>
      <c r="E84" s="111"/>
      <c r="F84" s="111"/>
      <c r="G84" s="111"/>
      <c r="H84" s="111"/>
      <c r="I84" s="185"/>
    </row>
    <row r="85" spans="1:9" ht="15.75" customHeight="1">
      <c r="A85" s="117"/>
      <c r="B85" s="668" t="s">
        <v>170</v>
      </c>
      <c r="C85" s="668"/>
      <c r="D85" s="686" t="s">
        <v>171</v>
      </c>
      <c r="E85" s="686"/>
      <c r="F85" s="686"/>
      <c r="G85" s="686"/>
      <c r="H85" s="686"/>
      <c r="I85" s="67"/>
    </row>
    <row r="86" spans="1:9" ht="15.75">
      <c r="A86" s="117"/>
      <c r="B86" s="187">
        <v>2</v>
      </c>
      <c r="C86" s="687" t="s">
        <v>140</v>
      </c>
      <c r="D86" s="687"/>
      <c r="E86" s="687"/>
      <c r="F86" s="687"/>
      <c r="G86" s="687"/>
      <c r="H86" s="400" t="s">
        <v>141</v>
      </c>
      <c r="I86" s="67"/>
    </row>
    <row r="87" spans="1:9" ht="15" customHeight="1">
      <c r="A87" s="149"/>
      <c r="B87" s="189" t="s">
        <v>172</v>
      </c>
      <c r="C87" s="628" t="s">
        <v>139</v>
      </c>
      <c r="D87" s="628"/>
      <c r="E87" s="628"/>
      <c r="F87" s="628"/>
      <c r="G87" s="628"/>
      <c r="H87" s="151" t="e">
        <f>H54</f>
        <v>#REF!</v>
      </c>
      <c r="I87" s="152"/>
    </row>
    <row r="88" spans="1:9" ht="15" customHeight="1">
      <c r="A88" s="149"/>
      <c r="B88" s="189" t="s">
        <v>173</v>
      </c>
      <c r="C88" s="628" t="s">
        <v>174</v>
      </c>
      <c r="D88" s="628"/>
      <c r="E88" s="628"/>
      <c r="F88" s="628"/>
      <c r="G88" s="628"/>
      <c r="H88" s="151" t="e">
        <f>H67</f>
        <v>#REF!</v>
      </c>
      <c r="I88" s="152"/>
    </row>
    <row r="89" spans="1:9">
      <c r="A89" s="149"/>
      <c r="B89" s="189" t="s">
        <v>175</v>
      </c>
      <c r="C89" s="641" t="s">
        <v>160</v>
      </c>
      <c r="D89" s="641"/>
      <c r="E89" s="641"/>
      <c r="F89" s="641"/>
      <c r="G89" s="641"/>
      <c r="H89" s="151" t="e">
        <f>H83</f>
        <v>#REF!</v>
      </c>
      <c r="I89" s="152"/>
    </row>
    <row r="90" spans="1:9" ht="15.75">
      <c r="A90" s="149"/>
      <c r="B90" s="688" t="s">
        <v>176</v>
      </c>
      <c r="C90" s="688"/>
      <c r="D90" s="688"/>
      <c r="E90" s="688"/>
      <c r="F90" s="688"/>
      <c r="G90" s="688"/>
      <c r="H90" s="191" t="e">
        <f>SUM(H87:H89)</f>
        <v>#REF!</v>
      </c>
      <c r="I90" s="152"/>
    </row>
    <row r="91" spans="1:9">
      <c r="A91" s="153"/>
      <c r="B91" s="192"/>
      <c r="C91" s="401"/>
      <c r="D91" s="401"/>
      <c r="E91" s="401"/>
      <c r="F91" s="401"/>
      <c r="G91" s="401"/>
      <c r="H91" s="194"/>
      <c r="I91" s="154"/>
    </row>
    <row r="92" spans="1:9" ht="15.75">
      <c r="A92" s="153"/>
      <c r="B92" s="689" t="s">
        <v>177</v>
      </c>
      <c r="C92" s="689"/>
      <c r="D92" s="690" t="s">
        <v>178</v>
      </c>
      <c r="E92" s="690"/>
      <c r="F92" s="690"/>
      <c r="G92" s="690"/>
      <c r="H92" s="690"/>
      <c r="I92" s="154"/>
    </row>
    <row r="93" spans="1:9" ht="15.75">
      <c r="A93" s="117"/>
      <c r="B93" s="197"/>
      <c r="C93" s="664" t="s">
        <v>140</v>
      </c>
      <c r="D93" s="664"/>
      <c r="E93" s="664"/>
      <c r="F93" s="664"/>
      <c r="G93" s="664"/>
      <c r="H93" s="402" t="s">
        <v>141</v>
      </c>
      <c r="I93" s="199"/>
    </row>
    <row r="94" spans="1:9">
      <c r="A94" s="117"/>
      <c r="B94" s="87" t="s">
        <v>86</v>
      </c>
      <c r="C94" s="641" t="s">
        <v>179</v>
      </c>
      <c r="D94" s="641"/>
      <c r="E94" s="641"/>
      <c r="F94" s="641"/>
      <c r="G94" s="641"/>
      <c r="H94" s="200" t="e">
        <f>ROUND((H43/12)+(H52/12)+(H43/12/12)+(H53/12),2)*0.05</f>
        <v>#REF!</v>
      </c>
      <c r="I94" s="199"/>
    </row>
    <row r="95" spans="1:9">
      <c r="A95" s="117"/>
      <c r="B95" s="87" t="s">
        <v>88</v>
      </c>
      <c r="C95" s="641" t="s">
        <v>180</v>
      </c>
      <c r="D95" s="641"/>
      <c r="E95" s="641"/>
      <c r="F95" s="641"/>
      <c r="G95" s="641"/>
      <c r="H95" s="200" t="e">
        <f>H94*F66</f>
        <v>#REF!</v>
      </c>
      <c r="I95" s="199"/>
    </row>
    <row r="96" spans="1:9">
      <c r="A96" s="117"/>
      <c r="B96" s="87" t="s">
        <v>90</v>
      </c>
      <c r="C96" s="641" t="s">
        <v>181</v>
      </c>
      <c r="D96" s="641"/>
      <c r="E96" s="641"/>
      <c r="F96" s="641"/>
      <c r="G96" s="641"/>
      <c r="H96" s="200" t="e">
        <f>ROUND((((H47*0.08)*0.5)*0.06),2)</f>
        <v>#REF!</v>
      </c>
      <c r="I96" s="199"/>
    </row>
    <row r="97" spans="1:9">
      <c r="A97" s="117"/>
      <c r="B97" s="87" t="s">
        <v>92</v>
      </c>
      <c r="C97" s="641" t="s">
        <v>182</v>
      </c>
      <c r="D97" s="641"/>
      <c r="E97" s="641"/>
      <c r="F97" s="641"/>
      <c r="G97" s="641"/>
      <c r="H97" s="200" t="e">
        <f>ROUND(((H43/30)*7)/H13*1,2)</f>
        <v>#REF!</v>
      </c>
      <c r="I97" s="202"/>
    </row>
    <row r="98" spans="1:9">
      <c r="A98" s="117"/>
      <c r="B98" s="87" t="s">
        <v>152</v>
      </c>
      <c r="C98" s="641" t="s">
        <v>183</v>
      </c>
      <c r="D98" s="641"/>
      <c r="E98" s="641"/>
      <c r="F98" s="641"/>
      <c r="G98" s="641"/>
      <c r="H98" s="203" t="e">
        <f>ROUND(H97*F67,2)</f>
        <v>#REF!</v>
      </c>
      <c r="I98" s="199"/>
    </row>
    <row r="99" spans="1:9">
      <c r="A99" s="117"/>
      <c r="B99" s="87" t="s">
        <v>92</v>
      </c>
      <c r="C99" s="641" t="s">
        <v>184</v>
      </c>
      <c r="D99" s="641"/>
      <c r="E99" s="641"/>
      <c r="F99" s="641"/>
      <c r="G99" s="641"/>
      <c r="H99" s="200" t="e">
        <f>ROUND(0.08*0.5*(H43+H52+H53+H106)*1,2)</f>
        <v>#REF!</v>
      </c>
      <c r="I99" s="199"/>
    </row>
    <row r="100" spans="1:9" ht="15.75">
      <c r="A100" s="153"/>
      <c r="B100" s="691" t="s">
        <v>185</v>
      </c>
      <c r="C100" s="691"/>
      <c r="D100" s="691"/>
      <c r="E100" s="691"/>
      <c r="F100" s="692"/>
      <c r="G100" s="692"/>
      <c r="H100" s="205" t="e">
        <f>SUM(H94:H99)</f>
        <v>#REF!</v>
      </c>
      <c r="I100" s="154"/>
    </row>
    <row r="101" spans="1:9">
      <c r="A101" s="206"/>
      <c r="B101" s="207"/>
      <c r="C101" s="207"/>
      <c r="D101" s="207"/>
      <c r="E101" s="207"/>
      <c r="F101" s="207"/>
      <c r="G101" s="207"/>
      <c r="H101" s="207"/>
      <c r="I101" s="199"/>
    </row>
    <row r="102" spans="1:9" ht="15.75">
      <c r="A102" s="206"/>
      <c r="B102" s="693" t="s">
        <v>186</v>
      </c>
      <c r="C102" s="693"/>
      <c r="D102" s="694" t="s">
        <v>187</v>
      </c>
      <c r="E102" s="694"/>
      <c r="F102" s="694"/>
      <c r="G102" s="694"/>
      <c r="H102" s="694"/>
      <c r="I102" s="210"/>
    </row>
    <row r="103" spans="1:9" ht="15.75" customHeight="1">
      <c r="A103" s="206"/>
      <c r="B103" s="695" t="s">
        <v>188</v>
      </c>
      <c r="C103" s="695"/>
      <c r="D103" s="696" t="s">
        <v>189</v>
      </c>
      <c r="E103" s="696"/>
      <c r="F103" s="696"/>
      <c r="G103" s="696"/>
      <c r="H103" s="696"/>
      <c r="I103" s="213" t="s">
        <v>190</v>
      </c>
    </row>
    <row r="104" spans="1:9" ht="15.75">
      <c r="A104" s="117"/>
      <c r="B104" s="214"/>
      <c r="C104" s="697" t="s">
        <v>140</v>
      </c>
      <c r="D104" s="697"/>
      <c r="E104" s="697"/>
      <c r="F104" s="697"/>
      <c r="G104" s="697"/>
      <c r="H104" s="405" t="s">
        <v>141</v>
      </c>
    </row>
    <row r="105" spans="1:9" ht="15.75">
      <c r="A105" s="117"/>
      <c r="B105" s="214"/>
      <c r="C105" s="698" t="s">
        <v>191</v>
      </c>
      <c r="D105" s="698"/>
      <c r="E105" s="698"/>
      <c r="F105" s="699" t="e">
        <f>ROUND(H43/12,2)+H43+H52+H53</f>
        <v>#REF!</v>
      </c>
      <c r="G105" s="699"/>
      <c r="H105" s="405"/>
    </row>
    <row r="106" spans="1:9">
      <c r="A106" s="206"/>
      <c r="B106" s="87" t="s">
        <v>86</v>
      </c>
      <c r="C106" s="641" t="s">
        <v>192</v>
      </c>
      <c r="D106" s="641"/>
      <c r="E106" s="641"/>
      <c r="F106" s="641"/>
      <c r="G106" s="641"/>
      <c r="H106" s="151" t="e">
        <f>F105/12</f>
        <v>#REF!</v>
      </c>
      <c r="I106" s="216"/>
    </row>
    <row r="107" spans="1:9">
      <c r="A107" s="206"/>
      <c r="B107" s="87" t="s">
        <v>88</v>
      </c>
      <c r="C107" s="217" t="s">
        <v>193</v>
      </c>
      <c r="D107" s="218"/>
      <c r="E107" s="218"/>
      <c r="F107" s="218"/>
      <c r="G107" s="219"/>
      <c r="H107" s="151" t="e">
        <f>(((F105/30)*2.96)/12)</f>
        <v>#REF!</v>
      </c>
      <c r="I107" s="216"/>
    </row>
    <row r="108" spans="1:9">
      <c r="A108" s="206"/>
      <c r="B108" s="87" t="s">
        <v>90</v>
      </c>
      <c r="C108" s="217" t="s">
        <v>194</v>
      </c>
      <c r="D108" s="218"/>
      <c r="E108" s="218"/>
      <c r="F108" s="218"/>
      <c r="G108" s="219"/>
      <c r="H108" s="151" t="e">
        <f>IF(I108="S",((((5/30)*(F105))/12)*0.015),IF(I108="N",0,"INFORME S ou N"))</f>
        <v>#REF!</v>
      </c>
      <c r="I108" s="220" t="e">
        <f>IF('INFORMAÇÕES BÁSICAS'!#REF!=1,"S","N")</f>
        <v>#REF!</v>
      </c>
    </row>
    <row r="109" spans="1:9">
      <c r="A109" s="206"/>
      <c r="B109" s="87" t="s">
        <v>92</v>
      </c>
      <c r="C109" s="217" t="s">
        <v>195</v>
      </c>
      <c r="D109" s="218"/>
      <c r="E109" s="218"/>
      <c r="F109" s="218"/>
      <c r="G109" s="219"/>
      <c r="H109" s="151" t="e">
        <f>ROUND((((15/30)*F105)/12)*0.0078,2)</f>
        <v>#REF!</v>
      </c>
      <c r="I109" s="221"/>
    </row>
    <row r="110" spans="1:9">
      <c r="A110" s="206"/>
      <c r="B110" s="87" t="s">
        <v>152</v>
      </c>
      <c r="C110" s="217" t="s">
        <v>196</v>
      </c>
      <c r="D110" s="218"/>
      <c r="E110" s="218"/>
      <c r="F110" s="218"/>
      <c r="G110" s="219"/>
      <c r="H110" s="151" t="e">
        <f>IF(I110="S",(((1+1/3)*(4/12))*(F105))/12*0.02,IF(I110="N",0,"INFORME S ou N"))</f>
        <v>#REF!</v>
      </c>
      <c r="I110" s="220" t="e">
        <f>IF('INFORMAÇÕES BÁSICAS'!#REF!=1,"S","N")</f>
        <v>#REF!</v>
      </c>
    </row>
    <row r="111" spans="1:9">
      <c r="A111" s="206"/>
      <c r="B111" s="223" t="s">
        <v>129</v>
      </c>
      <c r="C111" s="700" t="s">
        <v>197</v>
      </c>
      <c r="D111" s="700"/>
      <c r="E111" s="700"/>
      <c r="F111" s="700"/>
      <c r="G111" s="700"/>
      <c r="H111" s="225" t="e">
        <f>(((F105)/30))*5/12</f>
        <v>#REF!</v>
      </c>
      <c r="I111" s="199"/>
    </row>
    <row r="112" spans="1:9">
      <c r="A112" s="206"/>
      <c r="B112" s="226"/>
      <c r="C112" s="227"/>
      <c r="D112" s="228"/>
      <c r="E112" s="408"/>
      <c r="F112" s="230"/>
      <c r="G112" s="409" t="s">
        <v>198</v>
      </c>
      <c r="H112" s="232" t="e">
        <f>SUM(H106:H111)</f>
        <v>#REF!</v>
      </c>
      <c r="I112" s="199"/>
    </row>
    <row r="113" spans="1:9">
      <c r="A113" s="206"/>
      <c r="B113" s="223" t="s">
        <v>131</v>
      </c>
      <c r="C113" s="233" t="s">
        <v>199</v>
      </c>
      <c r="D113" s="233"/>
      <c r="E113" s="410"/>
      <c r="F113" s="235"/>
      <c r="G113" s="411"/>
      <c r="H113" s="237" t="e">
        <f>H112*F67</f>
        <v>#REF!</v>
      </c>
      <c r="I113" s="199"/>
    </row>
    <row r="114" spans="1:9" ht="15.75">
      <c r="A114" s="117"/>
      <c r="B114" s="701" t="s">
        <v>200</v>
      </c>
      <c r="C114" s="701"/>
      <c r="D114" s="701"/>
      <c r="E114" s="701"/>
      <c r="F114" s="701"/>
      <c r="G114" s="701"/>
      <c r="H114" s="239" t="e">
        <f>ROUND(SUM(H112:H113),2)</f>
        <v>#REF!</v>
      </c>
      <c r="I114" s="240"/>
    </row>
    <row r="115" spans="1:9">
      <c r="A115" s="206"/>
      <c r="B115" s="143"/>
      <c r="C115" s="143"/>
      <c r="D115" s="143"/>
      <c r="E115" s="143"/>
      <c r="F115" s="241"/>
      <c r="G115" s="241"/>
      <c r="H115" s="242"/>
      <c r="I115" s="199"/>
    </row>
    <row r="116" spans="1:9" ht="15.75" customHeight="1">
      <c r="A116" s="206"/>
      <c r="B116" s="668" t="s">
        <v>201</v>
      </c>
      <c r="C116" s="668"/>
      <c r="D116" s="669" t="s">
        <v>202</v>
      </c>
      <c r="E116" s="669"/>
      <c r="F116" s="669"/>
      <c r="G116" s="669"/>
      <c r="H116" s="669"/>
      <c r="I116" s="243"/>
    </row>
    <row r="117" spans="1:9" ht="15.75">
      <c r="A117" s="117"/>
      <c r="B117" s="197"/>
      <c r="C117" s="664" t="s">
        <v>140</v>
      </c>
      <c r="D117" s="664"/>
      <c r="E117" s="664"/>
      <c r="F117" s="664"/>
      <c r="G117" s="664"/>
      <c r="H117" s="402" t="s">
        <v>141</v>
      </c>
      <c r="I117" s="67"/>
    </row>
    <row r="118" spans="1:9">
      <c r="A118" s="117"/>
      <c r="B118" s="87" t="s">
        <v>86</v>
      </c>
      <c r="C118" s="641" t="s">
        <v>203</v>
      </c>
      <c r="D118" s="641"/>
      <c r="E118" s="641"/>
      <c r="F118" s="641"/>
      <c r="G118" s="641"/>
      <c r="H118" s="151">
        <v>0</v>
      </c>
      <c r="I118" s="67"/>
    </row>
    <row r="119" spans="1:9" ht="15.75">
      <c r="A119" s="117"/>
      <c r="B119" s="702" t="s">
        <v>204</v>
      </c>
      <c r="C119" s="702"/>
      <c r="D119" s="702"/>
      <c r="E119" s="702"/>
      <c r="F119" s="702"/>
      <c r="G119" s="702"/>
      <c r="H119" s="412">
        <f>ROUND(SUM(H118),2)</f>
        <v>0</v>
      </c>
      <c r="I119" s="67"/>
    </row>
    <row r="120" spans="1:9" ht="15.75">
      <c r="A120" s="117"/>
      <c r="B120" s="246"/>
      <c r="C120" s="703" t="s">
        <v>205</v>
      </c>
      <c r="D120" s="703"/>
      <c r="E120" s="703"/>
      <c r="F120" s="703"/>
      <c r="G120" s="703"/>
      <c r="H120" s="248"/>
      <c r="I120" s="67"/>
    </row>
    <row r="121" spans="1:9" ht="15.75">
      <c r="A121" s="117"/>
      <c r="B121" s="249"/>
      <c r="C121" s="413"/>
      <c r="D121" s="414"/>
      <c r="E121" s="414"/>
      <c r="F121" s="413"/>
      <c r="G121" s="413"/>
      <c r="H121" s="415"/>
      <c r="I121" s="67"/>
    </row>
    <row r="122" spans="1:9" ht="15.75" customHeight="1">
      <c r="A122" s="117"/>
      <c r="B122" s="695" t="s">
        <v>170</v>
      </c>
      <c r="C122" s="695"/>
      <c r="D122" s="704" t="s">
        <v>206</v>
      </c>
      <c r="E122" s="704"/>
      <c r="F122" s="704"/>
      <c r="G122" s="704"/>
      <c r="H122" s="704"/>
      <c r="I122" s="67"/>
    </row>
    <row r="123" spans="1:9" ht="15.75">
      <c r="A123" s="149"/>
      <c r="B123" s="253"/>
      <c r="C123" s="687" t="s">
        <v>140</v>
      </c>
      <c r="D123" s="687"/>
      <c r="E123" s="687"/>
      <c r="F123" s="687"/>
      <c r="G123" s="687"/>
      <c r="H123" s="416" t="s">
        <v>141</v>
      </c>
      <c r="I123" s="152"/>
    </row>
    <row r="124" spans="1:9" ht="15.75">
      <c r="A124" s="117"/>
      <c r="B124" s="255" t="s">
        <v>207</v>
      </c>
      <c r="C124" s="654" t="s">
        <v>193</v>
      </c>
      <c r="D124" s="654"/>
      <c r="E124" s="654"/>
      <c r="F124" s="654"/>
      <c r="G124" s="654"/>
      <c r="H124" s="418" t="e">
        <f>H114</f>
        <v>#REF!</v>
      </c>
      <c r="I124" s="67"/>
    </row>
    <row r="125" spans="1:9" ht="15.75">
      <c r="A125" s="117"/>
      <c r="B125" s="255" t="s">
        <v>208</v>
      </c>
      <c r="C125" s="654" t="s">
        <v>202</v>
      </c>
      <c r="D125" s="654"/>
      <c r="E125" s="654"/>
      <c r="F125" s="654"/>
      <c r="G125" s="654"/>
      <c r="H125" s="418">
        <f>H118</f>
        <v>0</v>
      </c>
      <c r="I125" s="67"/>
    </row>
    <row r="126" spans="1:9" ht="15.75">
      <c r="A126" s="153"/>
      <c r="B126" s="705" t="s">
        <v>209</v>
      </c>
      <c r="C126" s="705"/>
      <c r="D126" s="705"/>
      <c r="E126" s="705"/>
      <c r="F126" s="705"/>
      <c r="G126" s="705"/>
      <c r="H126" s="191" t="e">
        <f>SUM(H123:H125)</f>
        <v>#REF!</v>
      </c>
      <c r="I126" s="154"/>
    </row>
    <row r="127" spans="1:9">
      <c r="A127" s="117"/>
      <c r="B127" s="259"/>
      <c r="C127" s="259"/>
      <c r="D127" s="259"/>
      <c r="E127" s="259"/>
      <c r="F127" s="259"/>
      <c r="G127" s="259"/>
      <c r="H127" s="259"/>
      <c r="I127" s="67"/>
    </row>
    <row r="128" spans="1:9" ht="15.75" customHeight="1">
      <c r="A128" s="206"/>
      <c r="B128" s="668" t="s">
        <v>210</v>
      </c>
      <c r="C128" s="668"/>
      <c r="D128" s="669" t="s">
        <v>211</v>
      </c>
      <c r="E128" s="669"/>
      <c r="F128" s="669"/>
      <c r="G128" s="669"/>
      <c r="H128" s="669"/>
      <c r="I128" s="243"/>
    </row>
    <row r="129" spans="1:9" ht="15.75">
      <c r="A129" s="117"/>
      <c r="B129" s="260">
        <v>5</v>
      </c>
      <c r="C129" s="706" t="s">
        <v>212</v>
      </c>
      <c r="D129" s="706"/>
      <c r="E129" s="706"/>
      <c r="F129" s="706"/>
      <c r="G129" s="706"/>
      <c r="H129" s="420" t="s">
        <v>141</v>
      </c>
      <c r="I129" s="67"/>
    </row>
    <row r="130" spans="1:9" ht="15.75">
      <c r="A130" s="117"/>
      <c r="B130" s="262" t="s">
        <v>86</v>
      </c>
      <c r="C130" s="707" t="s">
        <v>213</v>
      </c>
      <c r="D130" s="707"/>
      <c r="E130" s="707"/>
      <c r="F130" s="707"/>
      <c r="G130" s="707"/>
      <c r="H130" s="422">
        <f>'UNIF E EQUIP DESARMADA'!$G$29</f>
        <v>173.08445833333334</v>
      </c>
      <c r="I130" s="67"/>
    </row>
    <row r="131" spans="1:9" ht="15.75">
      <c r="A131" s="117"/>
      <c r="B131" s="688" t="s">
        <v>214</v>
      </c>
      <c r="C131" s="688"/>
      <c r="D131" s="688"/>
      <c r="E131" s="688"/>
      <c r="F131" s="688"/>
      <c r="G131" s="688"/>
      <c r="H131" s="191">
        <f>SUM(H130:H130)</f>
        <v>173.08445833333334</v>
      </c>
      <c r="I131" s="67"/>
    </row>
    <row r="132" spans="1:9">
      <c r="A132" s="183"/>
      <c r="B132" s="264"/>
      <c r="C132" s="265"/>
      <c r="D132" s="265"/>
      <c r="E132" s="265"/>
      <c r="F132" s="266"/>
      <c r="G132" s="266"/>
      <c r="H132" s="267"/>
      <c r="I132" s="185"/>
    </row>
    <row r="133" spans="1:9" ht="15.75" customHeight="1">
      <c r="A133" s="206"/>
      <c r="B133" s="668" t="s">
        <v>215</v>
      </c>
      <c r="C133" s="668"/>
      <c r="D133" s="669" t="s">
        <v>216</v>
      </c>
      <c r="E133" s="669"/>
      <c r="F133" s="669"/>
      <c r="G133" s="669"/>
      <c r="H133" s="669"/>
      <c r="I133" s="243"/>
    </row>
    <row r="134" spans="1:9" ht="15.75">
      <c r="A134" s="153"/>
      <c r="B134" s="268">
        <v>6</v>
      </c>
      <c r="C134" s="687" t="s">
        <v>212</v>
      </c>
      <c r="D134" s="687"/>
      <c r="E134" s="687"/>
      <c r="F134" s="708" t="s">
        <v>148</v>
      </c>
      <c r="G134" s="708"/>
      <c r="H134" s="424" t="s">
        <v>141</v>
      </c>
      <c r="I134" s="243"/>
    </row>
    <row r="135" spans="1:9">
      <c r="A135" s="153"/>
      <c r="B135" s="709" t="s">
        <v>86</v>
      </c>
      <c r="C135" s="710" t="s">
        <v>217</v>
      </c>
      <c r="D135" s="710"/>
      <c r="E135" s="710"/>
      <c r="F135" s="426" t="s">
        <v>218</v>
      </c>
      <c r="G135" s="427" t="e">
        <f>H149+H150+H151+H152+H153</f>
        <v>#REF!</v>
      </c>
      <c r="H135" s="711" t="e">
        <f>ROUND(G135*G136,2)</f>
        <v>#REF!</v>
      </c>
      <c r="I135" s="243"/>
    </row>
    <row r="136" spans="1:9">
      <c r="A136" s="153"/>
      <c r="B136" s="709"/>
      <c r="C136" s="710"/>
      <c r="D136" s="710"/>
      <c r="E136" s="710"/>
      <c r="F136" s="429" t="s">
        <v>148</v>
      </c>
      <c r="G136" s="430" t="e">
        <f>'INFORMAÇÕES BÁSICAS'!#REF!</f>
        <v>#REF!</v>
      </c>
      <c r="H136" s="711"/>
      <c r="I136" s="243"/>
    </row>
    <row r="137" spans="1:9">
      <c r="A137" s="153"/>
      <c r="B137" s="709" t="s">
        <v>88</v>
      </c>
      <c r="C137" s="665" t="s">
        <v>219</v>
      </c>
      <c r="D137" s="665"/>
      <c r="E137" s="665"/>
      <c r="F137" s="432" t="s">
        <v>218</v>
      </c>
      <c r="G137" s="433" t="e">
        <f>H47+H90+H100+H126+H131+H135</f>
        <v>#REF!</v>
      </c>
      <c r="H137" s="711" t="e">
        <f>ROUND(G137*G138,2)</f>
        <v>#REF!</v>
      </c>
      <c r="I137" s="243"/>
    </row>
    <row r="138" spans="1:9">
      <c r="A138" s="153"/>
      <c r="B138" s="709"/>
      <c r="C138" s="665"/>
      <c r="D138" s="665"/>
      <c r="E138" s="665"/>
      <c r="F138" s="429" t="s">
        <v>148</v>
      </c>
      <c r="G138" s="430" t="e">
        <f>'INFORMAÇÕES BÁSICAS'!#REF!</f>
        <v>#REF!</v>
      </c>
      <c r="H138" s="711"/>
      <c r="I138" s="243"/>
    </row>
    <row r="139" spans="1:9" ht="15.75">
      <c r="A139" s="153"/>
      <c r="B139" s="270" t="s">
        <v>90</v>
      </c>
      <c r="C139" s="425" t="s">
        <v>220</v>
      </c>
      <c r="D139" s="434"/>
      <c r="E139" s="435"/>
      <c r="F139" s="712"/>
      <c r="G139" s="712"/>
      <c r="H139" s="437"/>
      <c r="I139" s="243"/>
    </row>
    <row r="140" spans="1:9">
      <c r="A140" s="153"/>
      <c r="B140" s="713"/>
      <c r="C140" s="714"/>
      <c r="D140" s="715" t="s">
        <v>221</v>
      </c>
      <c r="E140" s="715"/>
      <c r="F140" s="716">
        <f>IF($F$8=1,0.0165,IF($F$8=2,0.0065,IF($F$8=3,D195,IF($F$8=4,D195,"ESCOLHA UM RT"))))</f>
        <v>1.6500000000000001E-2</v>
      </c>
      <c r="G140" s="716"/>
      <c r="H140" s="442" t="e">
        <f>ROUND(($G$137/(1-$F$145))*F140,2)</f>
        <v>#REF!</v>
      </c>
      <c r="I140" s="243"/>
    </row>
    <row r="141" spans="1:9">
      <c r="A141" s="153"/>
      <c r="B141" s="713"/>
      <c r="C141" s="714"/>
      <c r="D141" s="715" t="s">
        <v>222</v>
      </c>
      <c r="E141" s="715"/>
      <c r="F141" s="716">
        <f>IF($F$8=1,0.076,IF($F$8=2,0.03,IF($F$8=3,E195,IF($F$8=4,E195,"ESCOLHA UM RT"))))</f>
        <v>7.5999999999999998E-2</v>
      </c>
      <c r="G141" s="716"/>
      <c r="H141" s="442" t="e">
        <f>ROUND(($G$137/(1-$F$145))*F141,2)</f>
        <v>#REF!</v>
      </c>
      <c r="I141" s="243"/>
    </row>
    <row r="142" spans="1:9" ht="15" customHeight="1">
      <c r="A142" s="153"/>
      <c r="B142" s="443"/>
      <c r="C142" s="717" t="s">
        <v>223</v>
      </c>
      <c r="D142" s="717"/>
      <c r="E142" s="717"/>
      <c r="F142" s="717"/>
      <c r="G142" s="717"/>
      <c r="H142" s="442">
        <v>0</v>
      </c>
      <c r="I142" s="243"/>
    </row>
    <row r="143" spans="1:9" ht="15.75">
      <c r="A143" s="153"/>
      <c r="B143" s="270"/>
      <c r="C143" s="718" t="s">
        <v>224</v>
      </c>
      <c r="D143" s="718"/>
      <c r="E143" s="718"/>
      <c r="F143" s="719">
        <v>0</v>
      </c>
      <c r="G143" s="719"/>
      <c r="H143" s="442" t="e">
        <f>F143*(H47+H90+H131+H67+H135)</f>
        <v>#REF!</v>
      </c>
      <c r="I143" s="243"/>
    </row>
    <row r="144" spans="1:9" ht="15.75">
      <c r="A144" s="153"/>
      <c r="B144" s="270"/>
      <c r="C144" s="718" t="s">
        <v>225</v>
      </c>
      <c r="D144" s="718"/>
      <c r="E144" s="718"/>
      <c r="F144" s="716">
        <f>'INFORMAÇÕES BÁSICAS'!D77</f>
        <v>0.05</v>
      </c>
      <c r="G144" s="716"/>
      <c r="H144" s="442" t="e">
        <f>((G137+H137)/(1-F139))*F144</f>
        <v>#REF!</v>
      </c>
      <c r="I144" s="243"/>
    </row>
    <row r="145" spans="1:9" ht="15.75">
      <c r="A145" s="153"/>
      <c r="B145" s="688" t="s">
        <v>226</v>
      </c>
      <c r="C145" s="688"/>
      <c r="D145" s="688"/>
      <c r="E145" s="688"/>
      <c r="F145" s="720">
        <f>SUM(F140:G144)</f>
        <v>0.14250000000000002</v>
      </c>
      <c r="G145" s="720"/>
      <c r="H145" s="191" t="e">
        <f>SUM(H135:H144)</f>
        <v>#REF!</v>
      </c>
      <c r="I145" s="154"/>
    </row>
    <row r="146" spans="1:9">
      <c r="A146" s="153"/>
      <c r="B146" s="192"/>
      <c r="C146" s="401"/>
      <c r="D146" s="401"/>
      <c r="E146" s="401"/>
      <c r="F146" s="448"/>
      <c r="G146" s="448"/>
      <c r="H146" s="194"/>
      <c r="I146" s="154"/>
    </row>
    <row r="147" spans="1:9" ht="26.25">
      <c r="A147" s="67"/>
      <c r="B147" s="721" t="s">
        <v>227</v>
      </c>
      <c r="C147" s="721"/>
      <c r="D147" s="721"/>
      <c r="E147" s="721"/>
      <c r="F147" s="721"/>
      <c r="G147" s="721"/>
      <c r="H147" s="721"/>
      <c r="I147" s="67"/>
    </row>
    <row r="148" spans="1:9">
      <c r="A148" s="67"/>
      <c r="B148" s="722" t="s">
        <v>103</v>
      </c>
      <c r="C148" s="722"/>
      <c r="D148" s="722"/>
      <c r="E148" s="722"/>
      <c r="F148" s="722"/>
      <c r="G148" s="722"/>
      <c r="H148" s="722"/>
      <c r="I148" s="67"/>
    </row>
    <row r="149" spans="1:9">
      <c r="A149" s="67"/>
      <c r="B149" s="150" t="s">
        <v>86</v>
      </c>
      <c r="C149" s="284" t="s">
        <v>228</v>
      </c>
      <c r="D149" s="285"/>
      <c r="E149" s="285"/>
      <c r="F149" s="285"/>
      <c r="G149" s="286"/>
      <c r="H149" s="287" t="e">
        <f>H47</f>
        <v>#REF!</v>
      </c>
      <c r="I149" s="67"/>
    </row>
    <row r="150" spans="1:9">
      <c r="A150" s="67"/>
      <c r="B150" s="150" t="s">
        <v>88</v>
      </c>
      <c r="C150" s="284" t="s">
        <v>229</v>
      </c>
      <c r="D150" s="285"/>
      <c r="E150" s="285"/>
      <c r="F150" s="285"/>
      <c r="G150" s="286"/>
      <c r="H150" s="288" t="e">
        <f>H90</f>
        <v>#REF!</v>
      </c>
      <c r="I150" s="67"/>
    </row>
    <row r="151" spans="1:9">
      <c r="A151" s="67"/>
      <c r="B151" s="150" t="s">
        <v>90</v>
      </c>
      <c r="C151" s="284" t="s">
        <v>230</v>
      </c>
      <c r="D151" s="285"/>
      <c r="E151" s="285"/>
      <c r="F151" s="285"/>
      <c r="G151" s="286"/>
      <c r="H151" s="288" t="e">
        <f>H100</f>
        <v>#REF!</v>
      </c>
      <c r="I151" s="67"/>
    </row>
    <row r="152" spans="1:9">
      <c r="A152" s="67"/>
      <c r="B152" s="150" t="s">
        <v>92</v>
      </c>
      <c r="C152" s="284" t="s">
        <v>231</v>
      </c>
      <c r="D152" s="285"/>
      <c r="E152" s="285"/>
      <c r="F152" s="285"/>
      <c r="G152" s="286"/>
      <c r="H152" s="288" t="e">
        <f>H126</f>
        <v>#REF!</v>
      </c>
      <c r="I152" s="67"/>
    </row>
    <row r="153" spans="1:9">
      <c r="A153" s="153"/>
      <c r="B153" s="150" t="s">
        <v>152</v>
      </c>
      <c r="C153" s="284" t="s">
        <v>232</v>
      </c>
      <c r="D153" s="285"/>
      <c r="E153" s="285"/>
      <c r="F153" s="285"/>
      <c r="G153" s="286"/>
      <c r="H153" s="288">
        <f>H131</f>
        <v>173.08445833333334</v>
      </c>
      <c r="I153" s="154"/>
    </row>
    <row r="154" spans="1:9">
      <c r="A154" s="153"/>
      <c r="B154" s="289"/>
      <c r="C154" s="726" t="s">
        <v>233</v>
      </c>
      <c r="D154" s="726"/>
      <c r="E154" s="726"/>
      <c r="F154" s="726"/>
      <c r="G154" s="726"/>
      <c r="H154" s="291" t="e">
        <f>SUM(H149:H153)</f>
        <v>#REF!</v>
      </c>
      <c r="I154" s="154"/>
    </row>
    <row r="155" spans="1:9">
      <c r="A155" s="153"/>
      <c r="B155" s="289" t="s">
        <v>129</v>
      </c>
      <c r="C155" s="292" t="s">
        <v>234</v>
      </c>
      <c r="D155" s="293"/>
      <c r="E155" s="293"/>
      <c r="F155" s="293"/>
      <c r="G155" s="294"/>
      <c r="H155" s="295" t="e">
        <f>H145</f>
        <v>#REF!</v>
      </c>
      <c r="I155" s="154"/>
    </row>
    <row r="156" spans="1:9" ht="23.25">
      <c r="A156" s="153"/>
      <c r="B156" s="727" t="s">
        <v>235</v>
      </c>
      <c r="C156" s="727"/>
      <c r="D156" s="727"/>
      <c r="E156" s="727"/>
      <c r="F156" s="727"/>
      <c r="G156" s="727"/>
      <c r="H156" s="297" t="e">
        <f>SUM(H154:H155)</f>
        <v>#REF!</v>
      </c>
      <c r="I156" s="154"/>
    </row>
    <row r="157" spans="1:9">
      <c r="A157" s="183"/>
      <c r="B157" s="298"/>
      <c r="C157" s="299"/>
      <c r="D157" s="299"/>
      <c r="E157" s="299"/>
      <c r="F157" s="300"/>
      <c r="G157" s="300"/>
      <c r="H157" s="301"/>
      <c r="I157" s="185"/>
    </row>
    <row r="158" spans="1:9" ht="26.25">
      <c r="A158" s="67"/>
      <c r="B158" s="638" t="s">
        <v>236</v>
      </c>
      <c r="C158" s="638"/>
      <c r="D158" s="638"/>
      <c r="E158" s="638"/>
      <c r="F158" s="638"/>
      <c r="G158" s="638"/>
      <c r="H158" s="638"/>
      <c r="I158" s="67"/>
    </row>
    <row r="159" spans="1:9">
      <c r="A159" s="67"/>
      <c r="B159" s="728" t="s">
        <v>103</v>
      </c>
      <c r="C159" s="728"/>
      <c r="D159" s="728"/>
      <c r="E159" s="728"/>
      <c r="F159" s="728"/>
      <c r="G159" s="728"/>
      <c r="H159" s="728"/>
      <c r="I159" s="67"/>
    </row>
    <row r="160" spans="1:9" ht="60" customHeight="1">
      <c r="A160" s="67"/>
      <c r="B160" s="729" t="s">
        <v>237</v>
      </c>
      <c r="C160" s="729"/>
      <c r="D160" s="304" t="s">
        <v>238</v>
      </c>
      <c r="E160" s="304" t="s">
        <v>239</v>
      </c>
      <c r="F160" s="304" t="s">
        <v>240</v>
      </c>
      <c r="G160" s="304" t="s">
        <v>275</v>
      </c>
      <c r="H160" s="305" t="s">
        <v>276</v>
      </c>
      <c r="I160" s="67"/>
    </row>
    <row r="161" spans="1:9" ht="15.75">
      <c r="A161" s="67"/>
      <c r="B161" s="730" t="str">
        <f>H24</f>
        <v>Motorista - Contratação de pessoa jurídica para prestação de serviços continuados de motorista, habilitado na categoria “D”, com dedicação exclusiva de mão de obra, nas dependências doIF Farroupilha-, em jornada de 40 horas semanais.</v>
      </c>
      <c r="C161" s="730"/>
      <c r="D161" s="450" t="e">
        <f>H156</f>
        <v>#REF!</v>
      </c>
      <c r="E161" s="451" t="e">
        <f>H15</f>
        <v>#REF!</v>
      </c>
      <c r="F161" s="452" t="e">
        <f>D161*E161</f>
        <v>#REF!</v>
      </c>
      <c r="G161" s="453" t="e">
        <f>'INFORMAÇÕES BÁSICAS'!#REF!</f>
        <v>#REF!</v>
      </c>
      <c r="H161" s="308" t="e">
        <f>F161*G161</f>
        <v>#REF!</v>
      </c>
      <c r="I161" s="67"/>
    </row>
    <row r="162" spans="1:9" ht="26.25">
      <c r="A162" s="185"/>
      <c r="B162" s="731" t="s">
        <v>242</v>
      </c>
      <c r="C162" s="731"/>
      <c r="D162" s="731"/>
      <c r="E162" s="731"/>
      <c r="F162" s="731"/>
      <c r="G162" s="731"/>
      <c r="H162" s="310" t="e">
        <f>SUM(H161)</f>
        <v>#REF!</v>
      </c>
      <c r="I162" s="185"/>
    </row>
    <row r="163" spans="1:9">
      <c r="A163" s="185"/>
      <c r="B163" s="732"/>
      <c r="C163" s="732"/>
      <c r="D163" s="388"/>
      <c r="E163" s="388"/>
      <c r="F163" s="388"/>
      <c r="G163" s="388"/>
      <c r="H163" s="311"/>
      <c r="I163" s="185"/>
    </row>
    <row r="164" spans="1:9" ht="26.25">
      <c r="A164" s="67"/>
      <c r="B164" s="638" t="s">
        <v>243</v>
      </c>
      <c r="C164" s="638"/>
      <c r="D164" s="638"/>
      <c r="E164" s="638"/>
      <c r="F164" s="638"/>
      <c r="G164" s="638"/>
      <c r="H164" s="638"/>
      <c r="I164" s="67"/>
    </row>
    <row r="165" spans="1:9">
      <c r="A165" s="67"/>
      <c r="B165" s="723" t="s">
        <v>244</v>
      </c>
      <c r="C165" s="723"/>
      <c r="D165" s="723"/>
      <c r="E165" s="723"/>
      <c r="F165" s="723"/>
      <c r="G165" s="723"/>
      <c r="H165" s="313" t="s">
        <v>245</v>
      </c>
      <c r="I165" s="67"/>
    </row>
    <row r="166" spans="1:9" ht="15.75" customHeight="1">
      <c r="A166" s="67"/>
      <c r="B166" s="314" t="s">
        <v>86</v>
      </c>
      <c r="C166" s="724" t="s">
        <v>277</v>
      </c>
      <c r="D166" s="724"/>
      <c r="E166" s="724"/>
      <c r="F166" s="724"/>
      <c r="G166" s="724"/>
      <c r="H166" s="316" t="e">
        <f>H162</f>
        <v>#REF!</v>
      </c>
      <c r="I166" s="67"/>
    </row>
    <row r="167" spans="1:9" ht="16.5" customHeight="1">
      <c r="A167" s="67"/>
      <c r="B167" s="317" t="s">
        <v>88</v>
      </c>
      <c r="C167" s="725" t="s">
        <v>278</v>
      </c>
      <c r="D167" s="725"/>
      <c r="E167" s="725"/>
      <c r="F167" s="725"/>
      <c r="G167" s="725"/>
      <c r="H167" s="319" t="e">
        <f>H166*H13</f>
        <v>#REF!</v>
      </c>
      <c r="I167" s="320"/>
    </row>
    <row r="168" spans="1:9">
      <c r="A168" s="185"/>
      <c r="B168" s="143"/>
      <c r="C168" s="454"/>
      <c r="D168" s="388"/>
      <c r="E168" s="388"/>
      <c r="F168" s="388"/>
      <c r="G168" s="388"/>
      <c r="H168" s="311"/>
      <c r="I168" s="185"/>
    </row>
    <row r="169" spans="1:9">
      <c r="A169" s="117"/>
      <c r="B169" s="117"/>
      <c r="C169" s="117"/>
      <c r="D169" s="117"/>
      <c r="E169" s="117"/>
      <c r="F169" s="117"/>
      <c r="G169" s="117"/>
      <c r="H169" s="117"/>
      <c r="I169" s="117"/>
    </row>
    <row r="195" spans="4:5">
      <c r="D195" s="455" t="e">
        <f>#REF!</f>
        <v>#REF!</v>
      </c>
      <c r="E195" s="455" t="e">
        <f>#REF!</f>
        <v>#REF!</v>
      </c>
    </row>
  </sheetData>
  <mergeCells count="207">
    <mergeCell ref="B165:G165"/>
    <mergeCell ref="C166:G166"/>
    <mergeCell ref="C167:G167"/>
    <mergeCell ref="C154:G154"/>
    <mergeCell ref="B156:G156"/>
    <mergeCell ref="B158:H158"/>
    <mergeCell ref="B159:H159"/>
    <mergeCell ref="B160:C160"/>
    <mergeCell ref="B161:C161"/>
    <mergeCell ref="B162:G162"/>
    <mergeCell ref="B163:C163"/>
    <mergeCell ref="B164:H164"/>
    <mergeCell ref="C142:G142"/>
    <mergeCell ref="C143:E143"/>
    <mergeCell ref="F143:G143"/>
    <mergeCell ref="C144:E144"/>
    <mergeCell ref="F144:G144"/>
    <mergeCell ref="B145:E145"/>
    <mergeCell ref="F145:G145"/>
    <mergeCell ref="B147:H147"/>
    <mergeCell ref="B148:H148"/>
    <mergeCell ref="B135:B136"/>
    <mergeCell ref="C135:E136"/>
    <mergeCell ref="H135:H136"/>
    <mergeCell ref="B137:B138"/>
    <mergeCell ref="C137:E138"/>
    <mergeCell ref="H137:H138"/>
    <mergeCell ref="F139:G139"/>
    <mergeCell ref="B140:B141"/>
    <mergeCell ref="C140:C141"/>
    <mergeCell ref="D140:E140"/>
    <mergeCell ref="F140:G140"/>
    <mergeCell ref="D141:E141"/>
    <mergeCell ref="F141:G141"/>
    <mergeCell ref="B126:G126"/>
    <mergeCell ref="B128:C128"/>
    <mergeCell ref="D128:H128"/>
    <mergeCell ref="C129:G129"/>
    <mergeCell ref="C130:G130"/>
    <mergeCell ref="B131:G131"/>
    <mergeCell ref="B133:C133"/>
    <mergeCell ref="D133:H133"/>
    <mergeCell ref="C134:E134"/>
    <mergeCell ref="F134:G134"/>
    <mergeCell ref="C117:G117"/>
    <mergeCell ref="C118:G118"/>
    <mergeCell ref="B119:G119"/>
    <mergeCell ref="C120:G120"/>
    <mergeCell ref="B122:C122"/>
    <mergeCell ref="D122:H122"/>
    <mergeCell ref="C123:G123"/>
    <mergeCell ref="C124:G124"/>
    <mergeCell ref="C125:G125"/>
    <mergeCell ref="B103:C103"/>
    <mergeCell ref="D103:H103"/>
    <mergeCell ref="C104:G104"/>
    <mergeCell ref="C105:E105"/>
    <mergeCell ref="F105:G105"/>
    <mergeCell ref="C106:G106"/>
    <mergeCell ref="C111:G111"/>
    <mergeCell ref="B114:G114"/>
    <mergeCell ref="B116:C116"/>
    <mergeCell ref="D116:H116"/>
    <mergeCell ref="C95:G95"/>
    <mergeCell ref="C96:G96"/>
    <mergeCell ref="C97:G97"/>
    <mergeCell ref="C98:G98"/>
    <mergeCell ref="C99:G99"/>
    <mergeCell ref="B100:E100"/>
    <mergeCell ref="F100:G100"/>
    <mergeCell ref="B102:C102"/>
    <mergeCell ref="D102:H102"/>
    <mergeCell ref="C86:G86"/>
    <mergeCell ref="C87:G87"/>
    <mergeCell ref="C88:G88"/>
    <mergeCell ref="C89:G89"/>
    <mergeCell ref="B90:G90"/>
    <mergeCell ref="B92:C92"/>
    <mergeCell ref="D92:H92"/>
    <mergeCell ref="C93:G93"/>
    <mergeCell ref="C94:G94"/>
    <mergeCell ref="C78:G78"/>
    <mergeCell ref="C79:G79"/>
    <mergeCell ref="B80:B82"/>
    <mergeCell ref="C80:C82"/>
    <mergeCell ref="D80:G80"/>
    <mergeCell ref="D81:G81"/>
    <mergeCell ref="D82:G82"/>
    <mergeCell ref="B83:G83"/>
    <mergeCell ref="B85:C85"/>
    <mergeCell ref="D85:H85"/>
    <mergeCell ref="B75:B77"/>
    <mergeCell ref="C75:C77"/>
    <mergeCell ref="D75:E75"/>
    <mergeCell ref="F75:G75"/>
    <mergeCell ref="H75:H77"/>
    <mergeCell ref="D76:E76"/>
    <mergeCell ref="F76:G76"/>
    <mergeCell ref="D77:E77"/>
    <mergeCell ref="F77:G77"/>
    <mergeCell ref="C71:G71"/>
    <mergeCell ref="B72:B74"/>
    <mergeCell ref="C72:C74"/>
    <mergeCell ref="D72:E72"/>
    <mergeCell ref="F72:G72"/>
    <mergeCell ref="H72:H74"/>
    <mergeCell ref="D73:E73"/>
    <mergeCell ref="F73:G73"/>
    <mergeCell ref="D74:E74"/>
    <mergeCell ref="F74:G74"/>
    <mergeCell ref="C65:E65"/>
    <mergeCell ref="F65:G65"/>
    <mergeCell ref="C66:E66"/>
    <mergeCell ref="F66:G66"/>
    <mergeCell ref="B67:E67"/>
    <mergeCell ref="F67:G67"/>
    <mergeCell ref="C68:G68"/>
    <mergeCell ref="B70:C70"/>
    <mergeCell ref="D70:H70"/>
    <mergeCell ref="C60:E60"/>
    <mergeCell ref="F60:G60"/>
    <mergeCell ref="C61:E61"/>
    <mergeCell ref="F61:G61"/>
    <mergeCell ref="C62:E62"/>
    <mergeCell ref="F62:G62"/>
    <mergeCell ref="C63:E63"/>
    <mergeCell ref="F63:G63"/>
    <mergeCell ref="C64:E64"/>
    <mergeCell ref="F64:G64"/>
    <mergeCell ref="C52:G52"/>
    <mergeCell ref="C53:G53"/>
    <mergeCell ref="C54:G54"/>
    <mergeCell ref="B55:G55"/>
    <mergeCell ref="B57:C57"/>
    <mergeCell ref="D57:H57"/>
    <mergeCell ref="C58:E58"/>
    <mergeCell ref="F58:G58"/>
    <mergeCell ref="C59:E59"/>
    <mergeCell ref="F59:G59"/>
    <mergeCell ref="C44:G44"/>
    <mergeCell ref="C45:G45"/>
    <mergeCell ref="C46:F46"/>
    <mergeCell ref="B47:G47"/>
    <mergeCell ref="B49:C49"/>
    <mergeCell ref="D49:H49"/>
    <mergeCell ref="B50:C50"/>
    <mergeCell ref="D50:H50"/>
    <mergeCell ref="C51:G51"/>
    <mergeCell ref="C36:D36"/>
    <mergeCell ref="B37:B38"/>
    <mergeCell ref="C37:D38"/>
    <mergeCell ref="H37:H38"/>
    <mergeCell ref="C39:D39"/>
    <mergeCell ref="C40:G40"/>
    <mergeCell ref="B41:G42"/>
    <mergeCell ref="H41:H42"/>
    <mergeCell ref="C43:G43"/>
    <mergeCell ref="C28:G28"/>
    <mergeCell ref="C29:H29"/>
    <mergeCell ref="B31:C31"/>
    <mergeCell ref="D31:H31"/>
    <mergeCell ref="C32:G32"/>
    <mergeCell ref="B34:B35"/>
    <mergeCell ref="C34:C35"/>
    <mergeCell ref="D34:E34"/>
    <mergeCell ref="F34:G34"/>
    <mergeCell ref="H34:H35"/>
    <mergeCell ref="D35:E35"/>
    <mergeCell ref="F35:G35"/>
    <mergeCell ref="B19:H19"/>
    <mergeCell ref="B20:H20"/>
    <mergeCell ref="B21:H21"/>
    <mergeCell ref="B22:H22"/>
    <mergeCell ref="B23:H23"/>
    <mergeCell ref="C24:G24"/>
    <mergeCell ref="C25:G25"/>
    <mergeCell ref="C26:G26"/>
    <mergeCell ref="C27:G27"/>
    <mergeCell ref="C13:G13"/>
    <mergeCell ref="B14:B16"/>
    <mergeCell ref="C14:D14"/>
    <mergeCell ref="F14:G14"/>
    <mergeCell ref="C15:D15"/>
    <mergeCell ref="F15:G15"/>
    <mergeCell ref="C16:D16"/>
    <mergeCell ref="F16:G16"/>
    <mergeCell ref="B17:B18"/>
    <mergeCell ref="D17:F17"/>
    <mergeCell ref="D18:F18"/>
    <mergeCell ref="B8:E8"/>
    <mergeCell ref="F8:G8"/>
    <mergeCell ref="B9:H9"/>
    <mergeCell ref="C10:F10"/>
    <mergeCell ref="G10:H10"/>
    <mergeCell ref="C11:F11"/>
    <mergeCell ref="G11:H11"/>
    <mergeCell ref="C12:F12"/>
    <mergeCell ref="G12:H12"/>
    <mergeCell ref="B1:H1"/>
    <mergeCell ref="B2:H2"/>
    <mergeCell ref="G3:H3"/>
    <mergeCell ref="C4:H4"/>
    <mergeCell ref="B5:H5"/>
    <mergeCell ref="B6:C6"/>
    <mergeCell ref="D6:H6"/>
    <mergeCell ref="B7:C7"/>
    <mergeCell ref="D7:H7"/>
  </mergeCells>
  <pageMargins left="0.51180555555555496" right="0.51180555555555496" top="0.78749999999999998" bottom="0.78749999999999998" header="0.51180555555555496" footer="0.51180555555555496"/>
  <pageSetup paperSize="0" scale="0" firstPageNumber="0" orientation="portrait" usePrinterDefaults="0" horizontalDpi="0" verticalDpi="0" copies="0"/>
  <drawing r:id="rId1"/>
  <legacyDrawing r:id="rId2"/>
</worksheet>
</file>

<file path=xl/worksheets/sheet3.xml><?xml version="1.0" encoding="utf-8"?>
<worksheet xmlns="http://schemas.openxmlformats.org/spreadsheetml/2006/main" xmlns:r="http://schemas.openxmlformats.org/officeDocument/2006/relationships">
  <dimension ref="A1:M195"/>
  <sheetViews>
    <sheetView workbookViewId="0"/>
  </sheetViews>
  <sheetFormatPr defaultRowHeight="15"/>
  <sheetData>
    <row r="1" spans="2:9" ht="23.25">
      <c r="B1" s="68" t="s">
        <v>78</v>
      </c>
      <c r="C1" s="68"/>
      <c r="D1" s="68"/>
      <c r="E1" s="68"/>
      <c r="F1" s="68"/>
      <c r="G1" s="68"/>
      <c r="H1" s="68"/>
    </row>
    <row r="2" spans="2:9" ht="18.75">
      <c r="B2" s="70" t="s">
        <v>79</v>
      </c>
      <c r="C2" s="70"/>
      <c r="D2" s="70"/>
      <c r="E2" s="70"/>
      <c r="F2" s="70"/>
      <c r="G2" s="70"/>
      <c r="H2" s="70"/>
    </row>
    <row r="3" spans="2:9">
      <c r="B3" s="71" t="s">
        <v>31</v>
      </c>
      <c r="C3" s="321" t="str">
        <f>'INFORMAÇÕES BÁSICAS'!E24</f>
        <v>23238.000559/2019-70</v>
      </c>
      <c r="D3" s="322"/>
      <c r="E3" s="323"/>
      <c r="F3" s="75" t="s">
        <v>33</v>
      </c>
      <c r="G3" s="76" t="str">
        <f>'INFORMAÇÕES BÁSICAS'!$E$25</f>
        <v>10/2019</v>
      </c>
      <c r="H3" s="76"/>
    </row>
    <row r="4" spans="2:9">
      <c r="B4" s="71" t="s">
        <v>80</v>
      </c>
      <c r="C4" s="324">
        <f ca="1">'INFORMAÇÕES BÁSICAS'!E26</f>
        <v>43731.368808217594</v>
      </c>
      <c r="D4" s="324"/>
      <c r="E4" s="324"/>
      <c r="F4" s="324"/>
      <c r="G4" s="324"/>
      <c r="H4" s="324"/>
    </row>
    <row r="5" spans="2:9">
      <c r="B5" s="77" t="s">
        <v>81</v>
      </c>
      <c r="C5" s="77"/>
      <c r="D5" s="77"/>
      <c r="E5" s="77"/>
      <c r="F5" s="77"/>
      <c r="G5" s="77"/>
      <c r="H5" s="77"/>
      <c r="I5" s="78"/>
    </row>
    <row r="6" spans="2:9">
      <c r="B6" s="79" t="s">
        <v>82</v>
      </c>
      <c r="C6" s="79"/>
      <c r="D6" s="325" t="str">
        <f>'INFORMAÇÕES BÁSICAS'!E7</f>
        <v>Administração</v>
      </c>
      <c r="E6" s="325"/>
      <c r="F6" s="325"/>
      <c r="G6" s="325"/>
      <c r="H6" s="325"/>
      <c r="I6" s="80"/>
    </row>
    <row r="7" spans="2:9">
      <c r="B7" s="79" t="s">
        <v>83</v>
      </c>
      <c r="C7" s="79"/>
      <c r="D7" s="325" t="str">
        <f>'INFORMAÇÕES BÁSICAS'!E8</f>
        <v>00.000.000/0001-00</v>
      </c>
      <c r="E7" s="325"/>
      <c r="F7" s="325"/>
      <c r="G7" s="325"/>
      <c r="H7" s="325"/>
      <c r="I7" s="81"/>
    </row>
    <row r="8" spans="2:9">
      <c r="B8" s="82" t="s">
        <v>248</v>
      </c>
      <c r="C8" s="82"/>
      <c r="D8" s="82"/>
      <c r="E8" s="82"/>
      <c r="F8" s="326">
        <f>'INFORMAÇÕES BÁSICAS'!E17</f>
        <v>1</v>
      </c>
      <c r="G8" s="326"/>
      <c r="H8" s="83" t="str">
        <f>IF(F8=1,"Lucro Real",IF(F8=2,"Lucro Presumido",IF(F8=3,"SIMPLES-Anexo III",IF(F8=4,"SIMPLES-Anexo IV","RT Inválido"))))</f>
        <v>Lucro Real</v>
      </c>
      <c r="I8" s="81"/>
    </row>
    <row r="9" spans="2:9">
      <c r="B9" s="77" t="s">
        <v>85</v>
      </c>
      <c r="C9" s="77"/>
      <c r="D9" s="77"/>
      <c r="E9" s="77"/>
      <c r="F9" s="77"/>
      <c r="G9" s="77"/>
      <c r="H9" s="77"/>
      <c r="I9" s="81"/>
    </row>
    <row r="10" spans="2:9">
      <c r="B10" s="84" t="s">
        <v>86</v>
      </c>
      <c r="C10" s="85" t="s">
        <v>87</v>
      </c>
      <c r="D10" s="85"/>
      <c r="E10" s="85"/>
      <c r="F10" s="85"/>
      <c r="G10" s="86">
        <f>'INFORMAÇÕES BÁSICAS'!E27</f>
        <v>43592</v>
      </c>
      <c r="H10" s="86"/>
      <c r="I10" s="81"/>
    </row>
    <row r="11" spans="2:9">
      <c r="B11" s="84" t="s">
        <v>88</v>
      </c>
      <c r="C11" s="85" t="s">
        <v>89</v>
      </c>
      <c r="D11" s="85"/>
      <c r="E11" s="85"/>
      <c r="F11" s="85"/>
      <c r="G11" s="327" t="str">
        <f>'INFORMAÇÕES BÁSICAS'!E28</f>
        <v>Campus Jaguari</v>
      </c>
      <c r="H11" s="327"/>
    </row>
    <row r="12" spans="2:9" ht="135">
      <c r="B12" s="87" t="s">
        <v>90</v>
      </c>
      <c r="C12" s="88" t="s">
        <v>91</v>
      </c>
      <c r="D12" s="88"/>
      <c r="E12" s="88"/>
      <c r="F12" s="88"/>
      <c r="G12" s="328" t="str">
        <f>'INFORMAÇÕES BÁSICAS'!E29</f>
        <v>2017</v>
      </c>
      <c r="H12" s="328"/>
    </row>
    <row r="13" spans="2:9">
      <c r="B13" s="84" t="s">
        <v>92</v>
      </c>
      <c r="C13" s="85" t="s">
        <v>93</v>
      </c>
      <c r="D13" s="85"/>
      <c r="E13" s="85"/>
      <c r="F13" s="85"/>
      <c r="G13" s="85"/>
      <c r="H13" s="329">
        <f>'INFORMAÇÕES BÁSICAS'!E34</f>
        <v>30</v>
      </c>
    </row>
    <row r="14" spans="2:9" ht="105">
      <c r="B14" s="330" t="s">
        <v>94</v>
      </c>
      <c r="C14" s="91" t="s">
        <v>249</v>
      </c>
      <c r="D14" s="91"/>
      <c r="E14" s="92" t="e">
        <f>'INFORMAÇÕES BÁSICAS'!#REF!</f>
        <v>#REF!</v>
      </c>
      <c r="F14" s="93" t="s">
        <v>250</v>
      </c>
      <c r="G14" s="93"/>
      <c r="H14" s="94" t="e">
        <f>'INFORMAÇÕES BÁSICAS'!#REF!</f>
        <v>#REF!</v>
      </c>
    </row>
    <row r="15" spans="2:9" ht="90">
      <c r="B15" s="330"/>
      <c r="C15" s="91" t="s">
        <v>251</v>
      </c>
      <c r="D15" s="91"/>
      <c r="E15" s="92" t="e">
        <f>'INFORMAÇÕES BÁSICAS'!#REF!</f>
        <v>#REF!</v>
      </c>
      <c r="F15" s="93" t="s">
        <v>252</v>
      </c>
      <c r="G15" s="93"/>
      <c r="H15" s="331" t="e">
        <f>'INFORMAÇÕES BÁSICAS'!#REF!</f>
        <v>#REF!</v>
      </c>
    </row>
    <row r="16" spans="2:9">
      <c r="B16" s="330"/>
      <c r="C16" s="93" t="s">
        <v>253</v>
      </c>
      <c r="D16" s="93"/>
      <c r="E16" s="332" t="e">
        <f>'INFORMAÇÕES BÁSICAS'!#REF!</f>
        <v>#REF!</v>
      </c>
      <c r="F16" s="333"/>
      <c r="G16" s="333"/>
      <c r="H16" s="334"/>
    </row>
    <row r="17" spans="1:11">
      <c r="B17" s="335" t="s">
        <v>254</v>
      </c>
      <c r="C17" s="336" t="s">
        <v>255</v>
      </c>
      <c r="D17" s="97" t="e">
        <f>'INFORMAÇÕES BÁSICAS'!#REF!</f>
        <v>#REF!</v>
      </c>
      <c r="E17" s="97"/>
      <c r="F17" s="97"/>
      <c r="G17" s="337" t="s">
        <v>8</v>
      </c>
      <c r="H17" s="338" t="e">
        <f>'INFORMAÇÕES BÁSICAS'!#REF!</f>
        <v>#REF!</v>
      </c>
    </row>
    <row r="18" spans="1:11">
      <c r="A18" s="67"/>
      <c r="B18" s="335"/>
      <c r="C18" s="339" t="s">
        <v>256</v>
      </c>
      <c r="D18" s="340" t="e">
        <f>'INFORMAÇÕES BÁSICAS'!#REF!</f>
        <v>#REF!</v>
      </c>
      <c r="E18" s="340"/>
      <c r="F18" s="340"/>
      <c r="G18" s="341" t="s">
        <v>8</v>
      </c>
      <c r="H18" s="342" t="e">
        <f>'INFORMAÇÕES BÁSICAS'!#REF!</f>
        <v>#REF!</v>
      </c>
      <c r="I18" s="67"/>
    </row>
    <row r="19" spans="1:11">
      <c r="A19" s="67"/>
      <c r="B19" s="343"/>
      <c r="C19" s="343"/>
      <c r="D19" s="343"/>
      <c r="E19" s="343"/>
      <c r="F19" s="343"/>
      <c r="G19" s="343"/>
      <c r="H19" s="343"/>
      <c r="I19" s="67"/>
    </row>
    <row r="20" spans="1:11" ht="26.25">
      <c r="A20" s="67"/>
      <c r="B20" s="98" t="s">
        <v>102</v>
      </c>
      <c r="C20" s="98"/>
      <c r="D20" s="98"/>
      <c r="E20" s="98"/>
      <c r="F20" s="98"/>
      <c r="G20" s="98"/>
      <c r="H20" s="98"/>
      <c r="I20" s="67"/>
    </row>
    <row r="21" spans="1:11">
      <c r="A21" s="67"/>
      <c r="B21" s="99" t="s">
        <v>103</v>
      </c>
      <c r="C21" s="99"/>
      <c r="D21" s="99"/>
      <c r="E21" s="99"/>
      <c r="F21" s="99"/>
      <c r="G21" s="99"/>
      <c r="H21" s="99"/>
      <c r="I21" s="67"/>
    </row>
    <row r="22" spans="1:11">
      <c r="A22" s="67"/>
      <c r="B22" s="77" t="s">
        <v>104</v>
      </c>
      <c r="C22" s="77"/>
      <c r="D22" s="77"/>
      <c r="E22" s="77"/>
      <c r="F22" s="77"/>
      <c r="G22" s="77"/>
      <c r="H22" s="77"/>
      <c r="I22" s="67"/>
    </row>
    <row r="23" spans="1:11">
      <c r="A23" s="67"/>
      <c r="B23" s="100" t="s">
        <v>105</v>
      </c>
      <c r="C23" s="100"/>
      <c r="D23" s="100"/>
      <c r="E23" s="100"/>
      <c r="F23" s="100"/>
      <c r="G23" s="100"/>
      <c r="H23" s="100"/>
      <c r="I23" s="67"/>
    </row>
    <row r="24" spans="1:11" ht="409.5">
      <c r="A24" s="67"/>
      <c r="B24" s="87">
        <v>1</v>
      </c>
      <c r="C24" s="101" t="s">
        <v>106</v>
      </c>
      <c r="D24" s="101"/>
      <c r="E24" s="101"/>
      <c r="F24" s="101"/>
      <c r="G24" s="101"/>
      <c r="H24" s="344" t="str">
        <f>'INFORMAÇÕES BÁSICAS'!$E$20</f>
        <v>Motorista - Contratação de pessoa jurídica para prestação de serviços continuados de motorista, habilitado na categoria “D”, com dedicação exclusiva de mão de obra, nas dependências doIF Farroupilha-, em jornada de 40 horas semanais.</v>
      </c>
      <c r="I24" s="67"/>
    </row>
    <row r="25" spans="1:11">
      <c r="A25" s="67"/>
      <c r="B25" s="87">
        <v>2</v>
      </c>
      <c r="C25" s="101" t="s">
        <v>107</v>
      </c>
      <c r="D25" s="101"/>
      <c r="E25" s="101"/>
      <c r="F25" s="101"/>
      <c r="G25" s="101"/>
      <c r="H25" s="345" t="e">
        <f>'INFORMAÇÕES BÁSICAS'!#REF!</f>
        <v>#REF!</v>
      </c>
      <c r="I25" s="67"/>
      <c r="K25" s="456"/>
    </row>
    <row r="26" spans="1:11">
      <c r="A26" s="67"/>
      <c r="B26" s="87">
        <v>3</v>
      </c>
      <c r="C26" s="104" t="s">
        <v>108</v>
      </c>
      <c r="D26" s="104"/>
      <c r="E26" s="104"/>
      <c r="F26" s="104"/>
      <c r="G26" s="104"/>
      <c r="H26" s="346" t="e">
        <f>'INFORMAÇÕES BÁSICAS'!#REF!</f>
        <v>#REF!</v>
      </c>
      <c r="I26" s="67"/>
      <c r="J26" s="456"/>
      <c r="K26" s="456"/>
    </row>
    <row r="27" spans="1:11">
      <c r="A27" s="67"/>
      <c r="B27" s="87">
        <v>4</v>
      </c>
      <c r="C27" s="101" t="s">
        <v>109</v>
      </c>
      <c r="D27" s="101"/>
      <c r="E27" s="101"/>
      <c r="F27" s="101"/>
      <c r="G27" s="101"/>
      <c r="H27" s="347" t="e">
        <f>'INFORMAÇÕES BÁSICAS'!#REF!</f>
        <v>#REF!</v>
      </c>
      <c r="I27" s="67"/>
    </row>
    <row r="28" spans="1:11">
      <c r="A28" s="67"/>
      <c r="B28" s="87">
        <v>5</v>
      </c>
      <c r="C28" s="101" t="s">
        <v>110</v>
      </c>
      <c r="D28" s="101"/>
      <c r="E28" s="101"/>
      <c r="F28" s="101"/>
      <c r="G28" s="101"/>
      <c r="H28" s="348" t="e">
        <f>'INFORMAÇÕES BÁSICAS'!#REF!</f>
        <v>#REF!</v>
      </c>
      <c r="I28" s="67"/>
    </row>
    <row r="29" spans="1:11">
      <c r="A29" s="67"/>
      <c r="B29" s="108" t="s">
        <v>111</v>
      </c>
      <c r="C29" s="109" t="s">
        <v>257</v>
      </c>
      <c r="D29" s="109"/>
      <c r="E29" s="109"/>
      <c r="F29" s="109"/>
      <c r="G29" s="109"/>
      <c r="H29" s="109"/>
      <c r="I29" s="67"/>
    </row>
    <row r="30" spans="1:11">
      <c r="A30" s="67"/>
      <c r="B30" s="110"/>
      <c r="C30" s="111"/>
      <c r="D30" s="111"/>
      <c r="E30" s="111"/>
      <c r="F30" s="111"/>
      <c r="G30" s="111"/>
      <c r="H30" s="111"/>
      <c r="I30" s="67"/>
    </row>
    <row r="31" spans="1:11" ht="15.75">
      <c r="A31" s="67"/>
      <c r="B31" s="112" t="s">
        <v>112</v>
      </c>
      <c r="C31" s="112"/>
      <c r="D31" s="113" t="s">
        <v>113</v>
      </c>
      <c r="E31" s="113"/>
      <c r="F31" s="113"/>
      <c r="G31" s="113"/>
      <c r="H31" s="113"/>
      <c r="I31" s="67"/>
    </row>
    <row r="32" spans="1:11">
      <c r="A32" s="67"/>
      <c r="B32" s="114">
        <v>1</v>
      </c>
      <c r="C32" s="115" t="s">
        <v>114</v>
      </c>
      <c r="D32" s="115"/>
      <c r="E32" s="115"/>
      <c r="F32" s="115"/>
      <c r="G32" s="115"/>
      <c r="H32" s="116" t="s">
        <v>115</v>
      </c>
      <c r="I32" s="67"/>
    </row>
    <row r="33" spans="2:13">
      <c r="B33" s="84" t="s">
        <v>86</v>
      </c>
      <c r="C33" s="118" t="s">
        <v>116</v>
      </c>
      <c r="D33" s="119" t="s">
        <v>117</v>
      </c>
      <c r="E33" s="119" t="e">
        <f>'INFORMAÇÕES BÁSICAS'!#REF!</f>
        <v>#REF!</v>
      </c>
      <c r="F33" s="121" t="s">
        <v>118</v>
      </c>
      <c r="G33" s="349" t="e">
        <f>'INFORMAÇÕES BÁSICAS'!#REF!</f>
        <v>#REF!</v>
      </c>
      <c r="H33" s="350" t="e">
        <f>IF(E33=0,H26/220*G33,H26/44*E33)</f>
        <v>#REF!</v>
      </c>
      <c r="I33" s="67"/>
    </row>
    <row r="34" spans="2:13">
      <c r="B34" s="87" t="s">
        <v>88</v>
      </c>
      <c r="C34" s="351" t="s">
        <v>61</v>
      </c>
      <c r="D34" s="85" t="s">
        <v>119</v>
      </c>
      <c r="E34" s="85"/>
      <c r="F34" s="352" t="e">
        <f>H41</f>
        <v>#REF!</v>
      </c>
      <c r="G34" s="352"/>
      <c r="H34" s="124" t="e">
        <f>F34*F35</f>
        <v>#REF!</v>
      </c>
      <c r="I34" s="125"/>
      <c r="J34" s="127"/>
      <c r="K34" s="127"/>
      <c r="L34" s="127"/>
      <c r="M34" s="127"/>
    </row>
    <row r="35" spans="2:13">
      <c r="B35" s="87"/>
      <c r="C35" s="351"/>
      <c r="D35" s="126" t="s">
        <v>120</v>
      </c>
      <c r="E35" s="126"/>
      <c r="F35" s="353" t="e">
        <f>IF('INFORMAÇÕES BÁSICAS'!#REF!=1,0.3,0)</f>
        <v>#REF!</v>
      </c>
      <c r="G35" s="353"/>
      <c r="H35" s="124"/>
      <c r="I35" s="127"/>
    </row>
    <row r="36" spans="2:13">
      <c r="B36" s="354" t="s">
        <v>90</v>
      </c>
      <c r="C36" s="85" t="s">
        <v>121</v>
      </c>
      <c r="D36" s="85"/>
      <c r="E36" s="355" t="s">
        <v>258</v>
      </c>
      <c r="F36" s="356" t="e">
        <f>IF('INFORMAÇÕES BÁSICAS'!#REF!=0,"Risco Inexistente",(IF('INFORMAÇÕES BÁSICAS'!#REF!=1,"Baixo",(IF('INFORMAÇÕES BÁSICAS'!#REF!=2,"Médio",(IF('INFORMAÇÕES BÁSICAS'!#REF!=3,"Alto","ERRO")))))))</f>
        <v>#REF!</v>
      </c>
      <c r="G36" s="357" t="e">
        <f>IF('INFORMAÇÕES BÁSICAS'!#REF!=0,"0%",(IF('INFORMAÇÕES BÁSICAS'!#REF!=1,0.1,(IF('INFORMAÇÕES BÁSICAS'!#REF!=2,0.2,(IF('INFORMAÇÕES BÁSICAS'!#REF!=3,0.4,"ERRO")))))))</f>
        <v>#REF!</v>
      </c>
      <c r="H36" s="358" t="e">
        <f>G36*H33</f>
        <v>#REF!</v>
      </c>
      <c r="I36" s="127"/>
    </row>
    <row r="37" spans="2:13" ht="300">
      <c r="B37" s="87" t="s">
        <v>92</v>
      </c>
      <c r="C37" s="88" t="s">
        <v>259</v>
      </c>
      <c r="D37" s="88"/>
      <c r="E37" s="359" t="s">
        <v>260</v>
      </c>
      <c r="F37" s="360" t="s">
        <v>261</v>
      </c>
      <c r="G37" s="361" t="s">
        <v>262</v>
      </c>
      <c r="H37" s="362" t="e">
        <f>(E38*F38*G38)</f>
        <v>#REF!</v>
      </c>
      <c r="I37" s="127"/>
    </row>
    <row r="38" spans="2:13">
      <c r="B38" s="87"/>
      <c r="C38" s="88"/>
      <c r="D38" s="88"/>
      <c r="E38" s="363" t="e">
        <f>IF(F38&gt;0,E16,0)</f>
        <v>#REF!</v>
      </c>
      <c r="F38" s="364" t="e">
        <f>'INFORMAÇÕES BÁSICAS'!#REF!</f>
        <v>#REF!</v>
      </c>
      <c r="G38" s="365" t="e">
        <f>'INFORMAÇÕES BÁSICAS'!#REF!</f>
        <v>#REF!</v>
      </c>
      <c r="H38" s="362"/>
    </row>
    <row r="39" spans="2:13">
      <c r="B39" s="84" t="s">
        <v>152</v>
      </c>
      <c r="C39" s="366" t="s">
        <v>263</v>
      </c>
      <c r="D39" s="366"/>
      <c r="E39" s="363" t="e">
        <f>E15</f>
        <v>#REF!</v>
      </c>
      <c r="F39" s="364" t="e">
        <f>'INFORMAÇÕES BÁSICAS'!#REF!</f>
        <v>#REF!</v>
      </c>
      <c r="G39" s="365" t="e">
        <f>((G38*F39)+180)-190.67</f>
        <v>#REF!</v>
      </c>
      <c r="H39" s="367" t="e">
        <f>G39*E39</f>
        <v>#REF!</v>
      </c>
    </row>
    <row r="40" spans="2:13">
      <c r="B40" s="84" t="s">
        <v>129</v>
      </c>
      <c r="C40" s="85" t="s">
        <v>264</v>
      </c>
      <c r="D40" s="85"/>
      <c r="E40" s="85"/>
      <c r="F40" s="85"/>
      <c r="G40" s="85"/>
      <c r="H40" s="358" t="e">
        <f>(H37+H39)*0.2</f>
        <v>#REF!</v>
      </c>
    </row>
    <row r="41" spans="2:13">
      <c r="B41" s="114" t="s">
        <v>265</v>
      </c>
      <c r="C41" s="114"/>
      <c r="D41" s="114"/>
      <c r="E41" s="114"/>
      <c r="F41" s="114"/>
      <c r="G41" s="114"/>
      <c r="H41" s="368" t="e">
        <f>SUM(H37:H40)+H33</f>
        <v>#REF!</v>
      </c>
    </row>
    <row r="42" spans="2:13">
      <c r="B42" s="114"/>
      <c r="C42" s="114"/>
      <c r="D42" s="114"/>
      <c r="E42" s="114"/>
      <c r="F42" s="114"/>
      <c r="G42" s="114"/>
      <c r="H42" s="368"/>
    </row>
    <row r="43" spans="2:13">
      <c r="B43" s="131"/>
      <c r="C43" s="132" t="s">
        <v>128</v>
      </c>
      <c r="D43" s="132"/>
      <c r="E43" s="132"/>
      <c r="F43" s="132"/>
      <c r="G43" s="132"/>
      <c r="H43" s="369" t="e">
        <f>SUM(H33:H40)</f>
        <v>#REF!</v>
      </c>
    </row>
    <row r="44" spans="2:13">
      <c r="B44" s="370" t="s">
        <v>131</v>
      </c>
      <c r="C44" s="371" t="s">
        <v>266</v>
      </c>
      <c r="D44" s="371"/>
      <c r="E44" s="371"/>
      <c r="F44" s="371"/>
      <c r="G44" s="371"/>
      <c r="H44" s="372" t="e">
        <f>H14*15</f>
        <v>#REF!</v>
      </c>
    </row>
    <row r="45" spans="2:13">
      <c r="B45" s="370" t="s">
        <v>132</v>
      </c>
      <c r="C45" s="373" t="s">
        <v>267</v>
      </c>
      <c r="D45" s="373"/>
      <c r="E45" s="373"/>
      <c r="F45" s="373"/>
      <c r="G45" s="373"/>
      <c r="H45" s="374" t="e">
        <f>E15*15*0.5</f>
        <v>#REF!</v>
      </c>
    </row>
    <row r="46" spans="2:13" ht="345">
      <c r="B46" s="90"/>
      <c r="C46" s="137" t="s">
        <v>133</v>
      </c>
      <c r="D46" s="137"/>
      <c r="E46" s="137"/>
      <c r="F46" s="137"/>
      <c r="G46" s="375" t="s">
        <v>134</v>
      </c>
      <c r="H46" s="376" t="e">
        <f>SUM(H44:H45)</f>
        <v>#REF!</v>
      </c>
    </row>
    <row r="47" spans="2:13" ht="15.75">
      <c r="B47" s="140" t="s">
        <v>135</v>
      </c>
      <c r="C47" s="140"/>
      <c r="D47" s="140"/>
      <c r="E47" s="140"/>
      <c r="F47" s="140"/>
      <c r="G47" s="140"/>
      <c r="H47" s="141" t="e">
        <f>SUM(H33:H40)+H44+H45</f>
        <v>#REF!</v>
      </c>
      <c r="I47" s="67"/>
    </row>
    <row r="48" spans="2:13">
      <c r="B48" s="143"/>
      <c r="C48" s="143"/>
      <c r="D48" s="143"/>
      <c r="E48" s="143"/>
      <c r="F48" s="143"/>
      <c r="G48" s="143"/>
      <c r="H48" s="144"/>
      <c r="I48" s="145"/>
    </row>
    <row r="49" spans="2:9" ht="15.75">
      <c r="B49" s="112" t="s">
        <v>136</v>
      </c>
      <c r="C49" s="112"/>
      <c r="D49" s="113" t="s">
        <v>137</v>
      </c>
      <c r="E49" s="113"/>
      <c r="F49" s="113"/>
      <c r="G49" s="113"/>
      <c r="H49" s="113"/>
      <c r="I49" s="67"/>
    </row>
    <row r="50" spans="2:9" ht="15.75">
      <c r="B50" s="146" t="s">
        <v>138</v>
      </c>
      <c r="C50" s="146"/>
      <c r="D50" s="147" t="s">
        <v>139</v>
      </c>
      <c r="E50" s="147"/>
      <c r="F50" s="147"/>
      <c r="G50" s="147"/>
      <c r="H50" s="147"/>
      <c r="I50" s="67"/>
    </row>
    <row r="51" spans="2:9" ht="15.75">
      <c r="B51" s="148"/>
      <c r="C51" s="377" t="s">
        <v>140</v>
      </c>
      <c r="D51" s="377"/>
      <c r="E51" s="377"/>
      <c r="F51" s="377"/>
      <c r="G51" s="377"/>
      <c r="H51" s="378" t="s">
        <v>141</v>
      </c>
      <c r="I51" s="67"/>
    </row>
    <row r="52" spans="2:9">
      <c r="B52" s="150" t="s">
        <v>86</v>
      </c>
      <c r="C52" s="379" t="s">
        <v>142</v>
      </c>
      <c r="D52" s="379"/>
      <c r="E52" s="379"/>
      <c r="F52" s="379"/>
      <c r="G52" s="379"/>
      <c r="H52" s="380" t="e">
        <f>H43/12</f>
        <v>#REF!</v>
      </c>
      <c r="I52" s="152"/>
    </row>
    <row r="53" spans="2:9">
      <c r="B53" s="150" t="s">
        <v>88</v>
      </c>
      <c r="C53" s="379" t="s">
        <v>143</v>
      </c>
      <c r="D53" s="379"/>
      <c r="E53" s="379"/>
      <c r="F53" s="379"/>
      <c r="G53" s="379"/>
      <c r="H53" s="380" t="e">
        <f>(H43/3)/12</f>
        <v>#REF!</v>
      </c>
      <c r="I53" s="154"/>
    </row>
    <row r="54" spans="2:9" ht="45">
      <c r="B54" s="155"/>
      <c r="C54" s="381" t="s">
        <v>144</v>
      </c>
      <c r="D54" s="381"/>
      <c r="E54" s="381"/>
      <c r="F54" s="381"/>
      <c r="G54" s="381"/>
      <c r="H54" s="382" t="e">
        <f>SUM(H52:H53)</f>
        <v>#REF!</v>
      </c>
    </row>
    <row r="55" spans="2:9" ht="409.5">
      <c r="B55" s="157" t="s">
        <v>145</v>
      </c>
      <c r="C55" s="157"/>
      <c r="D55" s="157"/>
      <c r="E55" s="157"/>
      <c r="F55" s="157"/>
      <c r="G55" s="157"/>
      <c r="H55" s="158"/>
      <c r="I55" s="154"/>
    </row>
    <row r="56" spans="2:9">
      <c r="B56" s="143"/>
      <c r="C56" s="143"/>
      <c r="D56" s="143"/>
      <c r="E56" s="143"/>
      <c r="F56" s="143"/>
      <c r="G56" s="143"/>
      <c r="H56" s="144"/>
      <c r="I56" s="145"/>
    </row>
    <row r="57" spans="2:9" ht="15.75">
      <c r="B57" s="159" t="s">
        <v>146</v>
      </c>
      <c r="C57" s="159"/>
      <c r="D57" s="160" t="s">
        <v>147</v>
      </c>
      <c r="E57" s="160"/>
      <c r="F57" s="160"/>
      <c r="G57" s="160"/>
      <c r="H57" s="160"/>
      <c r="I57" s="67"/>
    </row>
    <row r="58" spans="2:9" ht="15.75">
      <c r="B58" s="161"/>
      <c r="C58" s="377" t="s">
        <v>140</v>
      </c>
      <c r="D58" s="377"/>
      <c r="E58" s="377"/>
      <c r="F58" s="377" t="s">
        <v>148</v>
      </c>
      <c r="G58" s="377"/>
      <c r="H58" s="383" t="s">
        <v>141</v>
      </c>
      <c r="I58" s="67"/>
    </row>
    <row r="59" spans="2:9">
      <c r="B59" s="150" t="s">
        <v>86</v>
      </c>
      <c r="C59" s="379" t="s">
        <v>149</v>
      </c>
      <c r="D59" s="379"/>
      <c r="E59" s="379"/>
      <c r="F59" s="384">
        <f>IF($F$8=1,0.2,IF($F$8=2,0.2,IF($F$8=3,0,IF($F$8=4,0.2,"ESCOLHA UM RT"))))</f>
        <v>0.2</v>
      </c>
      <c r="G59" s="384"/>
      <c r="H59" s="151" t="e">
        <f>ROUND(($H$47+H54)*F59,2)</f>
        <v>#REF!</v>
      </c>
      <c r="I59" s="152"/>
    </row>
    <row r="60" spans="2:9">
      <c r="B60" s="150" t="s">
        <v>88</v>
      </c>
      <c r="C60" s="379" t="s">
        <v>150</v>
      </c>
      <c r="D60" s="379"/>
      <c r="E60" s="379"/>
      <c r="F60" s="384">
        <f>IF($F$8=1,0.025,IF($F$8=2,0.025,IF($F$8=3,0,IF($F$8=4,0,"ESCOLHA UM RT"))))</f>
        <v>2.5000000000000001E-2</v>
      </c>
      <c r="G60" s="384"/>
      <c r="H60" s="151" t="e">
        <f>ROUND(($H$47+H54)*F60,2)</f>
        <v>#REF!</v>
      </c>
    </row>
    <row r="61" spans="2:9">
      <c r="B61" s="150" t="s">
        <v>90</v>
      </c>
      <c r="C61" s="379" t="s">
        <v>268</v>
      </c>
      <c r="D61" s="379"/>
      <c r="E61" s="379"/>
      <c r="F61" s="385" t="e">
        <f>'INFORMAÇÕES BÁSICAS'!#REF!</f>
        <v>#REF!</v>
      </c>
      <c r="G61" s="385"/>
      <c r="H61" s="151" t="e">
        <f>ROUND(($H$47+H54)*F61,2)</f>
        <v>#REF!</v>
      </c>
    </row>
    <row r="62" spans="2:9">
      <c r="B62" s="150" t="s">
        <v>92</v>
      </c>
      <c r="C62" s="379" t="s">
        <v>151</v>
      </c>
      <c r="D62" s="379"/>
      <c r="E62" s="379"/>
      <c r="F62" s="384">
        <f>IF($F$8=1,0.015,IF($F$8=2,0.015,IF($F$8=3,0,IF($F$8=4,0,"ESCOLHA UM RT"))))</f>
        <v>1.4999999999999999E-2</v>
      </c>
      <c r="G62" s="384"/>
      <c r="H62" s="151" t="e">
        <f>ROUND(($H$47+H54)*F62,2)</f>
        <v>#REF!</v>
      </c>
    </row>
    <row r="63" spans="2:9">
      <c r="B63" s="150" t="s">
        <v>152</v>
      </c>
      <c r="C63" s="379" t="s">
        <v>153</v>
      </c>
      <c r="D63" s="379"/>
      <c r="E63" s="379"/>
      <c r="F63" s="384">
        <f>IF($F$8=1,0.01,IF($F$8=2,0.01,IF($F$8=3,0,IF($F$8=4,0,"ESCOLHA UM RT"))))</f>
        <v>0.01</v>
      </c>
      <c r="G63" s="384"/>
      <c r="H63" s="151" t="e">
        <f>ROUND(($H$47+H54)*F63,2)</f>
        <v>#REF!</v>
      </c>
    </row>
    <row r="64" spans="2:9">
      <c r="B64" s="150" t="s">
        <v>129</v>
      </c>
      <c r="C64" s="379" t="s">
        <v>154</v>
      </c>
      <c r="D64" s="379"/>
      <c r="E64" s="379"/>
      <c r="F64" s="384">
        <f>IF($F$8=1,0.006,IF($F$8=2,0.006,IF($F$8=3,0,IF($F$8=4,0,"ESCOLHA UM RT"))))</f>
        <v>6.0000000000000001E-3</v>
      </c>
      <c r="G64" s="384"/>
      <c r="H64" s="151" t="e">
        <f>ROUND(($H$47+H54)*F64,2)</f>
        <v>#REF!</v>
      </c>
    </row>
    <row r="65" spans="2:10">
      <c r="B65" s="150" t="s">
        <v>131</v>
      </c>
      <c r="C65" s="379" t="s">
        <v>155</v>
      </c>
      <c r="D65" s="379"/>
      <c r="E65" s="379"/>
      <c r="F65" s="384">
        <f>IF($F$8=1,0.002,IF($F$8=2,0.002,IF($F$8=3,0,IF($F$8=4,0,"ESCOLHA UM RT"))))</f>
        <v>2E-3</v>
      </c>
      <c r="G65" s="384"/>
      <c r="H65" s="151" t="e">
        <f>ROUND(($H$47+H54)*F65,2)</f>
        <v>#REF!</v>
      </c>
    </row>
    <row r="66" spans="2:10">
      <c r="B66" s="150" t="s">
        <v>132</v>
      </c>
      <c r="C66" s="379" t="s">
        <v>156</v>
      </c>
      <c r="D66" s="379"/>
      <c r="E66" s="379"/>
      <c r="F66" s="384">
        <f>IF($F$8=1,0.08,IF($F$8=2,0.08,IF($F$8=3,0.08,IF($F$8=4,0.08,"ESCOLHA UM RT"))))</f>
        <v>0.08</v>
      </c>
      <c r="G66" s="384"/>
      <c r="H66" s="151" t="e">
        <f>ROUND(($H$47+H54)*F66,2)</f>
        <v>#REF!</v>
      </c>
    </row>
    <row r="67" spans="2:10" ht="299.25">
      <c r="B67" s="157" t="s">
        <v>157</v>
      </c>
      <c r="C67" s="157"/>
      <c r="D67" s="157"/>
      <c r="E67" s="157"/>
      <c r="F67" s="163" t="e">
        <f>SUM(F59:G66)</f>
        <v>#REF!</v>
      </c>
      <c r="G67" s="163"/>
      <c r="H67" s="164" t="e">
        <f>SUM(H59:H66)</f>
        <v>#REF!</v>
      </c>
      <c r="I67" s="145"/>
    </row>
    <row r="68" spans="2:10" ht="396">
      <c r="B68" s="143"/>
      <c r="C68" s="386" t="s">
        <v>158</v>
      </c>
      <c r="D68" s="386"/>
      <c r="E68" s="386"/>
      <c r="F68" s="386"/>
      <c r="G68" s="386"/>
      <c r="H68" s="165"/>
    </row>
    <row r="69" spans="2:10" ht="16.5">
      <c r="B69" s="143"/>
      <c r="C69" s="387"/>
      <c r="D69" s="388"/>
      <c r="E69" s="388"/>
      <c r="F69" s="168"/>
      <c r="G69" s="168"/>
      <c r="H69" s="165"/>
    </row>
    <row r="70" spans="2:10" ht="78.75">
      <c r="B70" s="159" t="s">
        <v>159</v>
      </c>
      <c r="C70" s="159"/>
      <c r="D70" s="160" t="s">
        <v>160</v>
      </c>
      <c r="E70" s="160"/>
      <c r="F70" s="160"/>
      <c r="G70" s="160"/>
      <c r="H70" s="160"/>
      <c r="I70" s="67"/>
    </row>
    <row r="71" spans="2:10" ht="15.75">
      <c r="B71" s="161"/>
      <c r="C71" s="377" t="s">
        <v>140</v>
      </c>
      <c r="D71" s="377"/>
      <c r="E71" s="377"/>
      <c r="F71" s="377"/>
      <c r="G71" s="377"/>
      <c r="H71" s="383" t="s">
        <v>141</v>
      </c>
      <c r="I71" s="67"/>
    </row>
    <row r="72" spans="2:10">
      <c r="B72" s="87" t="s">
        <v>86</v>
      </c>
      <c r="C72" s="169" t="s">
        <v>161</v>
      </c>
      <c r="D72" s="170" t="s">
        <v>162</v>
      </c>
      <c r="E72" s="170"/>
      <c r="F72" s="171" t="e">
        <f>H26</f>
        <v>#REF!</v>
      </c>
      <c r="G72" s="171"/>
      <c r="H72" s="151" t="e">
        <f>IF(F73&lt;&gt;0,ROUND((F73*F74*F76)-(F72*0.06),2),0)</f>
        <v>#REF!</v>
      </c>
      <c r="I72" s="152"/>
    </row>
    <row r="73" spans="2:10">
      <c r="B73" s="87"/>
      <c r="C73" s="169"/>
      <c r="D73" s="170" t="s">
        <v>163</v>
      </c>
      <c r="E73" s="170"/>
      <c r="F73" s="389" t="e">
        <f>'INFORMAÇÕES BÁSICAS'!#REF!</f>
        <v>#REF!</v>
      </c>
      <c r="G73" s="389"/>
      <c r="H73" s="151"/>
    </row>
    <row r="74" spans="2:10">
      <c r="B74" s="87"/>
      <c r="C74" s="169"/>
      <c r="D74" s="170" t="s">
        <v>164</v>
      </c>
      <c r="E74" s="170"/>
      <c r="F74" s="390" t="e">
        <f>'INFORMAÇÕES BÁSICAS'!#REF!</f>
        <v>#REF!</v>
      </c>
      <c r="G74" s="390"/>
      <c r="H74" s="151"/>
      <c r="I74" s="172"/>
      <c r="J74" s="457"/>
    </row>
    <row r="75" spans="2:10" ht="105">
      <c r="B75" s="87" t="s">
        <v>88</v>
      </c>
      <c r="C75" s="175" t="s">
        <v>269</v>
      </c>
      <c r="D75" s="170" t="s">
        <v>270</v>
      </c>
      <c r="E75" s="170"/>
      <c r="F75" s="391" t="e">
        <f>'INFORMAÇÕES BÁSICAS'!#REF!</f>
        <v>#REF!</v>
      </c>
      <c r="G75" s="391"/>
      <c r="H75" s="151" t="e">
        <f>(F75*F76)-(20/100)</f>
        <v>#REF!</v>
      </c>
      <c r="J75" s="457"/>
    </row>
    <row r="76" spans="2:10">
      <c r="B76" s="87"/>
      <c r="C76" s="175"/>
      <c r="D76" s="170" t="s">
        <v>262</v>
      </c>
      <c r="E76" s="170"/>
      <c r="F76" s="392" t="e">
        <f>G38</f>
        <v>#REF!</v>
      </c>
      <c r="G76" s="392"/>
      <c r="H76" s="151"/>
    </row>
    <row r="77" spans="2:10">
      <c r="B77" s="87"/>
      <c r="C77" s="175"/>
      <c r="D77" s="101" t="s">
        <v>271</v>
      </c>
      <c r="E77" s="101"/>
      <c r="F77" s="393" t="e">
        <f>'INFORMAÇÕES BÁSICAS'!#REF!</f>
        <v>#REF!</v>
      </c>
      <c r="G77" s="393"/>
      <c r="H77" s="151"/>
    </row>
    <row r="78" spans="2:10">
      <c r="B78" s="87" t="s">
        <v>90</v>
      </c>
      <c r="C78" s="101" t="s">
        <v>272</v>
      </c>
      <c r="D78" s="101"/>
      <c r="E78" s="101"/>
      <c r="F78" s="101"/>
      <c r="G78" s="101"/>
      <c r="H78" s="394" t="e">
        <f>(H43*26)*(0.023/100)</f>
        <v>#REF!</v>
      </c>
    </row>
    <row r="79" spans="2:10">
      <c r="B79" s="87" t="s">
        <v>92</v>
      </c>
      <c r="C79" s="101" t="s">
        <v>273</v>
      </c>
      <c r="D79" s="101"/>
      <c r="E79" s="101"/>
      <c r="F79" s="101"/>
      <c r="G79" s="101"/>
      <c r="H79" s="394" t="e">
        <f>(H33*(0.52066/100))/12</f>
        <v>#REF!</v>
      </c>
    </row>
    <row r="80" spans="2:10">
      <c r="B80" s="87" t="s">
        <v>152</v>
      </c>
      <c r="C80" s="169" t="s">
        <v>274</v>
      </c>
      <c r="D80" s="395"/>
      <c r="E80" s="395"/>
      <c r="F80" s="395"/>
      <c r="G80" s="395"/>
      <c r="H80" s="396">
        <v>0</v>
      </c>
    </row>
    <row r="81" spans="1:9">
      <c r="B81" s="87"/>
      <c r="C81" s="169"/>
      <c r="D81" s="395"/>
      <c r="E81" s="395"/>
      <c r="F81" s="395"/>
      <c r="G81" s="395"/>
      <c r="H81" s="396">
        <v>0</v>
      </c>
    </row>
    <row r="82" spans="1:9">
      <c r="B82" s="87"/>
      <c r="C82" s="169"/>
      <c r="D82" s="397"/>
      <c r="E82" s="397"/>
      <c r="F82" s="397"/>
      <c r="G82" s="397"/>
      <c r="H82" s="398">
        <v>0</v>
      </c>
    </row>
    <row r="83" spans="1:9" ht="15.75">
      <c r="B83" s="146" t="s">
        <v>169</v>
      </c>
      <c r="C83" s="146"/>
      <c r="D83" s="146"/>
      <c r="E83" s="146"/>
      <c r="F83" s="146"/>
      <c r="G83" s="146"/>
      <c r="H83" s="182" t="e">
        <f>SUM(H72:H82)</f>
        <v>#REF!</v>
      </c>
      <c r="I83" s="67"/>
    </row>
    <row r="84" spans="1:9">
      <c r="A84" s="183"/>
      <c r="B84" s="184"/>
      <c r="C84" s="111"/>
      <c r="D84" s="111"/>
      <c r="E84" s="111"/>
      <c r="F84" s="111"/>
      <c r="G84" s="111"/>
      <c r="H84" s="111"/>
      <c r="I84" s="185"/>
    </row>
    <row r="85" spans="1:9" ht="31.5">
      <c r="B85" s="159" t="s">
        <v>170</v>
      </c>
      <c r="C85" s="159"/>
      <c r="D85" s="186" t="s">
        <v>171</v>
      </c>
      <c r="E85" s="186"/>
      <c r="F85" s="186"/>
      <c r="G85" s="186"/>
      <c r="H85" s="186"/>
      <c r="I85" s="67"/>
    </row>
    <row r="86" spans="1:9" ht="15.75">
      <c r="B86" s="187">
        <v>2</v>
      </c>
      <c r="C86" s="399" t="s">
        <v>140</v>
      </c>
      <c r="D86" s="399"/>
      <c r="E86" s="399"/>
      <c r="F86" s="399"/>
      <c r="G86" s="399"/>
      <c r="H86" s="400" t="s">
        <v>141</v>
      </c>
      <c r="I86" s="67"/>
    </row>
    <row r="87" spans="1:9" ht="120">
      <c r="B87" s="189" t="s">
        <v>172</v>
      </c>
      <c r="C87" s="88" t="s">
        <v>139</v>
      </c>
      <c r="D87" s="88"/>
      <c r="E87" s="88"/>
      <c r="F87" s="88"/>
      <c r="G87" s="88"/>
      <c r="H87" s="151" t="e">
        <f>H54</f>
        <v>#REF!</v>
      </c>
      <c r="I87" s="152"/>
    </row>
    <row r="88" spans="1:9" ht="195">
      <c r="B88" s="189" t="s">
        <v>173</v>
      </c>
      <c r="C88" s="88" t="s">
        <v>174</v>
      </c>
      <c r="D88" s="88"/>
      <c r="E88" s="88"/>
      <c r="F88" s="88"/>
      <c r="G88" s="88"/>
      <c r="H88" s="151" t="e">
        <f>H67</f>
        <v>#REF!</v>
      </c>
      <c r="I88" s="152"/>
    </row>
    <row r="89" spans="1:9">
      <c r="B89" s="189" t="s">
        <v>175</v>
      </c>
      <c r="C89" s="101" t="s">
        <v>160</v>
      </c>
      <c r="D89" s="101"/>
      <c r="E89" s="101"/>
      <c r="F89" s="101"/>
      <c r="G89" s="101"/>
      <c r="H89" s="151" t="e">
        <f>H83</f>
        <v>#REF!</v>
      </c>
    </row>
    <row r="90" spans="1:9" ht="15.75">
      <c r="B90" s="190" t="s">
        <v>176</v>
      </c>
      <c r="C90" s="190"/>
      <c r="D90" s="190"/>
      <c r="E90" s="190"/>
      <c r="F90" s="190"/>
      <c r="G90" s="190"/>
      <c r="H90" s="191" t="e">
        <f>SUM(H87:H89)</f>
        <v>#REF!</v>
      </c>
      <c r="I90" s="152"/>
    </row>
    <row r="91" spans="1:9">
      <c r="B91" s="192"/>
      <c r="C91" s="401"/>
      <c r="D91" s="401"/>
      <c r="E91" s="401"/>
      <c r="F91" s="401"/>
      <c r="G91" s="401"/>
      <c r="H91" s="194"/>
      <c r="I91" s="154"/>
    </row>
    <row r="92" spans="1:9" ht="15.75">
      <c r="B92" s="195" t="s">
        <v>177</v>
      </c>
      <c r="C92" s="195"/>
      <c r="D92" s="196" t="s">
        <v>178</v>
      </c>
      <c r="E92" s="196"/>
      <c r="F92" s="196"/>
      <c r="G92" s="196"/>
      <c r="H92" s="196"/>
    </row>
    <row r="93" spans="1:9" ht="15.75">
      <c r="B93" s="197"/>
      <c r="C93" s="377" t="s">
        <v>140</v>
      </c>
      <c r="D93" s="377"/>
      <c r="E93" s="377"/>
      <c r="F93" s="377"/>
      <c r="G93" s="377"/>
      <c r="H93" s="402" t="s">
        <v>141</v>
      </c>
      <c r="I93" s="199"/>
    </row>
    <row r="94" spans="1:9">
      <c r="B94" s="87" t="s">
        <v>86</v>
      </c>
      <c r="C94" s="101" t="s">
        <v>179</v>
      </c>
      <c r="D94" s="101"/>
      <c r="E94" s="101"/>
      <c r="F94" s="101"/>
      <c r="G94" s="101"/>
      <c r="H94" s="200" t="e">
        <f>ROUND((H43/12)+(H52/12)+(H43/12/12)+(H53/12),2)*0.05</f>
        <v>#REF!</v>
      </c>
      <c r="I94" s="199"/>
    </row>
    <row r="95" spans="1:9">
      <c r="B95" s="87" t="s">
        <v>88</v>
      </c>
      <c r="C95" s="101" t="s">
        <v>180</v>
      </c>
      <c r="D95" s="101"/>
      <c r="E95" s="101"/>
      <c r="F95" s="101"/>
      <c r="G95" s="101"/>
      <c r="H95" s="200" t="e">
        <f>H94*F66</f>
        <v>#REF!</v>
      </c>
      <c r="I95" s="199"/>
    </row>
    <row r="96" spans="1:9">
      <c r="B96" s="87" t="s">
        <v>90</v>
      </c>
      <c r="C96" s="101" t="s">
        <v>181</v>
      </c>
      <c r="D96" s="101"/>
      <c r="E96" s="101"/>
      <c r="F96" s="101"/>
      <c r="G96" s="101"/>
      <c r="H96" s="200" t="e">
        <f>ROUND((((H47*0.08)*0.5)*0.06),2)</f>
        <v>#REF!</v>
      </c>
      <c r="I96" s="199"/>
    </row>
    <row r="97" spans="2:9">
      <c r="B97" s="87" t="s">
        <v>92</v>
      </c>
      <c r="C97" s="101" t="s">
        <v>182</v>
      </c>
      <c r="D97" s="101"/>
      <c r="E97" s="101"/>
      <c r="F97" s="101"/>
      <c r="G97" s="101"/>
      <c r="H97" s="200" t="e">
        <f>ROUND(((H43/30)*7)/H13*1,2)</f>
        <v>#REF!</v>
      </c>
      <c r="I97" s="202"/>
    </row>
    <row r="98" spans="2:9">
      <c r="B98" s="87" t="s">
        <v>152</v>
      </c>
      <c r="C98" s="101" t="s">
        <v>183</v>
      </c>
      <c r="D98" s="101"/>
      <c r="E98" s="101"/>
      <c r="F98" s="101"/>
      <c r="G98" s="101"/>
      <c r="H98" s="203" t="e">
        <f>ROUND(H97*F67,2)</f>
        <v>#REF!</v>
      </c>
      <c r="I98" s="199"/>
    </row>
    <row r="99" spans="2:9">
      <c r="B99" s="87" t="s">
        <v>92</v>
      </c>
      <c r="C99" s="101" t="s">
        <v>184</v>
      </c>
      <c r="D99" s="101"/>
      <c r="E99" s="101"/>
      <c r="F99" s="101"/>
      <c r="G99" s="101"/>
      <c r="H99" s="200" t="e">
        <f>ROUND(0.08*0.5*(H43+H52+H53+H106)*1,2)</f>
        <v>#REF!</v>
      </c>
      <c r="I99" s="199"/>
    </row>
    <row r="100" spans="2:9" ht="15.75">
      <c r="B100" s="204" t="s">
        <v>185</v>
      </c>
      <c r="C100" s="204"/>
      <c r="D100" s="204"/>
      <c r="E100" s="204"/>
      <c r="F100" s="403"/>
      <c r="G100" s="403"/>
      <c r="H100" s="205" t="e">
        <f>SUM(H94:H99)</f>
        <v>#REF!</v>
      </c>
      <c r="I100" s="154"/>
    </row>
    <row r="101" spans="2:9">
      <c r="B101" s="207"/>
      <c r="C101" s="207"/>
      <c r="D101" s="207"/>
      <c r="E101" s="207"/>
      <c r="F101" s="207"/>
      <c r="G101" s="207"/>
      <c r="H101" s="207"/>
      <c r="I101" s="199"/>
    </row>
    <row r="102" spans="2:9" ht="15.75">
      <c r="B102" s="208" t="s">
        <v>186</v>
      </c>
      <c r="C102" s="208"/>
      <c r="D102" s="209" t="s">
        <v>187</v>
      </c>
      <c r="E102" s="209"/>
      <c r="F102" s="209"/>
      <c r="G102" s="209"/>
      <c r="H102" s="209"/>
      <c r="I102" s="210"/>
    </row>
    <row r="103" spans="2:9" ht="31.5">
      <c r="B103" s="211" t="s">
        <v>188</v>
      </c>
      <c r="C103" s="211"/>
      <c r="D103" s="212" t="s">
        <v>189</v>
      </c>
      <c r="E103" s="212"/>
      <c r="F103" s="212"/>
      <c r="G103" s="212"/>
      <c r="H103" s="212"/>
      <c r="I103" s="213" t="s">
        <v>190</v>
      </c>
    </row>
    <row r="104" spans="2:9" ht="15.75">
      <c r="B104" s="214"/>
      <c r="C104" s="404" t="s">
        <v>140</v>
      </c>
      <c r="D104" s="404"/>
      <c r="E104" s="404"/>
      <c r="F104" s="404"/>
      <c r="G104" s="404"/>
      <c r="H104" s="405" t="s">
        <v>141</v>
      </c>
    </row>
    <row r="105" spans="2:9" ht="15.75">
      <c r="B105" s="214"/>
      <c r="C105" s="406" t="s">
        <v>191</v>
      </c>
      <c r="D105" s="406"/>
      <c r="E105" s="406"/>
      <c r="F105" s="407" t="e">
        <f>ROUND(H43/12,2)+H43+H52+H53</f>
        <v>#REF!</v>
      </c>
      <c r="G105" s="407"/>
      <c r="H105" s="405"/>
    </row>
    <row r="106" spans="2:9">
      <c r="B106" s="87" t="s">
        <v>86</v>
      </c>
      <c r="C106" s="101" t="s">
        <v>192</v>
      </c>
      <c r="D106" s="101"/>
      <c r="E106" s="101"/>
      <c r="F106" s="101"/>
      <c r="G106" s="101"/>
      <c r="H106" s="151" t="e">
        <f>F105/12</f>
        <v>#REF!</v>
      </c>
      <c r="I106" s="216"/>
    </row>
    <row r="107" spans="2:9">
      <c r="B107" s="87" t="s">
        <v>88</v>
      </c>
      <c r="C107" s="217" t="s">
        <v>193</v>
      </c>
      <c r="D107" s="218"/>
      <c r="E107" s="218"/>
      <c r="F107" s="218"/>
      <c r="G107" s="219"/>
      <c r="H107" s="151" t="e">
        <f>(((F105/30)*2.96)/12)</f>
        <v>#REF!</v>
      </c>
      <c r="I107" s="216"/>
    </row>
    <row r="108" spans="2:9">
      <c r="B108" s="87" t="s">
        <v>90</v>
      </c>
      <c r="C108" s="217" t="s">
        <v>194</v>
      </c>
      <c r="D108" s="218"/>
      <c r="E108" s="218"/>
      <c r="F108" s="218"/>
      <c r="G108" s="219"/>
      <c r="H108" s="151" t="e">
        <f>IF(I108="S",((((5/30)*(F105))/12)*0.015),IF(I108="N",0,"INFORME S ou N"))</f>
        <v>#REF!</v>
      </c>
      <c r="I108" s="220" t="e">
        <f>IF('INFORMAÇÕES BÁSICAS'!#REF!=1,"S","N")</f>
        <v>#REF!</v>
      </c>
    </row>
    <row r="109" spans="2:9">
      <c r="B109" s="87" t="s">
        <v>92</v>
      </c>
      <c r="C109" s="217" t="s">
        <v>195</v>
      </c>
      <c r="D109" s="218"/>
      <c r="E109" s="218"/>
      <c r="F109" s="218"/>
      <c r="G109" s="219"/>
      <c r="H109" s="151" t="e">
        <f>ROUND((((15/30)*F105)/12)*0.0078,2)</f>
        <v>#REF!</v>
      </c>
      <c r="I109" s="221"/>
    </row>
    <row r="110" spans="2:9">
      <c r="B110" s="87" t="s">
        <v>152</v>
      </c>
      <c r="C110" s="217" t="s">
        <v>196</v>
      </c>
      <c r="D110" s="218"/>
      <c r="E110" s="218"/>
      <c r="F110" s="218"/>
      <c r="G110" s="219"/>
      <c r="H110" s="151" t="e">
        <f>IF(I110="S",(((1+1/3)*(4/12))*(F105))/12*0.02,IF(I110="N",0,"INFORME S ou N"))</f>
        <v>#REF!</v>
      </c>
      <c r="I110" s="220" t="e">
        <f>IF('INFORMAÇÕES BÁSICAS'!#REF!=1,"S","N")</f>
        <v>#REF!</v>
      </c>
    </row>
    <row r="111" spans="2:9">
      <c r="B111" s="223" t="s">
        <v>129</v>
      </c>
      <c r="C111" s="224" t="s">
        <v>197</v>
      </c>
      <c r="D111" s="224"/>
      <c r="E111" s="224"/>
      <c r="F111" s="224"/>
      <c r="G111" s="224"/>
      <c r="H111" s="225" t="e">
        <f>(((F105)/30))*5/12</f>
        <v>#REF!</v>
      </c>
      <c r="I111" s="199"/>
    </row>
    <row r="112" spans="2:9">
      <c r="B112" s="226"/>
      <c r="C112" s="227"/>
      <c r="D112" s="228"/>
      <c r="E112" s="408"/>
      <c r="F112" s="230"/>
      <c r="G112" s="409" t="s">
        <v>198</v>
      </c>
      <c r="H112" s="232" t="e">
        <f>SUM(H106:H111)</f>
        <v>#REF!</v>
      </c>
    </row>
    <row r="113" spans="2:9">
      <c r="B113" s="223" t="s">
        <v>131</v>
      </c>
      <c r="C113" s="233" t="s">
        <v>199</v>
      </c>
      <c r="D113" s="233"/>
      <c r="E113" s="410"/>
      <c r="F113" s="235"/>
      <c r="G113" s="411"/>
      <c r="H113" s="237" t="e">
        <f>H112*F67</f>
        <v>#REF!</v>
      </c>
    </row>
    <row r="114" spans="2:9" ht="15.75">
      <c r="B114" s="238" t="s">
        <v>200</v>
      </c>
      <c r="C114" s="238"/>
      <c r="D114" s="238"/>
      <c r="E114" s="238"/>
      <c r="F114" s="238"/>
      <c r="G114" s="238"/>
      <c r="H114" s="239" t="e">
        <f>ROUND(SUM(H112:H113),2)</f>
        <v>#REF!</v>
      </c>
      <c r="I114" s="240"/>
    </row>
    <row r="115" spans="2:9">
      <c r="B115" s="143"/>
      <c r="C115" s="143"/>
      <c r="D115" s="143"/>
      <c r="E115" s="143"/>
      <c r="F115" s="241"/>
      <c r="G115" s="241"/>
      <c r="H115" s="242"/>
      <c r="I115" s="199"/>
    </row>
    <row r="116" spans="2:9" ht="31.5">
      <c r="B116" s="159" t="s">
        <v>201</v>
      </c>
      <c r="C116" s="159"/>
      <c r="D116" s="160" t="s">
        <v>202</v>
      </c>
      <c r="E116" s="160"/>
      <c r="F116" s="160"/>
      <c r="G116" s="160"/>
      <c r="H116" s="160"/>
      <c r="I116" s="243"/>
    </row>
    <row r="117" spans="2:9" ht="15.75">
      <c r="B117" s="197"/>
      <c r="C117" s="377" t="s">
        <v>140</v>
      </c>
      <c r="D117" s="377"/>
      <c r="E117" s="377"/>
      <c r="F117" s="377"/>
      <c r="G117" s="377"/>
      <c r="H117" s="402" t="s">
        <v>141</v>
      </c>
      <c r="I117" s="67"/>
    </row>
    <row r="118" spans="2:9">
      <c r="B118" s="87" t="s">
        <v>86</v>
      </c>
      <c r="C118" s="101" t="s">
        <v>203</v>
      </c>
      <c r="D118" s="101"/>
      <c r="E118" s="101"/>
      <c r="F118" s="101"/>
      <c r="G118" s="101"/>
      <c r="H118" s="151">
        <v>0</v>
      </c>
      <c r="I118" s="67"/>
    </row>
    <row r="119" spans="2:9" ht="15.75">
      <c r="B119" s="244" t="s">
        <v>204</v>
      </c>
      <c r="C119" s="244"/>
      <c r="D119" s="244"/>
      <c r="E119" s="244"/>
      <c r="F119" s="244"/>
      <c r="G119" s="244"/>
      <c r="H119" s="412">
        <f>ROUND(SUM(H118),2)</f>
        <v>0</v>
      </c>
      <c r="I119" s="67"/>
    </row>
    <row r="120" spans="2:9" ht="15.75">
      <c r="B120" s="246"/>
      <c r="C120" s="247" t="s">
        <v>205</v>
      </c>
      <c r="D120" s="247"/>
      <c r="E120" s="247"/>
      <c r="F120" s="247"/>
      <c r="G120" s="247"/>
      <c r="H120" s="248"/>
      <c r="I120" s="67"/>
    </row>
    <row r="121" spans="2:9" ht="15.75">
      <c r="B121" s="249"/>
      <c r="C121" s="413"/>
      <c r="D121" s="414"/>
      <c r="E121" s="414"/>
      <c r="F121" s="413"/>
      <c r="G121" s="413"/>
      <c r="H121" s="415"/>
      <c r="I121" s="67"/>
    </row>
    <row r="122" spans="2:9" ht="31.5">
      <c r="B122" s="211" t="s">
        <v>170</v>
      </c>
      <c r="C122" s="211"/>
      <c r="D122" s="252" t="s">
        <v>206</v>
      </c>
      <c r="E122" s="252"/>
      <c r="F122" s="252"/>
      <c r="G122" s="252"/>
      <c r="H122" s="252"/>
      <c r="I122" s="67"/>
    </row>
    <row r="123" spans="2:9" ht="15.75">
      <c r="B123" s="253"/>
      <c r="C123" s="399" t="s">
        <v>140</v>
      </c>
      <c r="D123" s="399"/>
      <c r="E123" s="399"/>
      <c r="F123" s="399"/>
      <c r="G123" s="399"/>
      <c r="H123" s="416" t="s">
        <v>141</v>
      </c>
      <c r="I123" s="152"/>
    </row>
    <row r="124" spans="2:9" ht="15.75">
      <c r="B124" s="255" t="s">
        <v>207</v>
      </c>
      <c r="C124" s="417" t="s">
        <v>193</v>
      </c>
      <c r="D124" s="417"/>
      <c r="E124" s="417"/>
      <c r="F124" s="417"/>
      <c r="G124" s="417"/>
      <c r="H124" s="418" t="e">
        <f>H114</f>
        <v>#REF!</v>
      </c>
      <c r="I124" s="67"/>
    </row>
    <row r="125" spans="2:9" ht="15.75">
      <c r="B125" s="255" t="s">
        <v>208</v>
      </c>
      <c r="C125" s="417" t="s">
        <v>202</v>
      </c>
      <c r="D125" s="417"/>
      <c r="E125" s="417"/>
      <c r="F125" s="417"/>
      <c r="G125" s="417"/>
      <c r="H125" s="418">
        <f>H118</f>
        <v>0</v>
      </c>
      <c r="I125" s="67"/>
    </row>
    <row r="126" spans="2:9" ht="15.75">
      <c r="B126" s="258" t="s">
        <v>209</v>
      </c>
      <c r="C126" s="258"/>
      <c r="D126" s="258"/>
      <c r="E126" s="258"/>
      <c r="F126" s="258"/>
      <c r="G126" s="258"/>
      <c r="H126" s="191" t="e">
        <f>SUM(H123:H125)</f>
        <v>#REF!</v>
      </c>
      <c r="I126" s="154"/>
    </row>
    <row r="127" spans="2:9">
      <c r="B127" s="259"/>
      <c r="C127" s="259"/>
      <c r="D127" s="259"/>
      <c r="E127" s="259"/>
      <c r="F127" s="259"/>
      <c r="G127" s="259"/>
      <c r="H127" s="259"/>
      <c r="I127" s="67"/>
    </row>
    <row r="128" spans="2:9" ht="63">
      <c r="B128" s="159" t="s">
        <v>210</v>
      </c>
      <c r="C128" s="159"/>
      <c r="D128" s="160" t="s">
        <v>211</v>
      </c>
      <c r="E128" s="160"/>
      <c r="F128" s="160"/>
      <c r="G128" s="160"/>
      <c r="H128" s="160"/>
      <c r="I128" s="243"/>
    </row>
    <row r="129" spans="1:11" ht="15.75">
      <c r="B129" s="260">
        <v>5</v>
      </c>
      <c r="C129" s="419" t="s">
        <v>212</v>
      </c>
      <c r="D129" s="419"/>
      <c r="E129" s="419"/>
      <c r="F129" s="419"/>
      <c r="G129" s="419"/>
      <c r="H129" s="420" t="s">
        <v>141</v>
      </c>
      <c r="I129" s="67"/>
    </row>
    <row r="130" spans="1:11" ht="15.75">
      <c r="B130" s="262" t="s">
        <v>86</v>
      </c>
      <c r="C130" s="421" t="s">
        <v>213</v>
      </c>
      <c r="D130" s="421"/>
      <c r="E130" s="421"/>
      <c r="F130" s="421"/>
      <c r="G130" s="421"/>
      <c r="H130" s="422">
        <f>'UNIF E EQUIP DESARMADA'!$G$29</f>
        <v>173.08445833333334</v>
      </c>
      <c r="I130" s="67"/>
    </row>
    <row r="131" spans="1:11" ht="15.75">
      <c r="B131" s="190" t="s">
        <v>214</v>
      </c>
      <c r="C131" s="190"/>
      <c r="D131" s="190"/>
      <c r="E131" s="190"/>
      <c r="F131" s="190"/>
      <c r="G131" s="190"/>
      <c r="H131" s="191">
        <f>SUM(H130:H130)</f>
        <v>173.08445833333334</v>
      </c>
      <c r="I131" s="67"/>
    </row>
    <row r="132" spans="1:11">
      <c r="A132" s="183"/>
      <c r="B132" s="264"/>
      <c r="C132" s="265"/>
      <c r="D132" s="265"/>
      <c r="E132" s="265"/>
      <c r="F132" s="266"/>
      <c r="G132" s="266"/>
      <c r="H132" s="267"/>
      <c r="I132" s="185"/>
    </row>
    <row r="133" spans="1:11" ht="94.5">
      <c r="B133" s="159" t="s">
        <v>215</v>
      </c>
      <c r="C133" s="159"/>
      <c r="D133" s="160" t="s">
        <v>216</v>
      </c>
      <c r="E133" s="160"/>
      <c r="F133" s="160"/>
      <c r="G133" s="160"/>
      <c r="H133" s="160"/>
      <c r="I133" s="243"/>
    </row>
    <row r="134" spans="1:11" ht="15.75">
      <c r="B134" s="268">
        <v>6</v>
      </c>
      <c r="C134" s="399" t="s">
        <v>212</v>
      </c>
      <c r="D134" s="399"/>
      <c r="E134" s="399"/>
      <c r="F134" s="423" t="s">
        <v>148</v>
      </c>
      <c r="G134" s="423"/>
      <c r="H134" s="424" t="s">
        <v>141</v>
      </c>
      <c r="I134" s="243"/>
    </row>
    <row r="135" spans="1:11" ht="15.75">
      <c r="B135" s="270" t="s">
        <v>86</v>
      </c>
      <c r="C135" s="425" t="s">
        <v>217</v>
      </c>
      <c r="D135" s="425"/>
      <c r="E135" s="425"/>
      <c r="F135" s="426" t="s">
        <v>218</v>
      </c>
      <c r="G135" s="427" t="e">
        <f>H149+H150+H151+H152+H153</f>
        <v>#REF!</v>
      </c>
      <c r="H135" s="428" t="e">
        <f>ROUND(G135*G136,2)</f>
        <v>#REF!</v>
      </c>
      <c r="I135" s="243"/>
      <c r="J135" s="117"/>
    </row>
    <row r="136" spans="1:11" ht="15.75">
      <c r="B136" s="270"/>
      <c r="C136" s="425"/>
      <c r="D136" s="425"/>
      <c r="E136" s="425"/>
      <c r="F136" s="429" t="s">
        <v>148</v>
      </c>
      <c r="G136" s="430" t="e">
        <f>'INFORMAÇÕES BÁSICAS'!#REF!</f>
        <v>#REF!</v>
      </c>
      <c r="H136" s="428"/>
      <c r="I136" s="243"/>
      <c r="J136" s="458">
        <f>SUM(J118:J135)</f>
        <v>0</v>
      </c>
      <c r="K136" s="458"/>
    </row>
    <row r="137" spans="1:11" ht="15.75">
      <c r="B137" s="270" t="s">
        <v>88</v>
      </c>
      <c r="C137" s="431" t="s">
        <v>219</v>
      </c>
      <c r="D137" s="431"/>
      <c r="E137" s="431"/>
      <c r="F137" s="432" t="s">
        <v>218</v>
      </c>
      <c r="G137" s="433" t="e">
        <f>H47+H90+H100+H126+H131+H135</f>
        <v>#REF!</v>
      </c>
      <c r="H137" s="428" t="e">
        <f>ROUND(G137*G138,2)</f>
        <v>#REF!</v>
      </c>
      <c r="I137" s="243"/>
      <c r="K137" s="117"/>
    </row>
    <row r="138" spans="1:11" ht="15.75">
      <c r="B138" s="270"/>
      <c r="C138" s="431"/>
      <c r="D138" s="431"/>
      <c r="E138" s="431"/>
      <c r="F138" s="429" t="s">
        <v>148</v>
      </c>
      <c r="G138" s="430" t="e">
        <f>'INFORMAÇÕES BÁSICAS'!#REF!</f>
        <v>#REF!</v>
      </c>
      <c r="H138" s="428"/>
      <c r="I138" s="243"/>
      <c r="K138" s="117"/>
    </row>
    <row r="139" spans="1:11" ht="15.75">
      <c r="B139" s="270" t="s">
        <v>90</v>
      </c>
      <c r="C139" s="425" t="s">
        <v>220</v>
      </c>
      <c r="D139" s="434"/>
      <c r="E139" s="435"/>
      <c r="F139" s="436"/>
      <c r="G139" s="436"/>
      <c r="H139" s="437"/>
      <c r="I139" s="243"/>
      <c r="K139" s="117"/>
    </row>
    <row r="140" spans="1:11">
      <c r="B140" s="438"/>
      <c r="C140" s="439"/>
      <c r="D140" s="440" t="s">
        <v>221</v>
      </c>
      <c r="E140" s="440"/>
      <c r="F140" s="441">
        <f>IF($F$8=1,0.0165,IF($F$8=2,0.0065,IF($F$8=3,D195,IF($F$8=4,D195,"ESCOLHA UM RT"))))</f>
        <v>1.6500000000000001E-2</v>
      </c>
      <c r="G140" s="441"/>
      <c r="H140" s="442" t="e">
        <f>ROUND(($G$137/(1-$F$145))*F140,2)</f>
        <v>#REF!</v>
      </c>
      <c r="I140" s="243"/>
      <c r="K140" s="117"/>
    </row>
    <row r="141" spans="1:11">
      <c r="B141" s="438"/>
      <c r="C141" s="439"/>
      <c r="D141" s="440" t="s">
        <v>222</v>
      </c>
      <c r="E141" s="440"/>
      <c r="F141" s="441">
        <f>IF($F$8=1,0.076,IF($F$8=2,0.03,IF($F$8=3,E195,IF($F$8=4,E195,"ESCOLHA UM RT"))))</f>
        <v>7.5999999999999998E-2</v>
      </c>
      <c r="G141" s="441"/>
      <c r="H141" s="442" t="e">
        <f>ROUND(($G$137/(1-$F$145))*F141,2)</f>
        <v>#REF!</v>
      </c>
      <c r="I141" s="243"/>
      <c r="K141" s="117"/>
    </row>
    <row r="142" spans="1:11" ht="285">
      <c r="B142" s="443"/>
      <c r="C142" s="444" t="s">
        <v>223</v>
      </c>
      <c r="D142" s="444"/>
      <c r="E142" s="444"/>
      <c r="F142" s="444"/>
      <c r="G142" s="444"/>
      <c r="H142" s="442">
        <v>0</v>
      </c>
      <c r="I142" s="243"/>
      <c r="K142" s="117"/>
    </row>
    <row r="143" spans="1:11" ht="15.75">
      <c r="B143" s="270"/>
      <c r="C143" s="445" t="s">
        <v>224</v>
      </c>
      <c r="D143" s="445"/>
      <c r="E143" s="445"/>
      <c r="F143" s="446">
        <v>0</v>
      </c>
      <c r="G143" s="446"/>
      <c r="H143" s="442" t="e">
        <f>F143*(H47+H90+H131+H67+H135)</f>
        <v>#REF!</v>
      </c>
      <c r="I143" s="243"/>
      <c r="K143" s="117"/>
    </row>
    <row r="144" spans="1:11" ht="15.75">
      <c r="B144" s="270"/>
      <c r="C144" s="445" t="s">
        <v>225</v>
      </c>
      <c r="D144" s="445"/>
      <c r="E144" s="445"/>
      <c r="F144" s="441">
        <f>'INFORMAÇÕES BÁSICAS'!E77</f>
        <v>0.05</v>
      </c>
      <c r="G144" s="441"/>
      <c r="H144" s="442" t="e">
        <f>((G137+H137)/(1-F139))*F144</f>
        <v>#REF!</v>
      </c>
      <c r="I144" s="243"/>
      <c r="K144" s="117"/>
    </row>
    <row r="145" spans="1:12" ht="15.75">
      <c r="B145" s="190" t="s">
        <v>226</v>
      </c>
      <c r="C145" s="190"/>
      <c r="D145" s="190"/>
      <c r="E145" s="190"/>
      <c r="F145" s="447">
        <f>SUM(F140:G144)</f>
        <v>0.14250000000000002</v>
      </c>
      <c r="G145" s="447"/>
      <c r="H145" s="191" t="e">
        <f>SUM(H135:H144)</f>
        <v>#REF!</v>
      </c>
      <c r="K145" s="117"/>
    </row>
    <row r="146" spans="1:12">
      <c r="B146" s="192"/>
      <c r="C146" s="401"/>
      <c r="D146" s="401"/>
      <c r="E146" s="401"/>
      <c r="F146" s="448"/>
      <c r="G146" s="448"/>
      <c r="H146" s="194"/>
      <c r="K146" s="117"/>
    </row>
    <row r="147" spans="1:12" ht="26.25">
      <c r="A147" s="67"/>
      <c r="B147" s="282" t="s">
        <v>227</v>
      </c>
      <c r="C147" s="282"/>
      <c r="D147" s="282"/>
      <c r="E147" s="282"/>
      <c r="F147" s="282"/>
      <c r="G147" s="282"/>
      <c r="H147" s="282"/>
      <c r="I147" s="67"/>
    </row>
    <row r="148" spans="1:12">
      <c r="A148" s="67"/>
      <c r="B148" s="283" t="s">
        <v>103</v>
      </c>
      <c r="C148" s="283"/>
      <c r="D148" s="283"/>
      <c r="E148" s="283"/>
      <c r="F148" s="283"/>
      <c r="G148" s="283"/>
      <c r="H148" s="283"/>
      <c r="I148" s="67"/>
    </row>
    <row r="149" spans="1:12">
      <c r="A149" s="67"/>
      <c r="B149" s="150" t="s">
        <v>86</v>
      </c>
      <c r="C149" s="284" t="s">
        <v>228</v>
      </c>
      <c r="D149" s="285"/>
      <c r="E149" s="285"/>
      <c r="F149" s="285"/>
      <c r="G149" s="286"/>
      <c r="H149" s="287" t="e">
        <f>H47</f>
        <v>#REF!</v>
      </c>
      <c r="I149" s="67"/>
    </row>
    <row r="150" spans="1:12">
      <c r="A150" s="67"/>
      <c r="B150" s="150" t="s">
        <v>88</v>
      </c>
      <c r="C150" s="284" t="s">
        <v>229</v>
      </c>
      <c r="D150" s="285"/>
      <c r="E150" s="285"/>
      <c r="F150" s="285"/>
      <c r="G150" s="286"/>
      <c r="H150" s="288" t="e">
        <f>H90</f>
        <v>#REF!</v>
      </c>
      <c r="I150" s="67"/>
      <c r="L150" s="459"/>
    </row>
    <row r="151" spans="1:12">
      <c r="A151" s="67"/>
      <c r="B151" s="150" t="s">
        <v>90</v>
      </c>
      <c r="C151" s="284" t="s">
        <v>230</v>
      </c>
      <c r="D151" s="285"/>
      <c r="E151" s="285"/>
      <c r="F151" s="285"/>
      <c r="G151" s="286"/>
      <c r="H151" s="288" t="e">
        <f>H100</f>
        <v>#REF!</v>
      </c>
      <c r="I151" s="67"/>
    </row>
    <row r="152" spans="1:12">
      <c r="A152" s="67"/>
      <c r="B152" s="150" t="s">
        <v>92</v>
      </c>
      <c r="C152" s="284" t="s">
        <v>231</v>
      </c>
      <c r="D152" s="285"/>
      <c r="E152" s="285"/>
      <c r="F152" s="285"/>
      <c r="G152" s="286"/>
      <c r="H152" s="288" t="e">
        <f>H126</f>
        <v>#REF!</v>
      </c>
      <c r="I152" s="67"/>
    </row>
    <row r="153" spans="1:12">
      <c r="B153" s="150" t="s">
        <v>152</v>
      </c>
      <c r="C153" s="284" t="s">
        <v>232</v>
      </c>
      <c r="D153" s="285"/>
      <c r="E153" s="285"/>
      <c r="F153" s="285"/>
      <c r="G153" s="286"/>
      <c r="H153" s="288">
        <f>H131</f>
        <v>173.08445833333334</v>
      </c>
      <c r="I153" s="154"/>
    </row>
    <row r="154" spans="1:12">
      <c r="B154" s="289"/>
      <c r="C154" s="290" t="s">
        <v>233</v>
      </c>
      <c r="D154" s="290"/>
      <c r="E154" s="290"/>
      <c r="F154" s="290"/>
      <c r="G154" s="290"/>
      <c r="H154" s="291" t="e">
        <f>SUM(H149:H153)</f>
        <v>#REF!</v>
      </c>
    </row>
    <row r="155" spans="1:12">
      <c r="B155" s="289" t="s">
        <v>129</v>
      </c>
      <c r="C155" s="292" t="s">
        <v>234</v>
      </c>
      <c r="D155" s="293"/>
      <c r="E155" s="293"/>
      <c r="F155" s="293"/>
      <c r="G155" s="294"/>
      <c r="H155" s="295" t="e">
        <f>H145</f>
        <v>#REF!</v>
      </c>
    </row>
    <row r="156" spans="1:12" ht="23.25">
      <c r="B156" s="296" t="s">
        <v>235</v>
      </c>
      <c r="C156" s="296"/>
      <c r="D156" s="296"/>
      <c r="E156" s="296"/>
      <c r="F156" s="296"/>
      <c r="G156" s="296"/>
      <c r="H156" s="297" t="e">
        <f>SUM(H154:H155)</f>
        <v>#REF!</v>
      </c>
    </row>
    <row r="157" spans="1:12">
      <c r="A157" s="183"/>
      <c r="B157" s="298"/>
      <c r="C157" s="299"/>
      <c r="D157" s="299"/>
      <c r="E157" s="299"/>
      <c r="F157" s="300"/>
      <c r="G157" s="300"/>
      <c r="H157" s="301"/>
      <c r="I157" s="185"/>
    </row>
    <row r="158" spans="1:12" ht="26.25">
      <c r="A158" s="67"/>
      <c r="B158" s="98" t="s">
        <v>236</v>
      </c>
      <c r="C158" s="98"/>
      <c r="D158" s="98"/>
      <c r="E158" s="98"/>
      <c r="F158" s="98"/>
      <c r="G158" s="98"/>
      <c r="H158" s="98"/>
      <c r="I158" s="67"/>
    </row>
    <row r="159" spans="1:12">
      <c r="A159" s="67"/>
      <c r="B159" s="302" t="s">
        <v>103</v>
      </c>
      <c r="C159" s="302"/>
      <c r="D159" s="302"/>
      <c r="E159" s="302"/>
      <c r="F159" s="302"/>
      <c r="G159" s="302"/>
      <c r="H159" s="302"/>
      <c r="I159" s="67"/>
    </row>
    <row r="160" spans="1:12" ht="105">
      <c r="A160" s="67"/>
      <c r="B160" s="303" t="s">
        <v>237</v>
      </c>
      <c r="C160" s="303"/>
      <c r="D160" s="304" t="s">
        <v>238</v>
      </c>
      <c r="E160" s="304" t="s">
        <v>239</v>
      </c>
      <c r="F160" s="304" t="s">
        <v>240</v>
      </c>
      <c r="G160" s="304" t="s">
        <v>275</v>
      </c>
      <c r="H160" s="305" t="s">
        <v>276</v>
      </c>
      <c r="I160" s="67"/>
    </row>
    <row r="161" spans="1:9" ht="409.5">
      <c r="A161" s="67"/>
      <c r="B161" s="449" t="str">
        <f>H24</f>
        <v>Motorista - Contratação de pessoa jurídica para prestação de serviços continuados de motorista, habilitado na categoria “D”, com dedicação exclusiva de mão de obra, nas dependências doIF Farroupilha-, em jornada de 40 horas semanais.</v>
      </c>
      <c r="C161" s="449"/>
      <c r="D161" s="450" t="e">
        <f>H156</f>
        <v>#REF!</v>
      </c>
      <c r="E161" s="451" t="e">
        <f>H15</f>
        <v>#REF!</v>
      </c>
      <c r="F161" s="452" t="e">
        <f>D161*E161</f>
        <v>#REF!</v>
      </c>
      <c r="G161" s="453" t="e">
        <f>'INFORMAÇÕES BÁSICAS'!#REF!</f>
        <v>#REF!</v>
      </c>
      <c r="H161" s="308" t="e">
        <f>F161*G161</f>
        <v>#REF!</v>
      </c>
      <c r="I161" s="67"/>
    </row>
    <row r="162" spans="1:9" ht="26.25">
      <c r="A162" s="185"/>
      <c r="B162" s="309" t="s">
        <v>242</v>
      </c>
      <c r="C162" s="309"/>
      <c r="D162" s="309"/>
      <c r="E162" s="309"/>
      <c r="F162" s="309"/>
      <c r="G162" s="309"/>
      <c r="H162" s="310" t="e">
        <f>SUM(H161)</f>
        <v>#REF!</v>
      </c>
      <c r="I162" s="185"/>
    </row>
    <row r="163" spans="1:9">
      <c r="A163" s="185"/>
      <c r="B163" s="298"/>
      <c r="C163" s="298"/>
      <c r="D163" s="388"/>
      <c r="E163" s="388"/>
      <c r="F163" s="388"/>
      <c r="G163" s="388"/>
      <c r="H163" s="311"/>
    </row>
    <row r="164" spans="1:9" ht="26.25">
      <c r="A164" s="67"/>
      <c r="B164" s="98" t="s">
        <v>243</v>
      </c>
      <c r="C164" s="98"/>
      <c r="D164" s="98"/>
      <c r="E164" s="98"/>
      <c r="F164" s="98"/>
      <c r="G164" s="98"/>
      <c r="H164" s="98"/>
      <c r="I164" s="67"/>
    </row>
    <row r="165" spans="1:9">
      <c r="A165" s="67"/>
      <c r="B165" s="312" t="s">
        <v>244</v>
      </c>
      <c r="C165" s="312"/>
      <c r="D165" s="312"/>
      <c r="E165" s="312"/>
      <c r="F165" s="312"/>
      <c r="G165" s="312"/>
      <c r="H165" s="313" t="s">
        <v>245</v>
      </c>
      <c r="I165" s="67"/>
    </row>
    <row r="166" spans="1:9" ht="63">
      <c r="A166" s="67"/>
      <c r="B166" s="314" t="s">
        <v>86</v>
      </c>
      <c r="C166" s="315" t="s">
        <v>277</v>
      </c>
      <c r="D166" s="315"/>
      <c r="E166" s="315"/>
      <c r="F166" s="315"/>
      <c r="G166" s="315"/>
      <c r="H166" s="316" t="e">
        <f>H162</f>
        <v>#REF!</v>
      </c>
      <c r="I166" s="67"/>
    </row>
    <row r="167" spans="1:9" ht="94.5">
      <c r="A167" s="67"/>
      <c r="B167" s="317" t="s">
        <v>88</v>
      </c>
      <c r="C167" s="318" t="s">
        <v>278</v>
      </c>
      <c r="D167" s="318"/>
      <c r="E167" s="318"/>
      <c r="F167" s="318"/>
      <c r="G167" s="318"/>
      <c r="H167" s="319" t="e">
        <f>H166*H13</f>
        <v>#REF!</v>
      </c>
      <c r="I167" s="320"/>
    </row>
    <row r="168" spans="1:9">
      <c r="A168" s="185"/>
      <c r="B168" s="143"/>
      <c r="C168" s="454"/>
      <c r="D168" s="388"/>
      <c r="E168" s="388"/>
      <c r="F168" s="388"/>
      <c r="G168" s="388"/>
      <c r="H168" s="311"/>
      <c r="I168" s="185"/>
    </row>
    <row r="195" spans="4:6">
      <c r="D195" s="460" t="e">
        <f>'INFORMAÇÕES BÁSICAS'!E211</f>
        <v>#REF!</v>
      </c>
      <c r="E195" s="460" t="e">
        <f>'INFORMAÇÕES BÁSICAS'!F211</f>
        <v>#REF!</v>
      </c>
      <c r="F195" s="460"/>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dimension ref="A1:J37"/>
  <sheetViews>
    <sheetView workbookViewId="0"/>
  </sheetViews>
  <sheetFormatPr defaultRowHeight="15"/>
  <sheetData>
    <row r="1" spans="1:8" ht="21">
      <c r="B1" s="1"/>
      <c r="C1" s="461" t="s">
        <v>0</v>
      </c>
      <c r="D1" s="462"/>
      <c r="E1" s="463"/>
      <c r="F1" s="463"/>
      <c r="G1" s="464"/>
      <c r="H1" s="465"/>
    </row>
    <row r="2" spans="1:8" ht="18.75">
      <c r="B2" s="1"/>
      <c r="C2" s="466" t="s">
        <v>1</v>
      </c>
      <c r="D2" s="462"/>
      <c r="E2" s="463"/>
      <c r="F2" s="463"/>
      <c r="G2" s="464"/>
      <c r="H2" s="465"/>
    </row>
    <row r="3" spans="1:8" ht="15.75">
      <c r="B3" s="1"/>
      <c r="C3" s="467" t="s">
        <v>2</v>
      </c>
      <c r="D3" s="462"/>
      <c r="E3" s="463"/>
      <c r="F3" s="463"/>
      <c r="G3" s="464"/>
      <c r="H3" s="465"/>
    </row>
    <row r="4" spans="1:8" ht="15.75">
      <c r="B4" s="1"/>
      <c r="C4" s="468" t="s">
        <v>279</v>
      </c>
      <c r="D4" s="462"/>
      <c r="E4" s="469"/>
      <c r="F4" s="469"/>
      <c r="G4" s="464"/>
      <c r="H4" s="465"/>
    </row>
    <row r="5" spans="1:8" ht="23.25">
      <c r="B5" s="1"/>
      <c r="C5" s="470" t="s">
        <v>280</v>
      </c>
      <c r="D5" s="470"/>
      <c r="E5" s="470"/>
      <c r="F5" s="470"/>
      <c r="G5" s="470"/>
      <c r="H5" s="470"/>
    </row>
    <row r="6" spans="1:8" ht="23.25">
      <c r="B6" s="1"/>
      <c r="C6" s="470"/>
      <c r="D6" s="470"/>
      <c r="E6" s="470"/>
      <c r="F6" s="470"/>
      <c r="G6" s="470"/>
      <c r="H6" s="470"/>
    </row>
    <row r="7" spans="1:8" ht="23.25">
      <c r="B7" s="1"/>
      <c r="C7" s="470"/>
      <c r="D7" s="470"/>
      <c r="E7" s="470"/>
      <c r="F7" s="470"/>
      <c r="G7" s="470"/>
      <c r="H7" s="470"/>
    </row>
    <row r="8" spans="1:8" ht="15.75">
      <c r="B8" s="472" t="s">
        <v>281</v>
      </c>
      <c r="C8" s="473" t="str">
        <f>'INFORMAÇÕES BÁSICAS'!D24</f>
        <v>23238.000559/2019-70</v>
      </c>
      <c r="D8" s="473"/>
      <c r="E8" s="473"/>
      <c r="F8" s="474" t="s">
        <v>282</v>
      </c>
      <c r="G8" s="475" t="str">
        <f>'INFORMAÇÕES BÁSICAS'!D25</f>
        <v>10/2019</v>
      </c>
      <c r="H8" s="475"/>
    </row>
    <row r="9" spans="1:8" ht="23.25">
      <c r="B9" s="1"/>
      <c r="C9" s="470"/>
      <c r="D9" s="470"/>
      <c r="E9" s="470"/>
      <c r="F9" s="470"/>
      <c r="G9" s="470"/>
      <c r="H9" s="470"/>
    </row>
    <row r="10" spans="1:8" ht="78.75">
      <c r="A10" s="471"/>
      <c r="B10" s="476" t="s">
        <v>283</v>
      </c>
      <c r="C10" s="477" t="s">
        <v>284</v>
      </c>
      <c r="D10" s="477" t="s">
        <v>285</v>
      </c>
      <c r="E10" s="477" t="s">
        <v>286</v>
      </c>
      <c r="F10" s="478" t="s">
        <v>287</v>
      </c>
      <c r="G10" s="478" t="s">
        <v>288</v>
      </c>
      <c r="H10" s="479" t="s">
        <v>289</v>
      </c>
    </row>
    <row r="11" spans="1:8" ht="300">
      <c r="A11" s="471"/>
      <c r="B11" s="480" t="s">
        <v>290</v>
      </c>
      <c r="C11" s="481" t="s">
        <v>291</v>
      </c>
      <c r="D11" s="482">
        <v>88</v>
      </c>
      <c r="E11" s="481">
        <v>5</v>
      </c>
      <c r="F11" s="483">
        <f t="shared" ref="F11:F28" si="0">E11*D11</f>
        <v>440</v>
      </c>
      <c r="G11" s="483">
        <f t="shared" ref="G11:G28" si="1">F11/30</f>
        <v>14.666666666666666</v>
      </c>
      <c r="H11" s="484" t="s">
        <v>292</v>
      </c>
    </row>
    <row r="12" spans="1:8" ht="375">
      <c r="A12" s="471"/>
      <c r="B12" s="485" t="s">
        <v>293</v>
      </c>
      <c r="C12" s="486" t="s">
        <v>291</v>
      </c>
      <c r="D12" s="487">
        <v>389.06</v>
      </c>
      <c r="E12" s="486">
        <v>3</v>
      </c>
      <c r="F12" s="488">
        <f t="shared" si="0"/>
        <v>1167.18</v>
      </c>
      <c r="G12" s="488">
        <f t="shared" si="1"/>
        <v>38.905999999999999</v>
      </c>
      <c r="H12" s="489" t="s">
        <v>294</v>
      </c>
    </row>
    <row r="13" spans="1:8" ht="240">
      <c r="A13" s="471"/>
      <c r="B13" s="490" t="s">
        <v>295</v>
      </c>
      <c r="C13" s="486" t="s">
        <v>291</v>
      </c>
      <c r="D13" s="487">
        <v>136.88</v>
      </c>
      <c r="E13" s="486">
        <v>5</v>
      </c>
      <c r="F13" s="488">
        <f t="shared" si="0"/>
        <v>684.4</v>
      </c>
      <c r="G13" s="488">
        <f t="shared" si="1"/>
        <v>22.813333333333333</v>
      </c>
      <c r="H13" s="489" t="s">
        <v>292</v>
      </c>
    </row>
    <row r="14" spans="1:8" ht="240">
      <c r="A14" s="471"/>
      <c r="B14" s="490" t="s">
        <v>296</v>
      </c>
      <c r="C14" s="486" t="s">
        <v>291</v>
      </c>
      <c r="D14" s="487">
        <v>83.75</v>
      </c>
      <c r="E14" s="486">
        <v>5</v>
      </c>
      <c r="F14" s="488">
        <f t="shared" si="0"/>
        <v>418.75</v>
      </c>
      <c r="G14" s="488">
        <f t="shared" si="1"/>
        <v>13.958333333333334</v>
      </c>
      <c r="H14" s="489" t="s">
        <v>292</v>
      </c>
    </row>
    <row r="15" spans="1:8" ht="345">
      <c r="A15" s="471"/>
      <c r="B15" s="490" t="s">
        <v>297</v>
      </c>
      <c r="C15" s="486" t="s">
        <v>291</v>
      </c>
      <c r="D15" s="487">
        <v>280.99</v>
      </c>
      <c r="E15" s="486">
        <v>3</v>
      </c>
      <c r="F15" s="488">
        <f t="shared" si="0"/>
        <v>842.97</v>
      </c>
      <c r="G15" s="488">
        <f t="shared" si="1"/>
        <v>28.099</v>
      </c>
      <c r="H15" s="489" t="s">
        <v>294</v>
      </c>
    </row>
    <row r="16" spans="1:8" ht="90">
      <c r="A16" s="471"/>
      <c r="B16" s="490" t="s">
        <v>298</v>
      </c>
      <c r="C16" s="486" t="s">
        <v>291</v>
      </c>
      <c r="D16" s="487">
        <v>42.4</v>
      </c>
      <c r="E16" s="486">
        <v>5</v>
      </c>
      <c r="F16" s="488">
        <f t="shared" si="0"/>
        <v>212</v>
      </c>
      <c r="G16" s="488">
        <f t="shared" si="1"/>
        <v>7.0666666666666664</v>
      </c>
      <c r="H16" s="489" t="s">
        <v>292</v>
      </c>
    </row>
    <row r="17" spans="1:10" ht="60">
      <c r="A17" s="471"/>
      <c r="B17" s="490" t="s">
        <v>299</v>
      </c>
      <c r="C17" s="486" t="s">
        <v>291</v>
      </c>
      <c r="D17" s="487">
        <v>80.37</v>
      </c>
      <c r="E17" s="486">
        <v>3</v>
      </c>
      <c r="F17" s="488">
        <f t="shared" si="0"/>
        <v>241.11</v>
      </c>
      <c r="G17" s="488">
        <f t="shared" si="1"/>
        <v>8.0370000000000008</v>
      </c>
      <c r="H17" s="489" t="s">
        <v>294</v>
      </c>
    </row>
    <row r="18" spans="1:10" ht="120">
      <c r="A18" s="471"/>
      <c r="B18" s="490" t="s">
        <v>300</v>
      </c>
      <c r="C18" s="486" t="s">
        <v>291</v>
      </c>
      <c r="D18" s="487">
        <v>11.56</v>
      </c>
      <c r="E18" s="486">
        <v>10</v>
      </c>
      <c r="F18" s="488">
        <f t="shared" si="0"/>
        <v>115.60000000000001</v>
      </c>
      <c r="G18" s="488">
        <f t="shared" si="1"/>
        <v>3.8533333333333335</v>
      </c>
      <c r="H18" s="489" t="s">
        <v>301</v>
      </c>
    </row>
    <row r="19" spans="1:10" ht="90">
      <c r="A19" s="471"/>
      <c r="B19" s="490" t="s">
        <v>302</v>
      </c>
      <c r="C19" s="486" t="s">
        <v>291</v>
      </c>
      <c r="D19" s="487">
        <v>40</v>
      </c>
      <c r="E19" s="486">
        <v>3</v>
      </c>
      <c r="F19" s="488">
        <f t="shared" si="0"/>
        <v>120</v>
      </c>
      <c r="G19" s="488">
        <f t="shared" si="1"/>
        <v>4</v>
      </c>
      <c r="H19" s="489" t="s">
        <v>294</v>
      </c>
    </row>
    <row r="20" spans="1:10" ht="90">
      <c r="A20" s="471"/>
      <c r="B20" s="490" t="s">
        <v>303</v>
      </c>
      <c r="C20" s="486" t="s">
        <v>291</v>
      </c>
      <c r="D20" s="487">
        <v>482</v>
      </c>
      <c r="E20" s="486">
        <v>0.5</v>
      </c>
      <c r="F20" s="488">
        <f t="shared" si="0"/>
        <v>241</v>
      </c>
      <c r="G20" s="488">
        <f t="shared" si="1"/>
        <v>8.0333333333333332</v>
      </c>
      <c r="H20" s="489" t="s">
        <v>304</v>
      </c>
    </row>
    <row r="21" spans="1:10" ht="60">
      <c r="A21" s="471"/>
      <c r="B21" s="490" t="s">
        <v>305</v>
      </c>
      <c r="C21" s="486" t="s">
        <v>291</v>
      </c>
      <c r="D21" s="487">
        <v>19.13</v>
      </c>
      <c r="E21" s="486">
        <v>0.5</v>
      </c>
      <c r="F21" s="488">
        <f t="shared" si="0"/>
        <v>9.5649999999999995</v>
      </c>
      <c r="G21" s="488">
        <f t="shared" si="1"/>
        <v>0.3188333333333333</v>
      </c>
      <c r="H21" s="489" t="s">
        <v>304</v>
      </c>
    </row>
    <row r="22" spans="1:10" ht="60">
      <c r="A22" s="471"/>
      <c r="B22" s="490" t="s">
        <v>306</v>
      </c>
      <c r="C22" s="486" t="s">
        <v>291</v>
      </c>
      <c r="D22" s="487">
        <v>11.21</v>
      </c>
      <c r="E22" s="486">
        <v>5</v>
      </c>
      <c r="F22" s="488">
        <f t="shared" si="0"/>
        <v>56.050000000000004</v>
      </c>
      <c r="G22" s="488">
        <f t="shared" si="1"/>
        <v>1.8683333333333334</v>
      </c>
      <c r="H22" s="489" t="s">
        <v>292</v>
      </c>
    </row>
    <row r="23" spans="1:10" ht="210">
      <c r="A23" s="471"/>
      <c r="B23" s="490" t="s">
        <v>307</v>
      </c>
      <c r="C23" s="486" t="s">
        <v>291</v>
      </c>
      <c r="D23" s="487">
        <v>25</v>
      </c>
      <c r="E23" s="486">
        <v>0.5</v>
      </c>
      <c r="F23" s="488">
        <f t="shared" si="0"/>
        <v>12.5</v>
      </c>
      <c r="G23" s="488">
        <f t="shared" si="1"/>
        <v>0.41666666666666669</v>
      </c>
      <c r="H23" s="489" t="s">
        <v>304</v>
      </c>
    </row>
    <row r="24" spans="1:10" ht="165">
      <c r="A24" s="471"/>
      <c r="B24" s="490" t="s">
        <v>308</v>
      </c>
      <c r="C24" s="486" t="s">
        <v>291</v>
      </c>
      <c r="D24" s="487">
        <v>20.87</v>
      </c>
      <c r="E24" s="486">
        <v>0.5</v>
      </c>
      <c r="F24" s="488">
        <f t="shared" si="0"/>
        <v>10.435</v>
      </c>
      <c r="G24" s="488">
        <f t="shared" si="1"/>
        <v>0.34783333333333333</v>
      </c>
      <c r="H24" s="489" t="s">
        <v>304</v>
      </c>
    </row>
    <row r="25" spans="1:10" ht="180">
      <c r="A25" s="471"/>
      <c r="B25" s="490" t="s">
        <v>309</v>
      </c>
      <c r="C25" s="486" t="s">
        <v>291</v>
      </c>
      <c r="D25" s="487">
        <v>198.65</v>
      </c>
      <c r="E25" s="486">
        <v>0.5</v>
      </c>
      <c r="F25" s="488">
        <f t="shared" si="0"/>
        <v>99.325000000000003</v>
      </c>
      <c r="G25" s="488">
        <f t="shared" si="1"/>
        <v>3.3108333333333335</v>
      </c>
      <c r="H25" s="489" t="s">
        <v>304</v>
      </c>
    </row>
    <row r="26" spans="1:10" ht="285">
      <c r="A26" s="471"/>
      <c r="B26" s="490" t="s">
        <v>310</v>
      </c>
      <c r="C26" s="486" t="s">
        <v>291</v>
      </c>
      <c r="D26" s="487">
        <v>414</v>
      </c>
      <c r="E26" s="486">
        <v>0.5</v>
      </c>
      <c r="F26" s="488">
        <f t="shared" si="0"/>
        <v>207</v>
      </c>
      <c r="G26" s="488">
        <f t="shared" si="1"/>
        <v>6.9</v>
      </c>
      <c r="H26" s="489" t="s">
        <v>304</v>
      </c>
    </row>
    <row r="27" spans="1:10" ht="105">
      <c r="A27" s="471"/>
      <c r="B27" s="490" t="s">
        <v>311</v>
      </c>
      <c r="C27" s="486" t="s">
        <v>291</v>
      </c>
      <c r="D27" s="487">
        <v>1662.19</v>
      </c>
      <c r="E27" s="491">
        <v>0.125</v>
      </c>
      <c r="F27" s="488">
        <f t="shared" si="0"/>
        <v>207.77375000000001</v>
      </c>
      <c r="G27" s="488">
        <f t="shared" si="1"/>
        <v>6.925791666666667</v>
      </c>
      <c r="H27" s="489" t="s">
        <v>312</v>
      </c>
    </row>
    <row r="28" spans="1:10" ht="60">
      <c r="A28" s="471"/>
      <c r="B28" s="490" t="s">
        <v>313</v>
      </c>
      <c r="C28" s="486" t="s">
        <v>291</v>
      </c>
      <c r="D28" s="487">
        <v>855</v>
      </c>
      <c r="E28" s="486">
        <v>0.125</v>
      </c>
      <c r="F28" s="488">
        <f t="shared" si="0"/>
        <v>106.875</v>
      </c>
      <c r="G28" s="488">
        <f t="shared" si="1"/>
        <v>3.5625</v>
      </c>
      <c r="H28" s="489" t="s">
        <v>312</v>
      </c>
    </row>
    <row r="29" spans="1:10" ht="78.75">
      <c r="A29" s="471"/>
      <c r="B29" s="492" t="s">
        <v>314</v>
      </c>
      <c r="C29" s="492"/>
      <c r="D29" s="492"/>
      <c r="E29" s="493">
        <f>SUM(F11:F28)</f>
        <v>5192.5337500000005</v>
      </c>
      <c r="F29" s="493"/>
      <c r="G29" s="458">
        <f>SUM(G11:G28)</f>
        <v>173.08445833333334</v>
      </c>
      <c r="H29" s="458"/>
      <c r="I29" s="494"/>
      <c r="J29" s="494"/>
    </row>
    <row r="30" spans="1:10" ht="15.75">
      <c r="A30" s="471"/>
      <c r="B30" s="495"/>
      <c r="C30" s="495"/>
      <c r="D30" s="495"/>
      <c r="E30" s="495"/>
      <c r="F30" s="496"/>
      <c r="G30" s="496"/>
      <c r="H30" s="495"/>
      <c r="I30" s="494"/>
      <c r="J30" s="494"/>
    </row>
    <row r="31" spans="1:10" ht="15.75">
      <c r="A31" s="471"/>
      <c r="B31" s="497" t="s">
        <v>315</v>
      </c>
      <c r="C31" s="497"/>
      <c r="D31" s="497"/>
      <c r="E31" s="497"/>
      <c r="F31" s="497"/>
      <c r="G31" s="497"/>
      <c r="H31" s="497"/>
      <c r="I31" s="494"/>
      <c r="J31" s="494"/>
    </row>
    <row r="32" spans="1:10" ht="15.75">
      <c r="B32" s="498" t="s">
        <v>316</v>
      </c>
      <c r="C32" s="498"/>
      <c r="D32" s="498"/>
      <c r="E32" s="498"/>
      <c r="F32" s="498"/>
      <c r="G32" s="498"/>
      <c r="H32" s="498"/>
    </row>
    <row r="33" spans="2:8">
      <c r="B33" s="499" t="s">
        <v>317</v>
      </c>
      <c r="C33" s="499"/>
      <c r="D33" s="499"/>
      <c r="E33" s="499"/>
      <c r="F33" s="499"/>
      <c r="G33" s="499"/>
      <c r="H33" s="499"/>
    </row>
    <row r="34" spans="2:8">
      <c r="B34" s="499" t="s">
        <v>318</v>
      </c>
      <c r="C34" s="499"/>
      <c r="D34" s="499"/>
      <c r="E34" s="499"/>
      <c r="F34" s="499"/>
      <c r="G34" s="499"/>
      <c r="H34" s="499"/>
    </row>
    <row r="35" spans="2:8">
      <c r="B35" s="499" t="s">
        <v>319</v>
      </c>
      <c r="C35" s="499"/>
      <c r="D35" s="499"/>
      <c r="E35" s="499"/>
      <c r="F35" s="499"/>
      <c r="G35" s="499"/>
      <c r="H35" s="499"/>
    </row>
    <row r="36" spans="2:8">
      <c r="B36" s="499" t="s">
        <v>320</v>
      </c>
      <c r="C36" s="499"/>
      <c r="D36" s="499"/>
      <c r="E36" s="499"/>
      <c r="F36" s="499"/>
      <c r="G36" s="499"/>
      <c r="H36" s="499"/>
    </row>
    <row r="37" spans="2:8">
      <c r="B37" s="500" t="s">
        <v>321</v>
      </c>
      <c r="C37" s="500"/>
      <c r="D37" s="500"/>
      <c r="E37" s="500"/>
      <c r="F37" s="500"/>
      <c r="G37" s="500"/>
      <c r="H37" s="500"/>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sheetPr>
    <tabColor rgb="FF00B050"/>
  </sheetPr>
  <dimension ref="A1:M190"/>
  <sheetViews>
    <sheetView topLeftCell="A48" zoomScaleNormal="100" workbookViewId="0">
      <selection activeCell="O67" sqref="O67"/>
    </sheetView>
  </sheetViews>
  <sheetFormatPr defaultRowHeight="15"/>
  <cols>
    <col min="1" max="1" width="0.85546875"/>
    <col min="2" max="2" width="11.7109375"/>
    <col min="3" max="3" width="15.140625"/>
    <col min="4" max="4" width="16.85546875"/>
    <col min="5" max="5" width="16.7109375"/>
    <col min="6" max="6" width="17"/>
    <col min="7" max="7" width="14.5703125"/>
    <col min="8" max="8" width="27.140625"/>
    <col min="9" max="9" width="0" hidden="1"/>
  </cols>
  <sheetData>
    <row r="1" spans="1:10" ht="23.25">
      <c r="A1" s="67"/>
      <c r="B1" s="616" t="s">
        <v>78</v>
      </c>
      <c r="C1" s="616"/>
      <c r="D1" s="616"/>
      <c r="E1" s="616"/>
      <c r="F1" s="616"/>
      <c r="G1" s="616"/>
      <c r="H1" s="616"/>
      <c r="I1" s="67"/>
      <c r="J1" s="69"/>
    </row>
    <row r="2" spans="1:10" ht="18.75">
      <c r="A2" s="67"/>
      <c r="B2" s="617" t="s">
        <v>79</v>
      </c>
      <c r="C2" s="617"/>
      <c r="D2" s="617"/>
      <c r="E2" s="617"/>
      <c r="F2" s="617"/>
      <c r="G2" s="617"/>
      <c r="H2" s="617"/>
      <c r="I2" s="67"/>
      <c r="J2" s="69"/>
    </row>
    <row r="3" spans="1:10" ht="18.75">
      <c r="A3" s="67"/>
      <c r="B3" s="733" t="str">
        <f>'INFORMAÇÕES BÁSICAS'!$B$35</f>
        <v>ELETRECISTA</v>
      </c>
      <c r="C3" s="733"/>
      <c r="D3" s="733"/>
      <c r="E3" s="733"/>
      <c r="F3" s="733"/>
      <c r="G3" s="733"/>
      <c r="H3" s="733"/>
      <c r="I3" s="67"/>
      <c r="J3" s="69"/>
    </row>
    <row r="4" spans="1:10">
      <c r="A4" s="67"/>
      <c r="B4" s="71" t="s">
        <v>31</v>
      </c>
      <c r="C4" s="72" t="str">
        <f>'INFORMAÇÕES BÁSICAS'!E24</f>
        <v>23238.000559/2019-70</v>
      </c>
      <c r="D4" s="73"/>
      <c r="E4" s="74"/>
      <c r="F4" s="75" t="s">
        <v>33</v>
      </c>
      <c r="G4" s="618" t="str">
        <f>'INFORMAÇÕES BÁSICAS'!$E$25</f>
        <v>10/2019</v>
      </c>
      <c r="H4" s="618"/>
      <c r="I4" s="67"/>
      <c r="J4" s="69"/>
    </row>
    <row r="5" spans="1:10">
      <c r="A5" s="67"/>
      <c r="B5" s="71" t="s">
        <v>80</v>
      </c>
      <c r="C5" s="734">
        <f ca="1">'INFORMAÇÕES BÁSICAS'!E26</f>
        <v>43731.368808217594</v>
      </c>
      <c r="D5" s="734"/>
      <c r="E5" s="734"/>
      <c r="F5" s="734"/>
      <c r="G5" s="734"/>
      <c r="H5" s="734"/>
      <c r="I5" s="67"/>
      <c r="J5" s="69"/>
    </row>
    <row r="6" spans="1:10">
      <c r="A6" s="67"/>
      <c r="B6" s="620" t="s">
        <v>81</v>
      </c>
      <c r="C6" s="620"/>
      <c r="D6" s="620"/>
      <c r="E6" s="620"/>
      <c r="F6" s="620"/>
      <c r="G6" s="620"/>
      <c r="H6" s="620"/>
      <c r="I6" s="78"/>
      <c r="J6" s="69"/>
    </row>
    <row r="7" spans="1:10">
      <c r="A7" s="67"/>
      <c r="B7" s="621" t="s">
        <v>82</v>
      </c>
      <c r="C7" s="621"/>
      <c r="D7" s="735" t="str">
        <f>'INFORMAÇÕES BÁSICAS'!D7</f>
        <v>xxxxxxxx</v>
      </c>
      <c r="E7" s="735"/>
      <c r="F7" s="735"/>
      <c r="G7" s="735"/>
      <c r="H7" s="735"/>
      <c r="I7" s="80"/>
      <c r="J7" s="69"/>
    </row>
    <row r="8" spans="1:10">
      <c r="A8" s="67"/>
      <c r="B8" s="621" t="s">
        <v>83</v>
      </c>
      <c r="C8" s="621"/>
      <c r="D8" s="735" t="str">
        <f>'INFORMAÇÕES BÁSICAS'!$D$8</f>
        <v>xxxxxxxxxx</v>
      </c>
      <c r="E8" s="735"/>
      <c r="F8" s="735"/>
      <c r="G8" s="735"/>
      <c r="H8" s="735"/>
      <c r="I8" s="81"/>
      <c r="J8" s="69"/>
    </row>
    <row r="9" spans="1:10">
      <c r="A9" s="67"/>
      <c r="B9" s="623" t="s">
        <v>84</v>
      </c>
      <c r="C9" s="623"/>
      <c r="D9" s="623"/>
      <c r="E9" s="623"/>
      <c r="F9" s="736">
        <f>'INFORMAÇÕES BÁSICAS'!$D$17</f>
        <v>1</v>
      </c>
      <c r="G9" s="736"/>
      <c r="H9" s="83" t="str">
        <f>IF(F9=1,"Lucro Real",IF(F9=2,"Lucro Presumido",IF(F9=3,"SIMPLES-Anexo III",IF(F9=4,"SIMPLES-Anexo IV","RT Inválido"))))</f>
        <v>Lucro Real</v>
      </c>
      <c r="I9" s="81"/>
      <c r="J9" s="69"/>
    </row>
    <row r="10" spans="1:10">
      <c r="A10" s="67"/>
      <c r="B10" s="620" t="s">
        <v>85</v>
      </c>
      <c r="C10" s="620"/>
      <c r="D10" s="620"/>
      <c r="E10" s="620"/>
      <c r="F10" s="620"/>
      <c r="G10" s="620"/>
      <c r="H10" s="620"/>
      <c r="I10" s="81"/>
      <c r="J10" s="69"/>
    </row>
    <row r="11" spans="1:10">
      <c r="A11" s="67"/>
      <c r="B11" s="84" t="s">
        <v>86</v>
      </c>
      <c r="C11" s="625" t="s">
        <v>87</v>
      </c>
      <c r="D11" s="625"/>
      <c r="E11" s="625"/>
      <c r="F11" s="625"/>
      <c r="G11" s="626">
        <f>'INFORMAÇÕES BÁSICAS'!E27</f>
        <v>43592</v>
      </c>
      <c r="H11" s="626"/>
      <c r="I11" s="81"/>
      <c r="J11" s="69"/>
    </row>
    <row r="12" spans="1:10">
      <c r="A12" s="67"/>
      <c r="B12" s="84" t="s">
        <v>88</v>
      </c>
      <c r="C12" s="625" t="s">
        <v>89</v>
      </c>
      <c r="D12" s="625"/>
      <c r="E12" s="625"/>
      <c r="F12" s="625"/>
      <c r="G12" s="737" t="str">
        <f>'INFORMAÇÕES BÁSICAS'!E28</f>
        <v>Campus Jaguari</v>
      </c>
      <c r="H12" s="737"/>
      <c r="I12" s="67"/>
      <c r="J12" s="69"/>
    </row>
    <row r="13" spans="1:10" ht="15" customHeight="1">
      <c r="A13" s="67"/>
      <c r="B13" s="571" t="s">
        <v>90</v>
      </c>
      <c r="C13" s="628" t="s">
        <v>91</v>
      </c>
      <c r="D13" s="628"/>
      <c r="E13" s="628"/>
      <c r="F13" s="628"/>
      <c r="G13" s="738">
        <f>'INFORMAÇÕES BÁSICAS'!$D$39</f>
        <v>2019</v>
      </c>
      <c r="H13" s="738"/>
      <c r="I13" s="67"/>
      <c r="J13" s="69"/>
    </row>
    <row r="14" spans="1:10">
      <c r="A14" s="67"/>
      <c r="B14" s="84" t="s">
        <v>92</v>
      </c>
      <c r="C14" s="625" t="s">
        <v>93</v>
      </c>
      <c r="D14" s="625"/>
      <c r="E14" s="625"/>
      <c r="F14" s="625"/>
      <c r="G14" s="625"/>
      <c r="H14" s="89">
        <f>'INFORMAÇÕES BÁSICAS'!E34</f>
        <v>30</v>
      </c>
      <c r="I14" s="67"/>
      <c r="J14" s="69"/>
    </row>
    <row r="15" spans="1:10" ht="15" customHeight="1">
      <c r="A15" s="67"/>
      <c r="B15" s="739" t="s">
        <v>94</v>
      </c>
      <c r="C15" s="631" t="s">
        <v>95</v>
      </c>
      <c r="D15" s="631"/>
      <c r="E15" s="92">
        <f>F35/G34</f>
        <v>7.0090909090909097</v>
      </c>
      <c r="F15" s="632"/>
      <c r="G15" s="632"/>
      <c r="H15" s="94"/>
      <c r="I15" s="67"/>
    </row>
    <row r="16" spans="1:10" ht="15" customHeight="1">
      <c r="A16" s="67"/>
      <c r="B16" s="739"/>
      <c r="C16" s="631" t="s">
        <v>96</v>
      </c>
      <c r="D16" s="631"/>
      <c r="E16" s="92">
        <f>E15*1.5</f>
        <v>10.513636363636365</v>
      </c>
      <c r="F16" s="632" t="s">
        <v>97</v>
      </c>
      <c r="G16" s="632"/>
      <c r="H16" s="95" t="str">
        <f>'INFORMAÇÕES BÁSICAS'!$D$32</f>
        <v>01</v>
      </c>
      <c r="I16" s="67"/>
    </row>
    <row r="17" spans="1:10" ht="15" customHeight="1">
      <c r="A17" s="67"/>
      <c r="B17" s="739"/>
      <c r="C17" s="631" t="s">
        <v>98</v>
      </c>
      <c r="D17" s="631"/>
      <c r="E17" s="92">
        <f>E15*2</f>
        <v>14.018181818181819</v>
      </c>
      <c r="F17" s="740" t="s">
        <v>372</v>
      </c>
      <c r="G17" s="740"/>
      <c r="H17" s="96" t="str">
        <f>'INFORMAÇÕES BÁSICAS'!$D$40</f>
        <v>RS000605/2019</v>
      </c>
      <c r="I17" s="67"/>
    </row>
    <row r="18" spans="1:10" ht="15" customHeight="1">
      <c r="A18" s="67"/>
      <c r="B18" s="739"/>
      <c r="C18" s="631" t="s">
        <v>99</v>
      </c>
      <c r="D18" s="631"/>
      <c r="E18" s="92">
        <f>E15*1.1428571</f>
        <v>8.0103893100000008</v>
      </c>
      <c r="F18" s="740"/>
      <c r="G18" s="740"/>
      <c r="H18" s="96"/>
      <c r="I18" s="67"/>
    </row>
    <row r="19" spans="1:10" ht="18.75" customHeight="1">
      <c r="A19" s="67"/>
      <c r="B19" s="739"/>
      <c r="C19" s="632" t="s">
        <v>100</v>
      </c>
      <c r="D19" s="632"/>
      <c r="E19" s="92">
        <f>E18*1.5</f>
        <v>12.015583965000001</v>
      </c>
      <c r="F19" s="740"/>
      <c r="G19" s="740"/>
      <c r="H19" s="96"/>
      <c r="I19" s="67"/>
    </row>
    <row r="20" spans="1:10" ht="31.5" customHeight="1">
      <c r="A20" s="67"/>
      <c r="B20" s="739"/>
      <c r="C20" s="631" t="s">
        <v>101</v>
      </c>
      <c r="D20" s="631"/>
      <c r="E20" s="92">
        <f>E18*2</f>
        <v>16.020778620000002</v>
      </c>
      <c r="F20" s="635"/>
      <c r="G20" s="635"/>
      <c r="H20" s="96"/>
      <c r="I20" s="67"/>
    </row>
    <row r="21" spans="1:10" ht="26.25">
      <c r="A21" s="67"/>
      <c r="B21" s="638" t="s">
        <v>102</v>
      </c>
      <c r="C21" s="638"/>
      <c r="D21" s="638"/>
      <c r="E21" s="638"/>
      <c r="F21" s="638"/>
      <c r="G21" s="638"/>
      <c r="H21" s="638"/>
      <c r="I21" s="67"/>
      <c r="J21" s="69"/>
    </row>
    <row r="22" spans="1:10">
      <c r="A22" s="67"/>
      <c r="B22" s="639" t="s">
        <v>103</v>
      </c>
      <c r="C22" s="639"/>
      <c r="D22" s="639"/>
      <c r="E22" s="639"/>
      <c r="F22" s="639"/>
      <c r="G22" s="639"/>
      <c r="H22" s="639"/>
      <c r="I22" s="67"/>
      <c r="J22" s="69"/>
    </row>
    <row r="23" spans="1:10">
      <c r="A23" s="67"/>
      <c r="B23" s="620" t="s">
        <v>104</v>
      </c>
      <c r="C23" s="620"/>
      <c r="D23" s="620"/>
      <c r="E23" s="620"/>
      <c r="F23" s="620"/>
      <c r="G23" s="620"/>
      <c r="H23" s="620"/>
      <c r="I23" s="67"/>
      <c r="J23" s="69"/>
    </row>
    <row r="24" spans="1:10">
      <c r="A24" s="67"/>
      <c r="B24" s="640" t="s">
        <v>105</v>
      </c>
      <c r="C24" s="640"/>
      <c r="D24" s="640"/>
      <c r="E24" s="640"/>
      <c r="F24" s="640"/>
      <c r="G24" s="640"/>
      <c r="H24" s="640"/>
      <c r="I24" s="67"/>
      <c r="J24" s="69"/>
    </row>
    <row r="25" spans="1:10" ht="157.5">
      <c r="A25" s="67"/>
      <c r="B25" s="571">
        <v>1</v>
      </c>
      <c r="C25" s="641" t="s">
        <v>106</v>
      </c>
      <c r="D25" s="641"/>
      <c r="E25" s="641"/>
      <c r="F25" s="641"/>
      <c r="G25" s="641"/>
      <c r="H25" s="102" t="str">
        <f>'INFORMAÇÕES BÁSICAS'!$D$20</f>
        <v>Contratação de SERVIÇOS DE INFRAESTRUTURA E MANUTENÇÃO PREDIAL, JORNADA DE 40 HORAS SEMANAIS, para o IF Farroupilha Campus São Vicente do Sul, conforme condições, quantidades e exigências estabelecidas neste Edital e seus anexos</v>
      </c>
      <c r="I25" s="67"/>
      <c r="J25" s="69"/>
    </row>
    <row r="26" spans="1:10">
      <c r="A26" s="67"/>
      <c r="B26" s="571">
        <v>2</v>
      </c>
      <c r="C26" s="641" t="s">
        <v>107</v>
      </c>
      <c r="D26" s="641"/>
      <c r="E26" s="641"/>
      <c r="F26" s="641"/>
      <c r="G26" s="641"/>
      <c r="H26" s="103" t="str">
        <f>'INFORMAÇÕES BÁSICAS'!$B$35</f>
        <v>ELETRECISTA</v>
      </c>
      <c r="I26" s="67"/>
      <c r="J26" s="69"/>
    </row>
    <row r="27" spans="1:10">
      <c r="A27" s="67"/>
      <c r="B27" s="571">
        <v>3</v>
      </c>
      <c r="C27" s="642" t="s">
        <v>108</v>
      </c>
      <c r="D27" s="642"/>
      <c r="E27" s="642"/>
      <c r="F27" s="642"/>
      <c r="G27" s="642"/>
      <c r="H27" s="105">
        <f>'INFORMAÇÕES BÁSICAS'!D42</f>
        <v>1542</v>
      </c>
      <c r="I27" s="67"/>
      <c r="J27" s="69"/>
    </row>
    <row r="28" spans="1:10">
      <c r="A28" s="67"/>
      <c r="B28" s="571">
        <v>4</v>
      </c>
      <c r="C28" s="641" t="s">
        <v>109</v>
      </c>
      <c r="D28" s="641"/>
      <c r="E28" s="641"/>
      <c r="F28" s="641"/>
      <c r="G28" s="641"/>
      <c r="H28" s="106" t="str">
        <f>H26</f>
        <v>ELETRECISTA</v>
      </c>
      <c r="I28" s="67"/>
      <c r="J28" s="69"/>
    </row>
    <row r="29" spans="1:10">
      <c r="A29" s="67"/>
      <c r="B29" s="571">
        <v>5</v>
      </c>
      <c r="C29" s="641" t="s">
        <v>110</v>
      </c>
      <c r="D29" s="641"/>
      <c r="E29" s="641"/>
      <c r="F29" s="641"/>
      <c r="G29" s="641"/>
      <c r="H29" s="107" t="str">
        <f>'INFORMAÇÕES BÁSICAS'!$D$41</f>
        <v>01 de janeiro</v>
      </c>
      <c r="I29" s="67"/>
      <c r="J29" s="69"/>
    </row>
    <row r="30" spans="1:10">
      <c r="A30" s="67"/>
      <c r="B30" s="108" t="s">
        <v>111</v>
      </c>
      <c r="C30" s="643"/>
      <c r="D30" s="643"/>
      <c r="E30" s="643"/>
      <c r="F30" s="643"/>
      <c r="G30" s="643"/>
      <c r="H30" s="643"/>
      <c r="I30" s="67"/>
      <c r="J30" s="69"/>
    </row>
    <row r="31" spans="1:10">
      <c r="A31" s="67"/>
      <c r="B31" s="110"/>
      <c r="C31" s="111"/>
      <c r="D31" s="111"/>
      <c r="E31" s="111"/>
      <c r="F31" s="111"/>
      <c r="G31" s="111"/>
      <c r="H31" s="111"/>
      <c r="I31" s="67"/>
      <c r="J31" s="69"/>
    </row>
    <row r="32" spans="1:10" ht="15.75">
      <c r="A32" s="67"/>
      <c r="B32" s="644" t="s">
        <v>112</v>
      </c>
      <c r="C32" s="644"/>
      <c r="D32" s="645" t="s">
        <v>113</v>
      </c>
      <c r="E32" s="645"/>
      <c r="F32" s="645"/>
      <c r="G32" s="645"/>
      <c r="H32" s="645"/>
      <c r="I32" s="67"/>
      <c r="J32" s="69"/>
    </row>
    <row r="33" spans="1:10">
      <c r="A33" s="67"/>
      <c r="B33" s="573">
        <v>1</v>
      </c>
      <c r="C33" s="646" t="s">
        <v>114</v>
      </c>
      <c r="D33" s="646"/>
      <c r="E33" s="646"/>
      <c r="F33" s="646"/>
      <c r="G33" s="646"/>
      <c r="H33" s="116" t="s">
        <v>115</v>
      </c>
      <c r="I33" s="67"/>
      <c r="J33" s="69"/>
    </row>
    <row r="34" spans="1:10">
      <c r="A34" s="117"/>
      <c r="B34" s="84" t="s">
        <v>86</v>
      </c>
      <c r="C34" s="118" t="s">
        <v>116</v>
      </c>
      <c r="D34" s="119" t="s">
        <v>117</v>
      </c>
      <c r="E34" s="120" t="str">
        <f>'INFORMAÇÕES BÁSICAS'!$D$30</f>
        <v>40</v>
      </c>
      <c r="F34" s="579" t="s">
        <v>118</v>
      </c>
      <c r="G34" s="122">
        <f>E34*5</f>
        <v>200</v>
      </c>
      <c r="H34" s="123">
        <f>(H27/44)*E34</f>
        <v>1401.818181818182</v>
      </c>
      <c r="I34" s="67"/>
      <c r="J34" s="69"/>
    </row>
    <row r="35" spans="1:10" ht="15" customHeight="1">
      <c r="A35" s="117"/>
      <c r="B35" s="647" t="s">
        <v>88</v>
      </c>
      <c r="C35" s="628" t="s">
        <v>61</v>
      </c>
      <c r="D35" s="625" t="s">
        <v>119</v>
      </c>
      <c r="E35" s="625"/>
      <c r="F35" s="741">
        <f>H34</f>
        <v>1401.818181818182</v>
      </c>
      <c r="G35" s="741"/>
      <c r="H35" s="650">
        <f>F35*F36</f>
        <v>420.54545454545456</v>
      </c>
      <c r="I35" s="125"/>
      <c r="J35" s="69"/>
    </row>
    <row r="36" spans="1:10">
      <c r="A36" s="117"/>
      <c r="B36" s="647"/>
      <c r="C36" s="628"/>
      <c r="D36" s="651" t="s">
        <v>120</v>
      </c>
      <c r="E36" s="651"/>
      <c r="F36" s="742">
        <f>IF('INFORMAÇÕES BÁSICAS'!D44=1,0.3,0)</f>
        <v>0.3</v>
      </c>
      <c r="G36" s="742"/>
      <c r="H36" s="650"/>
      <c r="I36" s="127"/>
      <c r="J36" s="69"/>
    </row>
    <row r="37" spans="1:10" ht="33" customHeight="1">
      <c r="A37" s="117"/>
      <c r="B37" s="647" t="s">
        <v>90</v>
      </c>
      <c r="C37" s="628" t="s">
        <v>121</v>
      </c>
      <c r="D37" s="743" t="s">
        <v>122</v>
      </c>
      <c r="E37" s="743"/>
      <c r="F37" s="741">
        <f>'INFORMAÇÕES BÁSICAS'!$L$12</f>
        <v>998</v>
      </c>
      <c r="G37" s="741"/>
      <c r="H37" s="650">
        <f>F37*F38</f>
        <v>0</v>
      </c>
      <c r="I37" s="127"/>
      <c r="J37" s="69"/>
    </row>
    <row r="38" spans="1:10" ht="20.25" customHeight="1">
      <c r="A38" s="117"/>
      <c r="B38" s="647"/>
      <c r="C38" s="628"/>
      <c r="D38" s="744" t="s">
        <v>123</v>
      </c>
      <c r="E38" s="744"/>
      <c r="F38" s="742" t="str">
        <f>IF('INFORMAÇÕES BÁSICAS'!D48=0,"0%",(IF('INFORMAÇÕES BÁSICAS'!#REF!=1,0.1,(IF('INFORMAÇÕES BÁSICAS'!#REF!=2,0.2,(IF('INFORMAÇÕES BÁSICAS'!#REF!=3,0.4,"ERRO")))))))</f>
        <v>0%</v>
      </c>
      <c r="G38" s="742"/>
      <c r="H38" s="650"/>
      <c r="I38" s="127"/>
      <c r="J38" s="69"/>
    </row>
    <row r="39" spans="1:10" ht="45">
      <c r="A39" s="117"/>
      <c r="B39" s="745" t="s">
        <v>92</v>
      </c>
      <c r="C39" s="746"/>
      <c r="D39" s="746"/>
      <c r="E39" s="128" t="s">
        <v>124</v>
      </c>
      <c r="F39" s="747" t="s">
        <v>125</v>
      </c>
      <c r="G39" s="747"/>
      <c r="H39" s="129"/>
      <c r="I39" s="127"/>
      <c r="J39" s="69"/>
    </row>
    <row r="40" spans="1:10">
      <c r="A40" s="117"/>
      <c r="B40" s="745"/>
      <c r="C40" s="746" t="s">
        <v>126</v>
      </c>
      <c r="D40" s="746"/>
      <c r="E40" s="130">
        <f>'INFORMAÇÕES BÁSICAS'!$D$78</f>
        <v>0</v>
      </c>
      <c r="F40" s="748">
        <f>$E$16</f>
        <v>10.513636363636365</v>
      </c>
      <c r="G40" s="748"/>
      <c r="H40" s="129">
        <f>F40*E40</f>
        <v>0</v>
      </c>
      <c r="I40" s="127"/>
      <c r="J40" s="69"/>
    </row>
    <row r="41" spans="1:10">
      <c r="A41" s="117"/>
      <c r="B41" s="745"/>
      <c r="C41" s="746" t="s">
        <v>127</v>
      </c>
      <c r="D41" s="746"/>
      <c r="E41" s="130">
        <f>'INFORMAÇÕES BÁSICAS'!$D$79</f>
        <v>0</v>
      </c>
      <c r="F41" s="748">
        <f>E17</f>
        <v>14.018181818181819</v>
      </c>
      <c r="G41" s="748"/>
      <c r="H41" s="129">
        <f>F41*E41</f>
        <v>0</v>
      </c>
      <c r="I41" s="127"/>
      <c r="J41" s="69"/>
    </row>
    <row r="42" spans="1:10">
      <c r="A42" s="117"/>
      <c r="B42" s="131"/>
      <c r="C42" s="657" t="s">
        <v>128</v>
      </c>
      <c r="D42" s="657"/>
      <c r="E42" s="657"/>
      <c r="F42" s="657"/>
      <c r="G42" s="657"/>
      <c r="H42" s="133">
        <f>SUM(H34:H41)</f>
        <v>1822.3636363636365</v>
      </c>
      <c r="I42" s="67"/>
      <c r="J42" s="69"/>
    </row>
    <row r="43" spans="1:10">
      <c r="A43" s="117"/>
      <c r="B43" s="134" t="s">
        <v>129</v>
      </c>
      <c r="C43" s="749" t="s">
        <v>130</v>
      </c>
      <c r="D43" s="749"/>
      <c r="E43" s="749"/>
      <c r="F43" s="749"/>
      <c r="G43" s="749"/>
      <c r="H43" s="135"/>
      <c r="I43" s="117"/>
      <c r="J43" s="69"/>
    </row>
    <row r="44" spans="1:10">
      <c r="A44" s="117"/>
      <c r="B44" s="134" t="s">
        <v>131</v>
      </c>
      <c r="C44" s="750"/>
      <c r="D44" s="750"/>
      <c r="E44" s="750"/>
      <c r="F44" s="750"/>
      <c r="G44" s="750"/>
      <c r="H44" s="136"/>
      <c r="I44" s="117"/>
      <c r="J44" s="69"/>
    </row>
    <row r="45" spans="1:10" ht="15" customHeight="1">
      <c r="A45" s="117"/>
      <c r="B45" s="580" t="s">
        <v>132</v>
      </c>
      <c r="C45" s="660" t="s">
        <v>133</v>
      </c>
      <c r="D45" s="660"/>
      <c r="E45" s="660"/>
      <c r="F45" s="660"/>
      <c r="G45" s="138" t="s">
        <v>134</v>
      </c>
      <c r="H45" s="139">
        <f>SUM(H43:H44)</f>
        <v>0</v>
      </c>
      <c r="I45" s="67"/>
      <c r="J45" s="69"/>
    </row>
    <row r="46" spans="1:10" ht="15.75">
      <c r="A46" s="117"/>
      <c r="B46" s="661" t="s">
        <v>135</v>
      </c>
      <c r="C46" s="661"/>
      <c r="D46" s="661"/>
      <c r="E46" s="661"/>
      <c r="F46" s="661"/>
      <c r="G46" s="661"/>
      <c r="H46" s="141">
        <f>SUM(H34:H41)+H43+H44</f>
        <v>1822.3636363636365</v>
      </c>
      <c r="I46" s="67"/>
      <c r="J46" s="69"/>
    </row>
    <row r="47" spans="1:10">
      <c r="A47" s="142"/>
      <c r="B47" s="574"/>
      <c r="C47" s="574"/>
      <c r="D47" s="574"/>
      <c r="E47" s="574"/>
      <c r="F47" s="574"/>
      <c r="G47" s="574"/>
      <c r="H47" s="144"/>
      <c r="I47" s="145"/>
      <c r="J47" s="69"/>
    </row>
    <row r="48" spans="1:10" ht="15.75">
      <c r="A48" s="117"/>
      <c r="B48" s="644" t="s">
        <v>136</v>
      </c>
      <c r="C48" s="644"/>
      <c r="D48" s="645" t="s">
        <v>137</v>
      </c>
      <c r="E48" s="645"/>
      <c r="F48" s="645"/>
      <c r="G48" s="645"/>
      <c r="H48" s="645"/>
      <c r="I48" s="67"/>
      <c r="J48" s="69"/>
    </row>
    <row r="49" spans="1:10" ht="15.75">
      <c r="A49" s="117"/>
      <c r="B49" s="662" t="s">
        <v>138</v>
      </c>
      <c r="C49" s="662"/>
      <c r="D49" s="663" t="s">
        <v>139</v>
      </c>
      <c r="E49" s="663"/>
      <c r="F49" s="663"/>
      <c r="G49" s="663"/>
      <c r="H49" s="663"/>
      <c r="I49" s="67"/>
      <c r="J49" s="69"/>
    </row>
    <row r="50" spans="1:10" ht="15.75">
      <c r="A50" s="117"/>
      <c r="B50" s="148"/>
      <c r="C50" s="646" t="s">
        <v>140</v>
      </c>
      <c r="D50" s="646"/>
      <c r="E50" s="646"/>
      <c r="F50" s="646"/>
      <c r="G50" s="646"/>
      <c r="H50" s="116" t="s">
        <v>141</v>
      </c>
      <c r="I50" s="67"/>
      <c r="J50" s="69"/>
    </row>
    <row r="51" spans="1:10">
      <c r="A51" s="149"/>
      <c r="B51" s="571" t="s">
        <v>86</v>
      </c>
      <c r="C51" s="641" t="s">
        <v>142</v>
      </c>
      <c r="D51" s="641"/>
      <c r="E51" s="641"/>
      <c r="F51" s="641"/>
      <c r="G51" s="641"/>
      <c r="H51" s="572">
        <f>H42/12</f>
        <v>151.86363636363637</v>
      </c>
      <c r="I51" s="152"/>
      <c r="J51" s="69"/>
    </row>
    <row r="52" spans="1:10">
      <c r="A52" s="153"/>
      <c r="B52" s="571" t="s">
        <v>88</v>
      </c>
      <c r="C52" s="641" t="s">
        <v>143</v>
      </c>
      <c r="D52" s="641"/>
      <c r="E52" s="641"/>
      <c r="F52" s="641"/>
      <c r="G52" s="641"/>
      <c r="H52" s="572">
        <f>(H42/3)/12</f>
        <v>50.621212121212125</v>
      </c>
      <c r="I52" s="154"/>
      <c r="J52" s="69"/>
    </row>
    <row r="53" spans="1:10" ht="15" customHeight="1">
      <c r="A53" s="153"/>
      <c r="B53" s="155"/>
      <c r="C53" s="751" t="s">
        <v>144</v>
      </c>
      <c r="D53" s="751"/>
      <c r="E53" s="751"/>
      <c r="F53" s="751"/>
      <c r="G53" s="751"/>
      <c r="H53" s="156">
        <f>SUM(H51:H52)</f>
        <v>202.4848484848485</v>
      </c>
      <c r="I53" s="154"/>
      <c r="J53" s="69"/>
    </row>
    <row r="54" spans="1:10" ht="16.5" customHeight="1">
      <c r="A54" s="153"/>
      <c r="B54" s="667" t="s">
        <v>145</v>
      </c>
      <c r="C54" s="667"/>
      <c r="D54" s="667"/>
      <c r="E54" s="667"/>
      <c r="F54" s="667"/>
      <c r="G54" s="667"/>
      <c r="H54" s="158"/>
      <c r="I54" s="154"/>
      <c r="J54" s="69"/>
    </row>
    <row r="55" spans="1:10">
      <c r="A55" s="142"/>
      <c r="B55" s="574"/>
      <c r="C55" s="574"/>
      <c r="D55" s="574"/>
      <c r="E55" s="574"/>
      <c r="F55" s="574"/>
      <c r="G55" s="574"/>
      <c r="H55" s="144"/>
      <c r="I55" s="145"/>
      <c r="J55" s="69"/>
    </row>
    <row r="56" spans="1:10" ht="15.75" customHeight="1">
      <c r="A56" s="117"/>
      <c r="B56" s="668" t="s">
        <v>146</v>
      </c>
      <c r="C56" s="668"/>
      <c r="D56" s="669" t="s">
        <v>147</v>
      </c>
      <c r="E56" s="669"/>
      <c r="F56" s="669"/>
      <c r="G56" s="669"/>
      <c r="H56" s="669"/>
      <c r="I56" s="67"/>
      <c r="J56" s="69"/>
    </row>
    <row r="57" spans="1:10" ht="15.75">
      <c r="A57" s="117"/>
      <c r="B57" s="161"/>
      <c r="C57" s="646" t="s">
        <v>140</v>
      </c>
      <c r="D57" s="646"/>
      <c r="E57" s="646"/>
      <c r="F57" s="646" t="s">
        <v>148</v>
      </c>
      <c r="G57" s="646"/>
      <c r="H57" s="162" t="s">
        <v>141</v>
      </c>
      <c r="I57" s="67"/>
      <c r="J57" s="69"/>
    </row>
    <row r="58" spans="1:10">
      <c r="A58" s="149"/>
      <c r="B58" s="150" t="s">
        <v>86</v>
      </c>
      <c r="C58" s="641" t="s">
        <v>149</v>
      </c>
      <c r="D58" s="641"/>
      <c r="E58" s="641"/>
      <c r="F58" s="800">
        <v>0.2</v>
      </c>
      <c r="G58" s="800"/>
      <c r="H58" s="572">
        <f>ROUND(($H$46+H53)*F58,2)</f>
        <v>404.97</v>
      </c>
      <c r="I58" s="152"/>
      <c r="J58" s="69"/>
    </row>
    <row r="59" spans="1:10">
      <c r="A59" s="149"/>
      <c r="B59" s="150" t="s">
        <v>88</v>
      </c>
      <c r="C59" s="641" t="s">
        <v>150</v>
      </c>
      <c r="D59" s="641"/>
      <c r="E59" s="641"/>
      <c r="F59" s="800">
        <f>IF($F$9=1,0.025,IF($F$9=2,0.025,IF($F$9=3,0,IF($F$9=4,0,"ESCOLHA UM RT"))))</f>
        <v>2.5000000000000001E-2</v>
      </c>
      <c r="G59" s="800"/>
      <c r="H59" s="572">
        <f>ROUND(($H$46+H53)*F59,2)</f>
        <v>50.62</v>
      </c>
      <c r="I59" s="152"/>
      <c r="J59" s="69"/>
    </row>
    <row r="60" spans="1:10" ht="30" customHeight="1">
      <c r="A60" s="149"/>
      <c r="B60" s="150" t="s">
        <v>90</v>
      </c>
      <c r="C60" s="752" t="s">
        <v>370</v>
      </c>
      <c r="D60" s="753"/>
      <c r="E60" s="754"/>
      <c r="F60" s="755">
        <f>'INFORMAÇÕES BÁSICAS'!$F$18</f>
        <v>0.06</v>
      </c>
      <c r="G60" s="755"/>
      <c r="H60" s="572">
        <f>ROUND(($H$46+H53)*F60,2)</f>
        <v>121.49</v>
      </c>
      <c r="I60" s="152"/>
      <c r="J60" s="69"/>
    </row>
    <row r="61" spans="1:10">
      <c r="A61" s="149"/>
      <c r="B61" s="150" t="s">
        <v>92</v>
      </c>
      <c r="C61" s="641" t="s">
        <v>151</v>
      </c>
      <c r="D61" s="641"/>
      <c r="E61" s="641"/>
      <c r="F61" s="800">
        <f>IF($F$9=1,0.015,IF($F$9=2,0.015,IF($F$9=3,0,IF($F$9=4,0,"ESCOLHA UM RT"))))</f>
        <v>1.4999999999999999E-2</v>
      </c>
      <c r="G61" s="800"/>
      <c r="H61" s="572">
        <f>ROUND(($H$46+H53)*F61,2)</f>
        <v>30.37</v>
      </c>
      <c r="I61" s="152"/>
      <c r="J61" s="69"/>
    </row>
    <row r="62" spans="1:10">
      <c r="A62" s="149"/>
      <c r="B62" s="150" t="s">
        <v>152</v>
      </c>
      <c r="C62" s="641" t="s">
        <v>153</v>
      </c>
      <c r="D62" s="641"/>
      <c r="E62" s="641"/>
      <c r="F62" s="800">
        <f>IF($F$9=1,0.01,IF($F$9=2,0.01,IF($F$9=3,0,IF($F$9=4,0,"ESCOLHA UM RT"))))</f>
        <v>0.01</v>
      </c>
      <c r="G62" s="800"/>
      <c r="H62" s="572">
        <f>ROUND(($H$46+H53)*F62,2)</f>
        <v>20.25</v>
      </c>
      <c r="I62" s="152"/>
      <c r="J62" s="69"/>
    </row>
    <row r="63" spans="1:10">
      <c r="A63" s="149"/>
      <c r="B63" s="150" t="s">
        <v>129</v>
      </c>
      <c r="C63" s="641" t="s">
        <v>154</v>
      </c>
      <c r="D63" s="641"/>
      <c r="E63" s="641"/>
      <c r="F63" s="800">
        <f>IF($F$9=1,0.006,IF($F$9=2,0.006,IF($F$9=3,0,IF($F$9=4,0,"ESCOLHA UM RT"))))</f>
        <v>6.0000000000000001E-3</v>
      </c>
      <c r="G63" s="800"/>
      <c r="H63" s="572">
        <f>ROUND(($H$46+H53)*F63,2)</f>
        <v>12.15</v>
      </c>
      <c r="I63" s="152"/>
      <c r="J63" s="69"/>
    </row>
    <row r="64" spans="1:10">
      <c r="A64" s="149"/>
      <c r="B64" s="150" t="s">
        <v>131</v>
      </c>
      <c r="C64" s="641" t="s">
        <v>155</v>
      </c>
      <c r="D64" s="641"/>
      <c r="E64" s="641"/>
      <c r="F64" s="800">
        <f>IF($F$9=1,0.002,IF($F$9=2,0.002,IF($F$9=3,0,IF($F$9=4,0,"ESCOLHA UM RT"))))</f>
        <v>2E-3</v>
      </c>
      <c r="G64" s="800"/>
      <c r="H64" s="572">
        <f>ROUND(($H$46+H53)*F64,2)</f>
        <v>4.05</v>
      </c>
      <c r="I64" s="152"/>
      <c r="J64" s="69"/>
    </row>
    <row r="65" spans="1:10">
      <c r="A65" s="149"/>
      <c r="B65" s="150" t="s">
        <v>132</v>
      </c>
      <c r="C65" s="641" t="s">
        <v>156</v>
      </c>
      <c r="D65" s="641"/>
      <c r="E65" s="641"/>
      <c r="F65" s="800">
        <f>IF($F$9=1,0.08,IF($F$9=2,0.08,IF($F$9=3,0.08,IF($F$9=4,0.08,"ESCOLHA UM RT"))))</f>
        <v>0.08</v>
      </c>
      <c r="G65" s="800"/>
      <c r="H65" s="572">
        <f>ROUND(($H$46+H53)*F65,2)</f>
        <v>161.99</v>
      </c>
      <c r="I65" s="152"/>
      <c r="J65" s="69"/>
    </row>
    <row r="66" spans="1:10" ht="16.5" customHeight="1">
      <c r="A66" s="142"/>
      <c r="B66" s="667" t="s">
        <v>157</v>
      </c>
      <c r="C66" s="667"/>
      <c r="D66" s="667"/>
      <c r="E66" s="667"/>
      <c r="F66" s="672">
        <f>SUM(F58:G65)</f>
        <v>0.39800000000000008</v>
      </c>
      <c r="G66" s="672"/>
      <c r="H66" s="164">
        <f>SUM(H58:H65)</f>
        <v>805.89</v>
      </c>
      <c r="I66" s="145"/>
      <c r="J66" s="69"/>
    </row>
    <row r="67" spans="1:10" ht="16.5" customHeight="1">
      <c r="A67" s="142"/>
      <c r="B67" s="574"/>
      <c r="C67" s="756" t="s">
        <v>158</v>
      </c>
      <c r="D67" s="756"/>
      <c r="E67" s="756"/>
      <c r="F67" s="756"/>
      <c r="G67" s="756"/>
      <c r="H67" s="165"/>
      <c r="I67" s="145"/>
    </row>
    <row r="68" spans="1:10" ht="16.5">
      <c r="A68" s="142"/>
      <c r="B68" s="574"/>
      <c r="C68" s="166"/>
      <c r="D68" s="167"/>
      <c r="E68" s="167"/>
      <c r="F68" s="168"/>
      <c r="G68" s="168"/>
      <c r="H68" s="165"/>
      <c r="I68" s="145"/>
    </row>
    <row r="69" spans="1:10" ht="15.75" customHeight="1">
      <c r="A69" s="117"/>
      <c r="B69" s="668" t="s">
        <v>159</v>
      </c>
      <c r="C69" s="668"/>
      <c r="D69" s="669" t="s">
        <v>160</v>
      </c>
      <c r="E69" s="669"/>
      <c r="F69" s="669"/>
      <c r="G69" s="669"/>
      <c r="H69" s="669"/>
      <c r="I69" s="67"/>
    </row>
    <row r="70" spans="1:10" ht="15.75">
      <c r="A70" s="117"/>
      <c r="B70" s="161"/>
      <c r="C70" s="646" t="s">
        <v>140</v>
      </c>
      <c r="D70" s="646"/>
      <c r="E70" s="646"/>
      <c r="F70" s="646"/>
      <c r="G70" s="646"/>
      <c r="H70" s="162" t="s">
        <v>141</v>
      </c>
      <c r="I70" s="67"/>
    </row>
    <row r="71" spans="1:10">
      <c r="A71" s="149"/>
      <c r="B71" s="647" t="s">
        <v>86</v>
      </c>
      <c r="C71" s="674" t="s">
        <v>161</v>
      </c>
      <c r="D71" s="675" t="s">
        <v>162</v>
      </c>
      <c r="E71" s="675"/>
      <c r="F71" s="676">
        <f>H34</f>
        <v>1401.818181818182</v>
      </c>
      <c r="G71" s="676"/>
      <c r="H71" s="757">
        <f>IF(F73&gt;0,ROUND((F72*F73)-(F71*0.06),2),0)</f>
        <v>0</v>
      </c>
      <c r="I71" s="152"/>
    </row>
    <row r="72" spans="1:10">
      <c r="A72" s="149"/>
      <c r="B72" s="647"/>
      <c r="C72" s="674"/>
      <c r="D72" s="675" t="s">
        <v>163</v>
      </c>
      <c r="E72" s="675"/>
      <c r="F72" s="758">
        <f>'INFORMAÇÕES BÁSICAS'!$D$12</f>
        <v>20</v>
      </c>
      <c r="G72" s="758"/>
      <c r="H72" s="757"/>
      <c r="I72" s="152"/>
    </row>
    <row r="73" spans="1:10">
      <c r="A73" s="149"/>
      <c r="B73" s="647"/>
      <c r="C73" s="674"/>
      <c r="D73" s="675" t="s">
        <v>164</v>
      </c>
      <c r="E73" s="675"/>
      <c r="F73" s="759">
        <f>'INFORMAÇÕES BÁSICAS'!$D$13</f>
        <v>0</v>
      </c>
      <c r="G73" s="759"/>
      <c r="H73" s="757"/>
      <c r="I73" s="172"/>
    </row>
    <row r="74" spans="1:10" ht="30" customHeight="1">
      <c r="A74" s="149"/>
      <c r="B74" s="173" t="s">
        <v>88</v>
      </c>
      <c r="C74" s="174" t="s">
        <v>165</v>
      </c>
      <c r="D74" s="680" t="s">
        <v>166</v>
      </c>
      <c r="E74" s="680"/>
      <c r="F74" s="760">
        <f>'INFORMAÇÕES BÁSICAS'!$D$51</f>
        <v>100</v>
      </c>
      <c r="G74" s="760"/>
      <c r="H74" s="176">
        <f>F74</f>
        <v>100</v>
      </c>
      <c r="I74" s="172"/>
      <c r="J74" s="69"/>
    </row>
    <row r="75" spans="1:10" ht="36" customHeight="1">
      <c r="A75" s="149"/>
      <c r="B75" s="173" t="s">
        <v>90</v>
      </c>
      <c r="C75" s="177" t="s">
        <v>69</v>
      </c>
      <c r="D75" s="761" t="s">
        <v>167</v>
      </c>
      <c r="E75" s="761"/>
      <c r="F75" s="762">
        <f>'INFORMAÇÕES BÁSICAS'!$D$53</f>
        <v>0</v>
      </c>
      <c r="G75" s="762"/>
      <c r="H75" s="178">
        <f>F75</f>
        <v>0</v>
      </c>
      <c r="I75" s="172"/>
    </row>
    <row r="76" spans="1:10" ht="36" customHeight="1">
      <c r="A76" s="149"/>
      <c r="B76" s="576" t="s">
        <v>92</v>
      </c>
      <c r="C76" s="179" t="s">
        <v>68</v>
      </c>
      <c r="D76" s="763" t="s">
        <v>167</v>
      </c>
      <c r="E76" s="763"/>
      <c r="F76" s="764">
        <f>'INFORMAÇÕES BÁSICAS'!$D$52</f>
        <v>0</v>
      </c>
      <c r="G76" s="764"/>
      <c r="H76" s="180">
        <f>F76</f>
        <v>0</v>
      </c>
      <c r="I76" s="172"/>
    </row>
    <row r="77" spans="1:10">
      <c r="A77" s="149"/>
      <c r="B77" s="181" t="s">
        <v>152</v>
      </c>
      <c r="C77" s="801" t="s">
        <v>168</v>
      </c>
      <c r="D77" s="802" t="s">
        <v>74</v>
      </c>
      <c r="E77" s="802"/>
      <c r="F77" s="803">
        <f>'INFORMAÇÕES BÁSICAS'!$D$54</f>
        <v>0</v>
      </c>
      <c r="G77" s="803"/>
      <c r="H77" s="804">
        <f>F77</f>
        <v>0</v>
      </c>
      <c r="I77" s="152"/>
    </row>
    <row r="78" spans="1:10" ht="15.75">
      <c r="A78" s="117"/>
      <c r="B78" s="662" t="s">
        <v>169</v>
      </c>
      <c r="C78" s="662"/>
      <c r="D78" s="662"/>
      <c r="E78" s="662"/>
      <c r="F78" s="662"/>
      <c r="G78" s="662"/>
      <c r="H78" s="182">
        <f>SUM(H71:H77)</f>
        <v>100</v>
      </c>
      <c r="I78" s="67"/>
    </row>
    <row r="79" spans="1:10">
      <c r="A79" s="183"/>
      <c r="B79" s="184"/>
      <c r="C79" s="111"/>
      <c r="D79" s="111"/>
      <c r="E79" s="111"/>
      <c r="F79" s="111"/>
      <c r="G79" s="111"/>
      <c r="H79" s="111"/>
      <c r="I79" s="185"/>
    </row>
    <row r="80" spans="1:10" ht="15" customHeight="1">
      <c r="A80" s="117"/>
      <c r="B80" s="668" t="s">
        <v>170</v>
      </c>
      <c r="C80" s="668"/>
      <c r="D80" s="686" t="s">
        <v>171</v>
      </c>
      <c r="E80" s="686"/>
      <c r="F80" s="686"/>
      <c r="G80" s="686"/>
      <c r="H80" s="686"/>
      <c r="I80" s="67"/>
    </row>
    <row r="81" spans="1:9" ht="15.75">
      <c r="A81" s="117"/>
      <c r="B81" s="187">
        <v>2</v>
      </c>
      <c r="C81" s="765" t="s">
        <v>140</v>
      </c>
      <c r="D81" s="765"/>
      <c r="E81" s="765"/>
      <c r="F81" s="765"/>
      <c r="G81" s="765"/>
      <c r="H81" s="188" t="s">
        <v>141</v>
      </c>
      <c r="I81" s="67"/>
    </row>
    <row r="82" spans="1:9" ht="15" customHeight="1">
      <c r="A82" s="149"/>
      <c r="B82" s="189" t="s">
        <v>172</v>
      </c>
      <c r="C82" s="628" t="s">
        <v>139</v>
      </c>
      <c r="D82" s="628"/>
      <c r="E82" s="628"/>
      <c r="F82" s="628"/>
      <c r="G82" s="628"/>
      <c r="H82" s="572">
        <f>H53</f>
        <v>202.4848484848485</v>
      </c>
      <c r="I82" s="152"/>
    </row>
    <row r="83" spans="1:9" ht="15" customHeight="1">
      <c r="A83" s="149"/>
      <c r="B83" s="189" t="s">
        <v>173</v>
      </c>
      <c r="C83" s="628" t="s">
        <v>174</v>
      </c>
      <c r="D83" s="628"/>
      <c r="E83" s="628"/>
      <c r="F83" s="628"/>
      <c r="G83" s="628"/>
      <c r="H83" s="572">
        <f>H66</f>
        <v>805.89</v>
      </c>
      <c r="I83" s="152"/>
    </row>
    <row r="84" spans="1:9">
      <c r="A84" s="149"/>
      <c r="B84" s="189" t="s">
        <v>175</v>
      </c>
      <c r="C84" s="641" t="s">
        <v>160</v>
      </c>
      <c r="D84" s="641"/>
      <c r="E84" s="641"/>
      <c r="F84" s="641"/>
      <c r="G84" s="641"/>
      <c r="H84" s="572">
        <f>H78</f>
        <v>100</v>
      </c>
      <c r="I84" s="152"/>
    </row>
    <row r="85" spans="1:9" ht="15.75">
      <c r="A85" s="149"/>
      <c r="B85" s="688" t="s">
        <v>176</v>
      </c>
      <c r="C85" s="688"/>
      <c r="D85" s="688"/>
      <c r="E85" s="688"/>
      <c r="F85" s="688"/>
      <c r="G85" s="688"/>
      <c r="H85" s="191">
        <f>SUM(H82:H84)</f>
        <v>1108.3748484848484</v>
      </c>
      <c r="I85" s="152"/>
    </row>
    <row r="86" spans="1:9">
      <c r="A86" s="153"/>
      <c r="B86" s="192"/>
      <c r="C86" s="193"/>
      <c r="D86" s="193"/>
      <c r="E86" s="193"/>
      <c r="F86" s="193"/>
      <c r="G86" s="193"/>
      <c r="H86" s="194"/>
      <c r="I86" s="154"/>
    </row>
    <row r="87" spans="1:9" ht="15.75">
      <c r="A87" s="153"/>
      <c r="B87" s="689" t="s">
        <v>177</v>
      </c>
      <c r="C87" s="689"/>
      <c r="D87" s="690" t="s">
        <v>178</v>
      </c>
      <c r="E87" s="690"/>
      <c r="F87" s="690"/>
      <c r="G87" s="690"/>
      <c r="H87" s="690"/>
      <c r="I87" s="154"/>
    </row>
    <row r="88" spans="1:9" ht="15.75">
      <c r="A88" s="117"/>
      <c r="B88" s="197"/>
      <c r="C88" s="646" t="s">
        <v>140</v>
      </c>
      <c r="D88" s="646"/>
      <c r="E88" s="646"/>
      <c r="F88" s="646"/>
      <c r="G88" s="646"/>
      <c r="H88" s="198" t="s">
        <v>141</v>
      </c>
      <c r="I88" s="199"/>
    </row>
    <row r="89" spans="1:9">
      <c r="A89" s="117"/>
      <c r="B89" s="571" t="s">
        <v>86</v>
      </c>
      <c r="C89" s="641" t="s">
        <v>179</v>
      </c>
      <c r="D89" s="641"/>
      <c r="E89" s="641"/>
      <c r="F89" s="641"/>
      <c r="G89" s="641"/>
      <c r="H89" s="200">
        <f>ROUND((H42/12)+(H51/12)+(H42/12/12)+(H52/12),2)*0.05</f>
        <v>9.0694999999999997</v>
      </c>
      <c r="I89" s="199"/>
    </row>
    <row r="90" spans="1:9">
      <c r="A90" s="117"/>
      <c r="B90" s="571" t="s">
        <v>88</v>
      </c>
      <c r="C90" s="641" t="s">
        <v>180</v>
      </c>
      <c r="D90" s="641"/>
      <c r="E90" s="641"/>
      <c r="F90" s="641"/>
      <c r="G90" s="641"/>
      <c r="H90" s="200">
        <f>H89*F65</f>
        <v>0.72555999999999998</v>
      </c>
      <c r="I90" s="199"/>
    </row>
    <row r="91" spans="1:9">
      <c r="A91" s="117"/>
      <c r="B91" s="571" t="s">
        <v>90</v>
      </c>
      <c r="C91" s="641" t="s">
        <v>181</v>
      </c>
      <c r="D91" s="641"/>
      <c r="E91" s="641"/>
      <c r="F91" s="641"/>
      <c r="G91" s="641"/>
      <c r="H91" s="201">
        <f>ROUND((((H46*0.08)*0.5)*0.06),2)</f>
        <v>4.37</v>
      </c>
      <c r="I91" s="199"/>
    </row>
    <row r="92" spans="1:9">
      <c r="A92" s="117"/>
      <c r="B92" s="571" t="s">
        <v>92</v>
      </c>
      <c r="C92" s="641" t="s">
        <v>182</v>
      </c>
      <c r="D92" s="641"/>
      <c r="E92" s="641"/>
      <c r="F92" s="641"/>
      <c r="G92" s="641"/>
      <c r="H92" s="200">
        <f>ROUND(((H42/30)*7)/H14*1,2)</f>
        <v>14.17</v>
      </c>
      <c r="I92" s="202"/>
    </row>
    <row r="93" spans="1:9">
      <c r="A93" s="117"/>
      <c r="B93" s="571" t="s">
        <v>152</v>
      </c>
      <c r="C93" s="641" t="s">
        <v>183</v>
      </c>
      <c r="D93" s="641"/>
      <c r="E93" s="641"/>
      <c r="F93" s="641"/>
      <c r="G93" s="641"/>
      <c r="H93" s="203">
        <f>ROUND(H92*F66,2)</f>
        <v>5.64</v>
      </c>
      <c r="I93" s="199"/>
    </row>
    <row r="94" spans="1:9">
      <c r="A94" s="117"/>
      <c r="B94" s="571" t="s">
        <v>92</v>
      </c>
      <c r="C94" s="641" t="s">
        <v>184</v>
      </c>
      <c r="D94" s="641"/>
      <c r="E94" s="641"/>
      <c r="F94" s="641"/>
      <c r="G94" s="641"/>
      <c r="H94" s="200">
        <f>ROUND(0.08*0.5*(H42+H51+H52+H101)*1,2)</f>
        <v>88.25</v>
      </c>
      <c r="I94" s="199"/>
    </row>
    <row r="95" spans="1:9" ht="15.75">
      <c r="A95" s="153"/>
      <c r="B95" s="691" t="s">
        <v>185</v>
      </c>
      <c r="C95" s="691"/>
      <c r="D95" s="691"/>
      <c r="E95" s="691"/>
      <c r="F95" s="766"/>
      <c r="G95" s="766"/>
      <c r="H95" s="205">
        <f>SUM(H89:H94)</f>
        <v>122.22506</v>
      </c>
      <c r="I95" s="154"/>
    </row>
    <row r="96" spans="1:9">
      <c r="A96" s="206"/>
      <c r="B96" s="259"/>
      <c r="C96" s="259"/>
      <c r="D96" s="259"/>
      <c r="E96" s="259"/>
      <c r="F96" s="259"/>
      <c r="G96" s="259"/>
      <c r="H96" s="259"/>
      <c r="I96" s="199"/>
    </row>
    <row r="97" spans="1:9" ht="15.75">
      <c r="A97" s="206"/>
      <c r="B97" s="693" t="s">
        <v>186</v>
      </c>
      <c r="C97" s="693"/>
      <c r="D97" s="694" t="s">
        <v>187</v>
      </c>
      <c r="E97" s="694"/>
      <c r="F97" s="694"/>
      <c r="G97" s="694"/>
      <c r="H97" s="694"/>
      <c r="I97" s="210"/>
    </row>
    <row r="98" spans="1:9" ht="15.75" customHeight="1">
      <c r="A98" s="206"/>
      <c r="B98" s="695" t="s">
        <v>188</v>
      </c>
      <c r="C98" s="695"/>
      <c r="D98" s="696" t="s">
        <v>189</v>
      </c>
      <c r="E98" s="696"/>
      <c r="F98" s="696"/>
      <c r="G98" s="696"/>
      <c r="H98" s="696"/>
      <c r="I98" s="213" t="s">
        <v>190</v>
      </c>
    </row>
    <row r="99" spans="1:9" ht="15.75">
      <c r="A99" s="117"/>
      <c r="B99" s="214"/>
      <c r="C99" s="767" t="s">
        <v>140</v>
      </c>
      <c r="D99" s="767"/>
      <c r="E99" s="767"/>
      <c r="F99" s="767"/>
      <c r="G99" s="767"/>
      <c r="H99" s="215" t="s">
        <v>141</v>
      </c>
    </row>
    <row r="100" spans="1:9" ht="15.75">
      <c r="A100" s="117"/>
      <c r="B100" s="214"/>
      <c r="C100" s="768" t="s">
        <v>191</v>
      </c>
      <c r="D100" s="768"/>
      <c r="E100" s="768"/>
      <c r="F100" s="769">
        <f>ROUND(H42/12,2)+H42+H51+H52</f>
        <v>2176.7084848484851</v>
      </c>
      <c r="G100" s="769"/>
      <c r="H100" s="215"/>
    </row>
    <row r="101" spans="1:9">
      <c r="A101" s="206"/>
      <c r="B101" s="571" t="s">
        <v>86</v>
      </c>
      <c r="C101" s="641" t="s">
        <v>192</v>
      </c>
      <c r="D101" s="641"/>
      <c r="E101" s="641"/>
      <c r="F101" s="641"/>
      <c r="G101" s="641"/>
      <c r="H101" s="572">
        <f>F100/12</f>
        <v>181.39237373737376</v>
      </c>
      <c r="I101" s="216"/>
    </row>
    <row r="102" spans="1:9">
      <c r="A102" s="206"/>
      <c r="B102" s="571" t="s">
        <v>88</v>
      </c>
      <c r="C102" s="217" t="s">
        <v>193</v>
      </c>
      <c r="D102" s="218"/>
      <c r="E102" s="218"/>
      <c r="F102" s="218"/>
      <c r="G102" s="219"/>
      <c r="H102" s="572">
        <f>(((F100/30)*2.96)/12)</f>
        <v>17.897380875420879</v>
      </c>
      <c r="I102" s="216"/>
    </row>
    <row r="103" spans="1:9">
      <c r="A103" s="206"/>
      <c r="B103" s="571" t="s">
        <v>90</v>
      </c>
      <c r="C103" s="217" t="s">
        <v>194</v>
      </c>
      <c r="D103" s="218"/>
      <c r="E103" s="218"/>
      <c r="F103" s="218"/>
      <c r="G103" s="219"/>
      <c r="H103" s="578">
        <f>IF(I103="S",((((5/30)*(F100))/12)*0.015),IF(I103="N",0,"INFORME S ou N"))</f>
        <v>0</v>
      </c>
      <c r="I103" s="220" t="str">
        <f>IF('INFORMAÇÕES BÁSICAS'!D46=1,"S","N")</f>
        <v>N</v>
      </c>
    </row>
    <row r="104" spans="1:9">
      <c r="A104" s="206"/>
      <c r="B104" s="571" t="s">
        <v>92</v>
      </c>
      <c r="C104" s="217" t="s">
        <v>195</v>
      </c>
      <c r="D104" s="218"/>
      <c r="E104" s="218"/>
      <c r="F104" s="218"/>
      <c r="G104" s="219"/>
      <c r="H104" s="572">
        <f>ROUND((((15/30)*F100)/12)*0.0078,2)</f>
        <v>0.71</v>
      </c>
      <c r="I104" s="221"/>
    </row>
    <row r="105" spans="1:9">
      <c r="A105" s="206"/>
      <c r="B105" s="571" t="s">
        <v>152</v>
      </c>
      <c r="C105" s="217" t="s">
        <v>196</v>
      </c>
      <c r="D105" s="218"/>
      <c r="E105" s="218"/>
      <c r="F105" s="218"/>
      <c r="G105" s="219"/>
      <c r="H105" s="578">
        <f>IF(I105="S",(((1+1/3)*(4/12))*(F100))/12*0.02,IF(I105="N",0,"INFORME S ou N"))</f>
        <v>0</v>
      </c>
      <c r="I105" s="222" t="str">
        <f>IF('INFORMAÇÕES BÁSICAS'!D50=1,"S","N")</f>
        <v>N</v>
      </c>
    </row>
    <row r="106" spans="1:9">
      <c r="A106" s="206"/>
      <c r="B106" s="223" t="s">
        <v>129</v>
      </c>
      <c r="C106" s="700" t="s">
        <v>197</v>
      </c>
      <c r="D106" s="700"/>
      <c r="E106" s="700"/>
      <c r="F106" s="700"/>
      <c r="G106" s="700"/>
      <c r="H106" s="225">
        <f>(((F100)/30))*5/12</f>
        <v>30.232062289562293</v>
      </c>
      <c r="I106" s="199"/>
    </row>
    <row r="107" spans="1:9">
      <c r="A107" s="206"/>
      <c r="B107" s="226"/>
      <c r="C107" s="227"/>
      <c r="D107" s="228"/>
      <c r="E107" s="229"/>
      <c r="F107" s="230"/>
      <c r="G107" s="231" t="s">
        <v>198</v>
      </c>
      <c r="H107" s="232">
        <f>SUM(H101:H106)</f>
        <v>230.23181690235694</v>
      </c>
      <c r="I107" s="199"/>
    </row>
    <row r="108" spans="1:9">
      <c r="A108" s="206"/>
      <c r="B108" s="223" t="s">
        <v>131</v>
      </c>
      <c r="C108" s="233" t="s">
        <v>199</v>
      </c>
      <c r="D108" s="233"/>
      <c r="E108" s="234"/>
      <c r="F108" s="235"/>
      <c r="G108" s="236"/>
      <c r="H108" s="237">
        <f>H107*F66</f>
        <v>91.632263127138074</v>
      </c>
      <c r="I108" s="199"/>
    </row>
    <row r="109" spans="1:9" ht="15.75">
      <c r="A109" s="117"/>
      <c r="B109" s="701" t="s">
        <v>200</v>
      </c>
      <c r="C109" s="701"/>
      <c r="D109" s="701"/>
      <c r="E109" s="701"/>
      <c r="F109" s="701"/>
      <c r="G109" s="701"/>
      <c r="H109" s="239">
        <f>ROUND(SUM(H107:H108),2)</f>
        <v>321.86</v>
      </c>
      <c r="I109" s="240"/>
    </row>
    <row r="110" spans="1:9">
      <c r="A110" s="206"/>
      <c r="B110" s="574"/>
      <c r="C110" s="574"/>
      <c r="D110" s="574"/>
      <c r="E110" s="574"/>
      <c r="F110" s="241"/>
      <c r="G110" s="241"/>
      <c r="H110" s="242"/>
      <c r="I110" s="199"/>
    </row>
    <row r="111" spans="1:9" ht="15.75" customHeight="1">
      <c r="A111" s="206"/>
      <c r="B111" s="668" t="s">
        <v>201</v>
      </c>
      <c r="C111" s="668"/>
      <c r="D111" s="669" t="s">
        <v>202</v>
      </c>
      <c r="E111" s="669"/>
      <c r="F111" s="669"/>
      <c r="G111" s="669"/>
      <c r="H111" s="669"/>
      <c r="I111" s="243"/>
    </row>
    <row r="112" spans="1:9" ht="15.75">
      <c r="A112" s="117"/>
      <c r="B112" s="197"/>
      <c r="C112" s="646" t="s">
        <v>140</v>
      </c>
      <c r="D112" s="646"/>
      <c r="E112" s="646"/>
      <c r="F112" s="646"/>
      <c r="G112" s="646"/>
      <c r="H112" s="198" t="s">
        <v>141</v>
      </c>
      <c r="I112" s="67"/>
    </row>
    <row r="113" spans="1:9">
      <c r="A113" s="117"/>
      <c r="B113" s="571" t="s">
        <v>86</v>
      </c>
      <c r="C113" s="641" t="s">
        <v>203</v>
      </c>
      <c r="D113" s="641"/>
      <c r="E113" s="641"/>
      <c r="F113" s="641"/>
      <c r="G113" s="641"/>
      <c r="H113" s="578">
        <v>0</v>
      </c>
      <c r="I113" s="67"/>
    </row>
    <row r="114" spans="1:9" ht="15.75">
      <c r="A114" s="117"/>
      <c r="B114" s="702" t="s">
        <v>204</v>
      </c>
      <c r="C114" s="702"/>
      <c r="D114" s="702"/>
      <c r="E114" s="702"/>
      <c r="F114" s="702"/>
      <c r="G114" s="702"/>
      <c r="H114" s="245">
        <f>ROUND(SUM(H113),2)</f>
        <v>0</v>
      </c>
      <c r="I114" s="67"/>
    </row>
    <row r="115" spans="1:9" ht="15.75">
      <c r="A115" s="117"/>
      <c r="B115" s="246"/>
      <c r="C115" s="703" t="s">
        <v>205</v>
      </c>
      <c r="D115" s="703"/>
      <c r="E115" s="703"/>
      <c r="F115" s="703"/>
      <c r="G115" s="703"/>
      <c r="H115" s="248"/>
      <c r="I115" s="67"/>
    </row>
    <row r="116" spans="1:9" ht="15.75">
      <c r="A116" s="117"/>
      <c r="B116" s="249"/>
      <c r="C116" s="574"/>
      <c r="D116" s="250"/>
      <c r="E116" s="250"/>
      <c r="F116" s="574"/>
      <c r="G116" s="574"/>
      <c r="H116" s="251"/>
      <c r="I116" s="67"/>
    </row>
    <row r="117" spans="1:9" ht="15.75" customHeight="1">
      <c r="A117" s="117"/>
      <c r="B117" s="695" t="s">
        <v>170</v>
      </c>
      <c r="C117" s="695"/>
      <c r="D117" s="704" t="s">
        <v>206</v>
      </c>
      <c r="E117" s="704"/>
      <c r="F117" s="704"/>
      <c r="G117" s="704"/>
      <c r="H117" s="704"/>
      <c r="I117" s="67"/>
    </row>
    <row r="118" spans="1:9" ht="15.75">
      <c r="A118" s="149"/>
      <c r="B118" s="253"/>
      <c r="C118" s="765" t="s">
        <v>140</v>
      </c>
      <c r="D118" s="765"/>
      <c r="E118" s="765"/>
      <c r="F118" s="765"/>
      <c r="G118" s="765"/>
      <c r="H118" s="254" t="s">
        <v>141</v>
      </c>
      <c r="I118" s="152"/>
    </row>
    <row r="119" spans="1:9" ht="15.75">
      <c r="A119" s="117"/>
      <c r="B119" s="255" t="s">
        <v>207</v>
      </c>
      <c r="C119" s="625" t="s">
        <v>193</v>
      </c>
      <c r="D119" s="625"/>
      <c r="E119" s="625"/>
      <c r="F119" s="625"/>
      <c r="G119" s="625"/>
      <c r="H119" s="256">
        <f>H109</f>
        <v>321.86</v>
      </c>
      <c r="I119" s="67"/>
    </row>
    <row r="120" spans="1:9" ht="15.75">
      <c r="A120" s="117"/>
      <c r="B120" s="255" t="s">
        <v>208</v>
      </c>
      <c r="C120" s="625" t="s">
        <v>202</v>
      </c>
      <c r="D120" s="625"/>
      <c r="E120" s="625"/>
      <c r="F120" s="625"/>
      <c r="G120" s="625"/>
      <c r="H120" s="257">
        <f>H113</f>
        <v>0</v>
      </c>
      <c r="I120" s="67"/>
    </row>
    <row r="121" spans="1:9" ht="15.75">
      <c r="A121" s="153"/>
      <c r="B121" s="705" t="s">
        <v>209</v>
      </c>
      <c r="C121" s="705"/>
      <c r="D121" s="705"/>
      <c r="E121" s="705"/>
      <c r="F121" s="705"/>
      <c r="G121" s="705"/>
      <c r="H121" s="191">
        <f>SUM(H118:H120)</f>
        <v>321.86</v>
      </c>
      <c r="I121" s="154"/>
    </row>
    <row r="122" spans="1:9">
      <c r="A122" s="117"/>
      <c r="B122" s="259"/>
      <c r="C122" s="259"/>
      <c r="D122" s="259"/>
      <c r="E122" s="259"/>
      <c r="F122" s="259"/>
      <c r="G122" s="259"/>
      <c r="H122" s="259"/>
      <c r="I122" s="67"/>
    </row>
    <row r="123" spans="1:9" ht="15.75" customHeight="1">
      <c r="A123" s="206"/>
      <c r="B123" s="668" t="s">
        <v>210</v>
      </c>
      <c r="C123" s="668"/>
      <c r="D123" s="669" t="s">
        <v>211</v>
      </c>
      <c r="E123" s="669"/>
      <c r="F123" s="669"/>
      <c r="G123" s="669"/>
      <c r="H123" s="669"/>
      <c r="I123" s="243"/>
    </row>
    <row r="124" spans="1:9" ht="15.75">
      <c r="A124" s="117"/>
      <c r="B124" s="260">
        <v>5</v>
      </c>
      <c r="C124" s="770" t="s">
        <v>212</v>
      </c>
      <c r="D124" s="770"/>
      <c r="E124" s="770"/>
      <c r="F124" s="770"/>
      <c r="G124" s="770"/>
      <c r="H124" s="261" t="s">
        <v>141</v>
      </c>
      <c r="I124" s="67"/>
    </row>
    <row r="125" spans="1:9" ht="15.75">
      <c r="A125" s="117"/>
      <c r="B125" s="262" t="s">
        <v>86</v>
      </c>
      <c r="C125" s="771" t="s">
        <v>213</v>
      </c>
      <c r="D125" s="771"/>
      <c r="E125" s="771"/>
      <c r="F125" s="771"/>
      <c r="G125" s="771"/>
      <c r="H125" s="263">
        <f>'uniforme eletrecista'!$G$28</f>
        <v>157.83166666666662</v>
      </c>
      <c r="I125" s="67"/>
    </row>
    <row r="126" spans="1:9" ht="15.75">
      <c r="A126" s="117"/>
      <c r="B126" s="688" t="s">
        <v>214</v>
      </c>
      <c r="C126" s="688"/>
      <c r="D126" s="688"/>
      <c r="E126" s="688"/>
      <c r="F126" s="688"/>
      <c r="G126" s="688"/>
      <c r="H126" s="191">
        <f>SUM(H125:H125)</f>
        <v>157.83166666666662</v>
      </c>
      <c r="I126" s="67"/>
    </row>
    <row r="127" spans="1:9">
      <c r="A127" s="183"/>
      <c r="B127" s="569"/>
      <c r="C127" s="299"/>
      <c r="D127" s="299"/>
      <c r="E127" s="299"/>
      <c r="F127" s="300"/>
      <c r="G127" s="300"/>
      <c r="H127" s="301"/>
      <c r="I127" s="185"/>
    </row>
    <row r="128" spans="1:9" ht="15.75" customHeight="1">
      <c r="A128" s="206"/>
      <c r="B128" s="668" t="s">
        <v>215</v>
      </c>
      <c r="C128" s="668"/>
      <c r="D128" s="669" t="s">
        <v>216</v>
      </c>
      <c r="E128" s="669"/>
      <c r="F128" s="669"/>
      <c r="G128" s="669"/>
      <c r="H128" s="669"/>
      <c r="I128" s="243"/>
    </row>
    <row r="129" spans="1:9" ht="15.75">
      <c r="A129" s="153"/>
      <c r="B129" s="268">
        <v>6</v>
      </c>
      <c r="C129" s="765" t="s">
        <v>212</v>
      </c>
      <c r="D129" s="765"/>
      <c r="E129" s="765"/>
      <c r="F129" s="772" t="s">
        <v>148</v>
      </c>
      <c r="G129" s="772"/>
      <c r="H129" s="269" t="s">
        <v>141</v>
      </c>
      <c r="I129" s="243"/>
    </row>
    <row r="130" spans="1:9">
      <c r="A130" s="153"/>
      <c r="B130" s="709" t="s">
        <v>86</v>
      </c>
      <c r="C130" s="773" t="s">
        <v>217</v>
      </c>
      <c r="D130" s="773"/>
      <c r="E130" s="773"/>
      <c r="F130" s="271" t="s">
        <v>218</v>
      </c>
      <c r="G130" s="272">
        <f>H144+H145+H146+H147+H148</f>
        <v>3532.6552115151517</v>
      </c>
      <c r="H130" s="774">
        <f>ROUND(G130*G131,2)</f>
        <v>239.87</v>
      </c>
      <c r="I130" s="243"/>
    </row>
    <row r="131" spans="1:9">
      <c r="A131" s="153"/>
      <c r="B131" s="709"/>
      <c r="C131" s="773"/>
      <c r="D131" s="773"/>
      <c r="E131" s="773"/>
      <c r="F131" s="273" t="s">
        <v>148</v>
      </c>
      <c r="G131" s="274">
        <f>'INFORMAÇÕES BÁSICAS'!$D$14</f>
        <v>6.7900000000000002E-2</v>
      </c>
      <c r="H131" s="774"/>
      <c r="I131" s="243"/>
    </row>
    <row r="132" spans="1:9">
      <c r="A132" s="153"/>
      <c r="B132" s="709" t="s">
        <v>88</v>
      </c>
      <c r="C132" s="641" t="s">
        <v>219</v>
      </c>
      <c r="D132" s="641"/>
      <c r="E132" s="641"/>
      <c r="F132" s="275" t="s">
        <v>218</v>
      </c>
      <c r="G132" s="276">
        <f>H46+H85+H95+H121+H126+H130</f>
        <v>3772.5252115151516</v>
      </c>
      <c r="H132" s="774">
        <f>ROUND(G132*G133,2)</f>
        <v>226.35</v>
      </c>
      <c r="I132" s="243"/>
    </row>
    <row r="133" spans="1:9">
      <c r="A133" s="153"/>
      <c r="B133" s="709"/>
      <c r="C133" s="641"/>
      <c r="D133" s="641"/>
      <c r="E133" s="641"/>
      <c r="F133" s="273" t="s">
        <v>148</v>
      </c>
      <c r="G133" s="274">
        <f>'INFORMAÇÕES BÁSICAS'!$D$15</f>
        <v>0.06</v>
      </c>
      <c r="H133" s="774"/>
      <c r="I133" s="243"/>
    </row>
    <row r="134" spans="1:9" ht="15.75">
      <c r="A134" s="153"/>
      <c r="B134" s="570" t="s">
        <v>90</v>
      </c>
      <c r="C134" s="577" t="s">
        <v>220</v>
      </c>
      <c r="D134" s="277"/>
      <c r="E134" s="278"/>
      <c r="F134" s="775"/>
      <c r="G134" s="775"/>
      <c r="H134" s="279"/>
      <c r="I134" s="243"/>
    </row>
    <row r="135" spans="1:9">
      <c r="A135" s="153"/>
      <c r="B135" s="776"/>
      <c r="C135" s="777"/>
      <c r="D135" s="778" t="s">
        <v>221</v>
      </c>
      <c r="E135" s="778"/>
      <c r="F135" s="779">
        <f>IF($F$9=1,0.0165,IF($F$9=2,0.0065,IF($F$9=3,D190,IF($F$9=4,D190,"ESCOLHA UM RT"))))</f>
        <v>1.6500000000000001E-2</v>
      </c>
      <c r="G135" s="779"/>
      <c r="H135" s="280">
        <f>ROUND(($G$132/(1-$F$140))*F135,2)</f>
        <v>72.59</v>
      </c>
      <c r="I135" s="243"/>
    </row>
    <row r="136" spans="1:9">
      <c r="A136" s="153"/>
      <c r="B136" s="776"/>
      <c r="C136" s="777"/>
      <c r="D136" s="778" t="s">
        <v>222</v>
      </c>
      <c r="E136" s="778"/>
      <c r="F136" s="779">
        <f>IF($F$9=1,0.076,IF($F$9=2,0.03,IF($F$9=3,E190,IF($F$9=4,E190,"ESCOLHA UM RT"))))</f>
        <v>7.5999999999999998E-2</v>
      </c>
      <c r="G136" s="779"/>
      <c r="H136" s="280">
        <f>ROUND(($G$132/(1-$F$140))*F136,2)</f>
        <v>334.36</v>
      </c>
      <c r="I136" s="243"/>
    </row>
    <row r="137" spans="1:9" ht="29.25" customHeight="1">
      <c r="A137" s="153"/>
      <c r="B137" s="576"/>
      <c r="C137" s="780" t="s">
        <v>223</v>
      </c>
      <c r="D137" s="780"/>
      <c r="E137" s="780"/>
      <c r="F137" s="780"/>
      <c r="G137" s="780"/>
      <c r="H137" s="280">
        <v>0</v>
      </c>
      <c r="I137" s="243"/>
    </row>
    <row r="138" spans="1:9" ht="15.75">
      <c r="A138" s="153"/>
      <c r="B138" s="570"/>
      <c r="C138" s="781" t="s">
        <v>224</v>
      </c>
      <c r="D138" s="781"/>
      <c r="E138" s="781"/>
      <c r="F138" s="782">
        <v>0</v>
      </c>
      <c r="G138" s="782"/>
      <c r="H138" s="280">
        <f>F138*(H46+H85+H126+H66+H130)</f>
        <v>0</v>
      </c>
      <c r="I138" s="243"/>
    </row>
    <row r="139" spans="1:9" ht="15.75">
      <c r="A139" s="153"/>
      <c r="B139" s="570"/>
      <c r="C139" s="781" t="s">
        <v>225</v>
      </c>
      <c r="D139" s="781"/>
      <c r="E139" s="781"/>
      <c r="F139" s="779">
        <f>'INFORMAÇÕES BÁSICAS'!D77</f>
        <v>0.05</v>
      </c>
      <c r="G139" s="779"/>
      <c r="H139" s="280">
        <f>((G132+H132)/(1-F134))*F139</f>
        <v>199.94376057575758</v>
      </c>
      <c r="I139" s="243"/>
    </row>
    <row r="140" spans="1:9" ht="15.75">
      <c r="A140" s="153"/>
      <c r="B140" s="688" t="s">
        <v>226</v>
      </c>
      <c r="C140" s="688"/>
      <c r="D140" s="688"/>
      <c r="E140" s="688"/>
      <c r="F140" s="672">
        <f>SUM(F135:G139)</f>
        <v>0.14250000000000002</v>
      </c>
      <c r="G140" s="672"/>
      <c r="H140" s="191">
        <f>SUM(H130:H139)</f>
        <v>1073.1137605757576</v>
      </c>
      <c r="I140" s="154"/>
    </row>
    <row r="141" spans="1:9">
      <c r="A141" s="153"/>
      <c r="B141" s="192"/>
      <c r="C141" s="193"/>
      <c r="D141" s="193"/>
      <c r="E141" s="193"/>
      <c r="F141" s="281"/>
      <c r="G141" s="281"/>
      <c r="H141" s="194"/>
      <c r="I141" s="154"/>
    </row>
    <row r="142" spans="1:9" ht="26.25">
      <c r="A142" s="67"/>
      <c r="B142" s="721" t="s">
        <v>227</v>
      </c>
      <c r="C142" s="721"/>
      <c r="D142" s="721"/>
      <c r="E142" s="721"/>
      <c r="F142" s="721"/>
      <c r="G142" s="721"/>
      <c r="H142" s="721"/>
      <c r="I142" s="67"/>
    </row>
    <row r="143" spans="1:9">
      <c r="A143" s="67"/>
      <c r="B143" s="722" t="s">
        <v>103</v>
      </c>
      <c r="C143" s="722"/>
      <c r="D143" s="722"/>
      <c r="E143" s="722"/>
      <c r="F143" s="722"/>
      <c r="G143" s="722"/>
      <c r="H143" s="722"/>
      <c r="I143" s="67"/>
    </row>
    <row r="144" spans="1:9">
      <c r="A144" s="67"/>
      <c r="B144" s="571" t="s">
        <v>86</v>
      </c>
      <c r="C144" s="284" t="s">
        <v>228</v>
      </c>
      <c r="D144" s="285"/>
      <c r="E144" s="285"/>
      <c r="F144" s="285"/>
      <c r="G144" s="286"/>
      <c r="H144" s="287">
        <f>H46</f>
        <v>1822.3636363636365</v>
      </c>
      <c r="I144" s="67"/>
    </row>
    <row r="145" spans="1:9">
      <c r="A145" s="67"/>
      <c r="B145" s="571" t="s">
        <v>88</v>
      </c>
      <c r="C145" s="284" t="s">
        <v>229</v>
      </c>
      <c r="D145" s="285"/>
      <c r="E145" s="285"/>
      <c r="F145" s="285"/>
      <c r="G145" s="286"/>
      <c r="H145" s="288">
        <f>H85</f>
        <v>1108.3748484848484</v>
      </c>
      <c r="I145" s="67"/>
    </row>
    <row r="146" spans="1:9">
      <c r="A146" s="67"/>
      <c r="B146" s="571" t="s">
        <v>90</v>
      </c>
      <c r="C146" s="284" t="s">
        <v>230</v>
      </c>
      <c r="D146" s="285"/>
      <c r="E146" s="285"/>
      <c r="F146" s="285"/>
      <c r="G146" s="286"/>
      <c r="H146" s="288">
        <f>H95</f>
        <v>122.22506</v>
      </c>
      <c r="I146" s="67"/>
    </row>
    <row r="147" spans="1:9">
      <c r="A147" s="67"/>
      <c r="B147" s="571" t="s">
        <v>92</v>
      </c>
      <c r="C147" s="284" t="s">
        <v>231</v>
      </c>
      <c r="D147" s="285"/>
      <c r="E147" s="285"/>
      <c r="F147" s="285"/>
      <c r="G147" s="286"/>
      <c r="H147" s="288">
        <f>H121</f>
        <v>321.86</v>
      </c>
      <c r="I147" s="67"/>
    </row>
    <row r="148" spans="1:9">
      <c r="A148" s="153"/>
      <c r="B148" s="571" t="s">
        <v>152</v>
      </c>
      <c r="C148" s="284" t="s">
        <v>232</v>
      </c>
      <c r="D148" s="285"/>
      <c r="E148" s="285"/>
      <c r="F148" s="285"/>
      <c r="G148" s="286"/>
      <c r="H148" s="288">
        <f>H126</f>
        <v>157.83166666666662</v>
      </c>
      <c r="I148" s="154"/>
    </row>
    <row r="149" spans="1:9">
      <c r="A149" s="153"/>
      <c r="B149" s="289"/>
      <c r="C149" s="726" t="s">
        <v>233</v>
      </c>
      <c r="D149" s="726"/>
      <c r="E149" s="726"/>
      <c r="F149" s="726"/>
      <c r="G149" s="726"/>
      <c r="H149" s="291">
        <f>SUM(H144:H148)</f>
        <v>3532.6552115151517</v>
      </c>
      <c r="I149" s="154"/>
    </row>
    <row r="150" spans="1:9">
      <c r="A150" s="153"/>
      <c r="B150" s="289" t="s">
        <v>129</v>
      </c>
      <c r="C150" s="292" t="s">
        <v>234</v>
      </c>
      <c r="D150" s="293"/>
      <c r="E150" s="293"/>
      <c r="F150" s="293"/>
      <c r="G150" s="294"/>
      <c r="H150" s="295">
        <f>H140</f>
        <v>1073.1137605757576</v>
      </c>
      <c r="I150" s="154"/>
    </row>
    <row r="151" spans="1:9" ht="23.25">
      <c r="A151" s="153"/>
      <c r="B151" s="727" t="s">
        <v>235</v>
      </c>
      <c r="C151" s="727"/>
      <c r="D151" s="727"/>
      <c r="E151" s="727"/>
      <c r="F151" s="727"/>
      <c r="G151" s="727"/>
      <c r="H151" s="297">
        <f>SUM(H149:H150)</f>
        <v>4605.7689720909093</v>
      </c>
      <c r="I151" s="154"/>
    </row>
    <row r="152" spans="1:9">
      <c r="A152" s="183"/>
      <c r="B152" s="569"/>
      <c r="C152" s="299"/>
      <c r="D152" s="299"/>
      <c r="E152" s="299"/>
      <c r="F152" s="300"/>
      <c r="G152" s="300"/>
      <c r="H152" s="301"/>
      <c r="I152" s="185"/>
    </row>
    <row r="153" spans="1:9" ht="26.25">
      <c r="A153" s="67"/>
      <c r="B153" s="638" t="s">
        <v>236</v>
      </c>
      <c r="C153" s="638"/>
      <c r="D153" s="638"/>
      <c r="E153" s="638"/>
      <c r="F153" s="638"/>
      <c r="G153" s="638"/>
      <c r="H153" s="638"/>
      <c r="I153" s="67"/>
    </row>
    <row r="154" spans="1:9">
      <c r="A154" s="67"/>
      <c r="B154" s="728" t="s">
        <v>103</v>
      </c>
      <c r="C154" s="728"/>
      <c r="D154" s="728"/>
      <c r="E154" s="728"/>
      <c r="F154" s="728"/>
      <c r="G154" s="728"/>
      <c r="H154" s="728"/>
      <c r="I154" s="67"/>
    </row>
    <row r="155" spans="1:9" ht="60" customHeight="1">
      <c r="A155" s="67"/>
      <c r="B155" s="729" t="s">
        <v>237</v>
      </c>
      <c r="C155" s="729"/>
      <c r="D155" s="575" t="s">
        <v>238</v>
      </c>
      <c r="E155" s="575" t="s">
        <v>239</v>
      </c>
      <c r="F155" s="783" t="s">
        <v>240</v>
      </c>
      <c r="G155" s="783"/>
      <c r="H155" s="305" t="s">
        <v>241</v>
      </c>
      <c r="I155" s="67"/>
    </row>
    <row r="156" spans="1:9" ht="15.75">
      <c r="A156" s="67"/>
      <c r="B156" s="730" t="str">
        <f>H25</f>
        <v>Contratação de SERVIÇOS DE INFRAESTRUTURA E MANUTENÇÃO PREDIAL, JORNADA DE 40 HORAS SEMANAIS, para o IF Farroupilha Campus São Vicente do Sul, conforme condições, quantidades e exigências estabelecidas neste Edital e seus anexos</v>
      </c>
      <c r="C156" s="730"/>
      <c r="D156" s="306">
        <f>H151</f>
        <v>4605.7689720909093</v>
      </c>
      <c r="E156" s="307" t="str">
        <f>H16</f>
        <v>01</v>
      </c>
      <c r="F156" s="784">
        <f>D156*E156</f>
        <v>4605.7689720909093</v>
      </c>
      <c r="G156" s="784"/>
      <c r="H156" s="308">
        <f>F156*E156</f>
        <v>4605.7689720909093</v>
      </c>
      <c r="I156" s="67"/>
    </row>
    <row r="157" spans="1:9" ht="26.25">
      <c r="A157" s="185"/>
      <c r="B157" s="731" t="s">
        <v>242</v>
      </c>
      <c r="C157" s="731"/>
      <c r="D157" s="731"/>
      <c r="E157" s="731"/>
      <c r="F157" s="731"/>
      <c r="G157" s="731"/>
      <c r="H157" s="310">
        <f>SUM(H156)</f>
        <v>4605.7689720909093</v>
      </c>
      <c r="I157" s="185"/>
    </row>
    <row r="158" spans="1:9">
      <c r="A158" s="185"/>
      <c r="B158" s="732"/>
      <c r="C158" s="732"/>
      <c r="D158" s="167"/>
      <c r="E158" s="167"/>
      <c r="F158" s="167"/>
      <c r="G158" s="167"/>
      <c r="H158" s="311"/>
      <c r="I158" s="185"/>
    </row>
    <row r="159" spans="1:9" ht="26.25">
      <c r="A159" s="67"/>
      <c r="B159" s="638" t="s">
        <v>243</v>
      </c>
      <c r="C159" s="638"/>
      <c r="D159" s="638"/>
      <c r="E159" s="638"/>
      <c r="F159" s="638"/>
      <c r="G159" s="638"/>
      <c r="H159" s="638"/>
      <c r="I159" s="67"/>
    </row>
    <row r="160" spans="1:9">
      <c r="A160" s="67"/>
      <c r="B160" s="723" t="s">
        <v>244</v>
      </c>
      <c r="C160" s="723"/>
      <c r="D160" s="723"/>
      <c r="E160" s="723"/>
      <c r="F160" s="723"/>
      <c r="G160" s="723"/>
      <c r="H160" s="313" t="s">
        <v>245</v>
      </c>
      <c r="I160" s="67"/>
    </row>
    <row r="161" spans="1:13" ht="15.75" customHeight="1">
      <c r="A161" s="67"/>
      <c r="B161" s="314" t="s">
        <v>86</v>
      </c>
      <c r="C161" s="724" t="s">
        <v>246</v>
      </c>
      <c r="D161" s="724"/>
      <c r="E161" s="724"/>
      <c r="F161" s="724"/>
      <c r="G161" s="724"/>
      <c r="H161" s="316">
        <f>H157</f>
        <v>4605.7689720909093</v>
      </c>
      <c r="I161" s="67"/>
    </row>
    <row r="162" spans="1:13" ht="16.5" customHeight="1">
      <c r="A162" s="67"/>
      <c r="B162" s="317" t="s">
        <v>88</v>
      </c>
      <c r="C162" s="725" t="s">
        <v>247</v>
      </c>
      <c r="D162" s="725"/>
      <c r="E162" s="725"/>
      <c r="F162" s="725"/>
      <c r="G162" s="725"/>
      <c r="H162" s="319">
        <f>H161*H14</f>
        <v>138173.06916272728</v>
      </c>
      <c r="I162" s="320"/>
      <c r="M162" t="s">
        <v>147</v>
      </c>
    </row>
    <row r="163" spans="1:13">
      <c r="A163" s="185"/>
      <c r="B163" s="574"/>
      <c r="C163" s="454"/>
      <c r="D163" s="167"/>
      <c r="E163" s="167"/>
      <c r="F163" s="167"/>
      <c r="G163" s="167"/>
      <c r="H163" s="311"/>
      <c r="I163" s="185"/>
    </row>
    <row r="164" spans="1:13">
      <c r="A164" s="117"/>
      <c r="B164" s="259"/>
      <c r="C164" s="259"/>
      <c r="D164" s="259"/>
      <c r="E164" s="259"/>
      <c r="F164" s="259"/>
      <c r="G164" s="259"/>
      <c r="H164" s="259"/>
      <c r="I164" s="117"/>
    </row>
    <row r="165" spans="1:13">
      <c r="A165" s="117"/>
      <c r="B165" s="259"/>
      <c r="C165" s="259"/>
      <c r="D165" s="259"/>
      <c r="E165" s="259"/>
      <c r="F165" s="259"/>
      <c r="G165" s="259"/>
      <c r="H165" s="259"/>
      <c r="I165" s="117"/>
    </row>
    <row r="166" spans="1:13">
      <c r="A166" s="117"/>
      <c r="B166" s="259"/>
      <c r="C166" s="259"/>
      <c r="D166" s="259"/>
      <c r="E166" s="259"/>
      <c r="F166" s="259"/>
      <c r="G166" s="259"/>
      <c r="H166" s="259"/>
      <c r="I166" s="117"/>
    </row>
    <row r="167" spans="1:13">
      <c r="A167" s="117"/>
      <c r="B167" s="259"/>
      <c r="C167" s="259"/>
      <c r="D167" s="259"/>
      <c r="E167" s="259"/>
      <c r="F167" s="259"/>
      <c r="G167" s="259"/>
      <c r="H167" s="259"/>
      <c r="I167" s="117"/>
    </row>
    <row r="168" spans="1:13">
      <c r="A168" s="117"/>
      <c r="B168" s="259"/>
      <c r="C168" s="259"/>
      <c r="D168" s="259"/>
      <c r="E168" s="259"/>
      <c r="F168" s="259"/>
      <c r="G168" s="259"/>
      <c r="H168" s="259"/>
      <c r="I168" s="117"/>
    </row>
    <row r="169" spans="1:13">
      <c r="A169" s="117"/>
      <c r="B169" s="259"/>
      <c r="C169" s="259"/>
      <c r="D169" s="259"/>
      <c r="E169" s="259"/>
      <c r="F169" s="259"/>
      <c r="G169" s="259"/>
      <c r="H169" s="259"/>
      <c r="I169" s="117"/>
    </row>
    <row r="170" spans="1:13">
      <c r="A170" s="117"/>
      <c r="B170" s="259"/>
      <c r="C170" s="259"/>
      <c r="D170" s="259"/>
      <c r="E170" s="259"/>
      <c r="F170" s="259"/>
      <c r="G170" s="259"/>
      <c r="H170" s="259"/>
      <c r="I170" s="117"/>
    </row>
    <row r="171" spans="1:13">
      <c r="A171" s="117"/>
      <c r="B171" s="259"/>
      <c r="C171" s="259"/>
      <c r="D171" s="259"/>
      <c r="E171" s="259"/>
      <c r="F171" s="259"/>
      <c r="G171" s="259"/>
      <c r="H171" s="259"/>
      <c r="I171" s="117"/>
    </row>
    <row r="172" spans="1:13">
      <c r="A172" s="117"/>
      <c r="B172" s="259"/>
      <c r="C172" s="259"/>
      <c r="D172" s="259"/>
      <c r="E172" s="259"/>
      <c r="F172" s="259"/>
      <c r="G172" s="259"/>
      <c r="H172" s="259"/>
      <c r="I172" s="117"/>
    </row>
    <row r="173" spans="1:13">
      <c r="A173" s="117"/>
      <c r="B173" s="259"/>
      <c r="C173" s="259"/>
      <c r="D173" s="259"/>
      <c r="E173" s="259"/>
      <c r="F173" s="259"/>
      <c r="G173" s="259"/>
      <c r="H173" s="259"/>
      <c r="I173" s="117"/>
    </row>
    <row r="174" spans="1:13">
      <c r="A174" s="117"/>
      <c r="B174" s="259"/>
      <c r="C174" s="259"/>
      <c r="D174" s="259"/>
      <c r="E174" s="259"/>
      <c r="F174" s="259"/>
      <c r="G174" s="259"/>
      <c r="H174" s="259"/>
      <c r="I174" s="117"/>
    </row>
    <row r="175" spans="1:13">
      <c r="A175" s="117"/>
      <c r="B175" s="259"/>
      <c r="C175" s="259"/>
      <c r="D175" s="259"/>
      <c r="E175" s="259"/>
      <c r="F175" s="259"/>
      <c r="G175" s="259"/>
      <c r="H175" s="259"/>
      <c r="I175" s="117"/>
    </row>
    <row r="176" spans="1:13">
      <c r="A176" s="117"/>
      <c r="B176" s="259"/>
      <c r="C176" s="259"/>
      <c r="D176" s="259"/>
      <c r="E176" s="259"/>
      <c r="F176" s="259"/>
      <c r="G176" s="259"/>
      <c r="H176" s="259"/>
      <c r="I176" s="117"/>
    </row>
    <row r="177" spans="1:9">
      <c r="A177" s="117"/>
      <c r="B177" s="259"/>
      <c r="C177" s="259"/>
      <c r="D177" s="259"/>
      <c r="E177" s="259"/>
      <c r="F177" s="259"/>
      <c r="G177" s="259"/>
      <c r="H177" s="259"/>
      <c r="I177" s="117"/>
    </row>
    <row r="178" spans="1:9">
      <c r="A178" s="117"/>
      <c r="B178" s="117"/>
      <c r="C178" s="117"/>
      <c r="D178" s="117"/>
      <c r="E178" s="117"/>
      <c r="F178" s="117"/>
      <c r="G178" s="117"/>
      <c r="H178" s="117"/>
      <c r="I178" s="117"/>
    </row>
    <row r="179" spans="1:9">
      <c r="A179" s="117"/>
      <c r="B179" s="117"/>
      <c r="C179" s="117"/>
      <c r="D179" s="117"/>
      <c r="E179" s="117"/>
      <c r="F179" s="117"/>
      <c r="G179" s="117"/>
      <c r="H179" s="117"/>
      <c r="I179" s="117"/>
    </row>
    <row r="180" spans="1:9">
      <c r="A180" s="117"/>
      <c r="B180" s="117"/>
      <c r="C180" s="117"/>
      <c r="D180" s="117"/>
      <c r="E180" s="117"/>
      <c r="F180" s="117"/>
      <c r="G180" s="117"/>
      <c r="H180" s="117"/>
      <c r="I180" s="117"/>
    </row>
    <row r="181" spans="1:9">
      <c r="A181" s="117"/>
      <c r="B181" s="117"/>
      <c r="C181" s="117"/>
      <c r="D181" s="117"/>
      <c r="E181" s="117"/>
      <c r="F181" s="117"/>
      <c r="G181" s="117"/>
      <c r="H181" s="117"/>
      <c r="I181" s="117"/>
    </row>
    <row r="182" spans="1:9">
      <c r="A182" s="117"/>
      <c r="B182" s="117"/>
      <c r="C182" s="117"/>
      <c r="D182" s="117"/>
      <c r="E182" s="117"/>
      <c r="F182" s="117"/>
      <c r="G182" s="117"/>
      <c r="H182" s="117"/>
      <c r="I182" s="117"/>
    </row>
    <row r="183" spans="1:9">
      <c r="A183" s="117"/>
      <c r="B183" s="117"/>
      <c r="C183" s="117"/>
      <c r="D183" s="117"/>
      <c r="E183" s="117"/>
      <c r="F183" s="117"/>
      <c r="G183" s="117"/>
      <c r="H183" s="117"/>
      <c r="I183" s="117"/>
    </row>
    <row r="184" spans="1:9">
      <c r="A184" s="117"/>
      <c r="B184" s="117"/>
      <c r="C184" s="117"/>
      <c r="D184" s="117"/>
      <c r="E184" s="117"/>
      <c r="F184" s="117"/>
      <c r="G184" s="117"/>
      <c r="H184" s="117"/>
      <c r="I184" s="117"/>
    </row>
    <row r="185" spans="1:9">
      <c r="A185" s="117"/>
      <c r="B185" s="117"/>
      <c r="C185" s="117"/>
      <c r="D185" s="117"/>
      <c r="E185" s="117"/>
      <c r="F185" s="117"/>
      <c r="G185" s="117"/>
      <c r="H185" s="117"/>
      <c r="I185" s="117"/>
    </row>
    <row r="186" spans="1:9">
      <c r="A186" s="117"/>
      <c r="B186" s="117"/>
      <c r="C186" s="117"/>
      <c r="D186" s="117"/>
      <c r="E186" s="117"/>
      <c r="F186" s="117"/>
      <c r="G186" s="117"/>
      <c r="H186" s="117"/>
      <c r="I186" s="117"/>
    </row>
    <row r="187" spans="1:9">
      <c r="A187" s="117"/>
      <c r="B187" s="117"/>
      <c r="C187" s="117"/>
      <c r="D187" s="117"/>
      <c r="E187" s="117"/>
      <c r="F187" s="117"/>
      <c r="G187" s="117"/>
      <c r="H187" s="117"/>
      <c r="I187" s="117"/>
    </row>
    <row r="188" spans="1:9">
      <c r="A188" s="117"/>
      <c r="B188" s="117"/>
      <c r="C188" s="117"/>
      <c r="D188" s="117"/>
      <c r="E188" s="117"/>
      <c r="F188" s="117"/>
      <c r="G188" s="117"/>
      <c r="H188" s="117"/>
      <c r="I188" s="117"/>
    </row>
    <row r="189" spans="1:9">
      <c r="A189" s="117"/>
      <c r="B189" s="117"/>
      <c r="C189" s="117"/>
      <c r="D189" s="117"/>
      <c r="E189" s="117"/>
      <c r="F189" s="117"/>
      <c r="G189" s="117"/>
      <c r="H189" s="117"/>
      <c r="I189" s="117"/>
    </row>
    <row r="190" spans="1:9">
      <c r="A190" s="117"/>
      <c r="B190" s="117"/>
      <c r="C190" s="117"/>
      <c r="D190" s="460" t="e">
        <f>'INFORMAÇÕES BÁSICAS'!E211</f>
        <v>#REF!</v>
      </c>
      <c r="E190" s="460" t="e">
        <f>'INFORMAÇÕES BÁSICAS'!F211</f>
        <v>#REF!</v>
      </c>
      <c r="F190" s="460"/>
      <c r="G190" s="117"/>
      <c r="H190" s="117"/>
      <c r="I190" s="117"/>
    </row>
  </sheetData>
  <sheetProtection sheet="1" objects="1" scenarios="1"/>
  <mergeCells count="210">
    <mergeCell ref="C161:G161"/>
    <mergeCell ref="C162:G162"/>
    <mergeCell ref="B154:H154"/>
    <mergeCell ref="B155:C155"/>
    <mergeCell ref="F155:G155"/>
    <mergeCell ref="B156:C156"/>
    <mergeCell ref="F156:G156"/>
    <mergeCell ref="B157:G157"/>
    <mergeCell ref="B158:C158"/>
    <mergeCell ref="B159:H159"/>
    <mergeCell ref="B160:G160"/>
    <mergeCell ref="C139:E139"/>
    <mergeCell ref="F139:G139"/>
    <mergeCell ref="B140:E140"/>
    <mergeCell ref="F140:G140"/>
    <mergeCell ref="B142:H142"/>
    <mergeCell ref="B143:H143"/>
    <mergeCell ref="C149:G149"/>
    <mergeCell ref="B151:G151"/>
    <mergeCell ref="B153:H153"/>
    <mergeCell ref="F134:G134"/>
    <mergeCell ref="B135:B136"/>
    <mergeCell ref="C135:C136"/>
    <mergeCell ref="D135:E135"/>
    <mergeCell ref="F135:G135"/>
    <mergeCell ref="D136:E136"/>
    <mergeCell ref="F136:G136"/>
    <mergeCell ref="C137:G137"/>
    <mergeCell ref="C138:E138"/>
    <mergeCell ref="F138:G138"/>
    <mergeCell ref="B128:C128"/>
    <mergeCell ref="D128:H128"/>
    <mergeCell ref="C129:E129"/>
    <mergeCell ref="F129:G129"/>
    <mergeCell ref="B130:B131"/>
    <mergeCell ref="C130:E131"/>
    <mergeCell ref="H130:H131"/>
    <mergeCell ref="B132:B133"/>
    <mergeCell ref="C132:E133"/>
    <mergeCell ref="H132:H133"/>
    <mergeCell ref="C118:G118"/>
    <mergeCell ref="C119:G119"/>
    <mergeCell ref="C120:G120"/>
    <mergeCell ref="B121:G121"/>
    <mergeCell ref="B123:C123"/>
    <mergeCell ref="D123:H123"/>
    <mergeCell ref="C124:G124"/>
    <mergeCell ref="C125:G125"/>
    <mergeCell ref="B126:G126"/>
    <mergeCell ref="B109:G109"/>
    <mergeCell ref="B111:C111"/>
    <mergeCell ref="D111:H111"/>
    <mergeCell ref="C112:G112"/>
    <mergeCell ref="C113:G113"/>
    <mergeCell ref="B114:G114"/>
    <mergeCell ref="C115:G115"/>
    <mergeCell ref="B117:C117"/>
    <mergeCell ref="D117:H117"/>
    <mergeCell ref="B97:C97"/>
    <mergeCell ref="D97:H97"/>
    <mergeCell ref="B98:C98"/>
    <mergeCell ref="D98:H98"/>
    <mergeCell ref="C99:G99"/>
    <mergeCell ref="C100:E100"/>
    <mergeCell ref="F100:G100"/>
    <mergeCell ref="C101:G101"/>
    <mergeCell ref="C106:G106"/>
    <mergeCell ref="C88:G88"/>
    <mergeCell ref="C89:G89"/>
    <mergeCell ref="C90:G90"/>
    <mergeCell ref="C91:G91"/>
    <mergeCell ref="C92:G92"/>
    <mergeCell ref="C93:G93"/>
    <mergeCell ref="C94:G94"/>
    <mergeCell ref="B95:E95"/>
    <mergeCell ref="F95:G95"/>
    <mergeCell ref="B80:C80"/>
    <mergeCell ref="D80:H80"/>
    <mergeCell ref="C81:G81"/>
    <mergeCell ref="C82:G82"/>
    <mergeCell ref="C83:G83"/>
    <mergeCell ref="C84:G84"/>
    <mergeCell ref="B85:G85"/>
    <mergeCell ref="B87:C87"/>
    <mergeCell ref="D87:H87"/>
    <mergeCell ref="D74:E74"/>
    <mergeCell ref="F74:G74"/>
    <mergeCell ref="D75:E75"/>
    <mergeCell ref="F75:G75"/>
    <mergeCell ref="D76:E76"/>
    <mergeCell ref="F76:G76"/>
    <mergeCell ref="D77:E77"/>
    <mergeCell ref="F77:G77"/>
    <mergeCell ref="B78:G78"/>
    <mergeCell ref="B69:C69"/>
    <mergeCell ref="D69:H69"/>
    <mergeCell ref="C70:G70"/>
    <mergeCell ref="B71:B73"/>
    <mergeCell ref="C71:C73"/>
    <mergeCell ref="D71:E71"/>
    <mergeCell ref="F71:G71"/>
    <mergeCell ref="H71:H73"/>
    <mergeCell ref="D72:E72"/>
    <mergeCell ref="F72:G72"/>
    <mergeCell ref="D73:E73"/>
    <mergeCell ref="F73:G73"/>
    <mergeCell ref="C63:E63"/>
    <mergeCell ref="F63:G63"/>
    <mergeCell ref="C64:E64"/>
    <mergeCell ref="F64:G64"/>
    <mergeCell ref="C65:E65"/>
    <mergeCell ref="F65:G65"/>
    <mergeCell ref="B66:E66"/>
    <mergeCell ref="F66:G66"/>
    <mergeCell ref="C67:G67"/>
    <mergeCell ref="C58:E58"/>
    <mergeCell ref="F58:G58"/>
    <mergeCell ref="C59:E59"/>
    <mergeCell ref="F59:G59"/>
    <mergeCell ref="C60:E60"/>
    <mergeCell ref="F60:G60"/>
    <mergeCell ref="C61:E61"/>
    <mergeCell ref="F61:G61"/>
    <mergeCell ref="C62:E62"/>
    <mergeCell ref="F62:G62"/>
    <mergeCell ref="C50:G50"/>
    <mergeCell ref="C51:G51"/>
    <mergeCell ref="C52:G52"/>
    <mergeCell ref="C53:G53"/>
    <mergeCell ref="B54:G54"/>
    <mergeCell ref="B56:C56"/>
    <mergeCell ref="D56:H56"/>
    <mergeCell ref="C57:E57"/>
    <mergeCell ref="F57:G57"/>
    <mergeCell ref="C42:G42"/>
    <mergeCell ref="C43:G43"/>
    <mergeCell ref="C44:G44"/>
    <mergeCell ref="C45:F45"/>
    <mergeCell ref="B46:G46"/>
    <mergeCell ref="B48:C48"/>
    <mergeCell ref="D48:H48"/>
    <mergeCell ref="B49:C49"/>
    <mergeCell ref="D49:H49"/>
    <mergeCell ref="B37:B38"/>
    <mergeCell ref="C37:C38"/>
    <mergeCell ref="D37:E37"/>
    <mergeCell ref="F37:G37"/>
    <mergeCell ref="H37:H38"/>
    <mergeCell ref="D38:E38"/>
    <mergeCell ref="F38:G38"/>
    <mergeCell ref="B39:B41"/>
    <mergeCell ref="C39:D39"/>
    <mergeCell ref="F39:G39"/>
    <mergeCell ref="C40:D40"/>
    <mergeCell ref="F40:G40"/>
    <mergeCell ref="C41:D41"/>
    <mergeCell ref="F41:G41"/>
    <mergeCell ref="C30:H30"/>
    <mergeCell ref="B32:C32"/>
    <mergeCell ref="D32:H32"/>
    <mergeCell ref="C33:G33"/>
    <mergeCell ref="B35:B36"/>
    <mergeCell ref="C35:C36"/>
    <mergeCell ref="D35:E35"/>
    <mergeCell ref="F35:G35"/>
    <mergeCell ref="H35:H36"/>
    <mergeCell ref="D36:E36"/>
    <mergeCell ref="F36:G36"/>
    <mergeCell ref="B21:H21"/>
    <mergeCell ref="B22:H22"/>
    <mergeCell ref="B23:H23"/>
    <mergeCell ref="B24:H24"/>
    <mergeCell ref="C25:G25"/>
    <mergeCell ref="C26:G26"/>
    <mergeCell ref="C27:G27"/>
    <mergeCell ref="C28:G28"/>
    <mergeCell ref="C29:G29"/>
    <mergeCell ref="C14:G14"/>
    <mergeCell ref="B15:B20"/>
    <mergeCell ref="C15:D15"/>
    <mergeCell ref="F15:G15"/>
    <mergeCell ref="C16:D16"/>
    <mergeCell ref="F16:G16"/>
    <mergeCell ref="C17:D17"/>
    <mergeCell ref="F17:G17"/>
    <mergeCell ref="C18:D18"/>
    <mergeCell ref="F18:G18"/>
    <mergeCell ref="C19:D19"/>
    <mergeCell ref="F19:G19"/>
    <mergeCell ref="C20:D20"/>
    <mergeCell ref="F20:G20"/>
    <mergeCell ref="B9:E9"/>
    <mergeCell ref="F9:G9"/>
    <mergeCell ref="B10:H10"/>
    <mergeCell ref="C11:F11"/>
    <mergeCell ref="G11:H11"/>
    <mergeCell ref="C12:F12"/>
    <mergeCell ref="G12:H12"/>
    <mergeCell ref="C13:F13"/>
    <mergeCell ref="G13:H13"/>
    <mergeCell ref="B1:H1"/>
    <mergeCell ref="B2:H2"/>
    <mergeCell ref="B3:H3"/>
    <mergeCell ref="G4:H4"/>
    <mergeCell ref="C5:H5"/>
    <mergeCell ref="B6:H6"/>
    <mergeCell ref="B7:C7"/>
    <mergeCell ref="D7:H7"/>
    <mergeCell ref="B8:C8"/>
    <mergeCell ref="D8:H8"/>
  </mergeCells>
  <pageMargins left="0.51181102362204722" right="0.51181102362204722" top="0.78740157480314965" bottom="0.78740157480314965" header="0.51181102362204722" footer="0.51181102362204722"/>
  <pageSetup paperSize="9" scale="70" firstPageNumber="0" orientation="portrait" horizontalDpi="0" verticalDpi="0" r:id="rId1"/>
  <drawing r:id="rId2"/>
  <legacyDrawing r:id="rId3"/>
</worksheet>
</file>

<file path=xl/worksheets/sheet6.xml><?xml version="1.0" encoding="utf-8"?>
<worksheet xmlns="http://schemas.openxmlformats.org/spreadsheetml/2006/main" xmlns:r="http://schemas.openxmlformats.org/officeDocument/2006/relationships">
  <sheetPr>
    <tabColor rgb="FF00B050"/>
  </sheetPr>
  <dimension ref="A1:M190"/>
  <sheetViews>
    <sheetView topLeftCell="A49" zoomScaleNormal="100" workbookViewId="0">
      <selection activeCell="F74" sqref="F74:G74"/>
    </sheetView>
  </sheetViews>
  <sheetFormatPr defaultRowHeight="15"/>
  <cols>
    <col min="1" max="1" width="0.85546875"/>
    <col min="2" max="2" width="11.7109375"/>
    <col min="3" max="3" width="15.140625"/>
    <col min="4" max="4" width="16.85546875"/>
    <col min="5" max="5" width="16.7109375"/>
    <col min="6" max="6" width="17"/>
    <col min="7" max="7" width="14.5703125"/>
    <col min="8" max="8" width="27.140625"/>
    <col min="9" max="9" width="0" hidden="1"/>
  </cols>
  <sheetData>
    <row r="1" spans="1:10" ht="23.25">
      <c r="A1" s="67"/>
      <c r="B1" s="616" t="s">
        <v>78</v>
      </c>
      <c r="C1" s="616"/>
      <c r="D1" s="616"/>
      <c r="E1" s="616"/>
      <c r="F1" s="616"/>
      <c r="G1" s="616"/>
      <c r="H1" s="616"/>
      <c r="I1" s="259"/>
      <c r="J1" s="805"/>
    </row>
    <row r="2" spans="1:10" ht="18.75">
      <c r="A2" s="67"/>
      <c r="B2" s="617" t="s">
        <v>79</v>
      </c>
      <c r="C2" s="617"/>
      <c r="D2" s="617"/>
      <c r="E2" s="617"/>
      <c r="F2" s="617"/>
      <c r="G2" s="617"/>
      <c r="H2" s="617"/>
      <c r="I2" s="259"/>
      <c r="J2" s="805"/>
    </row>
    <row r="3" spans="1:10" ht="18.75">
      <c r="A3" s="67"/>
      <c r="B3" s="733" t="str">
        <f>'INFORMAÇÕES BÁSICAS'!$B$56</f>
        <v>PEDREIRO</v>
      </c>
      <c r="C3" s="733"/>
      <c r="D3" s="733"/>
      <c r="E3" s="733"/>
      <c r="F3" s="733"/>
      <c r="G3" s="733"/>
      <c r="H3" s="733"/>
      <c r="I3" s="259"/>
      <c r="J3" s="805"/>
    </row>
    <row r="4" spans="1:10">
      <c r="A4" s="67"/>
      <c r="B4" s="71" t="s">
        <v>31</v>
      </c>
      <c r="C4" s="72" t="str">
        <f>'INFORMAÇÕES BÁSICAS'!E24</f>
        <v>23238.000559/2019-70</v>
      </c>
      <c r="D4" s="73"/>
      <c r="E4" s="74"/>
      <c r="F4" s="75" t="s">
        <v>33</v>
      </c>
      <c r="G4" s="618" t="str">
        <f>'INFORMAÇÕES BÁSICAS'!$E$25</f>
        <v>10/2019</v>
      </c>
      <c r="H4" s="618"/>
      <c r="I4" s="259"/>
      <c r="J4" s="805"/>
    </row>
    <row r="5" spans="1:10">
      <c r="A5" s="67"/>
      <c r="B5" s="71" t="s">
        <v>80</v>
      </c>
      <c r="C5" s="734">
        <f ca="1">'INFORMAÇÕES BÁSICAS'!E26</f>
        <v>43731.368808217594</v>
      </c>
      <c r="D5" s="734"/>
      <c r="E5" s="734"/>
      <c r="F5" s="734"/>
      <c r="G5" s="734"/>
      <c r="H5" s="734"/>
      <c r="I5" s="259"/>
      <c r="J5" s="805"/>
    </row>
    <row r="6" spans="1:10">
      <c r="A6" s="67"/>
      <c r="B6" s="620" t="s">
        <v>81</v>
      </c>
      <c r="C6" s="620"/>
      <c r="D6" s="620"/>
      <c r="E6" s="620"/>
      <c r="F6" s="620"/>
      <c r="G6" s="620"/>
      <c r="H6" s="620"/>
      <c r="I6" s="4"/>
      <c r="J6" s="805"/>
    </row>
    <row r="7" spans="1:10">
      <c r="A7" s="67"/>
      <c r="B7" s="621" t="s">
        <v>82</v>
      </c>
      <c r="C7" s="621"/>
      <c r="D7" s="735" t="str">
        <f>'INFORMAÇÕES BÁSICAS'!D7</f>
        <v>xxxxxxxx</v>
      </c>
      <c r="E7" s="735"/>
      <c r="F7" s="735"/>
      <c r="G7" s="735"/>
      <c r="H7" s="735"/>
      <c r="I7" s="806"/>
      <c r="J7" s="805"/>
    </row>
    <row r="8" spans="1:10">
      <c r="A8" s="67"/>
      <c r="B8" s="621" t="s">
        <v>83</v>
      </c>
      <c r="C8" s="621"/>
      <c r="D8" s="735" t="str">
        <f>'INFORMAÇÕES BÁSICAS'!$D$8</f>
        <v>xxxxxxxxxx</v>
      </c>
      <c r="E8" s="735"/>
      <c r="F8" s="735"/>
      <c r="G8" s="735"/>
      <c r="H8" s="735"/>
      <c r="I8" s="807"/>
      <c r="J8" s="805"/>
    </row>
    <row r="9" spans="1:10">
      <c r="A9" s="67"/>
      <c r="B9" s="623" t="s">
        <v>84</v>
      </c>
      <c r="C9" s="623"/>
      <c r="D9" s="623"/>
      <c r="E9" s="623"/>
      <c r="F9" s="736">
        <f>'INFORMAÇÕES BÁSICAS'!$D$17</f>
        <v>1</v>
      </c>
      <c r="G9" s="736"/>
      <c r="H9" s="83" t="str">
        <f>IF(F9=1,"Lucro Real",IF(F9=2,"Lucro Presumido",IF(F9=3,"SIMPLES-Anexo III",IF(F9=4,"SIMPLES-Anexo IV","RT Inválido"))))</f>
        <v>Lucro Real</v>
      </c>
      <c r="I9" s="807"/>
      <c r="J9" s="805"/>
    </row>
    <row r="10" spans="1:10">
      <c r="A10" s="67"/>
      <c r="B10" s="620" t="s">
        <v>85</v>
      </c>
      <c r="C10" s="620"/>
      <c r="D10" s="620"/>
      <c r="E10" s="620"/>
      <c r="F10" s="620"/>
      <c r="G10" s="620"/>
      <c r="H10" s="620"/>
      <c r="I10" s="807"/>
      <c r="J10" s="805"/>
    </row>
    <row r="11" spans="1:10">
      <c r="A11" s="67"/>
      <c r="B11" s="84" t="s">
        <v>86</v>
      </c>
      <c r="C11" s="625" t="s">
        <v>87</v>
      </c>
      <c r="D11" s="625"/>
      <c r="E11" s="625"/>
      <c r="F11" s="625"/>
      <c r="G11" s="626">
        <f>'INFORMAÇÕES BÁSICAS'!E27</f>
        <v>43592</v>
      </c>
      <c r="H11" s="626"/>
      <c r="I11" s="807"/>
      <c r="J11" s="805"/>
    </row>
    <row r="12" spans="1:10">
      <c r="A12" s="67"/>
      <c r="B12" s="84" t="s">
        <v>88</v>
      </c>
      <c r="C12" s="625" t="s">
        <v>89</v>
      </c>
      <c r="D12" s="625"/>
      <c r="E12" s="625"/>
      <c r="F12" s="625"/>
      <c r="G12" s="737" t="str">
        <f>'INFORMAÇÕES BÁSICAS'!E28</f>
        <v>Campus Jaguari</v>
      </c>
      <c r="H12" s="737"/>
      <c r="I12" s="259"/>
      <c r="J12" s="805"/>
    </row>
    <row r="13" spans="1:10" ht="15" customHeight="1">
      <c r="A13" s="67"/>
      <c r="B13" s="571" t="s">
        <v>90</v>
      </c>
      <c r="C13" s="628" t="s">
        <v>91</v>
      </c>
      <c r="D13" s="628"/>
      <c r="E13" s="628"/>
      <c r="F13" s="628"/>
      <c r="G13" s="738">
        <f>'INFORMAÇÕES BÁSICAS'!$D$39</f>
        <v>2019</v>
      </c>
      <c r="H13" s="738"/>
      <c r="I13" s="259"/>
      <c r="J13" s="805"/>
    </row>
    <row r="14" spans="1:10">
      <c r="A14" s="67"/>
      <c r="B14" s="84" t="s">
        <v>92</v>
      </c>
      <c r="C14" s="625" t="s">
        <v>93</v>
      </c>
      <c r="D14" s="625"/>
      <c r="E14" s="625"/>
      <c r="F14" s="625"/>
      <c r="G14" s="625"/>
      <c r="H14" s="89">
        <f>'INFORMAÇÕES BÁSICAS'!E34</f>
        <v>30</v>
      </c>
      <c r="I14" s="259"/>
      <c r="J14" s="805"/>
    </row>
    <row r="15" spans="1:10" ht="15" customHeight="1">
      <c r="A15" s="67"/>
      <c r="B15" s="739" t="s">
        <v>94</v>
      </c>
      <c r="C15" s="631" t="s">
        <v>95</v>
      </c>
      <c r="D15" s="631"/>
      <c r="E15" s="92">
        <f>F35/G34</f>
        <v>7.0090909090909097</v>
      </c>
      <c r="F15" s="632"/>
      <c r="G15" s="632"/>
      <c r="H15" s="94"/>
      <c r="I15" s="259"/>
      <c r="J15" s="6"/>
    </row>
    <row r="16" spans="1:10" ht="15" customHeight="1">
      <c r="A16" s="67"/>
      <c r="B16" s="739"/>
      <c r="C16" s="631" t="s">
        <v>96</v>
      </c>
      <c r="D16" s="631"/>
      <c r="E16" s="92">
        <f>E15*1.5</f>
        <v>10.513636363636365</v>
      </c>
      <c r="F16" s="632" t="s">
        <v>97</v>
      </c>
      <c r="G16" s="632"/>
      <c r="H16" s="95" t="str">
        <f>'INFORMAÇÕES BÁSICAS'!$D$32</f>
        <v>01</v>
      </c>
      <c r="I16" s="259"/>
      <c r="J16" s="6"/>
    </row>
    <row r="17" spans="1:10" ht="15" customHeight="1">
      <c r="A17" s="67"/>
      <c r="B17" s="739"/>
      <c r="C17" s="631" t="s">
        <v>98</v>
      </c>
      <c r="D17" s="631"/>
      <c r="E17" s="92">
        <f>E15*2</f>
        <v>14.018181818181819</v>
      </c>
      <c r="F17" s="740" t="s">
        <v>372</v>
      </c>
      <c r="G17" s="740"/>
      <c r="H17" s="96" t="str">
        <f>'INFORMAÇÕES BÁSICAS'!$D$62</f>
        <v>RS000605/2019</v>
      </c>
      <c r="I17" s="259"/>
      <c r="J17" s="6"/>
    </row>
    <row r="18" spans="1:10" ht="15" customHeight="1">
      <c r="A18" s="67"/>
      <c r="B18" s="739"/>
      <c r="C18" s="631" t="s">
        <v>99</v>
      </c>
      <c r="D18" s="631"/>
      <c r="E18" s="92">
        <f>E15*1.1428571</f>
        <v>8.0103893100000008</v>
      </c>
      <c r="F18" s="740"/>
      <c r="G18" s="740"/>
      <c r="H18" s="96"/>
      <c r="I18" s="259"/>
      <c r="J18" s="6"/>
    </row>
    <row r="19" spans="1:10" ht="18.75" customHeight="1">
      <c r="A19" s="67"/>
      <c r="B19" s="739"/>
      <c r="C19" s="632" t="s">
        <v>100</v>
      </c>
      <c r="D19" s="632"/>
      <c r="E19" s="92">
        <f>E18*1.5</f>
        <v>12.015583965000001</v>
      </c>
      <c r="F19" s="740"/>
      <c r="G19" s="740"/>
      <c r="H19" s="96"/>
      <c r="I19" s="259"/>
      <c r="J19" s="6"/>
    </row>
    <row r="20" spans="1:10" ht="31.5" customHeight="1">
      <c r="A20" s="67"/>
      <c r="B20" s="739"/>
      <c r="C20" s="631" t="s">
        <v>101</v>
      </c>
      <c r="D20" s="631"/>
      <c r="E20" s="92">
        <f>E18*2</f>
        <v>16.020778620000002</v>
      </c>
      <c r="F20" s="635"/>
      <c r="G20" s="635"/>
      <c r="H20" s="96"/>
      <c r="I20" s="259"/>
      <c r="J20" s="6"/>
    </row>
    <row r="21" spans="1:10" ht="26.25">
      <c r="A21" s="67"/>
      <c r="B21" s="638" t="s">
        <v>102</v>
      </c>
      <c r="C21" s="638"/>
      <c r="D21" s="638"/>
      <c r="E21" s="638"/>
      <c r="F21" s="638"/>
      <c r="G21" s="638"/>
      <c r="H21" s="638"/>
      <c r="I21" s="259"/>
      <c r="J21" s="805"/>
    </row>
    <row r="22" spans="1:10">
      <c r="A22" s="67"/>
      <c r="B22" s="639" t="s">
        <v>103</v>
      </c>
      <c r="C22" s="639"/>
      <c r="D22" s="639"/>
      <c r="E22" s="639"/>
      <c r="F22" s="639"/>
      <c r="G22" s="639"/>
      <c r="H22" s="639"/>
      <c r="I22" s="259"/>
      <c r="J22" s="805"/>
    </row>
    <row r="23" spans="1:10">
      <c r="A23" s="67"/>
      <c r="B23" s="620" t="s">
        <v>104</v>
      </c>
      <c r="C23" s="620"/>
      <c r="D23" s="620"/>
      <c r="E23" s="620"/>
      <c r="F23" s="620"/>
      <c r="G23" s="620"/>
      <c r="H23" s="620"/>
      <c r="I23" s="259"/>
      <c r="J23" s="805"/>
    </row>
    <row r="24" spans="1:10">
      <c r="A24" s="67"/>
      <c r="B24" s="640" t="s">
        <v>105</v>
      </c>
      <c r="C24" s="640"/>
      <c r="D24" s="640"/>
      <c r="E24" s="640"/>
      <c r="F24" s="640"/>
      <c r="G24" s="640"/>
      <c r="H24" s="640"/>
      <c r="I24" s="259"/>
      <c r="J24" s="805"/>
    </row>
    <row r="25" spans="1:10" ht="157.5">
      <c r="A25" s="67"/>
      <c r="B25" s="571">
        <v>1</v>
      </c>
      <c r="C25" s="641" t="s">
        <v>106</v>
      </c>
      <c r="D25" s="641"/>
      <c r="E25" s="641"/>
      <c r="F25" s="641"/>
      <c r="G25" s="641"/>
      <c r="H25" s="102" t="str">
        <f>'INFORMAÇÕES BÁSICAS'!$D$20</f>
        <v>Contratação de SERVIÇOS DE INFRAESTRUTURA E MANUTENÇÃO PREDIAL, JORNADA DE 40 HORAS SEMANAIS, para o IF Farroupilha Campus São Vicente do Sul, conforme condições, quantidades e exigências estabelecidas neste Edital e seus anexos</v>
      </c>
      <c r="I25" s="259"/>
      <c r="J25" s="805"/>
    </row>
    <row r="26" spans="1:10">
      <c r="A26" s="67"/>
      <c r="B26" s="571">
        <v>2</v>
      </c>
      <c r="C26" s="641" t="s">
        <v>107</v>
      </c>
      <c r="D26" s="641"/>
      <c r="E26" s="641"/>
      <c r="F26" s="641"/>
      <c r="G26" s="641"/>
      <c r="H26" s="103" t="str">
        <f>'INFORMAÇÕES BÁSICAS'!$B$56</f>
        <v>PEDREIRO</v>
      </c>
      <c r="I26" s="259"/>
      <c r="J26" s="805"/>
    </row>
    <row r="27" spans="1:10">
      <c r="A27" s="67"/>
      <c r="B27" s="571">
        <v>3</v>
      </c>
      <c r="C27" s="642" t="s">
        <v>108</v>
      </c>
      <c r="D27" s="642"/>
      <c r="E27" s="642"/>
      <c r="F27" s="642"/>
      <c r="G27" s="642"/>
      <c r="H27" s="105">
        <f>'INFORMAÇÕES BÁSICAS'!D42</f>
        <v>1542</v>
      </c>
      <c r="I27" s="259"/>
      <c r="J27" s="805"/>
    </row>
    <row r="28" spans="1:10">
      <c r="A28" s="67"/>
      <c r="B28" s="571">
        <v>4</v>
      </c>
      <c r="C28" s="641" t="s">
        <v>109</v>
      </c>
      <c r="D28" s="641"/>
      <c r="E28" s="641"/>
      <c r="F28" s="641"/>
      <c r="G28" s="641"/>
      <c r="H28" s="106" t="str">
        <f>H26</f>
        <v>PEDREIRO</v>
      </c>
      <c r="I28" s="259"/>
      <c r="J28" s="805"/>
    </row>
    <row r="29" spans="1:10">
      <c r="A29" s="67"/>
      <c r="B29" s="571">
        <v>5</v>
      </c>
      <c r="C29" s="641" t="s">
        <v>110</v>
      </c>
      <c r="D29" s="641"/>
      <c r="E29" s="641"/>
      <c r="F29" s="641"/>
      <c r="G29" s="641"/>
      <c r="H29" s="107" t="str">
        <f>'INFORMAÇÕES BÁSICAS'!$D$61</f>
        <v>01 de janeiro</v>
      </c>
      <c r="I29" s="259"/>
      <c r="J29" s="805"/>
    </row>
    <row r="30" spans="1:10">
      <c r="A30" s="67"/>
      <c r="B30" s="108" t="s">
        <v>111</v>
      </c>
      <c r="C30" s="643"/>
      <c r="D30" s="643"/>
      <c r="E30" s="643"/>
      <c r="F30" s="643"/>
      <c r="G30" s="643"/>
      <c r="H30" s="643"/>
      <c r="I30" s="259"/>
      <c r="J30" s="805"/>
    </row>
    <row r="31" spans="1:10">
      <c r="A31" s="67"/>
      <c r="B31" s="110"/>
      <c r="C31" s="111"/>
      <c r="D31" s="111"/>
      <c r="E31" s="111"/>
      <c r="F31" s="111"/>
      <c r="G31" s="111"/>
      <c r="H31" s="111"/>
      <c r="I31" s="259"/>
      <c r="J31" s="805"/>
    </row>
    <row r="32" spans="1:10" ht="15.75">
      <c r="A32" s="67"/>
      <c r="B32" s="644" t="s">
        <v>112</v>
      </c>
      <c r="C32" s="644"/>
      <c r="D32" s="645" t="s">
        <v>113</v>
      </c>
      <c r="E32" s="645"/>
      <c r="F32" s="645"/>
      <c r="G32" s="645"/>
      <c r="H32" s="645"/>
      <c r="I32" s="259"/>
      <c r="J32" s="805"/>
    </row>
    <row r="33" spans="1:10">
      <c r="A33" s="67"/>
      <c r="B33" s="573">
        <v>1</v>
      </c>
      <c r="C33" s="646" t="s">
        <v>114</v>
      </c>
      <c r="D33" s="646"/>
      <c r="E33" s="646"/>
      <c r="F33" s="646"/>
      <c r="G33" s="646"/>
      <c r="H33" s="116" t="s">
        <v>115</v>
      </c>
      <c r="I33" s="259"/>
      <c r="J33" s="805"/>
    </row>
    <row r="34" spans="1:10">
      <c r="A34" s="117"/>
      <c r="B34" s="84" t="s">
        <v>86</v>
      </c>
      <c r="C34" s="118" t="s">
        <v>116</v>
      </c>
      <c r="D34" s="119" t="s">
        <v>117</v>
      </c>
      <c r="E34" s="120" t="str">
        <f>'INFORMAÇÕES BÁSICAS'!$D$30</f>
        <v>40</v>
      </c>
      <c r="F34" s="579" t="s">
        <v>118</v>
      </c>
      <c r="G34" s="122">
        <f>E34*5</f>
        <v>200</v>
      </c>
      <c r="H34" s="123">
        <f>(H27/44)*E34</f>
        <v>1401.818181818182</v>
      </c>
      <c r="I34" s="259"/>
      <c r="J34" s="805"/>
    </row>
    <row r="35" spans="1:10" ht="15" customHeight="1">
      <c r="A35" s="117"/>
      <c r="B35" s="647" t="s">
        <v>88</v>
      </c>
      <c r="C35" s="628" t="s">
        <v>61</v>
      </c>
      <c r="D35" s="625" t="s">
        <v>119</v>
      </c>
      <c r="E35" s="625"/>
      <c r="F35" s="741">
        <f>H34</f>
        <v>1401.818181818182</v>
      </c>
      <c r="G35" s="741"/>
      <c r="H35" s="650">
        <f>F35*F36</f>
        <v>0</v>
      </c>
      <c r="I35" s="808"/>
      <c r="J35" s="805"/>
    </row>
    <row r="36" spans="1:10">
      <c r="A36" s="117"/>
      <c r="B36" s="647"/>
      <c r="C36" s="628"/>
      <c r="D36" s="651" t="s">
        <v>120</v>
      </c>
      <c r="E36" s="651"/>
      <c r="F36" s="742">
        <f>IF('INFORMAÇÕES BÁSICAS'!D65=1,0.3,0)</f>
        <v>0</v>
      </c>
      <c r="G36" s="742"/>
      <c r="H36" s="650"/>
      <c r="I36" s="808"/>
      <c r="J36" s="805"/>
    </row>
    <row r="37" spans="1:10" ht="33" customHeight="1">
      <c r="A37" s="117"/>
      <c r="B37" s="647" t="s">
        <v>90</v>
      </c>
      <c r="C37" s="628" t="s">
        <v>121</v>
      </c>
      <c r="D37" s="743" t="s">
        <v>122</v>
      </c>
      <c r="E37" s="743"/>
      <c r="F37" s="741">
        <f>'INFORMAÇÕES BÁSICAS'!$L$12</f>
        <v>998</v>
      </c>
      <c r="G37" s="741"/>
      <c r="H37" s="650">
        <f>F37*F38</f>
        <v>199.60000000000002</v>
      </c>
      <c r="I37" s="808"/>
      <c r="J37" s="805"/>
    </row>
    <row r="38" spans="1:10" ht="20.25" customHeight="1">
      <c r="A38" s="117"/>
      <c r="B38" s="647"/>
      <c r="C38" s="628"/>
      <c r="D38" s="744" t="s">
        <v>123</v>
      </c>
      <c r="E38" s="744"/>
      <c r="F38" s="742">
        <f>IF('INFORMAÇÕES BÁSICAS'!D69=0,"0%",(IF('INFORMAÇÕES BÁSICAS'!D69=1,0.1,(IF('INFORMAÇÕES BÁSICAS'!D69=2,0.2,(IF('INFORMAÇÕES BÁSICAS'!D69=3,0.4,"ERRO")))))))</f>
        <v>0.2</v>
      </c>
      <c r="G38" s="742"/>
      <c r="H38" s="650"/>
      <c r="I38" s="808"/>
      <c r="J38" s="805"/>
    </row>
    <row r="39" spans="1:10" ht="45">
      <c r="A39" s="117"/>
      <c r="B39" s="745" t="s">
        <v>92</v>
      </c>
      <c r="C39" s="746"/>
      <c r="D39" s="746"/>
      <c r="E39" s="128" t="s">
        <v>124</v>
      </c>
      <c r="F39" s="747" t="s">
        <v>125</v>
      </c>
      <c r="G39" s="747"/>
      <c r="H39" s="129"/>
      <c r="I39" s="808"/>
      <c r="J39" s="805"/>
    </row>
    <row r="40" spans="1:10">
      <c r="A40" s="117"/>
      <c r="B40" s="745"/>
      <c r="C40" s="746" t="s">
        <v>126</v>
      </c>
      <c r="D40" s="746"/>
      <c r="E40" s="130">
        <f>'INFORMAÇÕES BÁSICAS'!$D$78</f>
        <v>0</v>
      </c>
      <c r="F40" s="748">
        <f>$E$16</f>
        <v>10.513636363636365</v>
      </c>
      <c r="G40" s="748"/>
      <c r="H40" s="129">
        <f>F40*E40</f>
        <v>0</v>
      </c>
      <c r="I40" s="808"/>
      <c r="J40" s="805"/>
    </row>
    <row r="41" spans="1:10">
      <c r="A41" s="117"/>
      <c r="B41" s="745"/>
      <c r="C41" s="746" t="s">
        <v>127</v>
      </c>
      <c r="D41" s="746"/>
      <c r="E41" s="130">
        <f>'INFORMAÇÕES BÁSICAS'!$D$79</f>
        <v>0</v>
      </c>
      <c r="F41" s="748">
        <f>E17</f>
        <v>14.018181818181819</v>
      </c>
      <c r="G41" s="748"/>
      <c r="H41" s="129">
        <f>F41*E41</f>
        <v>0</v>
      </c>
      <c r="I41" s="808"/>
      <c r="J41" s="805"/>
    </row>
    <row r="42" spans="1:10">
      <c r="A42" s="117"/>
      <c r="B42" s="131"/>
      <c r="C42" s="657" t="s">
        <v>128</v>
      </c>
      <c r="D42" s="657"/>
      <c r="E42" s="657"/>
      <c r="F42" s="657"/>
      <c r="G42" s="657"/>
      <c r="H42" s="133">
        <f>SUM(H34:H41)</f>
        <v>1601.4181818181819</v>
      </c>
      <c r="I42" s="259"/>
      <c r="J42" s="805"/>
    </row>
    <row r="43" spans="1:10">
      <c r="A43" s="117"/>
      <c r="B43" s="134" t="s">
        <v>129</v>
      </c>
      <c r="C43" s="749" t="s">
        <v>130</v>
      </c>
      <c r="D43" s="749"/>
      <c r="E43" s="749"/>
      <c r="F43" s="749"/>
      <c r="G43" s="749"/>
      <c r="H43" s="135"/>
      <c r="I43" s="259"/>
      <c r="J43" s="805"/>
    </row>
    <row r="44" spans="1:10">
      <c r="A44" s="117"/>
      <c r="B44" s="134" t="s">
        <v>131</v>
      </c>
      <c r="C44" s="750"/>
      <c r="D44" s="750"/>
      <c r="E44" s="750"/>
      <c r="F44" s="750"/>
      <c r="G44" s="750"/>
      <c r="H44" s="136"/>
      <c r="I44" s="259"/>
      <c r="J44" s="805"/>
    </row>
    <row r="45" spans="1:10" ht="15" customHeight="1">
      <c r="A45" s="117"/>
      <c r="B45" s="580" t="s">
        <v>132</v>
      </c>
      <c r="C45" s="660" t="s">
        <v>133</v>
      </c>
      <c r="D45" s="660"/>
      <c r="E45" s="660"/>
      <c r="F45" s="660"/>
      <c r="G45" s="138" t="s">
        <v>134</v>
      </c>
      <c r="H45" s="139">
        <f>SUM(H43:H44)</f>
        <v>0</v>
      </c>
      <c r="I45" s="259"/>
      <c r="J45" s="805"/>
    </row>
    <row r="46" spans="1:10" ht="15.75">
      <c r="A46" s="117"/>
      <c r="B46" s="661" t="s">
        <v>135</v>
      </c>
      <c r="C46" s="661"/>
      <c r="D46" s="661"/>
      <c r="E46" s="661"/>
      <c r="F46" s="661"/>
      <c r="G46" s="661"/>
      <c r="H46" s="141">
        <f>SUM(H34:H41)+H43+H44</f>
        <v>1601.4181818181819</v>
      </c>
      <c r="I46" s="259"/>
      <c r="J46" s="805"/>
    </row>
    <row r="47" spans="1:10">
      <c r="A47" s="142"/>
      <c r="B47" s="574"/>
      <c r="C47" s="574"/>
      <c r="D47" s="574"/>
      <c r="E47" s="574"/>
      <c r="F47" s="574"/>
      <c r="G47" s="574"/>
      <c r="H47" s="144"/>
      <c r="I47" s="184"/>
      <c r="J47" s="805"/>
    </row>
    <row r="48" spans="1:10" ht="15.75">
      <c r="A48" s="117"/>
      <c r="B48" s="644" t="s">
        <v>136</v>
      </c>
      <c r="C48" s="644"/>
      <c r="D48" s="645" t="s">
        <v>137</v>
      </c>
      <c r="E48" s="645"/>
      <c r="F48" s="645"/>
      <c r="G48" s="645"/>
      <c r="H48" s="645"/>
      <c r="I48" s="259"/>
      <c r="J48" s="805"/>
    </row>
    <row r="49" spans="1:10" ht="15.75">
      <c r="A49" s="117"/>
      <c r="B49" s="662" t="s">
        <v>138</v>
      </c>
      <c r="C49" s="662"/>
      <c r="D49" s="663" t="s">
        <v>139</v>
      </c>
      <c r="E49" s="663"/>
      <c r="F49" s="663"/>
      <c r="G49" s="663"/>
      <c r="H49" s="663"/>
      <c r="I49" s="259"/>
      <c r="J49" s="805"/>
    </row>
    <row r="50" spans="1:10" ht="15.75">
      <c r="A50" s="117"/>
      <c r="B50" s="148"/>
      <c r="C50" s="646" t="s">
        <v>140</v>
      </c>
      <c r="D50" s="646"/>
      <c r="E50" s="646"/>
      <c r="F50" s="646"/>
      <c r="G50" s="646"/>
      <c r="H50" s="116" t="s">
        <v>141</v>
      </c>
      <c r="I50" s="259"/>
      <c r="J50" s="805"/>
    </row>
    <row r="51" spans="1:10">
      <c r="A51" s="149"/>
      <c r="B51" s="571" t="s">
        <v>86</v>
      </c>
      <c r="C51" s="641" t="s">
        <v>142</v>
      </c>
      <c r="D51" s="641"/>
      <c r="E51" s="641"/>
      <c r="F51" s="641"/>
      <c r="G51" s="641"/>
      <c r="H51" s="572">
        <f>H42/12</f>
        <v>133.45151515151517</v>
      </c>
      <c r="I51" s="809"/>
      <c r="J51" s="805"/>
    </row>
    <row r="52" spans="1:10">
      <c r="A52" s="153"/>
      <c r="B52" s="571" t="s">
        <v>88</v>
      </c>
      <c r="C52" s="641" t="s">
        <v>143</v>
      </c>
      <c r="D52" s="641"/>
      <c r="E52" s="641"/>
      <c r="F52" s="641"/>
      <c r="G52" s="641"/>
      <c r="H52" s="572">
        <f>(H42/3)/12</f>
        <v>44.483838383838389</v>
      </c>
      <c r="I52" s="809"/>
      <c r="J52" s="805"/>
    </row>
    <row r="53" spans="1:10" ht="15" customHeight="1">
      <c r="A53" s="153"/>
      <c r="B53" s="155"/>
      <c r="C53" s="751" t="s">
        <v>144</v>
      </c>
      <c r="D53" s="751"/>
      <c r="E53" s="751"/>
      <c r="F53" s="751"/>
      <c r="G53" s="751"/>
      <c r="H53" s="156">
        <f>SUM(H51:H52)</f>
        <v>177.93535353535356</v>
      </c>
      <c r="I53" s="809"/>
      <c r="J53" s="805"/>
    </row>
    <row r="54" spans="1:10" ht="16.5" customHeight="1">
      <c r="A54" s="153"/>
      <c r="B54" s="667" t="s">
        <v>145</v>
      </c>
      <c r="C54" s="667"/>
      <c r="D54" s="667"/>
      <c r="E54" s="667"/>
      <c r="F54" s="667"/>
      <c r="G54" s="667"/>
      <c r="H54" s="158"/>
      <c r="I54" s="809"/>
      <c r="J54" s="805"/>
    </row>
    <row r="55" spans="1:10">
      <c r="A55" s="142"/>
      <c r="B55" s="574"/>
      <c r="C55" s="574"/>
      <c r="D55" s="574"/>
      <c r="E55" s="574"/>
      <c r="F55" s="574"/>
      <c r="G55" s="574"/>
      <c r="H55" s="144"/>
      <c r="I55" s="184"/>
      <c r="J55" s="805"/>
    </row>
    <row r="56" spans="1:10" ht="15.75" customHeight="1">
      <c r="A56" s="117"/>
      <c r="B56" s="668" t="s">
        <v>146</v>
      </c>
      <c r="C56" s="668"/>
      <c r="D56" s="669" t="s">
        <v>147</v>
      </c>
      <c r="E56" s="669"/>
      <c r="F56" s="669"/>
      <c r="G56" s="669"/>
      <c r="H56" s="669"/>
      <c r="I56" s="259"/>
      <c r="J56" s="805"/>
    </row>
    <row r="57" spans="1:10" ht="15.75">
      <c r="A57" s="117"/>
      <c r="B57" s="161"/>
      <c r="C57" s="646" t="s">
        <v>140</v>
      </c>
      <c r="D57" s="646"/>
      <c r="E57" s="646"/>
      <c r="F57" s="646" t="s">
        <v>148</v>
      </c>
      <c r="G57" s="646"/>
      <c r="H57" s="162" t="s">
        <v>141</v>
      </c>
      <c r="I57" s="259"/>
      <c r="J57" s="805"/>
    </row>
    <row r="58" spans="1:10">
      <c r="A58" s="149"/>
      <c r="B58" s="571" t="s">
        <v>86</v>
      </c>
      <c r="C58" s="641" t="s">
        <v>149</v>
      </c>
      <c r="D58" s="641"/>
      <c r="E58" s="641"/>
      <c r="F58" s="800">
        <v>0.2</v>
      </c>
      <c r="G58" s="800"/>
      <c r="H58" s="572">
        <f>ROUND(($H$46+H53)*F58,2)</f>
        <v>355.87</v>
      </c>
      <c r="I58" s="152"/>
      <c r="J58" s="69"/>
    </row>
    <row r="59" spans="1:10">
      <c r="A59" s="149"/>
      <c r="B59" s="571" t="s">
        <v>88</v>
      </c>
      <c r="C59" s="641" t="s">
        <v>150</v>
      </c>
      <c r="D59" s="641"/>
      <c r="E59" s="641"/>
      <c r="F59" s="800">
        <f>IF($F$9=1,0.025,IF($F$9=2,0.025,IF($F$9=3,0,IF($F$9=4,0,"ESCOLHA UM RT"))))</f>
        <v>2.5000000000000001E-2</v>
      </c>
      <c r="G59" s="800"/>
      <c r="H59" s="572">
        <f>ROUND(($H$46+H53)*F59,2)</f>
        <v>44.48</v>
      </c>
      <c r="I59" s="152"/>
      <c r="J59" s="69"/>
    </row>
    <row r="60" spans="1:10" ht="34.5" customHeight="1">
      <c r="A60" s="149"/>
      <c r="B60" s="571" t="s">
        <v>90</v>
      </c>
      <c r="C60" s="752" t="s">
        <v>370</v>
      </c>
      <c r="D60" s="753"/>
      <c r="E60" s="754"/>
      <c r="F60" s="755">
        <f>'INFORMAÇÕES BÁSICAS'!$F$18</f>
        <v>0.06</v>
      </c>
      <c r="G60" s="755"/>
      <c r="H60" s="572">
        <f>ROUND(($H$46+H53)*F60,2)</f>
        <v>106.76</v>
      </c>
      <c r="I60" s="152"/>
      <c r="J60" s="69"/>
    </row>
    <row r="61" spans="1:10">
      <c r="A61" s="149"/>
      <c r="B61" s="571" t="s">
        <v>92</v>
      </c>
      <c r="C61" s="641" t="s">
        <v>151</v>
      </c>
      <c r="D61" s="641"/>
      <c r="E61" s="641"/>
      <c r="F61" s="800">
        <f>IF($F$9=1,0.015,IF($F$9=2,0.015,IF($F$9=3,0,IF($F$9=4,0,"ESCOLHA UM RT"))))</f>
        <v>1.4999999999999999E-2</v>
      </c>
      <c r="G61" s="800"/>
      <c r="H61" s="572">
        <f>ROUND(($H$46+H53)*F61,2)</f>
        <v>26.69</v>
      </c>
      <c r="I61" s="152"/>
      <c r="J61" s="69"/>
    </row>
    <row r="62" spans="1:10">
      <c r="A62" s="149"/>
      <c r="B62" s="571" t="s">
        <v>152</v>
      </c>
      <c r="C62" s="641" t="s">
        <v>153</v>
      </c>
      <c r="D62" s="641"/>
      <c r="E62" s="641"/>
      <c r="F62" s="800">
        <f>IF($F$9=1,0.01,IF($F$9=2,0.01,IF($F$9=3,0,IF($F$9=4,0,"ESCOLHA UM RT"))))</f>
        <v>0.01</v>
      </c>
      <c r="G62" s="800"/>
      <c r="H62" s="572">
        <f>ROUND(($H$46+H53)*F62,2)</f>
        <v>17.79</v>
      </c>
      <c r="I62" s="152"/>
      <c r="J62" s="69"/>
    </row>
    <row r="63" spans="1:10">
      <c r="A63" s="149"/>
      <c r="B63" s="571" t="s">
        <v>129</v>
      </c>
      <c r="C63" s="641" t="s">
        <v>154</v>
      </c>
      <c r="D63" s="641"/>
      <c r="E63" s="641"/>
      <c r="F63" s="800">
        <f>IF($F$9=1,0.006,IF($F$9=2,0.006,IF($F$9=3,0,IF($F$9=4,0,"ESCOLHA UM RT"))))</f>
        <v>6.0000000000000001E-3</v>
      </c>
      <c r="G63" s="800"/>
      <c r="H63" s="572">
        <f>ROUND(($H$46+H53)*F63,2)</f>
        <v>10.68</v>
      </c>
      <c r="I63" s="152"/>
      <c r="J63" s="69"/>
    </row>
    <row r="64" spans="1:10">
      <c r="A64" s="149"/>
      <c r="B64" s="571" t="s">
        <v>131</v>
      </c>
      <c r="C64" s="641" t="s">
        <v>155</v>
      </c>
      <c r="D64" s="641"/>
      <c r="E64" s="641"/>
      <c r="F64" s="800">
        <f>IF($F$9=1,0.002,IF($F$9=2,0.002,IF($F$9=3,0,IF($F$9=4,0,"ESCOLHA UM RT"))))</f>
        <v>2E-3</v>
      </c>
      <c r="G64" s="800"/>
      <c r="H64" s="572">
        <f>ROUND(($H$46+H53)*F64,2)</f>
        <v>3.56</v>
      </c>
      <c r="I64" s="152"/>
      <c r="J64" s="69"/>
    </row>
    <row r="65" spans="1:10">
      <c r="A65" s="149"/>
      <c r="B65" s="571" t="s">
        <v>132</v>
      </c>
      <c r="C65" s="641" t="s">
        <v>156</v>
      </c>
      <c r="D65" s="641"/>
      <c r="E65" s="641"/>
      <c r="F65" s="800">
        <f>IF($F$9=1,0.08,IF($F$9=2,0.08,IF($F$9=3,0.08,IF($F$9=4,0.08,"ESCOLHA UM RT"))))</f>
        <v>0.08</v>
      </c>
      <c r="G65" s="800"/>
      <c r="H65" s="572">
        <f>ROUND(($H$46+H53)*F65,2)</f>
        <v>142.35</v>
      </c>
      <c r="I65" s="152"/>
      <c r="J65" s="69"/>
    </row>
    <row r="66" spans="1:10" ht="16.5" customHeight="1">
      <c r="A66" s="142"/>
      <c r="B66" s="667" t="s">
        <v>157</v>
      </c>
      <c r="C66" s="667"/>
      <c r="D66" s="667"/>
      <c r="E66" s="667"/>
      <c r="F66" s="672">
        <f>SUM(F58:G65)</f>
        <v>0.39800000000000008</v>
      </c>
      <c r="G66" s="672"/>
      <c r="H66" s="164">
        <f>SUM(H58:H65)</f>
        <v>708.18</v>
      </c>
      <c r="I66" s="145"/>
      <c r="J66" s="69"/>
    </row>
    <row r="67" spans="1:10" ht="16.5" customHeight="1">
      <c r="A67" s="142"/>
      <c r="B67" s="574"/>
      <c r="C67" s="756" t="s">
        <v>158</v>
      </c>
      <c r="D67" s="756"/>
      <c r="E67" s="756"/>
      <c r="F67" s="756"/>
      <c r="G67" s="756"/>
      <c r="H67" s="165"/>
      <c r="I67" s="184"/>
      <c r="J67" s="6"/>
    </row>
    <row r="68" spans="1:10" ht="16.5">
      <c r="A68" s="142"/>
      <c r="B68" s="574"/>
      <c r="C68" s="166"/>
      <c r="D68" s="167"/>
      <c r="E68" s="167"/>
      <c r="F68" s="168"/>
      <c r="G68" s="168"/>
      <c r="H68" s="165"/>
      <c r="I68" s="184"/>
      <c r="J68" s="6"/>
    </row>
    <row r="69" spans="1:10" ht="15.75" customHeight="1">
      <c r="A69" s="117"/>
      <c r="B69" s="668" t="s">
        <v>159</v>
      </c>
      <c r="C69" s="668"/>
      <c r="D69" s="669" t="s">
        <v>160</v>
      </c>
      <c r="E69" s="669"/>
      <c r="F69" s="669"/>
      <c r="G69" s="669"/>
      <c r="H69" s="669"/>
      <c r="I69" s="259"/>
      <c r="J69" s="6"/>
    </row>
    <row r="70" spans="1:10" ht="15.75">
      <c r="A70" s="117"/>
      <c r="B70" s="161"/>
      <c r="C70" s="646" t="s">
        <v>140</v>
      </c>
      <c r="D70" s="646"/>
      <c r="E70" s="646"/>
      <c r="F70" s="646"/>
      <c r="G70" s="646"/>
      <c r="H70" s="162" t="s">
        <v>141</v>
      </c>
      <c r="I70" s="259"/>
      <c r="J70" s="6"/>
    </row>
    <row r="71" spans="1:10">
      <c r="A71" s="149"/>
      <c r="B71" s="647" t="s">
        <v>86</v>
      </c>
      <c r="C71" s="674" t="s">
        <v>161</v>
      </c>
      <c r="D71" s="675" t="s">
        <v>162</v>
      </c>
      <c r="E71" s="675"/>
      <c r="F71" s="676">
        <f>H27</f>
        <v>1542</v>
      </c>
      <c r="G71" s="676"/>
      <c r="H71" s="757">
        <f>IF(F73&gt;0,ROUND((F72*F73)-(F71*0.06),2),0)</f>
        <v>0</v>
      </c>
      <c r="I71" s="809"/>
      <c r="J71" s="6"/>
    </row>
    <row r="72" spans="1:10">
      <c r="A72" s="149"/>
      <c r="B72" s="647"/>
      <c r="C72" s="674"/>
      <c r="D72" s="675" t="s">
        <v>163</v>
      </c>
      <c r="E72" s="675"/>
      <c r="F72" s="758">
        <f>'INFORMAÇÕES BÁSICAS'!$D$12</f>
        <v>20</v>
      </c>
      <c r="G72" s="758"/>
      <c r="H72" s="757"/>
      <c r="I72" s="809"/>
      <c r="J72" s="6"/>
    </row>
    <row r="73" spans="1:10">
      <c r="A73" s="149"/>
      <c r="B73" s="647"/>
      <c r="C73" s="674"/>
      <c r="D73" s="675" t="s">
        <v>164</v>
      </c>
      <c r="E73" s="675"/>
      <c r="F73" s="759">
        <f>'INFORMAÇÕES BÁSICAS'!$D$13</f>
        <v>0</v>
      </c>
      <c r="G73" s="759"/>
      <c r="H73" s="757"/>
      <c r="I73" s="810"/>
      <c r="J73" s="6"/>
    </row>
    <row r="74" spans="1:10" ht="30" customHeight="1">
      <c r="A74" s="149"/>
      <c r="B74" s="173" t="s">
        <v>88</v>
      </c>
      <c r="C74" s="174" t="s">
        <v>165</v>
      </c>
      <c r="D74" s="680" t="s">
        <v>166</v>
      </c>
      <c r="E74" s="680"/>
      <c r="F74" s="760">
        <f>'INFORMAÇÕES BÁSICAS'!$D$72</f>
        <v>100</v>
      </c>
      <c r="G74" s="760"/>
      <c r="H74" s="176">
        <f>F74</f>
        <v>100</v>
      </c>
      <c r="I74" s="810"/>
      <c r="J74" s="805"/>
    </row>
    <row r="75" spans="1:10" ht="36" customHeight="1">
      <c r="A75" s="149"/>
      <c r="B75" s="173" t="s">
        <v>90</v>
      </c>
      <c r="C75" s="177" t="s">
        <v>69</v>
      </c>
      <c r="D75" s="761" t="s">
        <v>167</v>
      </c>
      <c r="E75" s="761"/>
      <c r="F75" s="762">
        <f>'INFORMAÇÕES BÁSICAS'!$D$74</f>
        <v>0</v>
      </c>
      <c r="G75" s="762"/>
      <c r="H75" s="178">
        <f>F75</f>
        <v>0</v>
      </c>
      <c r="I75" s="810"/>
      <c r="J75" s="6"/>
    </row>
    <row r="76" spans="1:10" ht="36" customHeight="1">
      <c r="A76" s="149"/>
      <c r="B76" s="576" t="s">
        <v>92</v>
      </c>
      <c r="C76" s="179" t="s">
        <v>68</v>
      </c>
      <c r="D76" s="763" t="s">
        <v>167</v>
      </c>
      <c r="E76" s="763"/>
      <c r="F76" s="764">
        <f>'INFORMAÇÕES BÁSICAS'!$D$73</f>
        <v>0</v>
      </c>
      <c r="G76" s="764"/>
      <c r="H76" s="180">
        <f>F76</f>
        <v>0</v>
      </c>
      <c r="I76" s="810"/>
      <c r="J76" s="6"/>
    </row>
    <row r="77" spans="1:10">
      <c r="A77" s="149"/>
      <c r="B77" s="181" t="s">
        <v>152</v>
      </c>
      <c r="C77" s="801" t="s">
        <v>168</v>
      </c>
      <c r="D77" s="802" t="s">
        <v>74</v>
      </c>
      <c r="E77" s="802"/>
      <c r="F77" s="803">
        <f>'INFORMAÇÕES BÁSICAS'!$D$75</f>
        <v>0</v>
      </c>
      <c r="G77" s="803"/>
      <c r="H77" s="804">
        <f>F77</f>
        <v>0</v>
      </c>
      <c r="I77" s="809"/>
      <c r="J77" s="6"/>
    </row>
    <row r="78" spans="1:10" ht="15.75">
      <c r="A78" s="117"/>
      <c r="B78" s="662" t="s">
        <v>169</v>
      </c>
      <c r="C78" s="662"/>
      <c r="D78" s="662"/>
      <c r="E78" s="662"/>
      <c r="F78" s="662"/>
      <c r="G78" s="662"/>
      <c r="H78" s="182">
        <f>SUM(H71:H77)</f>
        <v>100</v>
      </c>
      <c r="I78" s="259"/>
      <c r="J78" s="6"/>
    </row>
    <row r="79" spans="1:10">
      <c r="A79" s="183"/>
      <c r="B79" s="184"/>
      <c r="C79" s="111"/>
      <c r="D79" s="111"/>
      <c r="E79" s="111"/>
      <c r="F79" s="111"/>
      <c r="G79" s="111"/>
      <c r="H79" s="111"/>
      <c r="I79" s="184"/>
      <c r="J79" s="6"/>
    </row>
    <row r="80" spans="1:10" ht="15" customHeight="1">
      <c r="A80" s="117"/>
      <c r="B80" s="668" t="s">
        <v>170</v>
      </c>
      <c r="C80" s="668"/>
      <c r="D80" s="686" t="s">
        <v>171</v>
      </c>
      <c r="E80" s="686"/>
      <c r="F80" s="686"/>
      <c r="G80" s="686"/>
      <c r="H80" s="686"/>
      <c r="I80" s="259"/>
      <c r="J80" s="6"/>
    </row>
    <row r="81" spans="1:10" ht="15.75">
      <c r="A81" s="117"/>
      <c r="B81" s="187">
        <v>2</v>
      </c>
      <c r="C81" s="765" t="s">
        <v>140</v>
      </c>
      <c r="D81" s="765"/>
      <c r="E81" s="765"/>
      <c r="F81" s="765"/>
      <c r="G81" s="765"/>
      <c r="H81" s="188" t="s">
        <v>141</v>
      </c>
      <c r="I81" s="259"/>
      <c r="J81" s="6"/>
    </row>
    <row r="82" spans="1:10" ht="15" customHeight="1">
      <c r="A82" s="149"/>
      <c r="B82" s="189" t="s">
        <v>172</v>
      </c>
      <c r="C82" s="628" t="s">
        <v>139</v>
      </c>
      <c r="D82" s="628"/>
      <c r="E82" s="628"/>
      <c r="F82" s="628"/>
      <c r="G82" s="628"/>
      <c r="H82" s="572">
        <f>H53</f>
        <v>177.93535353535356</v>
      </c>
      <c r="I82" s="809"/>
      <c r="J82" s="6"/>
    </row>
    <row r="83" spans="1:10" ht="15" customHeight="1">
      <c r="A83" s="149"/>
      <c r="B83" s="189" t="s">
        <v>173</v>
      </c>
      <c r="C83" s="628" t="s">
        <v>174</v>
      </c>
      <c r="D83" s="628"/>
      <c r="E83" s="628"/>
      <c r="F83" s="628"/>
      <c r="G83" s="628"/>
      <c r="H83" s="572">
        <f>H66</f>
        <v>708.18</v>
      </c>
      <c r="I83" s="809"/>
      <c r="J83" s="6"/>
    </row>
    <row r="84" spans="1:10">
      <c r="A84" s="149"/>
      <c r="B84" s="189" t="s">
        <v>175</v>
      </c>
      <c r="C84" s="641" t="s">
        <v>160</v>
      </c>
      <c r="D84" s="641"/>
      <c r="E84" s="641"/>
      <c r="F84" s="641"/>
      <c r="G84" s="641"/>
      <c r="H84" s="572">
        <f>H78</f>
        <v>100</v>
      </c>
      <c r="I84" s="809"/>
      <c r="J84" s="6"/>
    </row>
    <row r="85" spans="1:10" ht="15.75">
      <c r="A85" s="149"/>
      <c r="B85" s="688" t="s">
        <v>176</v>
      </c>
      <c r="C85" s="688"/>
      <c r="D85" s="688"/>
      <c r="E85" s="688"/>
      <c r="F85" s="688"/>
      <c r="G85" s="688"/>
      <c r="H85" s="191">
        <f>SUM(H82:H84)</f>
        <v>986.11535353535351</v>
      </c>
      <c r="I85" s="809"/>
      <c r="J85" s="6"/>
    </row>
    <row r="86" spans="1:10">
      <c r="A86" s="153"/>
      <c r="B86" s="192"/>
      <c r="C86" s="193"/>
      <c r="D86" s="193"/>
      <c r="E86" s="193"/>
      <c r="F86" s="193"/>
      <c r="G86" s="193"/>
      <c r="H86" s="194"/>
      <c r="I86" s="809"/>
      <c r="J86" s="6"/>
    </row>
    <row r="87" spans="1:10" ht="15.75">
      <c r="A87" s="153"/>
      <c r="B87" s="689" t="s">
        <v>177</v>
      </c>
      <c r="C87" s="689"/>
      <c r="D87" s="690" t="s">
        <v>178</v>
      </c>
      <c r="E87" s="690"/>
      <c r="F87" s="690"/>
      <c r="G87" s="690"/>
      <c r="H87" s="690"/>
      <c r="I87" s="809"/>
      <c r="J87" s="6"/>
    </row>
    <row r="88" spans="1:10" ht="15.75">
      <c r="A88" s="117"/>
      <c r="B88" s="197"/>
      <c r="C88" s="646" t="s">
        <v>140</v>
      </c>
      <c r="D88" s="646"/>
      <c r="E88" s="646"/>
      <c r="F88" s="646"/>
      <c r="G88" s="646"/>
      <c r="H88" s="198" t="s">
        <v>141</v>
      </c>
      <c r="I88" s="259"/>
      <c r="J88" s="6"/>
    </row>
    <row r="89" spans="1:10">
      <c r="A89" s="117"/>
      <c r="B89" s="571" t="s">
        <v>86</v>
      </c>
      <c r="C89" s="641" t="s">
        <v>179</v>
      </c>
      <c r="D89" s="641"/>
      <c r="E89" s="641"/>
      <c r="F89" s="641"/>
      <c r="G89" s="641"/>
      <c r="H89" s="200">
        <f>ROUND((H42/12)+(H51/12)+(H42/12/12)+(H52/12),2)*0.05</f>
        <v>7.9700000000000006</v>
      </c>
      <c r="I89" s="259"/>
      <c r="J89" s="6"/>
    </row>
    <row r="90" spans="1:10">
      <c r="A90" s="117"/>
      <c r="B90" s="571" t="s">
        <v>88</v>
      </c>
      <c r="C90" s="641" t="s">
        <v>180</v>
      </c>
      <c r="D90" s="641"/>
      <c r="E90" s="641"/>
      <c r="F90" s="641"/>
      <c r="G90" s="641"/>
      <c r="H90" s="200">
        <f>H89*F65</f>
        <v>0.63760000000000006</v>
      </c>
      <c r="I90" s="259"/>
      <c r="J90" s="6"/>
    </row>
    <row r="91" spans="1:10">
      <c r="A91" s="117"/>
      <c r="B91" s="571" t="s">
        <v>90</v>
      </c>
      <c r="C91" s="641" t="s">
        <v>181</v>
      </c>
      <c r="D91" s="641"/>
      <c r="E91" s="641"/>
      <c r="F91" s="641"/>
      <c r="G91" s="641"/>
      <c r="H91" s="201">
        <f>ROUND((((H46*0.08)*0.5)*0.06),2)</f>
        <v>3.84</v>
      </c>
      <c r="I91" s="259"/>
      <c r="J91" s="6"/>
    </row>
    <row r="92" spans="1:10">
      <c r="A92" s="117"/>
      <c r="B92" s="571" t="s">
        <v>92</v>
      </c>
      <c r="C92" s="641" t="s">
        <v>182</v>
      </c>
      <c r="D92" s="641"/>
      <c r="E92" s="641"/>
      <c r="F92" s="641"/>
      <c r="G92" s="641"/>
      <c r="H92" s="200">
        <f>ROUND(((H42/30)*7)/H14*1,2)</f>
        <v>12.46</v>
      </c>
      <c r="I92" s="811"/>
      <c r="J92" s="6"/>
    </row>
    <row r="93" spans="1:10">
      <c r="A93" s="117"/>
      <c r="B93" s="571" t="s">
        <v>152</v>
      </c>
      <c r="C93" s="641" t="s">
        <v>183</v>
      </c>
      <c r="D93" s="641"/>
      <c r="E93" s="641"/>
      <c r="F93" s="641"/>
      <c r="G93" s="641"/>
      <c r="H93" s="203">
        <f>ROUND(H92*F66,2)</f>
        <v>4.96</v>
      </c>
      <c r="I93" s="259"/>
      <c r="J93" s="6"/>
    </row>
    <row r="94" spans="1:10">
      <c r="A94" s="117"/>
      <c r="B94" s="571" t="s">
        <v>92</v>
      </c>
      <c r="C94" s="641" t="s">
        <v>184</v>
      </c>
      <c r="D94" s="641"/>
      <c r="E94" s="641"/>
      <c r="F94" s="641"/>
      <c r="G94" s="641"/>
      <c r="H94" s="200">
        <f>ROUND(0.08*0.5*(H42+H51+H52+H101)*1,2)</f>
        <v>77.55</v>
      </c>
      <c r="I94" s="259"/>
      <c r="J94" s="6"/>
    </row>
    <row r="95" spans="1:10" ht="15.75">
      <c r="A95" s="153"/>
      <c r="B95" s="691" t="s">
        <v>185</v>
      </c>
      <c r="C95" s="691"/>
      <c r="D95" s="691"/>
      <c r="E95" s="691"/>
      <c r="F95" s="766"/>
      <c r="G95" s="766"/>
      <c r="H95" s="205">
        <f>SUM(H89:H94)</f>
        <v>107.41759999999999</v>
      </c>
      <c r="I95" s="809"/>
      <c r="J95" s="6"/>
    </row>
    <row r="96" spans="1:10">
      <c r="A96" s="206"/>
      <c r="B96" s="259"/>
      <c r="C96" s="259"/>
      <c r="D96" s="259"/>
      <c r="E96" s="259"/>
      <c r="F96" s="259"/>
      <c r="G96" s="259"/>
      <c r="H96" s="259"/>
      <c r="I96" s="259"/>
      <c r="J96" s="6"/>
    </row>
    <row r="97" spans="1:10" ht="15.75">
      <c r="A97" s="206"/>
      <c r="B97" s="693" t="s">
        <v>186</v>
      </c>
      <c r="C97" s="693"/>
      <c r="D97" s="694" t="s">
        <v>187</v>
      </c>
      <c r="E97" s="694"/>
      <c r="F97" s="694"/>
      <c r="G97" s="694"/>
      <c r="H97" s="694"/>
      <c r="I97" s="812"/>
      <c r="J97" s="6"/>
    </row>
    <row r="98" spans="1:10" ht="15.75" customHeight="1">
      <c r="A98" s="206"/>
      <c r="B98" s="695" t="s">
        <v>188</v>
      </c>
      <c r="C98" s="695"/>
      <c r="D98" s="696" t="s">
        <v>189</v>
      </c>
      <c r="E98" s="696"/>
      <c r="F98" s="696"/>
      <c r="G98" s="696"/>
      <c r="H98" s="696"/>
      <c r="I98" s="213" t="s">
        <v>190</v>
      </c>
      <c r="J98" s="6"/>
    </row>
    <row r="99" spans="1:10" ht="15.75">
      <c r="A99" s="117"/>
      <c r="B99" s="214"/>
      <c r="C99" s="767" t="s">
        <v>140</v>
      </c>
      <c r="D99" s="767"/>
      <c r="E99" s="767"/>
      <c r="F99" s="767"/>
      <c r="G99" s="767"/>
      <c r="H99" s="215" t="s">
        <v>141</v>
      </c>
      <c r="I99" s="6"/>
      <c r="J99" s="6"/>
    </row>
    <row r="100" spans="1:10" ht="15.75">
      <c r="A100" s="117"/>
      <c r="B100" s="214"/>
      <c r="C100" s="768" t="s">
        <v>191</v>
      </c>
      <c r="D100" s="768"/>
      <c r="E100" s="768"/>
      <c r="F100" s="769">
        <f>ROUND(H42/12,2)+H42+H51+H52</f>
        <v>1912.8035353535356</v>
      </c>
      <c r="G100" s="769"/>
      <c r="H100" s="215"/>
      <c r="I100" s="6"/>
      <c r="J100" s="6"/>
    </row>
    <row r="101" spans="1:10">
      <c r="A101" s="206"/>
      <c r="B101" s="571" t="s">
        <v>86</v>
      </c>
      <c r="C101" s="641" t="s">
        <v>192</v>
      </c>
      <c r="D101" s="641"/>
      <c r="E101" s="641"/>
      <c r="F101" s="641"/>
      <c r="G101" s="641"/>
      <c r="H101" s="572">
        <f>F100/12</f>
        <v>159.40029461279462</v>
      </c>
      <c r="I101" s="6"/>
      <c r="J101" s="6"/>
    </row>
    <row r="102" spans="1:10">
      <c r="A102" s="206"/>
      <c r="B102" s="571" t="s">
        <v>88</v>
      </c>
      <c r="C102" s="217" t="s">
        <v>193</v>
      </c>
      <c r="D102" s="218"/>
      <c r="E102" s="218"/>
      <c r="F102" s="218"/>
      <c r="G102" s="219"/>
      <c r="H102" s="572">
        <f>(((F100/30)*2.96)/12)</f>
        <v>15.72749573512907</v>
      </c>
      <c r="I102" s="6"/>
      <c r="J102" s="6"/>
    </row>
    <row r="103" spans="1:10">
      <c r="A103" s="206"/>
      <c r="B103" s="571" t="s">
        <v>90</v>
      </c>
      <c r="C103" s="217" t="s">
        <v>194</v>
      </c>
      <c r="D103" s="218"/>
      <c r="E103" s="218"/>
      <c r="F103" s="218"/>
      <c r="G103" s="219"/>
      <c r="H103" s="578">
        <f>IF(I103="S",((((5/30)*(F100))/12)*0.015),IF(I103="N",0,"INFORME S ou N"))</f>
        <v>0.39850073653198653</v>
      </c>
      <c r="I103" s="813" t="str">
        <f>IF('INFORMAÇÕES BÁSICAS'!D67=1,"S","N")</f>
        <v>S</v>
      </c>
      <c r="J103" s="6"/>
    </row>
    <row r="104" spans="1:10">
      <c r="A104" s="206"/>
      <c r="B104" s="571" t="s">
        <v>92</v>
      </c>
      <c r="C104" s="217" t="s">
        <v>195</v>
      </c>
      <c r="D104" s="218"/>
      <c r="E104" s="218"/>
      <c r="F104" s="218"/>
      <c r="G104" s="219"/>
      <c r="H104" s="572">
        <f>ROUND((((15/30)*F100)/12)*0.0078,2)</f>
        <v>0.62</v>
      </c>
      <c r="I104" s="814"/>
      <c r="J104" s="6"/>
    </row>
    <row r="105" spans="1:10">
      <c r="A105" s="206"/>
      <c r="B105" s="571" t="s">
        <v>152</v>
      </c>
      <c r="C105" s="217" t="s">
        <v>196</v>
      </c>
      <c r="D105" s="218"/>
      <c r="E105" s="218"/>
      <c r="F105" s="218"/>
      <c r="G105" s="219"/>
      <c r="H105" s="578">
        <f>IF(I105="S",(((1+1/3)*(4/12))*(F100))/12*0.02,IF(I105="N",0,"INFORME S ou N"))</f>
        <v>1.4168915076692856</v>
      </c>
      <c r="I105" s="815" t="str">
        <f>IF('INFORMAÇÕES BÁSICAS'!D71=1,"S","N")</f>
        <v>S</v>
      </c>
      <c r="J105" s="6"/>
    </row>
    <row r="106" spans="1:10">
      <c r="A106" s="206"/>
      <c r="B106" s="223" t="s">
        <v>129</v>
      </c>
      <c r="C106" s="700" t="s">
        <v>197</v>
      </c>
      <c r="D106" s="700"/>
      <c r="E106" s="700"/>
      <c r="F106" s="700"/>
      <c r="G106" s="700"/>
      <c r="H106" s="225">
        <f>(((F100)/30))*5/12</f>
        <v>26.566715768799103</v>
      </c>
      <c r="I106" s="259"/>
      <c r="J106" s="6"/>
    </row>
    <row r="107" spans="1:10">
      <c r="A107" s="206"/>
      <c r="B107" s="226"/>
      <c r="C107" s="227"/>
      <c r="D107" s="228"/>
      <c r="E107" s="229"/>
      <c r="F107" s="230"/>
      <c r="G107" s="231" t="s">
        <v>198</v>
      </c>
      <c r="H107" s="232">
        <f>SUM(H101:H106)</f>
        <v>204.12989836092407</v>
      </c>
      <c r="I107" s="259"/>
      <c r="J107" s="6"/>
    </row>
    <row r="108" spans="1:10">
      <c r="A108" s="206"/>
      <c r="B108" s="223" t="s">
        <v>131</v>
      </c>
      <c r="C108" s="233" t="s">
        <v>199</v>
      </c>
      <c r="D108" s="233"/>
      <c r="E108" s="234"/>
      <c r="F108" s="235"/>
      <c r="G108" s="236"/>
      <c r="H108" s="237">
        <f>H107*F66</f>
        <v>81.243699547647793</v>
      </c>
      <c r="I108" s="259"/>
      <c r="J108" s="6"/>
    </row>
    <row r="109" spans="1:10" ht="15.75">
      <c r="A109" s="117"/>
      <c r="B109" s="701" t="s">
        <v>200</v>
      </c>
      <c r="C109" s="701"/>
      <c r="D109" s="701"/>
      <c r="E109" s="701"/>
      <c r="F109" s="701"/>
      <c r="G109" s="701"/>
      <c r="H109" s="239">
        <f>ROUND(SUM(H107:H108),2)</f>
        <v>285.37</v>
      </c>
      <c r="I109" s="812"/>
      <c r="J109" s="6"/>
    </row>
    <row r="110" spans="1:10">
      <c r="A110" s="206"/>
      <c r="B110" s="574"/>
      <c r="C110" s="574"/>
      <c r="D110" s="574"/>
      <c r="E110" s="574"/>
      <c r="F110" s="241"/>
      <c r="G110" s="241"/>
      <c r="H110" s="242"/>
      <c r="I110" s="259"/>
      <c r="J110" s="6"/>
    </row>
    <row r="111" spans="1:10" ht="15.75" customHeight="1">
      <c r="A111" s="206"/>
      <c r="B111" s="668" t="s">
        <v>201</v>
      </c>
      <c r="C111" s="668"/>
      <c r="D111" s="669" t="s">
        <v>202</v>
      </c>
      <c r="E111" s="669"/>
      <c r="F111" s="669"/>
      <c r="G111" s="669"/>
      <c r="H111" s="669"/>
      <c r="I111" s="243"/>
      <c r="J111" s="6"/>
    </row>
    <row r="112" spans="1:10" ht="15.75">
      <c r="A112" s="117"/>
      <c r="B112" s="197"/>
      <c r="C112" s="646" t="s">
        <v>140</v>
      </c>
      <c r="D112" s="646"/>
      <c r="E112" s="646"/>
      <c r="F112" s="646"/>
      <c r="G112" s="646"/>
      <c r="H112" s="198" t="s">
        <v>141</v>
      </c>
      <c r="I112" s="259"/>
      <c r="J112" s="6"/>
    </row>
    <row r="113" spans="1:10">
      <c r="A113" s="117"/>
      <c r="B113" s="571" t="s">
        <v>86</v>
      </c>
      <c r="C113" s="641" t="s">
        <v>203</v>
      </c>
      <c r="D113" s="641"/>
      <c r="E113" s="641"/>
      <c r="F113" s="641"/>
      <c r="G113" s="641"/>
      <c r="H113" s="578">
        <v>0</v>
      </c>
      <c r="I113" s="259"/>
      <c r="J113" s="6"/>
    </row>
    <row r="114" spans="1:10" ht="15.75">
      <c r="A114" s="117"/>
      <c r="B114" s="702" t="s">
        <v>204</v>
      </c>
      <c r="C114" s="702"/>
      <c r="D114" s="702"/>
      <c r="E114" s="702"/>
      <c r="F114" s="702"/>
      <c r="G114" s="702"/>
      <c r="H114" s="245">
        <f>ROUND(SUM(H113),2)</f>
        <v>0</v>
      </c>
      <c r="I114" s="259"/>
      <c r="J114" s="6"/>
    </row>
    <row r="115" spans="1:10" ht="15.75">
      <c r="A115" s="117"/>
      <c r="B115" s="246"/>
      <c r="C115" s="703" t="s">
        <v>205</v>
      </c>
      <c r="D115" s="703"/>
      <c r="E115" s="703"/>
      <c r="F115" s="703"/>
      <c r="G115" s="703"/>
      <c r="H115" s="248"/>
      <c r="I115" s="259"/>
      <c r="J115" s="6"/>
    </row>
    <row r="116" spans="1:10" ht="15.75">
      <c r="A116" s="117"/>
      <c r="B116" s="249"/>
      <c r="C116" s="574"/>
      <c r="D116" s="250"/>
      <c r="E116" s="250"/>
      <c r="F116" s="574"/>
      <c r="G116" s="574"/>
      <c r="H116" s="251"/>
      <c r="I116" s="259"/>
      <c r="J116" s="6"/>
    </row>
    <row r="117" spans="1:10" ht="15.75" customHeight="1">
      <c r="A117" s="117"/>
      <c r="B117" s="695" t="s">
        <v>170</v>
      </c>
      <c r="C117" s="695"/>
      <c r="D117" s="704" t="s">
        <v>206</v>
      </c>
      <c r="E117" s="704"/>
      <c r="F117" s="704"/>
      <c r="G117" s="704"/>
      <c r="H117" s="704"/>
      <c r="I117" s="259"/>
      <c r="J117" s="6"/>
    </row>
    <row r="118" spans="1:10" ht="15.75">
      <c r="A118" s="149"/>
      <c r="B118" s="253"/>
      <c r="C118" s="765" t="s">
        <v>140</v>
      </c>
      <c r="D118" s="765"/>
      <c r="E118" s="765"/>
      <c r="F118" s="765"/>
      <c r="G118" s="765"/>
      <c r="H118" s="254" t="s">
        <v>141</v>
      </c>
      <c r="I118" s="809"/>
      <c r="J118" s="6"/>
    </row>
    <row r="119" spans="1:10" ht="15.75">
      <c r="A119" s="117"/>
      <c r="B119" s="255" t="s">
        <v>207</v>
      </c>
      <c r="C119" s="625" t="s">
        <v>193</v>
      </c>
      <c r="D119" s="625"/>
      <c r="E119" s="625"/>
      <c r="F119" s="625"/>
      <c r="G119" s="625"/>
      <c r="H119" s="256">
        <f>H109</f>
        <v>285.37</v>
      </c>
      <c r="I119" s="259"/>
      <c r="J119" s="6"/>
    </row>
    <row r="120" spans="1:10" ht="15.75">
      <c r="A120" s="117"/>
      <c r="B120" s="255" t="s">
        <v>208</v>
      </c>
      <c r="C120" s="625" t="s">
        <v>202</v>
      </c>
      <c r="D120" s="625"/>
      <c r="E120" s="625"/>
      <c r="F120" s="625"/>
      <c r="G120" s="625"/>
      <c r="H120" s="257">
        <f>H113</f>
        <v>0</v>
      </c>
      <c r="I120" s="259"/>
      <c r="J120" s="6"/>
    </row>
    <row r="121" spans="1:10" ht="15.75">
      <c r="A121" s="153"/>
      <c r="B121" s="705" t="s">
        <v>209</v>
      </c>
      <c r="C121" s="705"/>
      <c r="D121" s="705"/>
      <c r="E121" s="705"/>
      <c r="F121" s="705"/>
      <c r="G121" s="705"/>
      <c r="H121" s="191">
        <f>SUM(H118:H120)</f>
        <v>285.37</v>
      </c>
      <c r="I121" s="809"/>
      <c r="J121" s="6"/>
    </row>
    <row r="122" spans="1:10">
      <c r="A122" s="117"/>
      <c r="B122" s="259"/>
      <c r="C122" s="259"/>
      <c r="D122" s="259"/>
      <c r="E122" s="259"/>
      <c r="F122" s="259"/>
      <c r="G122" s="259"/>
      <c r="H122" s="259"/>
      <c r="I122" s="259"/>
      <c r="J122" s="6"/>
    </row>
    <row r="123" spans="1:10" ht="15.75" customHeight="1">
      <c r="A123" s="206"/>
      <c r="B123" s="668" t="s">
        <v>210</v>
      </c>
      <c r="C123" s="668"/>
      <c r="D123" s="669" t="s">
        <v>211</v>
      </c>
      <c r="E123" s="669"/>
      <c r="F123" s="669"/>
      <c r="G123" s="669"/>
      <c r="H123" s="669"/>
      <c r="I123" s="243"/>
      <c r="J123" s="6"/>
    </row>
    <row r="124" spans="1:10" ht="15.75">
      <c r="A124" s="117"/>
      <c r="B124" s="260">
        <v>5</v>
      </c>
      <c r="C124" s="770" t="s">
        <v>212</v>
      </c>
      <c r="D124" s="770"/>
      <c r="E124" s="770"/>
      <c r="F124" s="770"/>
      <c r="G124" s="770"/>
      <c r="H124" s="261" t="s">
        <v>141</v>
      </c>
      <c r="I124" s="259"/>
      <c r="J124" s="6"/>
    </row>
    <row r="125" spans="1:10" ht="15.75">
      <c r="A125" s="117"/>
      <c r="B125" s="262" t="s">
        <v>86</v>
      </c>
      <c r="C125" s="771" t="s">
        <v>213</v>
      </c>
      <c r="D125" s="771"/>
      <c r="E125" s="771"/>
      <c r="F125" s="771"/>
      <c r="G125" s="771"/>
      <c r="H125" s="263">
        <f>'uniforme pedreiro'!$G$26</f>
        <v>130.94499999999999</v>
      </c>
      <c r="I125" s="259"/>
      <c r="J125" s="6"/>
    </row>
    <row r="126" spans="1:10" ht="15.75">
      <c r="A126" s="117"/>
      <c r="B126" s="688" t="s">
        <v>214</v>
      </c>
      <c r="C126" s="688"/>
      <c r="D126" s="688"/>
      <c r="E126" s="688"/>
      <c r="F126" s="688"/>
      <c r="G126" s="688"/>
      <c r="H126" s="191">
        <f>SUM(H125:H125)</f>
        <v>130.94499999999999</v>
      </c>
      <c r="I126" s="259"/>
      <c r="J126" s="6"/>
    </row>
    <row r="127" spans="1:10">
      <c r="A127" s="183"/>
      <c r="B127" s="569"/>
      <c r="C127" s="299"/>
      <c r="D127" s="299"/>
      <c r="E127" s="299"/>
      <c r="F127" s="300"/>
      <c r="G127" s="300"/>
      <c r="H127" s="301"/>
      <c r="I127" s="184"/>
      <c r="J127" s="6"/>
    </row>
    <row r="128" spans="1:10" ht="15.75" customHeight="1">
      <c r="A128" s="206"/>
      <c r="B128" s="668" t="s">
        <v>215</v>
      </c>
      <c r="C128" s="668"/>
      <c r="D128" s="669" t="s">
        <v>216</v>
      </c>
      <c r="E128" s="669"/>
      <c r="F128" s="669"/>
      <c r="G128" s="669"/>
      <c r="H128" s="669"/>
      <c r="I128" s="243"/>
      <c r="J128" s="6"/>
    </row>
    <row r="129" spans="1:10" ht="15.75">
      <c r="A129" s="153"/>
      <c r="B129" s="268">
        <v>6</v>
      </c>
      <c r="C129" s="765" t="s">
        <v>212</v>
      </c>
      <c r="D129" s="765"/>
      <c r="E129" s="765"/>
      <c r="F129" s="772" t="s">
        <v>148</v>
      </c>
      <c r="G129" s="772"/>
      <c r="H129" s="269" t="s">
        <v>141</v>
      </c>
      <c r="I129" s="243"/>
      <c r="J129" s="6"/>
    </row>
    <row r="130" spans="1:10">
      <c r="A130" s="153"/>
      <c r="B130" s="709" t="s">
        <v>86</v>
      </c>
      <c r="C130" s="773" t="s">
        <v>217</v>
      </c>
      <c r="D130" s="773"/>
      <c r="E130" s="773"/>
      <c r="F130" s="271" t="s">
        <v>218</v>
      </c>
      <c r="G130" s="272">
        <f>H144+H145+H146+H147+H148</f>
        <v>3111.2661353535354</v>
      </c>
      <c r="H130" s="774">
        <f>ROUND(G130*G131,2)</f>
        <v>211.25</v>
      </c>
      <c r="I130" s="243"/>
      <c r="J130" s="6"/>
    </row>
    <row r="131" spans="1:10">
      <c r="A131" s="153"/>
      <c r="B131" s="709"/>
      <c r="C131" s="773"/>
      <c r="D131" s="773"/>
      <c r="E131" s="773"/>
      <c r="F131" s="273" t="s">
        <v>148</v>
      </c>
      <c r="G131" s="274">
        <f>'INFORMAÇÕES BÁSICAS'!$D$14</f>
        <v>6.7900000000000002E-2</v>
      </c>
      <c r="H131" s="774"/>
      <c r="I131" s="243"/>
      <c r="J131" s="6"/>
    </row>
    <row r="132" spans="1:10">
      <c r="A132" s="153"/>
      <c r="B132" s="709" t="s">
        <v>88</v>
      </c>
      <c r="C132" s="641" t="s">
        <v>219</v>
      </c>
      <c r="D132" s="641"/>
      <c r="E132" s="641"/>
      <c r="F132" s="275" t="s">
        <v>218</v>
      </c>
      <c r="G132" s="276">
        <f>H46+H85+H95+H121+H126+H130</f>
        <v>3322.5161353535354</v>
      </c>
      <c r="H132" s="774">
        <f>ROUND(G132*G133,2)</f>
        <v>199.35</v>
      </c>
      <c r="I132" s="243"/>
      <c r="J132" s="6"/>
    </row>
    <row r="133" spans="1:10">
      <c r="A133" s="153"/>
      <c r="B133" s="709"/>
      <c r="C133" s="641"/>
      <c r="D133" s="641"/>
      <c r="E133" s="641"/>
      <c r="F133" s="273" t="s">
        <v>148</v>
      </c>
      <c r="G133" s="274">
        <f>'INFORMAÇÕES BÁSICAS'!$D$15</f>
        <v>0.06</v>
      </c>
      <c r="H133" s="774"/>
      <c r="I133" s="243"/>
      <c r="J133" s="6"/>
    </row>
    <row r="134" spans="1:10" ht="15.75">
      <c r="A134" s="153"/>
      <c r="B134" s="570" t="s">
        <v>90</v>
      </c>
      <c r="C134" s="577" t="s">
        <v>220</v>
      </c>
      <c r="D134" s="277"/>
      <c r="E134" s="278"/>
      <c r="F134" s="775"/>
      <c r="G134" s="775"/>
      <c r="H134" s="279"/>
      <c r="I134" s="243"/>
      <c r="J134" s="6"/>
    </row>
    <row r="135" spans="1:10">
      <c r="A135" s="153"/>
      <c r="B135" s="776"/>
      <c r="C135" s="777"/>
      <c r="D135" s="778" t="s">
        <v>221</v>
      </c>
      <c r="E135" s="778"/>
      <c r="F135" s="779">
        <f>IF($F$9=1,0.0165,IF($F$9=2,0.0065,IF($F$9=3,D190,IF($F$9=4,D190,"ESCOLHA UM RT"))))</f>
        <v>1.6500000000000001E-2</v>
      </c>
      <c r="G135" s="779"/>
      <c r="H135" s="280">
        <f>ROUND(($G$132/(1-$F$140))*F135,2)</f>
        <v>63.93</v>
      </c>
      <c r="I135" s="243"/>
      <c r="J135" s="6"/>
    </row>
    <row r="136" spans="1:10">
      <c r="A136" s="153"/>
      <c r="B136" s="776"/>
      <c r="C136" s="777"/>
      <c r="D136" s="778" t="s">
        <v>222</v>
      </c>
      <c r="E136" s="778"/>
      <c r="F136" s="779">
        <f>IF($F$9=1,0.076,IF($F$9=2,0.03,IF($F$9=3,E190,IF($F$9=4,E190,"ESCOLHA UM RT"))))</f>
        <v>7.5999999999999998E-2</v>
      </c>
      <c r="G136" s="779"/>
      <c r="H136" s="280">
        <f>ROUND(($G$132/(1-$F$140))*F136,2)</f>
        <v>294.47000000000003</v>
      </c>
      <c r="I136" s="243"/>
      <c r="J136" s="6"/>
    </row>
    <row r="137" spans="1:10" ht="29.25" customHeight="1">
      <c r="A137" s="153"/>
      <c r="B137" s="576"/>
      <c r="C137" s="780" t="s">
        <v>223</v>
      </c>
      <c r="D137" s="780"/>
      <c r="E137" s="780"/>
      <c r="F137" s="780"/>
      <c r="G137" s="780"/>
      <c r="H137" s="280">
        <v>0</v>
      </c>
      <c r="I137" s="243"/>
      <c r="J137" s="6"/>
    </row>
    <row r="138" spans="1:10" ht="15.75">
      <c r="A138" s="153"/>
      <c r="B138" s="570"/>
      <c r="C138" s="781" t="s">
        <v>224</v>
      </c>
      <c r="D138" s="781"/>
      <c r="E138" s="781"/>
      <c r="F138" s="782">
        <v>0</v>
      </c>
      <c r="G138" s="782"/>
      <c r="H138" s="280">
        <f>F138*(H46+H85+H126+H66+H130)</f>
        <v>0</v>
      </c>
      <c r="I138" s="243"/>
      <c r="J138" s="6"/>
    </row>
    <row r="139" spans="1:10" ht="15.75">
      <c r="A139" s="153"/>
      <c r="B139" s="570"/>
      <c r="C139" s="781" t="s">
        <v>225</v>
      </c>
      <c r="D139" s="781"/>
      <c r="E139" s="781"/>
      <c r="F139" s="779">
        <f>'INFORMAÇÕES BÁSICAS'!D77</f>
        <v>0.05</v>
      </c>
      <c r="G139" s="779"/>
      <c r="H139" s="280">
        <f>((G132+H132)/(1-F134))*F139</f>
        <v>176.09330676767678</v>
      </c>
      <c r="I139" s="243"/>
      <c r="J139" s="6"/>
    </row>
    <row r="140" spans="1:10" ht="15.75">
      <c r="A140" s="153"/>
      <c r="B140" s="688" t="s">
        <v>226</v>
      </c>
      <c r="C140" s="688"/>
      <c r="D140" s="688"/>
      <c r="E140" s="688"/>
      <c r="F140" s="672">
        <f>SUM(F135:G139)</f>
        <v>0.14250000000000002</v>
      </c>
      <c r="G140" s="672"/>
      <c r="H140" s="191">
        <f>SUM(H130:H139)</f>
        <v>945.09330676767672</v>
      </c>
      <c r="I140" s="809"/>
      <c r="J140" s="6"/>
    </row>
    <row r="141" spans="1:10">
      <c r="A141" s="153"/>
      <c r="B141" s="192"/>
      <c r="C141" s="193"/>
      <c r="D141" s="193"/>
      <c r="E141" s="193"/>
      <c r="F141" s="281"/>
      <c r="G141" s="281"/>
      <c r="H141" s="194"/>
      <c r="I141" s="809"/>
      <c r="J141" s="6"/>
    </row>
    <row r="142" spans="1:10" ht="26.25">
      <c r="A142" s="67"/>
      <c r="B142" s="721" t="s">
        <v>227</v>
      </c>
      <c r="C142" s="721"/>
      <c r="D142" s="721"/>
      <c r="E142" s="721"/>
      <c r="F142" s="721"/>
      <c r="G142" s="721"/>
      <c r="H142" s="721"/>
      <c r="I142" s="259"/>
      <c r="J142" s="6"/>
    </row>
    <row r="143" spans="1:10">
      <c r="A143" s="67"/>
      <c r="B143" s="722" t="s">
        <v>103</v>
      </c>
      <c r="C143" s="722"/>
      <c r="D143" s="722"/>
      <c r="E143" s="722"/>
      <c r="F143" s="722"/>
      <c r="G143" s="722"/>
      <c r="H143" s="722"/>
      <c r="I143" s="259"/>
      <c r="J143" s="6"/>
    </row>
    <row r="144" spans="1:10">
      <c r="A144" s="67"/>
      <c r="B144" s="571" t="s">
        <v>86</v>
      </c>
      <c r="C144" s="284" t="s">
        <v>228</v>
      </c>
      <c r="D144" s="285"/>
      <c r="E144" s="285"/>
      <c r="F144" s="285"/>
      <c r="G144" s="286"/>
      <c r="H144" s="287">
        <f>H46</f>
        <v>1601.4181818181819</v>
      </c>
      <c r="I144" s="259"/>
      <c r="J144" s="6"/>
    </row>
    <row r="145" spans="1:10">
      <c r="A145" s="67"/>
      <c r="B145" s="571" t="s">
        <v>88</v>
      </c>
      <c r="C145" s="284" t="s">
        <v>229</v>
      </c>
      <c r="D145" s="285"/>
      <c r="E145" s="285"/>
      <c r="F145" s="285"/>
      <c r="G145" s="286"/>
      <c r="H145" s="288">
        <f>H85</f>
        <v>986.11535353535351</v>
      </c>
      <c r="I145" s="259"/>
      <c r="J145" s="6"/>
    </row>
    <row r="146" spans="1:10">
      <c r="A146" s="67"/>
      <c r="B146" s="571" t="s">
        <v>90</v>
      </c>
      <c r="C146" s="284" t="s">
        <v>230</v>
      </c>
      <c r="D146" s="285"/>
      <c r="E146" s="285"/>
      <c r="F146" s="285"/>
      <c r="G146" s="286"/>
      <c r="H146" s="288">
        <f>H95</f>
        <v>107.41759999999999</v>
      </c>
      <c r="I146" s="259"/>
      <c r="J146" s="6"/>
    </row>
    <row r="147" spans="1:10">
      <c r="A147" s="67"/>
      <c r="B147" s="571" t="s">
        <v>92</v>
      </c>
      <c r="C147" s="284" t="s">
        <v>231</v>
      </c>
      <c r="D147" s="285"/>
      <c r="E147" s="285"/>
      <c r="F147" s="285"/>
      <c r="G147" s="286"/>
      <c r="H147" s="288">
        <f>H121</f>
        <v>285.37</v>
      </c>
      <c r="I147" s="259"/>
      <c r="J147" s="6"/>
    </row>
    <row r="148" spans="1:10">
      <c r="A148" s="153"/>
      <c r="B148" s="571" t="s">
        <v>152</v>
      </c>
      <c r="C148" s="284" t="s">
        <v>232</v>
      </c>
      <c r="D148" s="285"/>
      <c r="E148" s="285"/>
      <c r="F148" s="285"/>
      <c r="G148" s="286"/>
      <c r="H148" s="288">
        <f>H126</f>
        <v>130.94499999999999</v>
      </c>
      <c r="I148" s="809"/>
      <c r="J148" s="6"/>
    </row>
    <row r="149" spans="1:10">
      <c r="A149" s="153"/>
      <c r="B149" s="289"/>
      <c r="C149" s="726" t="s">
        <v>233</v>
      </c>
      <c r="D149" s="726"/>
      <c r="E149" s="726"/>
      <c r="F149" s="726"/>
      <c r="G149" s="726"/>
      <c r="H149" s="291">
        <f>SUM(H144:H148)</f>
        <v>3111.2661353535354</v>
      </c>
      <c r="I149" s="809"/>
      <c r="J149" s="6"/>
    </row>
    <row r="150" spans="1:10">
      <c r="A150" s="153"/>
      <c r="B150" s="289" t="s">
        <v>129</v>
      </c>
      <c r="C150" s="292" t="s">
        <v>234</v>
      </c>
      <c r="D150" s="293"/>
      <c r="E150" s="293"/>
      <c r="F150" s="293"/>
      <c r="G150" s="294"/>
      <c r="H150" s="295">
        <f>H140</f>
        <v>945.09330676767672</v>
      </c>
      <c r="I150" s="809"/>
      <c r="J150" s="6"/>
    </row>
    <row r="151" spans="1:10" ht="23.25">
      <c r="A151" s="153"/>
      <c r="B151" s="727" t="s">
        <v>235</v>
      </c>
      <c r="C151" s="727"/>
      <c r="D151" s="727"/>
      <c r="E151" s="727"/>
      <c r="F151" s="727"/>
      <c r="G151" s="727"/>
      <c r="H151" s="297">
        <f>SUM(H149:H150)</f>
        <v>4056.3594421212119</v>
      </c>
      <c r="I151" s="809"/>
      <c r="J151" s="6"/>
    </row>
    <row r="152" spans="1:10">
      <c r="A152" s="183"/>
      <c r="B152" s="569"/>
      <c r="C152" s="299"/>
      <c r="D152" s="299"/>
      <c r="E152" s="299"/>
      <c r="F152" s="300"/>
      <c r="G152" s="300"/>
      <c r="H152" s="301"/>
      <c r="I152" s="184"/>
      <c r="J152" s="6"/>
    </row>
    <row r="153" spans="1:10" ht="26.25">
      <c r="A153" s="67"/>
      <c r="B153" s="638" t="s">
        <v>236</v>
      </c>
      <c r="C153" s="638"/>
      <c r="D153" s="638"/>
      <c r="E153" s="638"/>
      <c r="F153" s="638"/>
      <c r="G153" s="638"/>
      <c r="H153" s="638"/>
      <c r="I153" s="259"/>
      <c r="J153" s="6"/>
    </row>
    <row r="154" spans="1:10">
      <c r="A154" s="67"/>
      <c r="B154" s="728" t="s">
        <v>103</v>
      </c>
      <c r="C154" s="728"/>
      <c r="D154" s="728"/>
      <c r="E154" s="728"/>
      <c r="F154" s="728"/>
      <c r="G154" s="728"/>
      <c r="H154" s="728"/>
      <c r="I154" s="259"/>
      <c r="J154" s="6"/>
    </row>
    <row r="155" spans="1:10" ht="60" customHeight="1">
      <c r="A155" s="67"/>
      <c r="B155" s="729" t="s">
        <v>237</v>
      </c>
      <c r="C155" s="729"/>
      <c r="D155" s="575" t="s">
        <v>238</v>
      </c>
      <c r="E155" s="575" t="s">
        <v>239</v>
      </c>
      <c r="F155" s="783" t="s">
        <v>240</v>
      </c>
      <c r="G155" s="783"/>
      <c r="H155" s="305" t="s">
        <v>241</v>
      </c>
      <c r="I155" s="259"/>
      <c r="J155" s="6"/>
    </row>
    <row r="156" spans="1:10" ht="15.75">
      <c r="A156" s="67"/>
      <c r="B156" s="730" t="str">
        <f>H25</f>
        <v>Contratação de SERVIÇOS DE INFRAESTRUTURA E MANUTENÇÃO PREDIAL, JORNADA DE 40 HORAS SEMANAIS, para o IF Farroupilha Campus São Vicente do Sul, conforme condições, quantidades e exigências estabelecidas neste Edital e seus anexos</v>
      </c>
      <c r="C156" s="730"/>
      <c r="D156" s="306">
        <f>H151</f>
        <v>4056.3594421212119</v>
      </c>
      <c r="E156" s="307" t="str">
        <f>H16</f>
        <v>01</v>
      </c>
      <c r="F156" s="784">
        <f>D156*E156</f>
        <v>4056.3594421212119</v>
      </c>
      <c r="G156" s="784"/>
      <c r="H156" s="308">
        <f>F156*E156</f>
        <v>4056.3594421212119</v>
      </c>
      <c r="I156" s="259"/>
      <c r="J156" s="6"/>
    </row>
    <row r="157" spans="1:10" ht="26.25">
      <c r="A157" s="185"/>
      <c r="B157" s="731" t="s">
        <v>242</v>
      </c>
      <c r="C157" s="731"/>
      <c r="D157" s="731"/>
      <c r="E157" s="731"/>
      <c r="F157" s="731"/>
      <c r="G157" s="731"/>
      <c r="H157" s="310">
        <f>SUM(H156)</f>
        <v>4056.3594421212119</v>
      </c>
      <c r="I157" s="184"/>
      <c r="J157" s="6"/>
    </row>
    <row r="158" spans="1:10">
      <c r="A158" s="185"/>
      <c r="B158" s="732"/>
      <c r="C158" s="732"/>
      <c r="D158" s="167"/>
      <c r="E158" s="167"/>
      <c r="F158" s="167"/>
      <c r="G158" s="167"/>
      <c r="H158" s="311"/>
      <c r="I158" s="184"/>
      <c r="J158" s="6"/>
    </row>
    <row r="159" spans="1:10" ht="26.25">
      <c r="A159" s="67"/>
      <c r="B159" s="638" t="s">
        <v>243</v>
      </c>
      <c r="C159" s="638"/>
      <c r="D159" s="638"/>
      <c r="E159" s="638"/>
      <c r="F159" s="638"/>
      <c r="G159" s="638"/>
      <c r="H159" s="638"/>
      <c r="I159" s="259"/>
      <c r="J159" s="6"/>
    </row>
    <row r="160" spans="1:10">
      <c r="A160" s="67"/>
      <c r="B160" s="723" t="s">
        <v>244</v>
      </c>
      <c r="C160" s="723"/>
      <c r="D160" s="723"/>
      <c r="E160" s="723"/>
      <c r="F160" s="723"/>
      <c r="G160" s="723"/>
      <c r="H160" s="313" t="s">
        <v>245</v>
      </c>
      <c r="I160" s="259"/>
      <c r="J160" s="6"/>
    </row>
    <row r="161" spans="1:13" ht="15.75" customHeight="1">
      <c r="A161" s="67"/>
      <c r="B161" s="314" t="s">
        <v>86</v>
      </c>
      <c r="C161" s="724" t="s">
        <v>246</v>
      </c>
      <c r="D161" s="724"/>
      <c r="E161" s="724"/>
      <c r="F161" s="724"/>
      <c r="G161" s="724"/>
      <c r="H161" s="316">
        <f>H157</f>
        <v>4056.3594421212119</v>
      </c>
      <c r="I161" s="259"/>
      <c r="J161" s="6"/>
    </row>
    <row r="162" spans="1:13" ht="16.5" customHeight="1">
      <c r="A162" s="67"/>
      <c r="B162" s="317" t="s">
        <v>88</v>
      </c>
      <c r="C162" s="725" t="s">
        <v>247</v>
      </c>
      <c r="D162" s="725"/>
      <c r="E162" s="725"/>
      <c r="F162" s="725"/>
      <c r="G162" s="725"/>
      <c r="H162" s="319">
        <f>H161*H14</f>
        <v>121690.78326363636</v>
      </c>
      <c r="I162" s="816"/>
      <c r="J162" s="6"/>
      <c r="M162" t="s">
        <v>147</v>
      </c>
    </row>
    <row r="163" spans="1:13">
      <c r="A163" s="185"/>
      <c r="B163" s="574"/>
      <c r="C163" s="454"/>
      <c r="D163" s="167"/>
      <c r="E163" s="167"/>
      <c r="F163" s="167"/>
      <c r="G163" s="167"/>
      <c r="H163" s="311"/>
      <c r="I163" s="184"/>
      <c r="J163" s="6"/>
    </row>
    <row r="164" spans="1:13">
      <c r="A164" s="117"/>
      <c r="B164" s="259"/>
      <c r="C164" s="259"/>
      <c r="D164" s="259"/>
      <c r="E164" s="259"/>
      <c r="F164" s="259"/>
      <c r="G164" s="259"/>
      <c r="H164" s="259"/>
      <c r="I164" s="259"/>
      <c r="J164" s="6"/>
    </row>
    <row r="165" spans="1:13">
      <c r="A165" s="117"/>
      <c r="B165" s="259"/>
      <c r="C165" s="259"/>
      <c r="D165" s="259"/>
      <c r="E165" s="259"/>
      <c r="F165" s="259"/>
      <c r="G165" s="259"/>
      <c r="H165" s="259"/>
      <c r="I165" s="259"/>
      <c r="J165" s="6"/>
    </row>
    <row r="166" spans="1:13">
      <c r="A166" s="117"/>
      <c r="B166" s="259"/>
      <c r="C166" s="259"/>
      <c r="D166" s="259"/>
      <c r="E166" s="259"/>
      <c r="F166" s="259"/>
      <c r="G166" s="259"/>
      <c r="H166" s="259"/>
      <c r="I166" s="259"/>
      <c r="J166" s="6"/>
    </row>
    <row r="167" spans="1:13">
      <c r="A167" s="117"/>
      <c r="B167" s="259"/>
      <c r="C167" s="259"/>
      <c r="D167" s="259"/>
      <c r="E167" s="259"/>
      <c r="F167" s="259"/>
      <c r="G167" s="259"/>
      <c r="H167" s="259"/>
      <c r="I167" s="259"/>
      <c r="J167" s="6"/>
    </row>
    <row r="168" spans="1:13">
      <c r="A168" s="117"/>
      <c r="B168" s="259"/>
      <c r="C168" s="259"/>
      <c r="D168" s="259"/>
      <c r="E168" s="259"/>
      <c r="F168" s="259"/>
      <c r="G168" s="259"/>
      <c r="H168" s="259"/>
      <c r="I168" s="259"/>
      <c r="J168" s="6"/>
    </row>
    <row r="169" spans="1:13">
      <c r="A169" s="117"/>
      <c r="B169" s="259"/>
      <c r="C169" s="259"/>
      <c r="D169" s="259"/>
      <c r="E169" s="259"/>
      <c r="F169" s="259"/>
      <c r="G169" s="259"/>
      <c r="H169" s="259"/>
      <c r="I169" s="259"/>
      <c r="J169" s="6"/>
    </row>
    <row r="170" spans="1:13">
      <c r="A170" s="117"/>
      <c r="B170" s="259"/>
      <c r="C170" s="259"/>
      <c r="D170" s="259"/>
      <c r="E170" s="259"/>
      <c r="F170" s="259"/>
      <c r="G170" s="259"/>
      <c r="H170" s="259"/>
      <c r="I170" s="259"/>
      <c r="J170" s="6"/>
    </row>
    <row r="171" spans="1:13">
      <c r="A171" s="117"/>
      <c r="B171" s="259"/>
      <c r="C171" s="259"/>
      <c r="D171" s="259"/>
      <c r="E171" s="259"/>
      <c r="F171" s="259"/>
      <c r="G171" s="259"/>
      <c r="H171" s="259"/>
      <c r="I171" s="259"/>
      <c r="J171" s="6"/>
    </row>
    <row r="172" spans="1:13">
      <c r="A172" s="117"/>
      <c r="B172" s="259"/>
      <c r="C172" s="259"/>
      <c r="D172" s="259"/>
      <c r="E172" s="259"/>
      <c r="F172" s="259"/>
      <c r="G172" s="259"/>
      <c r="H172" s="259"/>
      <c r="I172" s="259"/>
      <c r="J172" s="6"/>
    </row>
    <row r="173" spans="1:13">
      <c r="A173" s="117"/>
      <c r="B173" s="259"/>
      <c r="C173" s="259"/>
      <c r="D173" s="259"/>
      <c r="E173" s="259"/>
      <c r="F173" s="259"/>
      <c r="G173" s="259"/>
      <c r="H173" s="259"/>
      <c r="I173" s="259"/>
      <c r="J173" s="6"/>
    </row>
    <row r="174" spans="1:13">
      <c r="A174" s="117"/>
      <c r="B174" s="259"/>
      <c r="C174" s="259"/>
      <c r="D174" s="259"/>
      <c r="E174" s="259"/>
      <c r="F174" s="259"/>
      <c r="G174" s="259"/>
      <c r="H174" s="259"/>
      <c r="I174" s="259"/>
      <c r="J174" s="6"/>
    </row>
    <row r="175" spans="1:13">
      <c r="A175" s="117"/>
      <c r="B175" s="259"/>
      <c r="C175" s="259"/>
      <c r="D175" s="259"/>
      <c r="E175" s="259"/>
      <c r="F175" s="259"/>
      <c r="G175" s="259"/>
      <c r="H175" s="259"/>
      <c r="I175" s="259"/>
      <c r="J175" s="6"/>
    </row>
    <row r="176" spans="1:13">
      <c r="A176" s="117"/>
      <c r="B176" s="259"/>
      <c r="C176" s="259"/>
      <c r="D176" s="259"/>
      <c r="E176" s="259"/>
      <c r="F176" s="259"/>
      <c r="G176" s="259"/>
      <c r="H176" s="259"/>
      <c r="I176" s="259"/>
      <c r="J176" s="6"/>
    </row>
    <row r="177" spans="1:10">
      <c r="A177" s="117"/>
      <c r="B177" s="259"/>
      <c r="C177" s="259"/>
      <c r="D177" s="259"/>
      <c r="E177" s="259"/>
      <c r="F177" s="259"/>
      <c r="G177" s="259"/>
      <c r="H177" s="259"/>
      <c r="I177" s="259"/>
      <c r="J177" s="6"/>
    </row>
    <row r="178" spans="1:10">
      <c r="A178" s="117"/>
      <c r="B178" s="259"/>
      <c r="C178" s="259"/>
      <c r="D178" s="259"/>
      <c r="E178" s="259"/>
      <c r="F178" s="259"/>
      <c r="G178" s="259"/>
      <c r="H178" s="259"/>
      <c r="I178" s="259"/>
      <c r="J178" s="6"/>
    </row>
    <row r="179" spans="1:10">
      <c r="A179" s="117"/>
      <c r="B179" s="259"/>
      <c r="C179" s="259"/>
      <c r="D179" s="259"/>
      <c r="E179" s="259"/>
      <c r="F179" s="259"/>
      <c r="G179" s="259"/>
      <c r="H179" s="259"/>
      <c r="I179" s="259"/>
      <c r="J179" s="6"/>
    </row>
    <row r="180" spans="1:10">
      <c r="A180" s="117"/>
      <c r="B180" s="259"/>
      <c r="C180" s="259"/>
      <c r="D180" s="259"/>
      <c r="E180" s="259"/>
      <c r="F180" s="259"/>
      <c r="G180" s="259"/>
      <c r="H180" s="259"/>
      <c r="I180" s="259"/>
      <c r="J180" s="6"/>
    </row>
    <row r="181" spans="1:10">
      <c r="A181" s="117"/>
      <c r="B181" s="117"/>
      <c r="C181" s="117"/>
      <c r="D181" s="117"/>
      <c r="E181" s="117"/>
      <c r="F181" s="117"/>
      <c r="G181" s="117"/>
      <c r="H181" s="117"/>
      <c r="I181" s="117"/>
    </row>
    <row r="182" spans="1:10">
      <c r="A182" s="117"/>
      <c r="B182" s="117"/>
      <c r="C182" s="117"/>
      <c r="D182" s="117"/>
      <c r="E182" s="117"/>
      <c r="F182" s="117"/>
      <c r="G182" s="117"/>
      <c r="H182" s="117"/>
      <c r="I182" s="117"/>
    </row>
    <row r="183" spans="1:10">
      <c r="A183" s="117"/>
      <c r="B183" s="117"/>
      <c r="C183" s="117"/>
      <c r="D183" s="117"/>
      <c r="E183" s="117"/>
      <c r="F183" s="117"/>
      <c r="G183" s="117"/>
      <c r="H183" s="117"/>
      <c r="I183" s="117"/>
    </row>
    <row r="184" spans="1:10">
      <c r="A184" s="117"/>
      <c r="B184" s="117"/>
      <c r="C184" s="117"/>
      <c r="D184" s="117"/>
      <c r="E184" s="117"/>
      <c r="F184" s="117"/>
      <c r="G184" s="117"/>
      <c r="H184" s="117"/>
      <c r="I184" s="117"/>
    </row>
    <row r="185" spans="1:10">
      <c r="A185" s="117"/>
      <c r="B185" s="117"/>
      <c r="C185" s="117"/>
      <c r="D185" s="117"/>
      <c r="E185" s="117"/>
      <c r="F185" s="117"/>
      <c r="G185" s="117"/>
      <c r="H185" s="117"/>
      <c r="I185" s="117"/>
    </row>
    <row r="186" spans="1:10">
      <c r="A186" s="117"/>
      <c r="B186" s="117"/>
      <c r="C186" s="117"/>
      <c r="D186" s="117"/>
      <c r="E186" s="117"/>
      <c r="F186" s="117"/>
      <c r="G186" s="117"/>
      <c r="H186" s="117"/>
      <c r="I186" s="117"/>
    </row>
    <row r="187" spans="1:10">
      <c r="A187" s="117"/>
      <c r="B187" s="117"/>
      <c r="C187" s="117"/>
      <c r="D187" s="117"/>
      <c r="E187" s="117"/>
      <c r="F187" s="117"/>
      <c r="G187" s="117"/>
      <c r="H187" s="117"/>
      <c r="I187" s="117"/>
    </row>
    <row r="188" spans="1:10">
      <c r="A188" s="117"/>
      <c r="B188" s="117"/>
      <c r="C188" s="117"/>
      <c r="D188" s="117"/>
      <c r="E188" s="117"/>
      <c r="F188" s="117"/>
      <c r="G188" s="117"/>
      <c r="H188" s="117"/>
      <c r="I188" s="117"/>
    </row>
    <row r="189" spans="1:10">
      <c r="A189" s="117"/>
      <c r="B189" s="117"/>
      <c r="C189" s="117"/>
      <c r="D189" s="117"/>
      <c r="E189" s="117"/>
      <c r="F189" s="117"/>
      <c r="G189" s="117"/>
      <c r="H189" s="117"/>
      <c r="I189" s="117"/>
    </row>
    <row r="190" spans="1:10">
      <c r="A190" s="117"/>
      <c r="B190" s="117"/>
      <c r="C190" s="117"/>
      <c r="D190" s="460" t="e">
        <f>'INFORMAÇÕES BÁSICAS'!E211</f>
        <v>#REF!</v>
      </c>
      <c r="E190" s="460" t="e">
        <f>'INFORMAÇÕES BÁSICAS'!F211</f>
        <v>#REF!</v>
      </c>
      <c r="F190" s="460"/>
      <c r="G190" s="117"/>
      <c r="H190" s="117"/>
      <c r="I190" s="117"/>
    </row>
  </sheetData>
  <sheetProtection password="F5F7" sheet="1" objects="1" scenarios="1"/>
  <mergeCells count="210">
    <mergeCell ref="C161:G161"/>
    <mergeCell ref="C162:G162"/>
    <mergeCell ref="B154:H154"/>
    <mergeCell ref="B155:C155"/>
    <mergeCell ref="F155:G155"/>
    <mergeCell ref="B156:C156"/>
    <mergeCell ref="F156:G156"/>
    <mergeCell ref="B157:G157"/>
    <mergeCell ref="B158:C158"/>
    <mergeCell ref="B159:H159"/>
    <mergeCell ref="B160:G160"/>
    <mergeCell ref="C139:E139"/>
    <mergeCell ref="F139:G139"/>
    <mergeCell ref="B140:E140"/>
    <mergeCell ref="F140:G140"/>
    <mergeCell ref="B142:H142"/>
    <mergeCell ref="B143:H143"/>
    <mergeCell ref="C149:G149"/>
    <mergeCell ref="B151:G151"/>
    <mergeCell ref="B153:H153"/>
    <mergeCell ref="F134:G134"/>
    <mergeCell ref="B135:B136"/>
    <mergeCell ref="C135:C136"/>
    <mergeCell ref="D135:E135"/>
    <mergeCell ref="F135:G135"/>
    <mergeCell ref="D136:E136"/>
    <mergeCell ref="F136:G136"/>
    <mergeCell ref="C137:G137"/>
    <mergeCell ref="C138:E138"/>
    <mergeCell ref="F138:G138"/>
    <mergeCell ref="B128:C128"/>
    <mergeCell ref="D128:H128"/>
    <mergeCell ref="C129:E129"/>
    <mergeCell ref="F129:G129"/>
    <mergeCell ref="B130:B131"/>
    <mergeCell ref="C130:E131"/>
    <mergeCell ref="H130:H131"/>
    <mergeCell ref="B132:B133"/>
    <mergeCell ref="C132:E133"/>
    <mergeCell ref="H132:H133"/>
    <mergeCell ref="C118:G118"/>
    <mergeCell ref="C119:G119"/>
    <mergeCell ref="C120:G120"/>
    <mergeCell ref="B121:G121"/>
    <mergeCell ref="B123:C123"/>
    <mergeCell ref="D123:H123"/>
    <mergeCell ref="C124:G124"/>
    <mergeCell ref="C125:G125"/>
    <mergeCell ref="B126:G126"/>
    <mergeCell ref="B109:G109"/>
    <mergeCell ref="B111:C111"/>
    <mergeCell ref="D111:H111"/>
    <mergeCell ref="C112:G112"/>
    <mergeCell ref="C113:G113"/>
    <mergeCell ref="B114:G114"/>
    <mergeCell ref="C115:G115"/>
    <mergeCell ref="B117:C117"/>
    <mergeCell ref="D117:H117"/>
    <mergeCell ref="B97:C97"/>
    <mergeCell ref="D97:H97"/>
    <mergeCell ref="B98:C98"/>
    <mergeCell ref="D98:H98"/>
    <mergeCell ref="C99:G99"/>
    <mergeCell ref="C100:E100"/>
    <mergeCell ref="F100:G100"/>
    <mergeCell ref="C101:G101"/>
    <mergeCell ref="C106:G106"/>
    <mergeCell ref="C88:G88"/>
    <mergeCell ref="C89:G89"/>
    <mergeCell ref="C90:G90"/>
    <mergeCell ref="C91:G91"/>
    <mergeCell ref="C92:G92"/>
    <mergeCell ref="C93:G93"/>
    <mergeCell ref="C94:G94"/>
    <mergeCell ref="B95:E95"/>
    <mergeCell ref="F95:G95"/>
    <mergeCell ref="B80:C80"/>
    <mergeCell ref="D80:H80"/>
    <mergeCell ref="C81:G81"/>
    <mergeCell ref="C82:G82"/>
    <mergeCell ref="C83:G83"/>
    <mergeCell ref="C84:G84"/>
    <mergeCell ref="B85:G85"/>
    <mergeCell ref="B87:C87"/>
    <mergeCell ref="D87:H87"/>
    <mergeCell ref="D74:E74"/>
    <mergeCell ref="F74:G74"/>
    <mergeCell ref="D75:E75"/>
    <mergeCell ref="F75:G75"/>
    <mergeCell ref="D76:E76"/>
    <mergeCell ref="F76:G76"/>
    <mergeCell ref="D77:E77"/>
    <mergeCell ref="F77:G77"/>
    <mergeCell ref="B78:G78"/>
    <mergeCell ref="B69:C69"/>
    <mergeCell ref="D69:H69"/>
    <mergeCell ref="C70:G70"/>
    <mergeCell ref="B71:B73"/>
    <mergeCell ref="C71:C73"/>
    <mergeCell ref="D71:E71"/>
    <mergeCell ref="F71:G71"/>
    <mergeCell ref="H71:H73"/>
    <mergeCell ref="D72:E72"/>
    <mergeCell ref="F72:G72"/>
    <mergeCell ref="D73:E73"/>
    <mergeCell ref="F73:G73"/>
    <mergeCell ref="C63:E63"/>
    <mergeCell ref="F63:G63"/>
    <mergeCell ref="C64:E64"/>
    <mergeCell ref="F64:G64"/>
    <mergeCell ref="C65:E65"/>
    <mergeCell ref="F65:G65"/>
    <mergeCell ref="B66:E66"/>
    <mergeCell ref="F66:G66"/>
    <mergeCell ref="C67:G67"/>
    <mergeCell ref="C58:E58"/>
    <mergeCell ref="F58:G58"/>
    <mergeCell ref="C59:E59"/>
    <mergeCell ref="F59:G59"/>
    <mergeCell ref="C60:E60"/>
    <mergeCell ref="F60:G60"/>
    <mergeCell ref="C61:E61"/>
    <mergeCell ref="F61:G61"/>
    <mergeCell ref="C62:E62"/>
    <mergeCell ref="F62:G62"/>
    <mergeCell ref="C50:G50"/>
    <mergeCell ref="C51:G51"/>
    <mergeCell ref="C52:G52"/>
    <mergeCell ref="C53:G53"/>
    <mergeCell ref="B54:G54"/>
    <mergeCell ref="B56:C56"/>
    <mergeCell ref="D56:H56"/>
    <mergeCell ref="C57:E57"/>
    <mergeCell ref="F57:G57"/>
    <mergeCell ref="C42:G42"/>
    <mergeCell ref="C43:G43"/>
    <mergeCell ref="C44:G44"/>
    <mergeCell ref="C45:F45"/>
    <mergeCell ref="B46:G46"/>
    <mergeCell ref="B48:C48"/>
    <mergeCell ref="D48:H48"/>
    <mergeCell ref="B49:C49"/>
    <mergeCell ref="D49:H49"/>
    <mergeCell ref="B37:B38"/>
    <mergeCell ref="C37:C38"/>
    <mergeCell ref="D37:E37"/>
    <mergeCell ref="F37:G37"/>
    <mergeCell ref="H37:H38"/>
    <mergeCell ref="D38:E38"/>
    <mergeCell ref="F38:G38"/>
    <mergeCell ref="B39:B41"/>
    <mergeCell ref="C39:D39"/>
    <mergeCell ref="F39:G39"/>
    <mergeCell ref="C40:D40"/>
    <mergeCell ref="F40:G40"/>
    <mergeCell ref="C41:D41"/>
    <mergeCell ref="F41:G41"/>
    <mergeCell ref="C30:H30"/>
    <mergeCell ref="B32:C32"/>
    <mergeCell ref="D32:H32"/>
    <mergeCell ref="C33:G33"/>
    <mergeCell ref="B35:B36"/>
    <mergeCell ref="C35:C36"/>
    <mergeCell ref="D35:E35"/>
    <mergeCell ref="F35:G35"/>
    <mergeCell ref="H35:H36"/>
    <mergeCell ref="D36:E36"/>
    <mergeCell ref="F36:G36"/>
    <mergeCell ref="B21:H21"/>
    <mergeCell ref="B22:H22"/>
    <mergeCell ref="B23:H23"/>
    <mergeCell ref="B24:H24"/>
    <mergeCell ref="C25:G25"/>
    <mergeCell ref="C26:G26"/>
    <mergeCell ref="C27:G27"/>
    <mergeCell ref="C28:G28"/>
    <mergeCell ref="C29:G29"/>
    <mergeCell ref="C14:G14"/>
    <mergeCell ref="B15:B20"/>
    <mergeCell ref="C15:D15"/>
    <mergeCell ref="F15:G15"/>
    <mergeCell ref="C16:D16"/>
    <mergeCell ref="F16:G16"/>
    <mergeCell ref="C17:D17"/>
    <mergeCell ref="F17:G17"/>
    <mergeCell ref="C18:D18"/>
    <mergeCell ref="F18:G18"/>
    <mergeCell ref="C19:D19"/>
    <mergeCell ref="F19:G19"/>
    <mergeCell ref="C20:D20"/>
    <mergeCell ref="F20:G20"/>
    <mergeCell ref="B9:E9"/>
    <mergeCell ref="F9:G9"/>
    <mergeCell ref="B10:H10"/>
    <mergeCell ref="C11:F11"/>
    <mergeCell ref="G11:H11"/>
    <mergeCell ref="C12:F12"/>
    <mergeCell ref="G12:H12"/>
    <mergeCell ref="C13:F13"/>
    <mergeCell ref="G13:H13"/>
    <mergeCell ref="B1:H1"/>
    <mergeCell ref="B2:H2"/>
    <mergeCell ref="B3:H3"/>
    <mergeCell ref="G4:H4"/>
    <mergeCell ref="C5:H5"/>
    <mergeCell ref="B6:H6"/>
    <mergeCell ref="B7:C7"/>
    <mergeCell ref="D7:H7"/>
    <mergeCell ref="B8:C8"/>
    <mergeCell ref="D8:H8"/>
  </mergeCells>
  <pageMargins left="0.51181102362204722" right="0.51181102362204722" top="0.78740157480314965" bottom="0.78740157480314965" header="0.51181102362204722" footer="0.51181102362204722"/>
  <pageSetup paperSize="9" scale="60" firstPageNumber="0"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dimension ref="A1:M38"/>
  <sheetViews>
    <sheetView topLeftCell="A4" workbookViewId="0">
      <selection activeCell="R12" sqref="R12"/>
    </sheetView>
  </sheetViews>
  <sheetFormatPr defaultRowHeight="15"/>
  <cols>
    <col min="2" max="2" width="17.140625" customWidth="1"/>
    <col min="3" max="3" width="11.42578125" customWidth="1"/>
    <col min="4" max="4" width="13.140625" customWidth="1"/>
    <col min="6" max="6" width="15.5703125" customWidth="1"/>
    <col min="7" max="7" width="12.140625" customWidth="1"/>
    <col min="8" max="8" width="12.28515625" customWidth="1"/>
  </cols>
  <sheetData>
    <row r="1" spans="1:13" ht="21">
      <c r="A1" s="6"/>
      <c r="B1" s="2"/>
      <c r="C1" s="3" t="s">
        <v>0</v>
      </c>
      <c r="D1" s="4"/>
      <c r="E1" s="5"/>
      <c r="F1" s="5"/>
      <c r="G1" s="6"/>
      <c r="H1" s="6"/>
      <c r="I1" s="6"/>
      <c r="J1" s="6"/>
    </row>
    <row r="2" spans="1:13" ht="18.75">
      <c r="A2" s="6"/>
      <c r="B2" s="2"/>
      <c r="C2" s="7" t="s">
        <v>1</v>
      </c>
      <c r="D2" s="4"/>
      <c r="E2" s="5"/>
      <c r="F2" s="5"/>
      <c r="G2" s="6"/>
      <c r="H2" s="6"/>
      <c r="I2" s="6"/>
      <c r="J2" s="6"/>
    </row>
    <row r="3" spans="1:13" ht="15.75">
      <c r="A3" s="6"/>
      <c r="B3" s="2"/>
      <c r="C3" s="8" t="s">
        <v>2</v>
      </c>
      <c r="D3" s="4"/>
      <c r="E3" s="5"/>
      <c r="F3" s="5"/>
      <c r="G3" s="6"/>
      <c r="H3" s="6"/>
      <c r="I3" s="6"/>
      <c r="J3" s="6"/>
    </row>
    <row r="4" spans="1:13" ht="15.75">
      <c r="A4" s="6"/>
      <c r="B4" s="2"/>
      <c r="C4" s="817" t="str">
        <f>'INFORMAÇÕES BÁSICAS'!$D$4</f>
        <v>Campus Jaguari</v>
      </c>
      <c r="D4" s="817"/>
      <c r="E4" s="817"/>
      <c r="F4" s="818"/>
      <c r="G4" s="818"/>
      <c r="H4" s="6"/>
      <c r="I4" s="6"/>
      <c r="J4" s="6"/>
    </row>
    <row r="5" spans="1:13" ht="23.25">
      <c r="A5" s="6"/>
      <c r="B5" s="2"/>
      <c r="C5" s="568" t="s">
        <v>343</v>
      </c>
      <c r="D5" s="568"/>
      <c r="E5" s="568"/>
      <c r="F5" s="568"/>
      <c r="G5" s="568"/>
      <c r="H5" s="568"/>
      <c r="I5" s="6"/>
      <c r="J5" s="6"/>
    </row>
    <row r="6" spans="1:13" ht="23.25">
      <c r="A6" s="6"/>
      <c r="B6" s="2"/>
      <c r="C6" s="568"/>
      <c r="D6" s="568"/>
      <c r="E6" s="568"/>
      <c r="F6" s="568"/>
      <c r="G6" s="568"/>
      <c r="H6" s="568"/>
      <c r="I6" s="6"/>
      <c r="J6" s="6"/>
    </row>
    <row r="7" spans="1:13" ht="23.25">
      <c r="A7" s="6"/>
      <c r="B7" s="2"/>
      <c r="C7" s="568"/>
      <c r="D7" s="568"/>
      <c r="E7" s="568"/>
      <c r="F7" s="568"/>
      <c r="G7" s="568"/>
      <c r="H7" s="568"/>
      <c r="I7" s="6"/>
      <c r="J7" s="6"/>
    </row>
    <row r="8" spans="1:13" ht="15.75">
      <c r="A8" s="6"/>
      <c r="B8" s="820" t="s">
        <v>281</v>
      </c>
      <c r="C8" s="821" t="str">
        <f>'INFORMAÇÕES BÁSICAS'!D24</f>
        <v>23238.000559/2019-70</v>
      </c>
      <c r="D8" s="821"/>
      <c r="E8" s="821"/>
      <c r="F8" s="822" t="s">
        <v>282</v>
      </c>
      <c r="G8" s="823" t="str">
        <f>'INFORMAÇÕES BÁSICAS'!D25</f>
        <v>10/2019</v>
      </c>
      <c r="H8" s="823"/>
      <c r="I8" s="6"/>
      <c r="J8" s="6"/>
    </row>
    <row r="9" spans="1:13">
      <c r="A9" s="6"/>
      <c r="B9" s="824"/>
      <c r="C9" s="824"/>
      <c r="D9" s="824"/>
      <c r="E9" s="824"/>
      <c r="F9" s="825"/>
      <c r="G9" s="825"/>
      <c r="H9" s="824"/>
      <c r="I9" s="6"/>
      <c r="J9" s="6"/>
    </row>
    <row r="10" spans="1:13" ht="63">
      <c r="A10" s="6"/>
      <c r="B10" s="826" t="s">
        <v>322</v>
      </c>
      <c r="C10" s="827" t="s">
        <v>284</v>
      </c>
      <c r="D10" s="827" t="s">
        <v>285</v>
      </c>
      <c r="E10" s="827" t="s">
        <v>323</v>
      </c>
      <c r="F10" s="828" t="s">
        <v>287</v>
      </c>
      <c r="G10" s="828" t="s">
        <v>288</v>
      </c>
      <c r="H10" s="829" t="s">
        <v>324</v>
      </c>
      <c r="I10" s="6"/>
      <c r="J10" s="836" t="s">
        <v>374</v>
      </c>
      <c r="K10" s="836"/>
      <c r="L10" s="836"/>
      <c r="M10" s="836"/>
    </row>
    <row r="11" spans="1:13" ht="150">
      <c r="A11" s="494"/>
      <c r="B11" s="526" t="s">
        <v>290</v>
      </c>
      <c r="C11" s="507" t="s">
        <v>284</v>
      </c>
      <c r="D11" s="830">
        <v>37.51</v>
      </c>
      <c r="E11" s="507">
        <v>15</v>
      </c>
      <c r="F11" s="509">
        <f t="shared" ref="F11:F26" si="0">E11*D11</f>
        <v>562.65</v>
      </c>
      <c r="G11" s="509">
        <f t="shared" ref="G11:G26" si="1">F11/30</f>
        <v>18.754999999999999</v>
      </c>
      <c r="H11" s="510" t="s">
        <v>292</v>
      </c>
      <c r="I11" s="6"/>
      <c r="J11" s="836"/>
      <c r="K11" s="836"/>
      <c r="L11" s="836"/>
      <c r="M11" s="836"/>
    </row>
    <row r="12" spans="1:13" ht="180">
      <c r="A12" s="494"/>
      <c r="B12" s="516" t="s">
        <v>325</v>
      </c>
      <c r="C12" s="512" t="s">
        <v>284</v>
      </c>
      <c r="D12" s="830">
        <v>138.33000000000001</v>
      </c>
      <c r="E12" s="512">
        <v>3</v>
      </c>
      <c r="F12" s="513">
        <f t="shared" si="0"/>
        <v>414.99</v>
      </c>
      <c r="G12" s="513">
        <f t="shared" si="1"/>
        <v>13.833</v>
      </c>
      <c r="H12" s="514" t="s">
        <v>294</v>
      </c>
      <c r="I12" s="6"/>
      <c r="J12" s="6"/>
    </row>
    <row r="13" spans="1:13" ht="150">
      <c r="A13" s="494"/>
      <c r="B13" s="515" t="s">
        <v>326</v>
      </c>
      <c r="C13" s="512" t="s">
        <v>284</v>
      </c>
      <c r="D13" s="830">
        <v>37.08</v>
      </c>
      <c r="E13" s="512">
        <v>15</v>
      </c>
      <c r="F13" s="513">
        <f t="shared" si="0"/>
        <v>556.19999999999993</v>
      </c>
      <c r="G13" s="513">
        <f t="shared" si="1"/>
        <v>18.54</v>
      </c>
      <c r="H13" s="514" t="s">
        <v>292</v>
      </c>
      <c r="I13" s="6"/>
      <c r="J13" s="6"/>
    </row>
    <row r="14" spans="1:13" ht="150">
      <c r="A14" s="494"/>
      <c r="B14" s="515" t="s">
        <v>327</v>
      </c>
      <c r="C14" s="512" t="s">
        <v>284</v>
      </c>
      <c r="D14" s="830">
        <v>29.36</v>
      </c>
      <c r="E14" s="512">
        <v>15</v>
      </c>
      <c r="F14" s="513">
        <f t="shared" si="0"/>
        <v>440.4</v>
      </c>
      <c r="G14" s="513">
        <f t="shared" si="1"/>
        <v>14.68</v>
      </c>
      <c r="H14" s="514" t="s">
        <v>292</v>
      </c>
      <c r="I14" s="6"/>
      <c r="J14" s="6"/>
    </row>
    <row r="15" spans="1:13" ht="30">
      <c r="A15" s="494"/>
      <c r="B15" s="516" t="s">
        <v>328</v>
      </c>
      <c r="C15" s="512" t="s">
        <v>284</v>
      </c>
      <c r="D15" s="830">
        <v>3.58</v>
      </c>
      <c r="E15" s="512">
        <v>1</v>
      </c>
      <c r="F15" s="513">
        <f t="shared" si="0"/>
        <v>3.58</v>
      </c>
      <c r="G15" s="513">
        <f t="shared" si="1"/>
        <v>0.11933333333333333</v>
      </c>
      <c r="H15" s="514" t="s">
        <v>329</v>
      </c>
      <c r="I15" s="6"/>
      <c r="J15" s="6"/>
    </row>
    <row r="16" spans="1:13" ht="105">
      <c r="A16" s="494"/>
      <c r="B16" s="526" t="s">
        <v>344</v>
      </c>
      <c r="C16" s="507" t="s">
        <v>331</v>
      </c>
      <c r="D16" s="830">
        <v>131.62</v>
      </c>
      <c r="E16" s="507">
        <v>5</v>
      </c>
      <c r="F16" s="509">
        <f t="shared" si="0"/>
        <v>658.1</v>
      </c>
      <c r="G16" s="509">
        <f t="shared" si="1"/>
        <v>21.936666666666667</v>
      </c>
      <c r="H16" s="510" t="s">
        <v>292</v>
      </c>
      <c r="I16" s="6"/>
      <c r="J16" s="6"/>
    </row>
    <row r="17" spans="1:10" ht="225">
      <c r="A17" s="494"/>
      <c r="B17" s="526" t="s">
        <v>330</v>
      </c>
      <c r="C17" s="507" t="s">
        <v>331</v>
      </c>
      <c r="D17" s="830">
        <v>2.94</v>
      </c>
      <c r="E17" s="507">
        <v>120</v>
      </c>
      <c r="F17" s="509">
        <f t="shared" si="0"/>
        <v>352.8</v>
      </c>
      <c r="G17" s="509">
        <f t="shared" si="1"/>
        <v>11.76</v>
      </c>
      <c r="H17" s="510" t="s">
        <v>292</v>
      </c>
      <c r="I17" s="6"/>
      <c r="J17" s="6"/>
    </row>
    <row r="18" spans="1:10" ht="315">
      <c r="A18" s="494"/>
      <c r="B18" s="516" t="s">
        <v>332</v>
      </c>
      <c r="C18" s="512" t="s">
        <v>284</v>
      </c>
      <c r="D18" s="831">
        <v>1.79</v>
      </c>
      <c r="E18" s="512">
        <v>30</v>
      </c>
      <c r="F18" s="513">
        <f t="shared" si="0"/>
        <v>53.7</v>
      </c>
      <c r="G18" s="513">
        <f t="shared" si="1"/>
        <v>1.79</v>
      </c>
      <c r="H18" s="514" t="s">
        <v>333</v>
      </c>
      <c r="I18" s="6"/>
      <c r="J18" s="6"/>
    </row>
    <row r="19" spans="1:10" ht="409.5">
      <c r="A19" s="494"/>
      <c r="B19" s="518" t="s">
        <v>334</v>
      </c>
      <c r="C19" s="512" t="s">
        <v>284</v>
      </c>
      <c r="D19" s="831">
        <v>13.75</v>
      </c>
      <c r="E19" s="512">
        <v>5</v>
      </c>
      <c r="F19" s="513">
        <f t="shared" si="0"/>
        <v>68.75</v>
      </c>
      <c r="G19" s="513">
        <f t="shared" si="1"/>
        <v>2.2916666666666665</v>
      </c>
      <c r="H19" s="514" t="s">
        <v>292</v>
      </c>
      <c r="I19" s="6"/>
      <c r="J19" s="6"/>
    </row>
    <row r="20" spans="1:10" ht="120">
      <c r="A20" s="494"/>
      <c r="B20" s="516" t="s">
        <v>335</v>
      </c>
      <c r="C20" s="512" t="s">
        <v>284</v>
      </c>
      <c r="D20" s="831">
        <v>1.2</v>
      </c>
      <c r="E20" s="512">
        <v>120</v>
      </c>
      <c r="F20" s="513">
        <f t="shared" si="0"/>
        <v>144</v>
      </c>
      <c r="G20" s="513">
        <f t="shared" si="1"/>
        <v>4.8</v>
      </c>
      <c r="H20" s="514" t="s">
        <v>336</v>
      </c>
      <c r="I20" s="6"/>
      <c r="J20" s="6"/>
    </row>
    <row r="21" spans="1:10" ht="409.5">
      <c r="A21" s="494"/>
      <c r="B21" s="516" t="s">
        <v>345</v>
      </c>
      <c r="C21" s="512" t="s">
        <v>284</v>
      </c>
      <c r="D21" s="831">
        <v>257.73</v>
      </c>
      <c r="E21" s="512">
        <v>1</v>
      </c>
      <c r="F21" s="513">
        <f t="shared" si="0"/>
        <v>257.73</v>
      </c>
      <c r="G21" s="513">
        <f t="shared" si="1"/>
        <v>8.5910000000000011</v>
      </c>
      <c r="H21" s="514" t="s">
        <v>294</v>
      </c>
      <c r="I21" s="6"/>
      <c r="J21" s="6"/>
    </row>
    <row r="22" spans="1:10" ht="165">
      <c r="A22" s="494"/>
      <c r="B22" s="516" t="s">
        <v>337</v>
      </c>
      <c r="C22" s="512" t="s">
        <v>331</v>
      </c>
      <c r="D22" s="831">
        <v>46.76</v>
      </c>
      <c r="E22" s="512">
        <v>15</v>
      </c>
      <c r="F22" s="513">
        <f t="shared" si="0"/>
        <v>701.4</v>
      </c>
      <c r="G22" s="513">
        <f t="shared" si="1"/>
        <v>23.38</v>
      </c>
      <c r="H22" s="514" t="s">
        <v>292</v>
      </c>
      <c r="I22" s="6"/>
      <c r="J22" s="6"/>
    </row>
    <row r="23" spans="1:10" ht="285">
      <c r="A23" s="494"/>
      <c r="B23" s="516" t="s">
        <v>346</v>
      </c>
      <c r="C23" s="512" t="s">
        <v>347</v>
      </c>
      <c r="D23" s="831">
        <v>49.5</v>
      </c>
      <c r="E23" s="512">
        <v>3</v>
      </c>
      <c r="F23" s="513">
        <f t="shared" si="0"/>
        <v>148.5</v>
      </c>
      <c r="G23" s="513">
        <f t="shared" si="1"/>
        <v>4.95</v>
      </c>
      <c r="H23" s="514" t="s">
        <v>294</v>
      </c>
      <c r="I23" s="6"/>
      <c r="J23" s="6"/>
    </row>
    <row r="24" spans="1:10" ht="180">
      <c r="A24" s="494"/>
      <c r="B24" s="516" t="s">
        <v>338</v>
      </c>
      <c r="C24" s="512" t="s">
        <v>284</v>
      </c>
      <c r="D24" s="831">
        <v>25.33</v>
      </c>
      <c r="E24" s="512">
        <v>3</v>
      </c>
      <c r="F24" s="513">
        <f t="shared" si="0"/>
        <v>75.989999999999995</v>
      </c>
      <c r="G24" s="513">
        <f t="shared" si="1"/>
        <v>2.5329999999999999</v>
      </c>
      <c r="H24" s="514" t="s">
        <v>294</v>
      </c>
      <c r="I24" s="6"/>
      <c r="J24" s="6"/>
    </row>
    <row r="25" spans="1:10" ht="252">
      <c r="A25" s="494"/>
      <c r="B25" s="819" t="s">
        <v>339</v>
      </c>
      <c r="C25" s="512" t="s">
        <v>284</v>
      </c>
      <c r="D25" s="831">
        <v>12.42</v>
      </c>
      <c r="E25" s="512">
        <v>3</v>
      </c>
      <c r="F25" s="513">
        <f t="shared" si="0"/>
        <v>37.26</v>
      </c>
      <c r="G25" s="513">
        <f t="shared" si="1"/>
        <v>1.242</v>
      </c>
      <c r="H25" s="514" t="s">
        <v>294</v>
      </c>
      <c r="I25" s="6"/>
      <c r="J25" s="6"/>
    </row>
    <row r="26" spans="1:10" ht="255">
      <c r="A26" s="494"/>
      <c r="B26" s="516" t="s">
        <v>340</v>
      </c>
      <c r="C26" s="512" t="s">
        <v>341</v>
      </c>
      <c r="D26" s="831">
        <v>8.6300000000000008</v>
      </c>
      <c r="E26" s="512">
        <v>30</v>
      </c>
      <c r="F26" s="513">
        <f t="shared" si="0"/>
        <v>258.90000000000003</v>
      </c>
      <c r="G26" s="513">
        <f t="shared" si="1"/>
        <v>8.6300000000000008</v>
      </c>
      <c r="H26" s="514" t="s">
        <v>333</v>
      </c>
      <c r="I26" s="6"/>
      <c r="J26" s="6"/>
    </row>
    <row r="27" spans="1:10" ht="15.75">
      <c r="A27" s="494"/>
      <c r="B27" s="495"/>
      <c r="C27" s="495"/>
      <c r="D27" s="495"/>
      <c r="E27" s="495"/>
      <c r="F27" s="496"/>
      <c r="G27" s="496"/>
      <c r="H27" s="495"/>
      <c r="I27" s="6"/>
      <c r="J27" s="6"/>
    </row>
    <row r="28" spans="1:10" ht="94.5">
      <c r="A28" s="494"/>
      <c r="B28" s="832" t="s">
        <v>342</v>
      </c>
      <c r="C28" s="832"/>
      <c r="D28" s="832"/>
      <c r="E28" s="832"/>
      <c r="F28" s="832"/>
      <c r="G28" s="833">
        <f>SUM(G11:G26)</f>
        <v>157.83166666666662</v>
      </c>
      <c r="H28" s="833"/>
      <c r="I28" s="6"/>
      <c r="J28" s="6"/>
    </row>
    <row r="29" spans="1:10" ht="105">
      <c r="A29" s="494"/>
      <c r="B29" s="834" t="s">
        <v>316</v>
      </c>
      <c r="C29" s="834"/>
      <c r="D29" s="834"/>
      <c r="E29" s="834"/>
      <c r="F29" s="834"/>
      <c r="G29" s="834"/>
      <c r="H29" s="834"/>
      <c r="I29" s="6"/>
      <c r="J29" s="6"/>
    </row>
    <row r="30" spans="1:10">
      <c r="A30" s="6"/>
      <c r="B30" s="835" t="s">
        <v>316</v>
      </c>
      <c r="C30" s="835"/>
      <c r="D30" s="835"/>
      <c r="E30" s="835"/>
      <c r="F30" s="835"/>
      <c r="G30" s="835"/>
      <c r="H30" s="835"/>
      <c r="I30" s="6"/>
      <c r="J30" s="6"/>
    </row>
    <row r="31" spans="1:10">
      <c r="A31" s="6"/>
      <c r="B31" s="6"/>
      <c r="C31" s="6"/>
      <c r="D31" s="6"/>
      <c r="E31" s="6"/>
      <c r="F31" s="6"/>
      <c r="G31" s="6"/>
      <c r="H31" s="6"/>
      <c r="I31" s="6"/>
      <c r="J31" s="6"/>
    </row>
    <row r="32" spans="1:10">
      <c r="A32" s="6"/>
      <c r="B32" s="6"/>
      <c r="C32" s="6"/>
      <c r="D32" s="6"/>
      <c r="E32" s="6"/>
      <c r="F32" s="6"/>
      <c r="G32" s="6"/>
      <c r="H32" s="6"/>
      <c r="I32" s="6"/>
      <c r="J32" s="6"/>
    </row>
    <row r="33" spans="1:10">
      <c r="A33" s="6"/>
      <c r="B33" s="6"/>
      <c r="C33" s="6"/>
      <c r="D33" s="6"/>
      <c r="E33" s="6"/>
      <c r="F33" s="6"/>
      <c r="G33" s="6"/>
      <c r="H33" s="6"/>
      <c r="I33" s="6"/>
      <c r="J33" s="6"/>
    </row>
    <row r="34" spans="1:10">
      <c r="A34" s="6"/>
      <c r="B34" s="6"/>
      <c r="C34" s="6"/>
      <c r="D34" s="6"/>
      <c r="E34" s="6"/>
      <c r="F34" s="6"/>
      <c r="G34" s="6"/>
      <c r="H34" s="6"/>
      <c r="I34" s="6"/>
      <c r="J34" s="6"/>
    </row>
    <row r="35" spans="1:10">
      <c r="A35" s="6"/>
      <c r="B35" s="6"/>
      <c r="C35" s="6"/>
      <c r="D35" s="6"/>
      <c r="E35" s="6"/>
      <c r="F35" s="6"/>
      <c r="G35" s="6"/>
      <c r="H35" s="6"/>
      <c r="I35" s="6"/>
      <c r="J35" s="6"/>
    </row>
    <row r="36" spans="1:10">
      <c r="A36" s="6"/>
      <c r="B36" s="6"/>
      <c r="C36" s="6"/>
      <c r="D36" s="6"/>
      <c r="E36" s="6"/>
      <c r="F36" s="6"/>
      <c r="G36" s="6"/>
      <c r="H36" s="6"/>
      <c r="I36" s="6"/>
      <c r="J36" s="6"/>
    </row>
    <row r="37" spans="1:10">
      <c r="A37" s="6"/>
      <c r="B37" s="6"/>
      <c r="C37" s="6"/>
      <c r="D37" s="6"/>
      <c r="E37" s="6"/>
      <c r="F37" s="6"/>
      <c r="G37" s="6"/>
      <c r="H37" s="6"/>
      <c r="I37" s="6"/>
      <c r="J37" s="6"/>
    </row>
    <row r="38" spans="1:10">
      <c r="A38" s="6"/>
      <c r="B38" s="6"/>
      <c r="C38" s="6"/>
      <c r="D38" s="6"/>
      <c r="E38" s="6"/>
      <c r="F38" s="6"/>
      <c r="G38" s="6"/>
      <c r="H38" s="6"/>
      <c r="I38" s="6"/>
      <c r="J38" s="6"/>
    </row>
  </sheetData>
  <sheetProtection password="8A37" sheet="1" objects="1" scenarios="1"/>
  <mergeCells count="1">
    <mergeCell ref="J10:M11"/>
  </mergeCells>
  <pageMargins left="0.51181102362204722" right="0.51181102362204722" top="0.78740157480314965" bottom="0.78740157480314965" header="0.31496062992125984" footer="0.31496062992125984"/>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dimension ref="A1:H28"/>
  <sheetViews>
    <sheetView topLeftCell="A33" workbookViewId="0">
      <selection activeCell="G1" sqref="G1"/>
    </sheetView>
  </sheetViews>
  <sheetFormatPr defaultRowHeight="15"/>
  <cols>
    <col min="3" max="3" width="12" customWidth="1"/>
    <col min="4" max="4" width="14" customWidth="1"/>
    <col min="6" max="6" width="13.140625" customWidth="1"/>
    <col min="7" max="7" width="12.140625" customWidth="1"/>
    <col min="8" max="8" width="12.85546875" customWidth="1"/>
  </cols>
  <sheetData>
    <row r="1" spans="1:8" ht="21">
      <c r="B1" s="1"/>
      <c r="C1" s="461" t="s">
        <v>0</v>
      </c>
      <c r="D1" s="462"/>
      <c r="E1" s="463"/>
      <c r="F1" s="463"/>
    </row>
    <row r="2" spans="1:8" ht="18.75">
      <c r="B2" s="1"/>
      <c r="C2" s="466" t="s">
        <v>1</v>
      </c>
      <c r="D2" s="462"/>
      <c r="E2" s="463"/>
      <c r="F2" s="463"/>
    </row>
    <row r="3" spans="1:8" ht="15.75">
      <c r="B3" s="1"/>
      <c r="C3" s="467" t="s">
        <v>2</v>
      </c>
      <c r="D3" s="462"/>
      <c r="E3" s="463"/>
      <c r="F3" s="463"/>
    </row>
    <row r="4" spans="1:8" ht="15.75">
      <c r="B4" s="1"/>
      <c r="C4" s="501" t="str">
        <f>'INFORMAÇÕES BÁSICAS'!$D$4</f>
        <v>Campus Jaguari</v>
      </c>
      <c r="D4" s="501"/>
      <c r="E4" s="501"/>
      <c r="F4" s="501"/>
      <c r="G4" s="501"/>
    </row>
    <row r="5" spans="1:8" ht="23.25">
      <c r="B5" s="1"/>
      <c r="C5" s="470" t="s">
        <v>348</v>
      </c>
      <c r="D5" s="470"/>
      <c r="E5" s="470"/>
      <c r="F5" s="470"/>
      <c r="G5" s="470"/>
      <c r="H5" s="470"/>
    </row>
    <row r="6" spans="1:8" ht="23.25">
      <c r="B6" s="1"/>
      <c r="C6" s="470"/>
      <c r="D6" s="470"/>
      <c r="E6" s="470"/>
      <c r="F6" s="470"/>
      <c r="G6" s="470"/>
      <c r="H6" s="470"/>
    </row>
    <row r="7" spans="1:8" ht="23.25">
      <c r="B7" s="1"/>
      <c r="C7" s="470"/>
      <c r="D7" s="470"/>
      <c r="E7" s="470"/>
      <c r="F7" s="470"/>
      <c r="G7" s="470"/>
      <c r="H7" s="470"/>
    </row>
    <row r="8" spans="1:8" ht="15.75">
      <c r="B8" s="472" t="s">
        <v>281</v>
      </c>
      <c r="C8" s="473" t="str">
        <f>'INFORMAÇÕES BÁSICAS'!D24</f>
        <v>23238.000559/2019-70</v>
      </c>
      <c r="D8" s="473"/>
      <c r="E8" s="473"/>
      <c r="F8" s="474" t="s">
        <v>282</v>
      </c>
      <c r="G8" s="475" t="str">
        <f>'INFORMAÇÕES BÁSICAS'!D25</f>
        <v>10/2019</v>
      </c>
      <c r="H8" s="475"/>
    </row>
    <row r="9" spans="1:8">
      <c r="F9" s="465"/>
      <c r="G9" s="465"/>
    </row>
    <row r="10" spans="1:8" ht="94.5">
      <c r="B10" s="476" t="s">
        <v>322</v>
      </c>
      <c r="C10" s="477" t="s">
        <v>284</v>
      </c>
      <c r="D10" s="477" t="s">
        <v>285</v>
      </c>
      <c r="E10" s="503" t="s">
        <v>323</v>
      </c>
      <c r="F10" s="504" t="s">
        <v>287</v>
      </c>
      <c r="G10" s="504" t="s">
        <v>288</v>
      </c>
      <c r="H10" s="505" t="s">
        <v>324</v>
      </c>
    </row>
    <row r="11" spans="1:8" ht="300">
      <c r="A11" s="502"/>
      <c r="B11" s="506" t="s">
        <v>290</v>
      </c>
      <c r="C11" s="507" t="s">
        <v>284</v>
      </c>
      <c r="D11" s="508">
        <v>37.51</v>
      </c>
      <c r="E11" s="507">
        <v>15</v>
      </c>
      <c r="F11" s="509">
        <f t="shared" ref="F11:F24" si="0">E11*D11</f>
        <v>562.65</v>
      </c>
      <c r="G11" s="509">
        <f t="shared" ref="G11:G24" si="1">F11/30</f>
        <v>18.754999999999999</v>
      </c>
      <c r="H11" s="510" t="s">
        <v>292</v>
      </c>
    </row>
    <row r="12" spans="1:8" ht="375">
      <c r="A12" s="502"/>
      <c r="B12" s="511" t="s">
        <v>325</v>
      </c>
      <c r="C12" s="512" t="s">
        <v>284</v>
      </c>
      <c r="D12" s="508">
        <v>138.33000000000001</v>
      </c>
      <c r="E12" s="512">
        <v>3</v>
      </c>
      <c r="F12" s="513">
        <f t="shared" si="0"/>
        <v>414.99</v>
      </c>
      <c r="G12" s="513">
        <f t="shared" si="1"/>
        <v>13.833</v>
      </c>
      <c r="H12" s="514" t="s">
        <v>294</v>
      </c>
    </row>
    <row r="13" spans="1:8" ht="300">
      <c r="A13" s="502"/>
      <c r="B13" s="515" t="s">
        <v>326</v>
      </c>
      <c r="C13" s="512" t="s">
        <v>284</v>
      </c>
      <c r="D13" s="508">
        <v>37.08</v>
      </c>
      <c r="E13" s="512">
        <v>15</v>
      </c>
      <c r="F13" s="513">
        <f t="shared" si="0"/>
        <v>556.19999999999993</v>
      </c>
      <c r="G13" s="513">
        <f t="shared" si="1"/>
        <v>18.54</v>
      </c>
      <c r="H13" s="514" t="s">
        <v>292</v>
      </c>
    </row>
    <row r="14" spans="1:8" ht="300">
      <c r="A14" s="502"/>
      <c r="B14" s="515" t="s">
        <v>327</v>
      </c>
      <c r="C14" s="512" t="s">
        <v>284</v>
      </c>
      <c r="D14" s="508">
        <v>29.36</v>
      </c>
      <c r="E14" s="512">
        <v>15</v>
      </c>
      <c r="F14" s="513">
        <f t="shared" si="0"/>
        <v>440.4</v>
      </c>
      <c r="G14" s="513">
        <f t="shared" si="1"/>
        <v>14.68</v>
      </c>
      <c r="H14" s="514" t="s">
        <v>292</v>
      </c>
    </row>
    <row r="15" spans="1:8" ht="60">
      <c r="A15" s="502"/>
      <c r="B15" s="516" t="s">
        <v>328</v>
      </c>
      <c r="C15" s="512" t="s">
        <v>284</v>
      </c>
      <c r="D15" s="508">
        <v>3.58</v>
      </c>
      <c r="E15" s="512">
        <v>1</v>
      </c>
      <c r="F15" s="513">
        <f t="shared" si="0"/>
        <v>3.58</v>
      </c>
      <c r="G15" s="513">
        <f t="shared" si="1"/>
        <v>0.11933333333333333</v>
      </c>
      <c r="H15" s="514" t="s">
        <v>329</v>
      </c>
    </row>
    <row r="16" spans="1:8" ht="375">
      <c r="A16" s="502"/>
      <c r="B16" s="506" t="s">
        <v>330</v>
      </c>
      <c r="C16" s="507" t="s">
        <v>331</v>
      </c>
      <c r="D16" s="508">
        <v>2.94</v>
      </c>
      <c r="E16" s="507">
        <v>120</v>
      </c>
      <c r="F16" s="509">
        <f t="shared" si="0"/>
        <v>352.8</v>
      </c>
      <c r="G16" s="509">
        <f t="shared" si="1"/>
        <v>11.76</v>
      </c>
      <c r="H16" s="510" t="s">
        <v>292</v>
      </c>
    </row>
    <row r="17" spans="1:8" ht="409.5">
      <c r="A17" s="502"/>
      <c r="B17" s="511" t="s">
        <v>332</v>
      </c>
      <c r="C17" s="512" t="s">
        <v>284</v>
      </c>
      <c r="D17" s="517">
        <v>1.79</v>
      </c>
      <c r="E17" s="512">
        <v>30</v>
      </c>
      <c r="F17" s="513">
        <f t="shared" si="0"/>
        <v>53.7</v>
      </c>
      <c r="G17" s="513">
        <f t="shared" si="1"/>
        <v>1.79</v>
      </c>
      <c r="H17" s="514" t="s">
        <v>333</v>
      </c>
    </row>
    <row r="18" spans="1:8" ht="409.5">
      <c r="A18" s="502"/>
      <c r="B18" s="518" t="s">
        <v>334</v>
      </c>
      <c r="C18" s="512" t="s">
        <v>284</v>
      </c>
      <c r="D18" s="517">
        <v>13.75</v>
      </c>
      <c r="E18" s="512">
        <v>5</v>
      </c>
      <c r="F18" s="513">
        <f t="shared" si="0"/>
        <v>68.75</v>
      </c>
      <c r="G18" s="513">
        <f t="shared" si="1"/>
        <v>2.2916666666666665</v>
      </c>
      <c r="H18" s="514" t="s">
        <v>292</v>
      </c>
    </row>
    <row r="19" spans="1:8" ht="255">
      <c r="A19" s="502"/>
      <c r="B19" s="516" t="s">
        <v>335</v>
      </c>
      <c r="C19" s="512" t="s">
        <v>284</v>
      </c>
      <c r="D19" s="517">
        <v>1.2</v>
      </c>
      <c r="E19" s="512">
        <v>120</v>
      </c>
      <c r="F19" s="513">
        <f t="shared" si="0"/>
        <v>144</v>
      </c>
      <c r="G19" s="513">
        <f t="shared" si="1"/>
        <v>4.8</v>
      </c>
      <c r="H19" s="514" t="s">
        <v>336</v>
      </c>
    </row>
    <row r="20" spans="1:8" ht="409.5">
      <c r="A20" s="502"/>
      <c r="B20" s="516" t="s">
        <v>345</v>
      </c>
      <c r="C20" s="512" t="s">
        <v>284</v>
      </c>
      <c r="D20" s="517">
        <v>257.73</v>
      </c>
      <c r="E20" s="512">
        <v>1</v>
      </c>
      <c r="F20" s="513">
        <f t="shared" si="0"/>
        <v>257.73</v>
      </c>
      <c r="G20" s="513">
        <f t="shared" si="1"/>
        <v>8.5910000000000011</v>
      </c>
      <c r="H20" s="514" t="s">
        <v>294</v>
      </c>
    </row>
    <row r="21" spans="1:8" ht="315">
      <c r="A21" s="502"/>
      <c r="B21" s="516" t="s">
        <v>337</v>
      </c>
      <c r="C21" s="512" t="s">
        <v>331</v>
      </c>
      <c r="D21" s="517">
        <v>46.76</v>
      </c>
      <c r="E21" s="512">
        <v>15</v>
      </c>
      <c r="F21" s="513">
        <f t="shared" si="0"/>
        <v>701.4</v>
      </c>
      <c r="G21" s="513">
        <f t="shared" si="1"/>
        <v>23.38</v>
      </c>
      <c r="H21" s="514" t="s">
        <v>292</v>
      </c>
    </row>
    <row r="22" spans="1:8" ht="375">
      <c r="A22" s="502"/>
      <c r="B22" s="516" t="s">
        <v>338</v>
      </c>
      <c r="C22" s="512" t="s">
        <v>284</v>
      </c>
      <c r="D22" s="517">
        <v>25.33</v>
      </c>
      <c r="E22" s="512">
        <v>3</v>
      </c>
      <c r="F22" s="513">
        <f t="shared" si="0"/>
        <v>75.989999999999995</v>
      </c>
      <c r="G22" s="513">
        <f t="shared" si="1"/>
        <v>2.5329999999999999</v>
      </c>
      <c r="H22" s="514" t="s">
        <v>294</v>
      </c>
    </row>
    <row r="23" spans="1:8" ht="409.5">
      <c r="A23" s="502"/>
      <c r="B23" s="519" t="s">
        <v>339</v>
      </c>
      <c r="C23" s="512" t="s">
        <v>284</v>
      </c>
      <c r="D23" s="517">
        <v>12.42</v>
      </c>
      <c r="E23" s="512">
        <v>3</v>
      </c>
      <c r="F23" s="513">
        <f t="shared" si="0"/>
        <v>37.26</v>
      </c>
      <c r="G23" s="513">
        <f t="shared" si="1"/>
        <v>1.242</v>
      </c>
      <c r="H23" s="514" t="s">
        <v>294</v>
      </c>
    </row>
    <row r="24" spans="1:8" ht="409.5">
      <c r="A24" s="502"/>
      <c r="B24" s="516" t="s">
        <v>340</v>
      </c>
      <c r="C24" s="512" t="s">
        <v>341</v>
      </c>
      <c r="D24" s="517">
        <v>8.6300000000000008</v>
      </c>
      <c r="E24" s="512">
        <v>30</v>
      </c>
      <c r="F24" s="513">
        <f t="shared" si="0"/>
        <v>258.90000000000003</v>
      </c>
      <c r="G24" s="513">
        <f t="shared" si="1"/>
        <v>8.6300000000000008</v>
      </c>
      <c r="H24" s="514" t="s">
        <v>333</v>
      </c>
    </row>
    <row r="25" spans="1:8" ht="15.75">
      <c r="A25" s="502"/>
      <c r="B25" s="520"/>
      <c r="C25" s="520"/>
      <c r="D25" s="520"/>
      <c r="E25" s="520"/>
      <c r="F25" s="521"/>
      <c r="G25" s="521"/>
      <c r="H25" s="520"/>
    </row>
    <row r="26" spans="1:8" ht="173.25">
      <c r="A26" s="502"/>
      <c r="B26" s="522" t="s">
        <v>342</v>
      </c>
      <c r="C26" s="522"/>
      <c r="D26" s="522"/>
      <c r="E26" s="522"/>
      <c r="F26" s="522"/>
      <c r="G26" s="523">
        <f>SUM(G11:G24)</f>
        <v>130.94499999999999</v>
      </c>
      <c r="H26" s="523"/>
    </row>
    <row r="27" spans="1:8" ht="210">
      <c r="A27" s="502"/>
      <c r="B27" s="524" t="s">
        <v>316</v>
      </c>
      <c r="C27" s="524"/>
      <c r="D27" s="524"/>
      <c r="E27" s="524"/>
      <c r="F27" s="524"/>
      <c r="G27" s="524"/>
      <c r="H27" s="524"/>
    </row>
    <row r="28" spans="1:8">
      <c r="B28" s="525" t="s">
        <v>316</v>
      </c>
      <c r="C28" s="525"/>
      <c r="D28" s="525"/>
      <c r="E28" s="525"/>
      <c r="F28" s="525"/>
      <c r="G28" s="525"/>
      <c r="H28" s="525"/>
    </row>
  </sheetData>
  <pageMargins left="0.511811024" right="0.511811024" top="0.78740157499999996" bottom="0.78740157499999996" header="0.31496062000000002" footer="0.3149606200000000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sheetPr>
    <tabColor rgb="FFC00000"/>
  </sheetPr>
  <dimension ref="A1:AMK38"/>
  <sheetViews>
    <sheetView showGridLines="0" tabSelected="1" topLeftCell="A16" zoomScaleNormal="100" workbookViewId="0">
      <selection activeCell="B22" sqref="B22:F22"/>
    </sheetView>
  </sheetViews>
  <sheetFormatPr defaultRowHeight="15"/>
  <cols>
    <col min="1" max="1" width="9.140625" style="527"/>
    <col min="2" max="2" width="29.7109375" style="527"/>
    <col min="3" max="6" width="21.7109375" style="527"/>
    <col min="7" max="260" width="9.140625" style="527"/>
    <col min="261" max="261" width="12" style="527"/>
    <col min="262" max="516" width="9.140625" style="527"/>
    <col min="517" max="517" width="12" style="527"/>
    <col min="518" max="772" width="9.140625" style="527"/>
    <col min="773" max="773" width="12" style="527"/>
    <col min="774" max="1025" width="9.140625" style="527"/>
  </cols>
  <sheetData>
    <row r="1" spans="2:11" ht="21">
      <c r="B1" s="1"/>
      <c r="C1" s="785" t="s">
        <v>0</v>
      </c>
      <c r="D1" s="785"/>
      <c r="E1" s="785"/>
      <c r="F1" s="785"/>
      <c r="G1" s="461"/>
      <c r="H1" s="461"/>
      <c r="I1" s="461"/>
      <c r="J1" s="461"/>
      <c r="K1" s="461"/>
    </row>
    <row r="2" spans="2:11" ht="18.75">
      <c r="B2" s="1"/>
      <c r="C2" s="786" t="s">
        <v>1</v>
      </c>
      <c r="D2" s="786"/>
      <c r="E2" s="786"/>
      <c r="F2" s="786"/>
      <c r="G2" s="466"/>
      <c r="H2" s="466"/>
      <c r="I2" s="466"/>
      <c r="J2" s="466"/>
      <c r="K2" s="466"/>
    </row>
    <row r="3" spans="2:11" ht="15.75">
      <c r="B3" s="1"/>
      <c r="C3" s="787" t="s">
        <v>2</v>
      </c>
      <c r="D3" s="787"/>
      <c r="E3" s="787"/>
      <c r="F3" s="787"/>
      <c r="G3" s="467"/>
      <c r="H3" s="467"/>
      <c r="I3" s="467"/>
      <c r="J3" s="467"/>
      <c r="K3" s="467"/>
    </row>
    <row r="4" spans="2:11" ht="15.75">
      <c r="B4" s="1"/>
      <c r="C4" s="788" t="str">
        <f>'INFORMAÇÕES BÁSICAS'!$D$4</f>
        <v>Campus Jaguari</v>
      </c>
      <c r="D4" s="788"/>
      <c r="E4" s="788"/>
      <c r="F4" s="788"/>
      <c r="G4" s="468"/>
      <c r="H4" s="468"/>
      <c r="I4" s="468"/>
      <c r="J4" s="468"/>
      <c r="K4" s="468"/>
    </row>
    <row r="5" spans="2:11" ht="15" customHeight="1">
      <c r="B5" s="1"/>
      <c r="C5" s="789" t="s">
        <v>349</v>
      </c>
      <c r="D5" s="789"/>
      <c r="E5" s="789"/>
      <c r="F5" s="789"/>
      <c r="G5" s="528"/>
      <c r="H5" s="528"/>
      <c r="I5" s="528"/>
      <c r="J5" s="528"/>
      <c r="K5" s="528"/>
    </row>
    <row r="6" spans="2:11" ht="15" customHeight="1">
      <c r="B6" s="1"/>
      <c r="C6" s="789"/>
      <c r="D6" s="789"/>
      <c r="E6" s="789"/>
      <c r="F6" s="789"/>
      <c r="G6" s="528"/>
      <c r="H6" s="528"/>
      <c r="I6" s="528"/>
      <c r="J6" s="528"/>
      <c r="K6" s="528"/>
    </row>
    <row r="7" spans="2:11">
      <c r="B7"/>
      <c r="C7"/>
      <c r="D7"/>
      <c r="E7"/>
      <c r="F7"/>
    </row>
    <row r="8" spans="2:11" ht="16.5" customHeight="1">
      <c r="B8" s="529" t="s">
        <v>281</v>
      </c>
      <c r="C8" s="790" t="str">
        <f>'INFORMAÇÕES BÁSICAS'!D24</f>
        <v>23238.000559/2019-70</v>
      </c>
      <c r="D8" s="790"/>
      <c r="E8" s="530" t="s">
        <v>282</v>
      </c>
      <c r="F8" s="531" t="str">
        <f>'INFORMAÇÕES BÁSICAS'!D25</f>
        <v>10/2019</v>
      </c>
    </row>
    <row r="9" spans="2:11">
      <c r="B9"/>
      <c r="C9"/>
      <c r="D9"/>
      <c r="E9"/>
      <c r="F9"/>
    </row>
    <row r="10" spans="2:11" ht="64.5" customHeight="1">
      <c r="B10" s="532" t="s">
        <v>350</v>
      </c>
      <c r="C10" s="533" t="s">
        <v>351</v>
      </c>
      <c r="D10" s="533" t="s">
        <v>352</v>
      </c>
      <c r="E10" s="533" t="s">
        <v>353</v>
      </c>
      <c r="F10" s="534" t="s">
        <v>354</v>
      </c>
    </row>
    <row r="11" spans="2:11" ht="39.75" customHeight="1">
      <c r="B11" s="535" t="str">
        <f>'INFORMAÇÕES BÁSICAS'!$B$35</f>
        <v>ELETRECISTA</v>
      </c>
      <c r="C11" s="536">
        <f>ELETRECISTA!$H$161</f>
        <v>4605.7689720909093</v>
      </c>
      <c r="D11" s="539">
        <f>'INFORMAÇÕES BÁSICAS'!$D$55</f>
        <v>1</v>
      </c>
      <c r="E11" s="536">
        <f>ELETRECISTA!$H$162</f>
        <v>138173.06916272728</v>
      </c>
      <c r="F11" s="538">
        <f t="shared" ref="F11:F12" si="0">E11*D11</f>
        <v>138173.06916272728</v>
      </c>
    </row>
    <row r="12" spans="2:11" ht="35.25" customHeight="1">
      <c r="B12" s="535" t="str">
        <f>'INFORMAÇÕES BÁSICAS'!$B$56</f>
        <v>PEDREIRO</v>
      </c>
      <c r="C12" s="536">
        <f>PEDREIRO!$H$161</f>
        <v>4056.3594421212119</v>
      </c>
      <c r="D12" s="537">
        <f>'INFORMAÇÕES BÁSICAS'!$D$76</f>
        <v>1</v>
      </c>
      <c r="E12" s="536">
        <f>PEDREIRO!$H$162</f>
        <v>121690.78326363636</v>
      </c>
      <c r="F12" s="538">
        <f t="shared" si="0"/>
        <v>121690.78326363636</v>
      </c>
    </row>
    <row r="13" spans="2:11" ht="47.25" hidden="1" customHeight="1">
      <c r="B13" s="540" t="e">
        <f>#REF!</f>
        <v>#REF!</v>
      </c>
      <c r="C13" s="541" t="e">
        <f>#REF!</f>
        <v>#REF!</v>
      </c>
      <c r="D13" s="542" t="e">
        <f>#REF!</f>
        <v>#REF!</v>
      </c>
      <c r="E13" s="541" t="e">
        <f>#REF!</f>
        <v>#REF!</v>
      </c>
      <c r="F13" s="543" t="e">
        <f>#REF!</f>
        <v>#REF!</v>
      </c>
    </row>
    <row r="14" spans="2:11" ht="18.75" hidden="1">
      <c r="B14" s="544">
        <f>'INFORMAÇÕES BÁSICAS'!$F$20</f>
        <v>0</v>
      </c>
      <c r="C14" s="545" t="e">
        <f>'MOTORISTA D - 40 HORAS'!$F$161</f>
        <v>#REF!</v>
      </c>
      <c r="D14" s="546" t="e">
        <f>'MOTORISTA D - 40 HORAS'!$G$161</f>
        <v>#REF!</v>
      </c>
      <c r="E14" s="545" t="e">
        <f>'MOTORISTA D - 40 HORAS'!$H$162</f>
        <v>#REF!</v>
      </c>
      <c r="F14" s="547" t="e">
        <f>'MOTORISTA D - 40 HORAS'!$H$167</f>
        <v>#REF!</v>
      </c>
    </row>
    <row r="15" spans="2:11" ht="53.25" hidden="1" customHeight="1">
      <c r="B15" s="548">
        <f>'INFORMAÇÕES BÁSICAS'!$G$20</f>
        <v>0</v>
      </c>
      <c r="C15" s="549" t="e">
        <f>'VIGILANCIA DESARMADA 12X36 NOTU'!$F$161</f>
        <v>#REF!</v>
      </c>
      <c r="D15" s="550" t="e">
        <f>'VIGILANCIA DESARMADA 12X36 NOTU'!$G$161</f>
        <v>#REF!</v>
      </c>
      <c r="E15" s="549" t="e">
        <f>'VIGILANCIA DESARMADA 12X36 NOTU'!$H$162</f>
        <v>#REF!</v>
      </c>
      <c r="F15" s="551" t="e">
        <f>'VIGILANCIA DESARMADA 12X36 NOTU'!$H$167</f>
        <v>#REF!</v>
      </c>
    </row>
    <row r="16" spans="2:11" ht="53.25" customHeight="1">
      <c r="B16" s="791" t="s">
        <v>355</v>
      </c>
      <c r="C16" s="791"/>
      <c r="D16" s="791"/>
      <c r="E16" s="791"/>
      <c r="F16" s="552">
        <f>SUM(F11:F12)</f>
        <v>259863.85242636362</v>
      </c>
    </row>
    <row r="17" spans="2:6" ht="30" customHeight="1">
      <c r="B17" s="553"/>
      <c r="C17" s="554"/>
      <c r="D17" s="555"/>
      <c r="E17" s="554"/>
      <c r="F17" s="554"/>
    </row>
    <row r="18" spans="2:6" ht="15" customHeight="1">
      <c r="B18" s="556" t="s">
        <v>356</v>
      </c>
      <c r="C18" s="557"/>
      <c r="D18" s="557"/>
      <c r="E18" s="557"/>
      <c r="F18" s="557"/>
    </row>
    <row r="19" spans="2:6" ht="15" customHeight="1">
      <c r="B19" s="792" t="s">
        <v>357</v>
      </c>
      <c r="C19" s="792"/>
      <c r="D19" s="792"/>
      <c r="E19" s="792"/>
      <c r="F19" s="792"/>
    </row>
    <row r="20" spans="2:6" ht="47.25" customHeight="1">
      <c r="B20" s="793" t="s">
        <v>358</v>
      </c>
      <c r="C20" s="793"/>
      <c r="D20" s="793"/>
      <c r="E20" s="793"/>
      <c r="F20" s="793"/>
    </row>
    <row r="21" spans="2:6" ht="30.75" customHeight="1">
      <c r="B21" s="793" t="s">
        <v>359</v>
      </c>
      <c r="C21" s="793"/>
      <c r="D21" s="793"/>
      <c r="E21" s="793"/>
      <c r="F21" s="793"/>
    </row>
    <row r="22" spans="2:6" ht="30" customHeight="1">
      <c r="B22" s="793" t="s">
        <v>360</v>
      </c>
      <c r="C22" s="793"/>
      <c r="D22" s="793"/>
      <c r="E22" s="793"/>
      <c r="F22" s="793"/>
    </row>
    <row r="23" spans="2:6" ht="30.75" customHeight="1">
      <c r="B23" s="793" t="s">
        <v>361</v>
      </c>
      <c r="C23" s="793"/>
      <c r="D23" s="793"/>
      <c r="E23" s="793"/>
      <c r="F23" s="793"/>
    </row>
    <row r="24" spans="2:6" ht="15" customHeight="1">
      <c r="B24" s="792" t="s">
        <v>362</v>
      </c>
      <c r="C24" s="792"/>
      <c r="D24" s="792"/>
      <c r="E24" s="792"/>
      <c r="F24" s="792"/>
    </row>
    <row r="25" spans="2:6" ht="15" customHeight="1">
      <c r="B25" s="557"/>
      <c r="C25" s="557"/>
      <c r="D25" s="557"/>
      <c r="E25" s="557"/>
      <c r="F25" s="557"/>
    </row>
    <row r="26" spans="2:6" ht="15" customHeight="1">
      <c r="B26" s="558" t="s">
        <v>5</v>
      </c>
      <c r="C26" s="794" t="str">
        <f>'INFORMAÇÕES BÁSICAS'!D7</f>
        <v>xxxxxxxx</v>
      </c>
      <c r="D26" s="794"/>
      <c r="E26" s="794"/>
      <c r="F26" s="794"/>
    </row>
    <row r="27" spans="2:6" ht="15" customHeight="1">
      <c r="B27" s="558" t="s">
        <v>8</v>
      </c>
      <c r="C27" s="794" t="str">
        <f>'INFORMAÇÕES BÁSICAS'!D8</f>
        <v>xxxxxxxxxx</v>
      </c>
      <c r="D27" s="794"/>
      <c r="E27" s="557"/>
      <c r="F27" s="557"/>
    </row>
    <row r="28" spans="2:6" ht="15" customHeight="1">
      <c r="B28" s="557"/>
      <c r="C28" s="557"/>
      <c r="D28" s="557"/>
      <c r="E28" s="557"/>
      <c r="F28" s="559"/>
    </row>
    <row r="29" spans="2:6" ht="15" customHeight="1">
      <c r="B29" s="557"/>
      <c r="C29" s="557"/>
      <c r="D29" s="557"/>
      <c r="E29" s="557"/>
      <c r="F29" s="557"/>
    </row>
    <row r="30" spans="2:6" ht="15" customHeight="1">
      <c r="B30" s="557"/>
      <c r="C30" s="557"/>
      <c r="D30" s="557"/>
      <c r="E30" s="795" t="s">
        <v>363</v>
      </c>
      <c r="F30" s="795"/>
    </row>
    <row r="31" spans="2:6" ht="15" customHeight="1">
      <c r="B31" s="560"/>
      <c r="C31" s="560"/>
      <c r="D31" s="560"/>
      <c r="E31" s="796"/>
      <c r="F31" s="796"/>
    </row>
    <row r="32" spans="2:6" ht="15" customHeight="1">
      <c r="B32"/>
      <c r="C32" s="561"/>
      <c r="D32" s="562"/>
      <c r="E32" s="796"/>
      <c r="F32" s="796"/>
    </row>
    <row r="33" spans="2:6" ht="15" customHeight="1">
      <c r="B33" s="797" t="s">
        <v>364</v>
      </c>
      <c r="C33" s="797"/>
      <c r="D33" s="797"/>
      <c r="E33" s="796"/>
      <c r="F33" s="796"/>
    </row>
    <row r="34" spans="2:6" ht="15" customHeight="1">
      <c r="B34" s="563" t="s">
        <v>365</v>
      </c>
      <c r="C34" s="798">
        <f>'INFORMAÇÕES BÁSICAS'!D9</f>
        <v>0</v>
      </c>
      <c r="D34" s="798"/>
      <c r="E34" s="796"/>
      <c r="F34" s="796"/>
    </row>
    <row r="35" spans="2:6" ht="15" customHeight="1">
      <c r="B35" s="563" t="s">
        <v>366</v>
      </c>
      <c r="C35" s="798">
        <f>'INFORMAÇÕES BÁSICAS'!$D$10</f>
        <v>0</v>
      </c>
      <c r="D35" s="798"/>
      <c r="E35" s="796"/>
      <c r="F35" s="796"/>
    </row>
    <row r="36" spans="2:6" ht="15" customHeight="1">
      <c r="B36" s="563" t="s">
        <v>367</v>
      </c>
      <c r="C36" s="798">
        <f>'INFORMAÇÕES BÁSICAS'!D11</f>
        <v>0</v>
      </c>
      <c r="D36" s="798"/>
      <c r="E36" s="796"/>
      <c r="F36" s="796"/>
    </row>
    <row r="37" spans="2:6" ht="15" customHeight="1">
      <c r="B37" s="563" t="s">
        <v>368</v>
      </c>
      <c r="C37" s="798" t="str">
        <f>'INFORMAÇÕES BÁSICAS'!D28</f>
        <v>Campus Jaguari</v>
      </c>
      <c r="D37" s="798"/>
      <c r="E37" s="796"/>
      <c r="F37" s="796"/>
    </row>
    <row r="38" spans="2:6" ht="15" customHeight="1">
      <c r="B38" s="563" t="s">
        <v>369</v>
      </c>
      <c r="C38" s="799">
        <f>'INFORMAÇÕES BÁSICAS'!D27</f>
        <v>43592</v>
      </c>
      <c r="D38" s="799"/>
      <c r="E38" s="796"/>
      <c r="F38" s="796"/>
    </row>
  </sheetData>
  <sheetProtection password="8A37" sheet="1" objects="1" scenarios="1"/>
  <mergeCells count="23">
    <mergeCell ref="E30:F30"/>
    <mergeCell ref="E31:F38"/>
    <mergeCell ref="B33:D33"/>
    <mergeCell ref="C34:D34"/>
    <mergeCell ref="C35:D35"/>
    <mergeCell ref="C36:D36"/>
    <mergeCell ref="C37:D37"/>
    <mergeCell ref="C38:D38"/>
    <mergeCell ref="B22:F22"/>
    <mergeCell ref="B23:F23"/>
    <mergeCell ref="B24:F24"/>
    <mergeCell ref="C26:F26"/>
    <mergeCell ref="C27:D27"/>
    <mergeCell ref="C8:D8"/>
    <mergeCell ref="B16:E16"/>
    <mergeCell ref="B19:F19"/>
    <mergeCell ref="B20:F20"/>
    <mergeCell ref="B21:F21"/>
    <mergeCell ref="C1:F1"/>
    <mergeCell ref="C2:F2"/>
    <mergeCell ref="C3:F3"/>
    <mergeCell ref="C4:F4"/>
    <mergeCell ref="C5:F6"/>
  </mergeCells>
  <printOptions horizontalCentered="1"/>
  <pageMargins left="0" right="0" top="0" bottom="0" header="0.51181102362204722" footer="0.51181102362204722"/>
  <pageSetup paperSize="9" scale="70" firstPageNumber="0"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TotalTime>820</TotalTime>
  <Application>Microsoft Excel</Application>
  <DocSecurity>0</DocSecurity>
  <ScaleCrop>false</ScaleCrop>
  <HeadingPairs>
    <vt:vector size="4" baseType="variant">
      <vt:variant>
        <vt:lpstr>Planilhas</vt:lpstr>
      </vt:variant>
      <vt:variant>
        <vt:i4>9</vt:i4>
      </vt:variant>
      <vt:variant>
        <vt:lpstr>Intervalos nomeados</vt:lpstr>
      </vt:variant>
      <vt:variant>
        <vt:i4>4</vt:i4>
      </vt:variant>
    </vt:vector>
  </HeadingPairs>
  <TitlesOfParts>
    <vt:vector size="13" baseType="lpstr">
      <vt:lpstr>INFORMAÇÕES BÁSICAS</vt:lpstr>
      <vt:lpstr>MOTORISTA D - 40 HORAS</vt:lpstr>
      <vt:lpstr>VIGILANCIA DESARMADA 12X36 NOTU</vt:lpstr>
      <vt:lpstr>UNIF E EQUIP DESARMADA</vt:lpstr>
      <vt:lpstr>ELETRECISTA</vt:lpstr>
      <vt:lpstr>PEDREIRO</vt:lpstr>
      <vt:lpstr>uniforme eletrecista</vt:lpstr>
      <vt:lpstr>uniforme pedreiro</vt:lpstr>
      <vt:lpstr>PROPOSTA FINAL</vt:lpstr>
      <vt:lpstr>'INFORMAÇÕES BÁSICAS'!Area_de_impressao</vt:lpstr>
      <vt:lpstr>'PROPOSTA FINAL'!Area_de_impressao</vt:lpstr>
      <vt:lpstr>'UNIF E EQUIP DESARMADA'!Area_de_impressao</vt:lpstr>
      <vt:lpstr>'VIGILANCIA DESARMADA 12X36 NOTU'!Area_de_impressao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abrondani</cp:lastModifiedBy>
  <cp:revision>1</cp:revision>
  <cp:lastPrinted>2019-06-11T13:50:01Z</cp:lastPrinted>
  <dcterms:created xsi:type="dcterms:W3CDTF">2013-09-30T16:27:09Z</dcterms:created>
  <dcterms:modified xsi:type="dcterms:W3CDTF">2019-09-23T11:52:51Z</dcterms:modified>
  <dc:language>pt-BR</dc:language>
</cp:coreProperties>
</file>