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e\Desktop\Vigilância\"/>
    </mc:Choice>
  </mc:AlternateContent>
  <xr:revisionPtr revIDLastSave="0" documentId="8_{F58C9480-4DE8-40F9-860E-D3333EAD1A9F}" xr6:coauthVersionLast="45" xr6:coauthVersionMax="45" xr10:uidLastSave="{00000000-0000-0000-0000-000000000000}"/>
  <bookViews>
    <workbookView xWindow="-120" yWindow="-120" windowWidth="21840" windowHeight="13140" tabRatio="999" xr2:uid="{00000000-000D-0000-FFFF-FFFF00000000}"/>
  </bookViews>
  <sheets>
    <sheet name="SAn DIURNO DESARMADO 12X36" sheetId="15" r:id="rId1"/>
    <sheet name="SAn NOTURNO ARMADO 12x36" sheetId="13" r:id="rId2"/>
    <sheet name="SAn UNIFORMES E EQUIPAMENTOS" sheetId="12" r:id="rId3"/>
    <sheet name="SAn RESUMO DA PROPOSTA" sheetId="6" r:id="rId4"/>
    <sheet name="SAn OBSERVAÇÕES" sheetId="14" r:id="rId5"/>
  </sheets>
  <definedNames>
    <definedName name="_xlnm.Print_Area" localSheetId="0">'SAn DIURNO DESARMADO 12X36'!$A$1:$G$178</definedName>
    <definedName name="_xlnm.Print_Area" localSheetId="1">'SAn NOTURNO ARMADO 12x36'!$A$1:$G$180</definedName>
    <definedName name="_xlnm.Print_Area" localSheetId="4">'SAn OBSERVAÇÕES'!$A$1:$J$101</definedName>
    <definedName name="_xlnm.Print_Area" localSheetId="3">'SAn RESUMO DA PROPOSTA'!$A$1:$I$44</definedName>
    <definedName name="_xlnm.Print_Area" localSheetId="2">'SAn UNIFORMES E EQUIPAMENTOS'!$A$1:$H$45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3" l="1"/>
  <c r="F3" i="13"/>
  <c r="B3" i="13"/>
  <c r="F7" i="6" l="1"/>
  <c r="F6" i="6"/>
  <c r="I15" i="6"/>
  <c r="H41" i="12"/>
  <c r="H29" i="12"/>
  <c r="H18" i="12"/>
  <c r="G43" i="13"/>
  <c r="F159" i="15" l="1"/>
  <c r="F158" i="15"/>
  <c r="G134" i="15"/>
  <c r="G139" i="15" s="1"/>
  <c r="G87" i="15"/>
  <c r="E76" i="15"/>
  <c r="E70" i="15"/>
  <c r="G43" i="15"/>
  <c r="G92" i="15" s="1"/>
  <c r="G30" i="15"/>
  <c r="G27" i="15"/>
  <c r="G33" i="15" s="1"/>
  <c r="E10" i="15"/>
  <c r="G8" i="15"/>
  <c r="B4" i="15"/>
  <c r="G34" i="15" l="1"/>
  <c r="G83" i="15"/>
  <c r="F157" i="15"/>
  <c r="G31" i="15"/>
  <c r="G49" i="15" s="1"/>
  <c r="G50" i="15" s="1"/>
  <c r="G35" i="15"/>
  <c r="G44" i="15" s="1"/>
  <c r="G32" i="15"/>
  <c r="G29" i="15"/>
  <c r="G28" i="15" s="1"/>
  <c r="G6" i="12"/>
  <c r="G7" i="12"/>
  <c r="G8" i="12"/>
  <c r="G9" i="12"/>
  <c r="G10" i="12"/>
  <c r="G11" i="12"/>
  <c r="G12" i="12"/>
  <c r="G5" i="12"/>
  <c r="G45" i="15" l="1"/>
  <c r="G46" i="15" s="1"/>
  <c r="E10" i="13"/>
  <c r="F161" i="13"/>
  <c r="F160" i="13"/>
  <c r="G48" i="15" l="1"/>
  <c r="F159" i="13"/>
  <c r="G89" i="13"/>
  <c r="E72" i="13"/>
  <c r="E78" i="13" s="1"/>
  <c r="G94" i="13"/>
  <c r="G30" i="13"/>
  <c r="G27" i="13"/>
  <c r="G8" i="13"/>
  <c r="B4" i="13"/>
  <c r="G60" i="15" l="1"/>
  <c r="G91" i="15"/>
  <c r="G94" i="15" s="1"/>
  <c r="G103" i="15" s="1"/>
  <c r="G59" i="15"/>
  <c r="G171" i="15"/>
  <c r="G52" i="15"/>
  <c r="B120" i="15"/>
  <c r="G112" i="15"/>
  <c r="G113" i="15" s="1"/>
  <c r="G31" i="13"/>
  <c r="G33" i="13"/>
  <c r="G44" i="13" s="1"/>
  <c r="G32" i="13"/>
  <c r="G34" i="13"/>
  <c r="G29" i="13"/>
  <c r="G28" i="13" s="1"/>
  <c r="G35" i="13"/>
  <c r="G46" i="13" s="1"/>
  <c r="G85" i="13"/>
  <c r="H31" i="12"/>
  <c r="H32" i="12"/>
  <c r="H33" i="12"/>
  <c r="H34" i="12"/>
  <c r="H35" i="12"/>
  <c r="H36" i="12"/>
  <c r="H37" i="12"/>
  <c r="H38" i="12"/>
  <c r="H39" i="12"/>
  <c r="H40" i="12"/>
  <c r="H42" i="12"/>
  <c r="H43" i="12"/>
  <c r="H30" i="12"/>
  <c r="H19" i="12"/>
  <c r="H20" i="12"/>
  <c r="H21" i="12"/>
  <c r="H22" i="12"/>
  <c r="H23" i="12"/>
  <c r="H6" i="12"/>
  <c r="H7" i="12"/>
  <c r="H8" i="12"/>
  <c r="H9" i="12"/>
  <c r="H10" i="12"/>
  <c r="H11" i="12"/>
  <c r="H12" i="12"/>
  <c r="H5" i="12"/>
  <c r="G61" i="15" l="1"/>
  <c r="G69" i="15" s="1"/>
  <c r="G109" i="15"/>
  <c r="G110" i="15" s="1"/>
  <c r="G111" i="15"/>
  <c r="G114" i="15"/>
  <c r="G71" i="15"/>
  <c r="H44" i="12"/>
  <c r="G148" i="13" s="1"/>
  <c r="H24" i="12"/>
  <c r="G146" i="15" s="1"/>
  <c r="H13" i="12"/>
  <c r="G145" i="15" s="1"/>
  <c r="G51" i="13"/>
  <c r="G52" i="13" s="1"/>
  <c r="G45" i="13"/>
  <c r="G47" i="13" s="1"/>
  <c r="G48" i="13" s="1"/>
  <c r="G50" i="13" s="1"/>
  <c r="G115" i="15" l="1"/>
  <c r="G173" i="15" s="1"/>
  <c r="G101" i="15"/>
  <c r="G72" i="15"/>
  <c r="G73" i="15"/>
  <c r="G75" i="15"/>
  <c r="G68" i="15"/>
  <c r="G70" i="15"/>
  <c r="G74" i="15"/>
  <c r="G148" i="15"/>
  <c r="G175" i="15" s="1"/>
  <c r="G114" i="13"/>
  <c r="G115" i="13" s="1"/>
  <c r="G147" i="13"/>
  <c r="G150" i="13" s="1"/>
  <c r="G177" i="13" s="1"/>
  <c r="B122" i="13"/>
  <c r="G173" i="13"/>
  <c r="G62" i="13"/>
  <c r="G93" i="13"/>
  <c r="G96" i="13" s="1"/>
  <c r="G105" i="13" s="1"/>
  <c r="G61" i="13"/>
  <c r="G54" i="13"/>
  <c r="G136" i="13"/>
  <c r="G141" i="13" s="1"/>
  <c r="F120" i="15" l="1"/>
  <c r="G76" i="15"/>
  <c r="G102" i="15"/>
  <c r="G104" i="15" s="1"/>
  <c r="G128" i="15"/>
  <c r="G111" i="13"/>
  <c r="G112" i="13" s="1"/>
  <c r="G116" i="13"/>
  <c r="G172" i="15"/>
  <c r="D120" i="15"/>
  <c r="G120" i="15" s="1"/>
  <c r="G63" i="13"/>
  <c r="G103" i="13" s="1"/>
  <c r="G113" i="13"/>
  <c r="G70" i="13" l="1"/>
  <c r="G72" i="13"/>
  <c r="G75" i="13"/>
  <c r="G74" i="13"/>
  <c r="G73" i="13"/>
  <c r="G76" i="13"/>
  <c r="G77" i="13"/>
  <c r="G71" i="13"/>
  <c r="G126" i="15"/>
  <c r="G127" i="15"/>
  <c r="G129" i="15"/>
  <c r="G125" i="15"/>
  <c r="G124" i="15"/>
  <c r="G121" i="15"/>
  <c r="G117" i="13"/>
  <c r="G175" i="13" s="1"/>
  <c r="G78" i="13" l="1"/>
  <c r="G104" i="13" s="1"/>
  <c r="G106" i="13" s="1"/>
  <c r="D122" i="13" s="1"/>
  <c r="G130" i="15"/>
  <c r="G138" i="15" s="1"/>
  <c r="G140" i="15" s="1"/>
  <c r="F122" i="13"/>
  <c r="G174" i="13"/>
  <c r="G122" i="13" l="1"/>
  <c r="G127" i="13" s="1"/>
  <c r="G130" i="13"/>
  <c r="G174" i="15"/>
  <c r="G176" i="15" s="1"/>
  <c r="G152" i="15"/>
  <c r="G153" i="15" s="1"/>
  <c r="G129" i="13"/>
  <c r="G128" i="13" l="1"/>
  <c r="G123" i="13"/>
  <c r="G131" i="13"/>
  <c r="G126" i="13"/>
  <c r="G132" i="13" s="1"/>
  <c r="G140" i="13" s="1"/>
  <c r="G142" i="13" s="1"/>
  <c r="G176" i="13" s="1"/>
  <c r="G178" i="13" s="1"/>
  <c r="G154" i="15"/>
  <c r="G155" i="15" s="1"/>
  <c r="G156" i="15" s="1"/>
  <c r="G159" i="15" l="1"/>
  <c r="G158" i="15"/>
  <c r="G161" i="15"/>
  <c r="G154" i="13"/>
  <c r="G155" i="13" s="1"/>
  <c r="G156" i="13" s="1"/>
  <c r="G157" i="13" s="1"/>
  <c r="G158" i="13" s="1"/>
  <c r="G157" i="15" l="1"/>
  <c r="G162" i="15" s="1"/>
  <c r="G177" i="15" s="1"/>
  <c r="G178" i="15" s="1"/>
  <c r="D6" i="6" s="1"/>
  <c r="I16" i="6" s="1"/>
  <c r="I18" i="6" s="1"/>
  <c r="G160" i="13"/>
  <c r="G163" i="13"/>
  <c r="G161" i="13"/>
  <c r="G159" i="13" l="1"/>
  <c r="G164" i="13" s="1"/>
  <c r="G179" i="13" s="1"/>
  <c r="G180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1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2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9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1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2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4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8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3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4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1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3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4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6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60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<sst xmlns="http://schemas.openxmlformats.org/spreadsheetml/2006/main" count="787" uniqueCount="378">
  <si>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</si>
  <si>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</si>
  <si>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</si>
  <si>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</si>
  <si>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</si>
  <si>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</si>
  <si>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</si>
  <si>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</si>
  <si>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</si>
  <si>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</si>
  <si>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</si>
  <si>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</si>
  <si>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</si>
  <si>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</si>
  <si>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</si>
  <si>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</si>
  <si>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</si>
  <si>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</si>
  <si>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</si>
  <si>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</si>
  <si>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</si>
  <si>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</si>
  <si>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</si>
  <si>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</si>
  <si>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</si>
  <si>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</si>
  <si>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</si>
  <si>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</si>
  <si>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</si>
  <si>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</si>
  <si>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</si>
  <si>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</si>
  <si>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</si>
  <si>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</si>
  <si>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</si>
  <si>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</si>
  <si>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</si>
  <si>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</si>
  <si>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</si>
  <si>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</si>
  <si>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</si>
  <si>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</si>
  <si>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</si>
  <si>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</si>
  <si>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</si>
  <si>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</si>
  <si>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</si>
  <si>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</si>
  <si>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</si>
  <si>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</si>
  <si>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</si>
  <si>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</si>
  <si>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</si>
  <si>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 xml:space="preserve">13º (decimo terceiro) Salário, Férias e Adicional de Férias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</si>
  <si>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</si>
  <si>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</si>
  <si>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</si>
  <si>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</si>
  <si>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</si>
  <si>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</si>
  <si>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</si>
  <si>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</si>
  <si>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</si>
  <si>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</si>
  <si>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</si>
  <si>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</si>
  <si>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</si>
  <si>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</si>
  <si>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</si>
  <si>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</si>
  <si>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</si>
  <si>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</si>
  <si>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</si>
  <si>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</si>
  <si>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</si>
  <si>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</si>
  <si>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</si>
  <si>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</si>
  <si>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</si>
  <si>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</si>
  <si>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</si>
  <si>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</si>
  <si>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</si>
  <si>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</si>
  <si>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</si>
  <si>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</si>
  <si>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</si>
  <si>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</si>
  <si>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</si>
  <si>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</si>
  <si>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</si>
  <si>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</si>
  <si>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</si>
  <si>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</si>
  <si>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</si>
  <si>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</si>
  <si>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</si>
  <si>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</si>
  <si>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</si>
  <si>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</si>
  <si>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</si>
  <si>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</si>
  <si>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</si>
  <si>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</si>
  <si>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</si>
  <si>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</si>
  <si>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</si>
  <si>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</si>
  <si>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</si>
  <si>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</si>
  <si>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</si>
  <si>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</si>
  <si>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</si>
  <si>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</si>
  <si>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</si>
  <si>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</si>
  <si>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</si>
  <si>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</si>
  <si>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</si>
  <si>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</si>
  <si>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</si>
  <si>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</si>
  <si>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</si>
  <si>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</si>
  <si>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</si>
  <si>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</si>
  <si>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</si>
  <si>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</si>
  <si>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</si>
  <si>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</si>
  <si>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</si>
  <si>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</si>
  <si>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</si>
  <si>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</si>
  <si>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</si>
  <si>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</si>
  <si>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</si>
  <si>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</si>
  <si>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</si>
  <si>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</si>
  <si>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</si>
  <si>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</si>
  <si>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</si>
  <si>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</si>
  <si>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</si>
  <si>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</si>
  <si>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</si>
  <si>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</si>
  <si>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</si>
  <si>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</si>
  <si>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</si>
  <si>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</si>
  <si>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</si>
  <si>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</si>
  <si>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</si>
  <si>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</si>
  <si>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</si>
  <si>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</si>
  <si>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</si>
  <si>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</si>
  <si>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</si>
  <si>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</si>
  <si>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</si>
  <si>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</si>
  <si>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</si>
  <si>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</si>
  <si>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</si>
  <si>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</si>
  <si>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</si>
  <si>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</si>
  <si>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</si>
  <si>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</si>
  <si>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</si>
  <si>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</si>
  <si>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</si>
  <si>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</si>
  <si>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</si>
  <si>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</si>
  <si>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</si>
  <si>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</si>
  <si>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</si>
  <si>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</si>
  <si>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</si>
  <si>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</si>
  <si>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</si>
  <si>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</si>
  <si>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</si>
  <si>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</si>
  <si>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</si>
  <si>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</si>
  <si>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</si>
  <si>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</si>
  <si>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</si>
  <si>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</si>
  <si>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</si>
  <si>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</si>
  <si>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</si>
  <si>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</si>
  <si>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</si>
  <si>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</si>
  <si>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</si>
  <si>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</si>
  <si>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</si>
  <si>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</si>
  <si>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</si>
  <si>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</si>
  <si>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</si>
  <si>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</si>
  <si>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</si>
  <si>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</si>
  <si>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</si>
  <si>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</si>
  <si>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</si>
  <si>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</si>
  <si>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</si>
  <si>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</si>
  <si>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</si>
  <si>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</si>
  <si>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</si>
  <si>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</si>
  <si>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</si>
  <si>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</si>
  <si>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</si>
  <si>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</si>
  <si>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</si>
  <si>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</si>
  <si>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</si>
  <si>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</si>
  <si>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</si>
  <si>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</si>
  <si>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</si>
  <si>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</si>
  <si>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</si>
  <si>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</si>
  <si>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</si>
  <si>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</si>
  <si>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</si>
  <si>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</si>
  <si>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</si>
  <si>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</si>
  <si>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</si>
  <si>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</si>
  <si>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</si>
  <si>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</si>
  <si>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</si>
  <si>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</si>
  <si>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</si>
  <si>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</si>
  <si>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</si>
  <si>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</si>
  <si>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</si>
  <si>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</si>
  <si>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</si>
  <si>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</si>
  <si>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</si>
  <si>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</si>
  <si>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</si>
  <si>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</si>
  <si>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</si>
  <si>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</si>
  <si>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</si>
  <si>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</si>
  <si>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</si>
  <si>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</si>
  <si>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</si>
  <si>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</si>
  <si>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</si>
  <si>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</si>
  <si>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</si>
  <si>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</si>
  <si>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</si>
  <si>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</si>
  <si>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</si>
  <si>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</si>
  <si>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</si>
  <si>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</si>
  <si>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</si>
  <si>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</si>
  <si>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</si>
  <si>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</si>
  <si>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</si>
  <si>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</si>
  <si>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</si>
  <si>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</si>
  <si>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</si>
  <si>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</si>
  <si>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</si>
  <si>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</si>
  <si>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</si>
  <si>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</si>
  <si>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</si>
  <si>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</si>
  <si>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</si>
  <si>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</si>
  <si>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</si>
  <si>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</si>
  <si>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</si>
  <si>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</si>
  <si>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</si>
  <si>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</si>
  <si>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</si>
  <si>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</si>
  <si>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</si>
  <si>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</si>
  <si>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</si>
  <si>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</si>
  <si>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</si>
  <si>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</si>
  <si>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</si>
  <si>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</si>
  <si>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</si>
  <si>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</si>
  <si>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</si>
  <si>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</si>
  <si>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</si>
  <si>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</si>
  <si>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</si>
  <si>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</si>
  <si>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</si>
  <si>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</si>
  <si>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</si>
  <si>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</si>
  <si>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</si>
  <si>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</si>
  <si>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</si>
  <si>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</si>
  <si>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</si>
  <si>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</si>
  <si>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</si>
  <si>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</si>
  <si>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</si>
  <si>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</si>
  <si>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</si>
  <si>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</si>
  <si>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</si>
  <si>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t xml:space="preserve">13º (décimo terceiro) Salário, Férias e Adicional de Férias 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</si>
  <si>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</si>
  <si>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</si>
  <si>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</si>
  <si>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</si>
  <si>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</si>
  <si>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</si>
  <si>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</si>
  <si>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</si>
  <si>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</si>
  <si>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</si>
  <si>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</si>
  <si>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</si>
  <si>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</si>
  <si>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</si>
  <si>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SANTO ÂNGELO</t>
    </r>
  </si>
  <si>
    <t>Santo Ângelo/RS</t>
  </si>
  <si>
    <t>Rádio de Comunicação + Bateria reserva e carregador</t>
  </si>
  <si>
    <t>Kit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</si>
  <si>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</si>
  <si>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</si>
  <si>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</si>
  <si>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</si>
  <si>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</si>
  <si>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</si>
  <si>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</si>
  <si>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</si>
  <si>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</si>
  <si>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</si>
  <si>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</si>
  <si>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Nº 3.814, de 08 de fevereiro de 2019 - MUNICÍPIO DE SANTO ÂNGELO/RS</t>
  </si>
  <si>
    <t>LEI Nº 4.162/2017 - MUNICÍPIO DE SANTO ÂNGELO/RS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</si>
  <si>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</si>
  <si>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</si>
  <si>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</si>
  <si>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10.662072/0010-49</t>
  </si>
  <si>
    <t>02/2021</t>
  </si>
  <si>
    <t>I - QUADRO RESUMO DO VALOR MENSAL DOS SERVIÇOS</t>
  </si>
  <si>
    <t>II - QUADRO DEMONSTRATIVO - VALOR GLOBAL DA PROPOSTA</t>
  </si>
  <si>
    <t>VALOR MENSAL DOS SERVIÇOS (I + II)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</si>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</sst>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1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3">
    <xf numFmtId="0" fontId="0" fillId="0" borderId="0" xfId="0"/>
    <xf numFmtId="0" fontId="15" fillId="0" borderId="0" xfId="0" applyFont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5" xfId="0" applyFont="1" applyBorder="1" applyAlignment="1" applyProtection="1">
      <alignment horizontal="center" wrapText="1"/>
    </xf>
    <xf numFmtId="168" fontId="20" fillId="5" borderId="5" xfId="0" applyNumberFormat="1" applyFont="1" applyFill="1" applyBorder="1" applyAlignment="1" applyProtection="1">
      <alignment vertical="center"/>
    </xf>
    <xf numFmtId="0" fontId="20" fillId="9" borderId="5" xfId="0" applyFont="1" applyFill="1" applyBorder="1" applyAlignment="1" applyProtection="1">
      <alignment vertical="center"/>
    </xf>
    <xf numFmtId="0" fontId="20" fillId="14" borderId="5" xfId="0" applyFont="1" applyFill="1" applyBorder="1" applyAlignment="1" applyProtection="1">
      <alignment horizontal="center" vertical="center"/>
    </xf>
    <xf numFmtId="0" fontId="20" fillId="2" borderId="5" xfId="0" applyFont="1" applyFill="1" applyBorder="1" applyAlignment="1" applyProtection="1">
      <alignment horizontal="center" vertical="center"/>
    </xf>
    <xf numFmtId="0" fontId="27" fillId="15" borderId="5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5" xfId="0" applyNumberFormat="1" applyFont="1" applyBorder="1" applyAlignment="1" applyProtection="1">
      <alignment horizontal="center" vertical="center"/>
      <protection locked="0"/>
    </xf>
    <xf numFmtId="0" fontId="20" fillId="6" borderId="5" xfId="0" applyFont="1" applyFill="1" applyBorder="1" applyAlignment="1" applyProtection="1">
      <alignment horizontal="center"/>
    </xf>
    <xf numFmtId="0" fontId="26" fillId="0" borderId="5" xfId="0" applyFont="1" applyBorder="1" applyAlignment="1" applyProtection="1">
      <alignment horizontal="center" vertical="center"/>
    </xf>
    <xf numFmtId="44" fontId="33" fillId="0" borderId="5" xfId="0" applyNumberFormat="1" applyFont="1" applyBorder="1" applyAlignment="1" applyProtection="1">
      <alignment vertical="center"/>
      <protection locked="0"/>
    </xf>
    <xf numFmtId="44" fontId="20" fillId="16" borderId="5" xfId="0" applyNumberFormat="1" applyFont="1" applyFill="1" applyBorder="1" applyAlignment="1" applyProtection="1">
      <alignment horizontal="distributed" vertical="center"/>
    </xf>
    <xf numFmtId="165" fontId="5" fillId="2" borderId="5" xfId="2" applyNumberFormat="1" applyFont="1" applyFill="1" applyBorder="1" applyProtection="1"/>
    <xf numFmtId="165" fontId="5" fillId="6" borderId="5" xfId="2" applyNumberFormat="1" applyFont="1" applyFill="1" applyBorder="1" applyProtection="1"/>
    <xf numFmtId="168" fontId="6" fillId="0" borderId="5" xfId="0" applyNumberFormat="1" applyFont="1" applyFill="1" applyBorder="1" applyAlignment="1" applyProtection="1">
      <alignment horizontal="center" vertical="center"/>
    </xf>
    <xf numFmtId="165" fontId="6" fillId="0" borderId="5" xfId="0" applyNumberFormat="1" applyFont="1" applyFill="1" applyBorder="1" applyAlignment="1" applyProtection="1">
      <alignment horizontal="center" vertical="center"/>
    </xf>
    <xf numFmtId="165" fontId="6" fillId="15" borderId="5" xfId="0" applyNumberFormat="1" applyFont="1" applyFill="1" applyBorder="1" applyAlignment="1" applyProtection="1">
      <alignment horizontal="center" vertical="center"/>
    </xf>
    <xf numFmtId="165" fontId="6" fillId="2" borderId="5" xfId="0" applyNumberFormat="1" applyFont="1" applyFill="1" applyBorder="1" applyAlignment="1" applyProtection="1">
      <alignment horizontal="center" vertical="center"/>
    </xf>
    <xf numFmtId="0" fontId="20" fillId="13" borderId="5" xfId="0" applyFont="1" applyFill="1" applyBorder="1" applyAlignment="1" applyProtection="1">
      <alignment horizontal="center" vertical="center"/>
    </xf>
    <xf numFmtId="165" fontId="20" fillId="15" borderId="5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5" xfId="0" applyFont="1" applyFill="1" applyBorder="1" applyAlignment="1">
      <alignment horizontal="center"/>
    </xf>
    <xf numFmtId="44" fontId="26" fillId="2" borderId="5" xfId="0" applyNumberFormat="1" applyFont="1" applyFill="1" applyBorder="1" applyAlignment="1">
      <alignment horizontal="center"/>
    </xf>
    <xf numFmtId="44" fontId="26" fillId="6" borderId="5" xfId="0" applyNumberFormat="1" applyFont="1" applyFill="1" applyBorder="1" applyProtection="1"/>
    <xf numFmtId="0" fontId="28" fillId="0" borderId="5" xfId="0" applyFont="1" applyBorder="1" applyAlignment="1" applyProtection="1">
      <alignment horizontal="center"/>
    </xf>
    <xf numFmtId="0" fontId="6" fillId="15" borderId="5" xfId="0" applyFont="1" applyFill="1" applyBorder="1" applyAlignment="1" applyProtection="1">
      <alignment horizontal="center" vertical="center"/>
    </xf>
    <xf numFmtId="1" fontId="10" fillId="0" borderId="5" xfId="15" applyNumberFormat="1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horizontal="center" vertical="center"/>
      <protection locked="0"/>
    </xf>
    <xf numFmtId="1" fontId="10" fillId="0" borderId="5" xfId="15" applyNumberFormat="1" applyFont="1" applyBorder="1" applyAlignment="1" applyProtection="1">
      <alignment horizontal="center" vertical="center"/>
    </xf>
    <xf numFmtId="0" fontId="10" fillId="0" borderId="5" xfId="15" applyNumberFormat="1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horizontal="center" vertical="center"/>
    </xf>
    <xf numFmtId="0" fontId="10" fillId="0" borderId="5" xfId="15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vertical="center"/>
      <protection locked="0"/>
    </xf>
    <xf numFmtId="175" fontId="11" fillId="18" borderId="5" xfId="16" applyNumberFormat="1" applyFont="1" applyFill="1" applyBorder="1" applyAlignment="1" applyProtection="1">
      <alignment horizontal="center" vertical="center"/>
    </xf>
    <xf numFmtId="175" fontId="11" fillId="19" borderId="5" xfId="16" applyNumberFormat="1" applyFont="1" applyFill="1" applyBorder="1" applyAlignment="1" applyProtection="1">
      <alignment horizontal="center" vertical="center"/>
    </xf>
    <xf numFmtId="1" fontId="18" fillId="0" borderId="5" xfId="15" applyNumberFormat="1" applyFont="1" applyFill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protection locked="0"/>
    </xf>
    <xf numFmtId="1" fontId="18" fillId="0" borderId="5" xfId="15" applyNumberFormat="1" applyFont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alignment horizontal="center" vertical="center"/>
      <protection locked="0"/>
    </xf>
    <xf numFmtId="175" fontId="18" fillId="0" borderId="5" xfId="16" applyNumberFormat="1" applyFont="1" applyFill="1" applyBorder="1" applyAlignment="1" applyProtection="1">
      <alignment vertical="center"/>
      <protection locked="0"/>
    </xf>
    <xf numFmtId="165" fontId="2" fillId="0" borderId="5" xfId="2" applyNumberFormat="1" applyBorder="1" applyProtection="1"/>
    <xf numFmtId="1" fontId="18" fillId="0" borderId="5" xfId="15" applyNumberFormat="1" applyFont="1" applyFill="1" applyBorder="1" applyAlignment="1" applyProtection="1">
      <alignment horizontal="center" vertical="center" wrapText="1"/>
    </xf>
    <xf numFmtId="0" fontId="38" fillId="0" borderId="5" xfId="0" applyFont="1" applyFill="1" applyBorder="1" applyAlignment="1">
      <alignment horizontal="center" wrapText="1"/>
    </xf>
    <xf numFmtId="0" fontId="38" fillId="0" borderId="5" xfId="0" applyFont="1" applyFill="1" applyBorder="1" applyAlignment="1" applyProtection="1">
      <alignment horizontal="center" vertical="center"/>
      <protection locked="0"/>
    </xf>
    <xf numFmtId="0" fontId="38" fillId="0" borderId="5" xfId="0" applyFont="1" applyFill="1" applyBorder="1" applyAlignment="1" applyProtection="1">
      <alignment horizontal="center" vertical="center" wrapText="1"/>
      <protection locked="0"/>
    </xf>
    <xf numFmtId="0" fontId="38" fillId="0" borderId="5" xfId="15" applyFont="1" applyFill="1" applyBorder="1" applyAlignment="1" applyProtection="1">
      <alignment horizontal="center" vertical="center" wrapText="1"/>
    </xf>
    <xf numFmtId="0" fontId="38" fillId="0" borderId="5" xfId="15" applyFont="1" applyFill="1" applyBorder="1" applyAlignment="1" applyProtection="1">
      <alignment horizontal="center" vertical="center"/>
    </xf>
    <xf numFmtId="0" fontId="38" fillId="0" borderId="5" xfId="15" applyFont="1" applyFill="1" applyBorder="1" applyAlignment="1" applyProtection="1">
      <alignment horizontal="center"/>
    </xf>
    <xf numFmtId="0" fontId="26" fillId="14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 applyProtection="1">
      <alignment horizontal="center" vertical="center"/>
    </xf>
    <xf numFmtId="44" fontId="31" fillId="0" borderId="5" xfId="0" applyNumberFormat="1" applyFont="1" applyFill="1" applyBorder="1" applyAlignment="1" applyProtection="1">
      <alignment vertical="center"/>
    </xf>
    <xf numFmtId="0" fontId="26" fillId="14" borderId="5" xfId="0" applyFont="1" applyFill="1" applyBorder="1" applyAlignment="1" applyProtection="1">
      <alignment horizontal="center" vertical="center"/>
    </xf>
    <xf numFmtId="44" fontId="26" fillId="2" borderId="5" xfId="0" applyNumberFormat="1" applyFont="1" applyFill="1" applyBorder="1" applyAlignment="1">
      <alignment horizontal="center" vertical="center"/>
    </xf>
    <xf numFmtId="0" fontId="26" fillId="15" borderId="5" xfId="0" applyFont="1" applyFill="1" applyBorder="1" applyAlignment="1" applyProtection="1">
      <alignment horizontal="center" vertical="center"/>
    </xf>
    <xf numFmtId="10" fontId="25" fillId="15" borderId="5" xfId="0" applyNumberFormat="1" applyFont="1" applyFill="1" applyBorder="1" applyAlignment="1">
      <alignment horizontal="center" vertical="center"/>
    </xf>
    <xf numFmtId="44" fontId="31" fillId="0" borderId="5" xfId="0" applyNumberFormat="1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vertical="center"/>
    </xf>
    <xf numFmtId="10" fontId="11" fillId="0" borderId="5" xfId="3" applyNumberFormat="1" applyFont="1" applyBorder="1" applyAlignment="1">
      <alignment horizontal="center" vertical="center"/>
    </xf>
    <xf numFmtId="165" fontId="26" fillId="15" borderId="5" xfId="0" applyNumberFormat="1" applyFont="1" applyFill="1" applyBorder="1" applyAlignment="1">
      <alignment vertical="center"/>
    </xf>
    <xf numFmtId="165" fontId="26" fillId="6" borderId="5" xfId="0" applyNumberFormat="1" applyFont="1" applyFill="1" applyBorder="1" applyAlignment="1" applyProtection="1">
      <alignment vertical="center"/>
    </xf>
    <xf numFmtId="44" fontId="26" fillId="15" borderId="5" xfId="0" applyNumberFormat="1" applyFont="1" applyFill="1" applyBorder="1" applyAlignment="1" applyProtection="1">
      <alignment horizontal="center" vertical="center"/>
    </xf>
    <xf numFmtId="4" fontId="7" fillId="6" borderId="5" xfId="0" applyNumberFormat="1" applyFont="1" applyFill="1" applyBorder="1" applyAlignment="1" applyProtection="1">
      <alignment horizontal="right" vertical="center"/>
    </xf>
    <xf numFmtId="168" fontId="27" fillId="0" borderId="5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5" xfId="0" applyNumberFormat="1" applyFont="1" applyFill="1" applyBorder="1" applyAlignment="1" applyProtection="1">
      <alignment horizontal="right" vertical="center"/>
    </xf>
    <xf numFmtId="44" fontId="38" fillId="0" borderId="5" xfId="0" applyNumberFormat="1" applyFont="1" applyFill="1" applyBorder="1" applyAlignment="1" applyProtection="1">
      <alignment horizontal="right" vertical="center"/>
    </xf>
    <xf numFmtId="44" fontId="31" fillId="0" borderId="5" xfId="0" applyNumberFormat="1" applyFont="1" applyFill="1" applyBorder="1" applyAlignment="1"/>
    <xf numFmtId="44" fontId="31" fillId="0" borderId="5" xfId="0" applyNumberFormat="1" applyFont="1" applyFill="1" applyBorder="1" applyAlignment="1" applyProtection="1">
      <alignment horizontal="right" vertical="center"/>
    </xf>
    <xf numFmtId="44" fontId="19" fillId="0" borderId="5" xfId="0" applyNumberFormat="1" applyFont="1" applyFill="1" applyBorder="1" applyAlignment="1">
      <alignment vertical="center"/>
    </xf>
    <xf numFmtId="0" fontId="26" fillId="0" borderId="5" xfId="0" applyFont="1" applyBorder="1" applyAlignment="1" applyProtection="1">
      <alignment horizontal="center" wrapText="1"/>
    </xf>
    <xf numFmtId="168" fontId="26" fillId="2" borderId="5" xfId="0" applyNumberFormat="1" applyFont="1" applyFill="1" applyBorder="1" applyAlignment="1" applyProtection="1">
      <alignment vertical="center"/>
    </xf>
    <xf numFmtId="168" fontId="31" fillId="0" borderId="5" xfId="0" applyNumberFormat="1" applyFont="1" applyFill="1" applyBorder="1" applyAlignment="1" applyProtection="1">
      <alignment vertical="center"/>
    </xf>
    <xf numFmtId="44" fontId="33" fillId="0" borderId="5" xfId="0" applyNumberFormat="1" applyFont="1" applyFill="1" applyBorder="1" applyAlignment="1" applyProtection="1">
      <alignment vertical="center"/>
      <protection locked="0"/>
    </xf>
    <xf numFmtId="0" fontId="11" fillId="15" borderId="5" xfId="0" applyFont="1" applyFill="1" applyBorder="1" applyAlignment="1" applyProtection="1">
      <alignment horizontal="center" vertical="center"/>
      <protection locked="0"/>
    </xf>
    <xf numFmtId="10" fontId="11" fillId="0" borderId="5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5" xfId="0" applyFont="1" applyFill="1" applyBorder="1" applyAlignment="1" applyProtection="1">
      <alignment horizontal="right" wrapText="1"/>
    </xf>
    <xf numFmtId="164" fontId="38" fillId="0" borderId="5" xfId="0" applyNumberFormat="1" applyFont="1" applyFill="1" applyBorder="1" applyAlignment="1" applyProtection="1">
      <alignment horizontal="right" vertical="center"/>
    </xf>
    <xf numFmtId="0" fontId="67" fillId="0" borderId="0" xfId="0" applyFont="1"/>
    <xf numFmtId="0" fontId="44" fillId="4" borderId="5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/>
    </xf>
    <xf numFmtId="0" fontId="34" fillId="4" borderId="5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 wrapText="1"/>
    </xf>
    <xf numFmtId="0" fontId="44" fillId="4" borderId="5" xfId="0" applyFont="1" applyFill="1" applyBorder="1" applyAlignment="1" applyProtection="1">
      <alignment horizontal="center"/>
    </xf>
    <xf numFmtId="1" fontId="38" fillId="0" borderId="5" xfId="0" applyNumberFormat="1" applyFont="1" applyFill="1" applyBorder="1" applyAlignment="1" applyProtection="1">
      <alignment horizontal="right" vertical="center"/>
    </xf>
    <xf numFmtId="0" fontId="69" fillId="0" borderId="0" xfId="0" applyFont="1"/>
    <xf numFmtId="0" fontId="61" fillId="0" borderId="3" xfId="0" applyFont="1" applyBorder="1" applyAlignment="1">
      <alignment horizontal="center" vertical="center" wrapText="1"/>
    </xf>
    <xf numFmtId="0" fontId="69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4" xfId="2" applyNumberFormat="1" applyFont="1" applyBorder="1" applyAlignment="1">
      <alignment vertical="center"/>
    </xf>
    <xf numFmtId="173" fontId="61" fillId="15" borderId="5" xfId="2" applyNumberFormat="1" applyFont="1" applyFill="1" applyBorder="1" applyAlignment="1">
      <alignment horizontal="center" vertical="center"/>
    </xf>
    <xf numFmtId="173" fontId="62" fillId="0" borderId="5" xfId="2" applyNumberFormat="1" applyFont="1" applyBorder="1" applyAlignment="1">
      <alignment vertical="center"/>
    </xf>
    <xf numFmtId="0" fontId="61" fillId="0" borderId="5" xfId="0" applyFont="1" applyBorder="1" applyAlignment="1">
      <alignment horizontal="center" vertical="center"/>
    </xf>
    <xf numFmtId="173" fontId="61" fillId="15" borderId="5" xfId="2" applyNumberFormat="1" applyFont="1" applyFill="1" applyBorder="1" applyAlignment="1">
      <alignment horizontal="right" vertical="center"/>
    </xf>
    <xf numFmtId="1" fontId="62" fillId="0" borderId="5" xfId="2" applyNumberFormat="1" applyFont="1" applyBorder="1" applyAlignment="1">
      <alignment vertical="center"/>
    </xf>
    <xf numFmtId="173" fontId="61" fillId="15" borderId="5" xfId="2" applyNumberFormat="1" applyFont="1" applyFill="1" applyBorder="1" applyAlignment="1">
      <alignment vertical="center"/>
    </xf>
    <xf numFmtId="0" fontId="69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5" xfId="0" applyFont="1" applyBorder="1"/>
    <xf numFmtId="0" fontId="20" fillId="12" borderId="5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center" wrapText="1"/>
    </xf>
    <xf numFmtId="164" fontId="38" fillId="0" borderId="5" xfId="0" applyNumberFormat="1" applyFont="1" applyBorder="1" applyAlignment="1">
      <alignment horizontal="right" vertical="center"/>
    </xf>
    <xf numFmtId="0" fontId="39" fillId="0" borderId="5" xfId="0" applyFont="1" applyBorder="1" applyAlignment="1">
      <alignment horizontal="center" wrapText="1"/>
    </xf>
    <xf numFmtId="1" fontId="38" fillId="0" borderId="5" xfId="0" applyNumberFormat="1" applyFont="1" applyBorder="1" applyAlignment="1">
      <alignment horizontal="right" vertical="center"/>
    </xf>
    <xf numFmtId="0" fontId="44" fillId="4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168" fontId="27" fillId="0" borderId="5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5" xfId="0" applyNumberFormat="1" applyFont="1" applyFill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168" fontId="20" fillId="0" borderId="5" xfId="0" applyNumberFormat="1" applyFont="1" applyBorder="1" applyAlignment="1">
      <alignment vertical="center"/>
    </xf>
    <xf numFmtId="168" fontId="26" fillId="2" borderId="5" xfId="0" applyNumberFormat="1" applyFont="1" applyFill="1" applyBorder="1" applyAlignment="1">
      <alignment vertical="center"/>
    </xf>
    <xf numFmtId="173" fontId="26" fillId="2" borderId="5" xfId="0" applyNumberFormat="1" applyFont="1" applyFill="1" applyBorder="1" applyAlignment="1">
      <alignment vertical="center"/>
    </xf>
    <xf numFmtId="0" fontId="20" fillId="14" borderId="5" xfId="0" applyFont="1" applyFill="1" applyBorder="1" applyAlignment="1">
      <alignment horizontal="center" vertical="center"/>
    </xf>
    <xf numFmtId="0" fontId="47" fillId="4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5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/>
    </xf>
    <xf numFmtId="0" fontId="20" fillId="17" borderId="5" xfId="0" applyFont="1" applyFill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44" fontId="20" fillId="16" borderId="5" xfId="0" applyNumberFormat="1" applyFont="1" applyFill="1" applyBorder="1" applyAlignment="1">
      <alignment horizontal="distributed" vertical="center"/>
    </xf>
    <xf numFmtId="0" fontId="34" fillId="4" borderId="5" xfId="0" applyFont="1" applyFill="1" applyBorder="1" applyAlignment="1">
      <alignment horizontal="center"/>
    </xf>
    <xf numFmtId="44" fontId="31" fillId="0" borderId="5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15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0" fontId="20" fillId="13" borderId="5" xfId="0" applyFont="1" applyFill="1" applyBorder="1" applyAlignment="1">
      <alignment horizontal="center" vertical="center"/>
    </xf>
    <xf numFmtId="44" fontId="19" fillId="0" borderId="5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5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5" xfId="0" applyNumberFormat="1" applyFont="1" applyFill="1" applyBorder="1" applyAlignment="1">
      <alignment horizontal="right" vertical="center"/>
    </xf>
    <xf numFmtId="44" fontId="26" fillId="6" borderId="5" xfId="0" applyNumberFormat="1" applyFont="1" applyFill="1" applyBorder="1"/>
    <xf numFmtId="0" fontId="45" fillId="4" borderId="5" xfId="0" applyFont="1" applyFill="1" applyBorder="1" applyAlignment="1">
      <alignment horizontal="center" vertical="center"/>
    </xf>
    <xf numFmtId="0" fontId="26" fillId="14" borderId="5" xfId="0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4" fontId="31" fillId="0" borderId="5" xfId="0" applyNumberFormat="1" applyFont="1" applyBorder="1"/>
    <xf numFmtId="44" fontId="31" fillId="0" borderId="5" xfId="0" applyNumberFormat="1" applyFont="1" applyBorder="1" applyAlignment="1">
      <alignment horizontal="right" vertical="center"/>
    </xf>
    <xf numFmtId="0" fontId="26" fillId="14" borderId="5" xfId="0" applyFont="1" applyFill="1" applyBorder="1" applyAlignment="1">
      <alignment horizontal="center" vertical="center"/>
    </xf>
    <xf numFmtId="44" fontId="31" fillId="0" borderId="5" xfId="0" applyNumberFormat="1" applyFont="1" applyBorder="1" applyAlignment="1">
      <alignment horizontal="center" vertical="center"/>
    </xf>
    <xf numFmtId="0" fontId="26" fillId="15" borderId="5" xfId="0" applyFont="1" applyFill="1" applyBorder="1" applyAlignment="1">
      <alignment horizontal="center" vertical="center"/>
    </xf>
    <xf numFmtId="44" fontId="19" fillId="0" borderId="5" xfId="0" applyNumberFormat="1" applyFont="1" applyBorder="1" applyAlignment="1">
      <alignment vertical="center"/>
    </xf>
    <xf numFmtId="165" fontId="26" fillId="6" borderId="5" xfId="0" applyNumberFormat="1" applyFont="1" applyFill="1" applyBorder="1" applyAlignment="1">
      <alignment vertical="center"/>
    </xf>
    <xf numFmtId="0" fontId="34" fillId="4" borderId="5" xfId="0" applyFont="1" applyFill="1" applyBorder="1" applyAlignment="1">
      <alignment horizontal="center" vertical="center"/>
    </xf>
    <xf numFmtId="44" fontId="26" fillId="15" borderId="5" xfId="0" applyNumberFormat="1" applyFont="1" applyFill="1" applyBorder="1" applyAlignment="1">
      <alignment horizontal="center" vertical="center"/>
    </xf>
    <xf numFmtId="4" fontId="7" fillId="6" borderId="5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10" fontId="25" fillId="23" borderId="5" xfId="0" applyNumberFormat="1" applyFont="1" applyFill="1" applyBorder="1" applyAlignment="1">
      <alignment horizontal="center" vertical="center"/>
    </xf>
    <xf numFmtId="10" fontId="11" fillId="23" borderId="5" xfId="3" applyNumberFormat="1" applyFont="1" applyFill="1" applyBorder="1" applyAlignment="1">
      <alignment horizontal="center" vertical="center"/>
    </xf>
    <xf numFmtId="0" fontId="10" fillId="0" borderId="5" xfId="15" applyFont="1" applyFill="1" applyBorder="1" applyAlignment="1" applyProtection="1">
      <alignment horizontal="justify" vertical="center" wrapText="1"/>
    </xf>
    <xf numFmtId="0" fontId="10" fillId="0" borderId="5" xfId="15" applyFont="1" applyFill="1" applyBorder="1" applyAlignment="1" applyProtection="1">
      <alignment horizontal="justify" vertical="center"/>
    </xf>
    <xf numFmtId="0" fontId="56" fillId="0" borderId="5" xfId="15" applyFont="1" applyFill="1" applyBorder="1" applyAlignment="1" applyProtection="1">
      <alignment horizontal="left" wrapText="1"/>
    </xf>
    <xf numFmtId="0" fontId="56" fillId="0" borderId="5" xfId="15" applyFont="1" applyFill="1" applyBorder="1" applyProtection="1"/>
    <xf numFmtId="0" fontId="56" fillId="0" borderId="5" xfId="15" applyFont="1" applyFill="1" applyBorder="1" applyAlignment="1" applyProtection="1">
      <alignment horizontal="justify" vertical="center" wrapText="1"/>
    </xf>
    <xf numFmtId="0" fontId="56" fillId="0" borderId="5" xfId="15" applyFont="1" applyFill="1" applyBorder="1" applyAlignment="1" applyProtection="1">
      <alignment vertical="center" wrapText="1"/>
    </xf>
    <xf numFmtId="43" fontId="10" fillId="0" borderId="5" xfId="15" applyNumberFormat="1" applyFont="1" applyBorder="1" applyAlignment="1" applyProtection="1">
      <alignment horizontal="center" vertical="center" wrapText="1"/>
    </xf>
    <xf numFmtId="0" fontId="56" fillId="0" borderId="5" xfId="15" applyFont="1" applyFill="1" applyBorder="1" applyAlignment="1" applyProtection="1">
      <alignment wrapText="1"/>
    </xf>
    <xf numFmtId="0" fontId="56" fillId="0" borderId="5" xfId="15" applyFont="1" applyFill="1" applyBorder="1" applyAlignment="1" applyProtection="1">
      <alignment horizontal="left" vertical="center" wrapText="1" readingOrder="1"/>
    </xf>
    <xf numFmtId="0" fontId="19" fillId="0" borderId="5" xfId="0" applyFont="1" applyBorder="1" applyAlignment="1">
      <alignment horizontal="left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0" fillId="9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left" vertical="center"/>
    </xf>
    <xf numFmtId="0" fontId="20" fillId="7" borderId="5" xfId="0" applyFont="1" applyFill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19" fillId="0" borderId="5" xfId="0" applyFont="1" applyFill="1" applyBorder="1" applyAlignment="1" applyProtection="1">
      <alignment horizontal="left" vertical="center"/>
    </xf>
    <xf numFmtId="0" fontId="20" fillId="17" borderId="5" xfId="0" applyFont="1" applyFill="1" applyBorder="1" applyAlignment="1" applyProtection="1">
      <alignment horizontal="center"/>
    </xf>
    <xf numFmtId="0" fontId="28" fillId="0" borderId="5" xfId="0" applyFont="1" applyFill="1" applyBorder="1" applyAlignment="1" applyProtection="1">
      <alignment horizontal="center" vertical="center"/>
    </xf>
    <xf numFmtId="0" fontId="6" fillId="15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27" fillId="15" borderId="2" xfId="0" applyFont="1" applyFill="1" applyBorder="1" applyAlignment="1">
      <alignment horizontal="center" vertical="center"/>
    </xf>
    <xf numFmtId="9" fontId="27" fillId="0" borderId="2" xfId="0" applyNumberFormat="1" applyFont="1" applyBorder="1" applyAlignment="1">
      <alignment horizontal="center" vertical="center"/>
    </xf>
    <xf numFmtId="0" fontId="11" fillId="15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Protection="1"/>
    <xf numFmtId="0" fontId="20" fillId="12" borderId="5" xfId="0" applyFont="1" applyFill="1" applyBorder="1" applyAlignment="1" applyProtection="1">
      <alignment horizontal="right"/>
    </xf>
    <xf numFmtId="0" fontId="20" fillId="0" borderId="5" xfId="0" applyFont="1" applyBorder="1" applyAlignment="1" applyProtection="1">
      <alignment horizontal="left"/>
    </xf>
    <xf numFmtId="0" fontId="20" fillId="0" borderId="5" xfId="0" applyFont="1" applyBorder="1" applyAlignment="1" applyProtection="1">
      <alignment horizontal="right"/>
    </xf>
    <xf numFmtId="0" fontId="20" fillId="0" borderId="5" xfId="0" applyFont="1" applyBorder="1" applyAlignment="1" applyProtection="1">
      <alignment horizontal="center"/>
    </xf>
    <xf numFmtId="0" fontId="20" fillId="0" borderId="5" xfId="0" applyFont="1" applyBorder="1" applyAlignment="1" applyProtection="1">
      <alignment horizontal="center" vertical="center"/>
    </xf>
    <xf numFmtId="1" fontId="9" fillId="23" borderId="5" xfId="0" applyNumberFormat="1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0" fontId="39" fillId="0" borderId="5" xfId="0" applyFont="1" applyFill="1" applyBorder="1" applyAlignment="1" applyProtection="1">
      <alignment horizontal="right" vertical="center" wrapText="1"/>
      <protection locked="0"/>
    </xf>
    <xf numFmtId="8" fontId="39" fillId="0" borderId="5" xfId="1" applyNumberFormat="1" applyFont="1" applyFill="1" applyBorder="1" applyAlignment="1" applyProtection="1">
      <alignment horizontal="right" vertical="center"/>
      <protection locked="0"/>
    </xf>
    <xf numFmtId="0" fontId="38" fillId="0" borderId="5" xfId="0" applyFont="1" applyFill="1" applyBorder="1" applyAlignment="1" applyProtection="1">
      <alignment horizontal="right" vertical="center"/>
      <protection locked="0"/>
    </xf>
    <xf numFmtId="0" fontId="44" fillId="0" borderId="5" xfId="0" applyFont="1" applyBorder="1" applyAlignment="1" applyProtection="1">
      <alignment horizontal="center" vertical="center"/>
    </xf>
    <xf numFmtId="0" fontId="46" fillId="0" borderId="5" xfId="0" applyFont="1" applyBorder="1" applyAlignment="1" applyProtection="1">
      <alignment horizontal="left" vertical="center"/>
    </xf>
    <xf numFmtId="0" fontId="41" fillId="0" borderId="5" xfId="0" applyFont="1" applyBorder="1" applyAlignment="1" applyProtection="1">
      <alignment horizontal="left" vertical="center"/>
    </xf>
    <xf numFmtId="0" fontId="20" fillId="16" borderId="5" xfId="0" applyFont="1" applyFill="1" applyBorder="1" applyAlignment="1" applyProtection="1">
      <alignment horizontal="center"/>
    </xf>
    <xf numFmtId="168" fontId="27" fillId="0" borderId="5" xfId="0" applyNumberFormat="1" applyFont="1" applyFill="1" applyBorder="1" applyAlignment="1" applyProtection="1">
      <alignment horizontal="distributed" vertical="distributed" wrapText="1"/>
    </xf>
    <xf numFmtId="0" fontId="28" fillId="0" borderId="5" xfId="0" applyFont="1" applyBorder="1" applyAlignment="1" applyProtection="1">
      <alignment horizontal="center" vertical="center"/>
    </xf>
    <xf numFmtId="0" fontId="26" fillId="0" borderId="5" xfId="0" applyFont="1" applyFill="1" applyBorder="1" applyAlignment="1" applyProtection="1">
      <alignment horizontal="right" vertical="center"/>
    </xf>
    <xf numFmtId="168" fontId="26" fillId="0" borderId="5" xfId="0" applyNumberFormat="1" applyFont="1" applyFill="1" applyBorder="1" applyAlignment="1" applyProtection="1">
      <alignment vertical="center"/>
    </xf>
    <xf numFmtId="0" fontId="44" fillId="0" borderId="5" xfId="0" applyFont="1" applyFill="1" applyBorder="1" applyAlignment="1" applyProtection="1">
      <alignment horizontal="center" vertical="center"/>
    </xf>
    <xf numFmtId="0" fontId="45" fillId="0" borderId="5" xfId="0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horizontal="center"/>
    </xf>
    <xf numFmtId="168" fontId="20" fillId="0" borderId="5" xfId="0" applyNumberFormat="1" applyFont="1" applyFill="1" applyBorder="1" applyAlignment="1" applyProtection="1">
      <alignment horizontal="distributed" vertical="center"/>
    </xf>
    <xf numFmtId="44" fontId="27" fillId="0" borderId="5" xfId="0" applyNumberFormat="1" applyFont="1" applyFill="1" applyBorder="1" applyAlignment="1">
      <alignment horizontal="right" vertical="center"/>
    </xf>
    <xf numFmtId="44" fontId="28" fillId="15" borderId="5" xfId="0" applyNumberFormat="1" applyFont="1" applyFill="1" applyBorder="1" applyAlignment="1">
      <alignment horizontal="right" vertical="center"/>
    </xf>
    <xf numFmtId="0" fontId="47" fillId="0" borderId="5" xfId="0" applyFont="1" applyFill="1" applyBorder="1" applyAlignment="1" applyProtection="1">
      <alignment horizontal="center" vertical="center"/>
    </xf>
    <xf numFmtId="0" fontId="43" fillId="0" borderId="5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 applyProtection="1">
      <alignment horizontal="center" vertical="center"/>
    </xf>
    <xf numFmtId="0" fontId="26" fillId="4" borderId="5" xfId="0" applyFont="1" applyFill="1" applyBorder="1" applyAlignment="1">
      <alignment horizontal="center"/>
    </xf>
    <xf numFmtId="44" fontId="27" fillId="0" borderId="5" xfId="0" applyNumberFormat="1" applyFont="1" applyFill="1" applyBorder="1" applyAlignment="1" applyProtection="1">
      <alignment horizontal="right" vertical="center"/>
    </xf>
    <xf numFmtId="44" fontId="20" fillId="15" borderId="5" xfId="0" applyNumberFormat="1" applyFont="1" applyFill="1" applyBorder="1" applyAlignment="1" applyProtection="1">
      <alignment vertical="center"/>
    </xf>
    <xf numFmtId="0" fontId="48" fillId="0" borderId="5" xfId="0" applyFont="1" applyFill="1" applyBorder="1" applyAlignment="1" applyProtection="1">
      <alignment horizontal="center" vertical="center" wrapText="1"/>
    </xf>
    <xf numFmtId="0" fontId="42" fillId="0" borderId="5" xfId="0" applyFont="1" applyFill="1" applyBorder="1" applyAlignment="1" applyProtection="1">
      <alignment horizontal="left" vertical="center" wrapText="1"/>
    </xf>
    <xf numFmtId="0" fontId="26" fillId="10" borderId="5" xfId="0" applyFont="1" applyFill="1" applyBorder="1" applyAlignment="1">
      <alignment horizontal="center"/>
    </xf>
    <xf numFmtId="44" fontId="33" fillId="0" borderId="5" xfId="0" applyNumberFormat="1" applyFont="1" applyFill="1" applyBorder="1" applyAlignment="1" applyProtection="1">
      <alignment horizontal="right" vertical="center"/>
      <protection locked="0"/>
    </xf>
    <xf numFmtId="0" fontId="34" fillId="0" borderId="5" xfId="0" applyFont="1" applyBorder="1" applyAlignment="1" applyProtection="1">
      <alignment horizontal="center"/>
    </xf>
    <xf numFmtId="0" fontId="49" fillId="0" borderId="5" xfId="0" applyFont="1" applyBorder="1" applyAlignment="1" applyProtection="1">
      <alignment horizontal="left"/>
    </xf>
    <xf numFmtId="0" fontId="19" fillId="0" borderId="5" xfId="0" applyFont="1" applyBorder="1" applyProtection="1"/>
    <xf numFmtId="0" fontId="23" fillId="0" borderId="5" xfId="0" applyFont="1" applyBorder="1" applyAlignment="1" applyProtection="1">
      <alignment horizontal="left"/>
    </xf>
    <xf numFmtId="0" fontId="20" fillId="0" borderId="5" xfId="0" applyFont="1" applyFill="1" applyBorder="1" applyAlignment="1" applyProtection="1">
      <alignment horizontal="left" vertical="center" wrapText="1"/>
    </xf>
    <xf numFmtId="0" fontId="26" fillId="17" borderId="5" xfId="0" applyFont="1" applyFill="1" applyBorder="1" applyAlignment="1" applyProtection="1">
      <alignment horizontal="center" vertical="center"/>
    </xf>
    <xf numFmtId="165" fontId="5" fillId="0" borderId="5" xfId="2" applyNumberFormat="1" applyFont="1" applyFill="1" applyBorder="1" applyProtection="1"/>
    <xf numFmtId="0" fontId="26" fillId="0" borderId="5" xfId="0" applyFont="1" applyFill="1" applyBorder="1" applyAlignment="1" applyProtection="1">
      <alignment vertical="center"/>
    </xf>
    <xf numFmtId="0" fontId="31" fillId="0" borderId="5" xfId="0" applyFont="1" applyFill="1" applyBorder="1" applyAlignment="1">
      <alignment vertical="center"/>
    </xf>
    <xf numFmtId="0" fontId="20" fillId="0" borderId="5" xfId="0" applyFont="1" applyFill="1" applyBorder="1" applyAlignment="1" applyProtection="1">
      <alignment horizontal="center" vertical="center"/>
    </xf>
    <xf numFmtId="0" fontId="31" fillId="17" borderId="5" xfId="0" applyFont="1" applyFill="1" applyBorder="1" applyAlignment="1" applyProtection="1">
      <alignment horizontal="center"/>
    </xf>
    <xf numFmtId="168" fontId="26" fillId="15" borderId="5" xfId="0" applyNumberFormat="1" applyFont="1" applyFill="1" applyBorder="1" applyAlignment="1" applyProtection="1">
      <alignment horizontal="center" vertical="center"/>
    </xf>
    <xf numFmtId="168" fontId="19" fillId="0" borderId="5" xfId="0" applyNumberFormat="1" applyFont="1" applyFill="1" applyBorder="1" applyAlignment="1" applyProtection="1">
      <alignment horizontal="distributed" vertical="center"/>
    </xf>
    <xf numFmtId="168" fontId="35" fillId="0" borderId="5" xfId="0" applyNumberFormat="1" applyFont="1" applyFill="1" applyBorder="1" applyAlignment="1" applyProtection="1">
      <alignment horizontal="distributed" vertical="center"/>
    </xf>
    <xf numFmtId="44" fontId="31" fillId="0" borderId="5" xfId="0" applyNumberFormat="1" applyFont="1" applyFill="1" applyBorder="1" applyAlignment="1" applyProtection="1">
      <alignment vertical="center" wrapText="1"/>
    </xf>
    <xf numFmtId="0" fontId="19" fillId="0" borderId="5" xfId="0" applyFont="1" applyFill="1" applyBorder="1" applyProtection="1"/>
    <xf numFmtId="0" fontId="6" fillId="0" borderId="5" xfId="0" applyFont="1" applyFill="1" applyBorder="1" applyAlignment="1" applyProtection="1">
      <alignment horizontal="center" vertical="center"/>
    </xf>
    <xf numFmtId="0" fontId="39" fillId="0" borderId="5" xfId="0" applyFont="1" applyBorder="1" applyAlignment="1" applyProtection="1">
      <alignment horizontal="center" vertical="center"/>
    </xf>
    <xf numFmtId="44" fontId="20" fillId="0" borderId="5" xfId="0" applyNumberFormat="1" applyFont="1" applyFill="1" applyBorder="1" applyAlignment="1" applyProtection="1">
      <alignment horizontal="right" vertical="center"/>
    </xf>
    <xf numFmtId="0" fontId="31" fillId="0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44" fontId="19" fillId="0" borderId="5" xfId="0" applyNumberFormat="1" applyFont="1" applyFill="1" applyBorder="1" applyAlignment="1">
      <alignment horizontal="right"/>
    </xf>
    <xf numFmtId="0" fontId="58" fillId="4" borderId="5" xfId="0" applyFont="1" applyFill="1" applyBorder="1" applyAlignment="1" applyProtection="1">
      <alignment horizontal="left"/>
    </xf>
    <xf numFmtId="0" fontId="20" fillId="4" borderId="5" xfId="0" applyFont="1" applyFill="1" applyBorder="1" applyAlignment="1" applyProtection="1">
      <alignment horizontal="right" vertical="center"/>
    </xf>
    <xf numFmtId="165" fontId="26" fillId="4" borderId="5" xfId="0" applyNumberFormat="1" applyFont="1" applyFill="1" applyBorder="1" applyAlignment="1" applyProtection="1">
      <alignment vertical="center"/>
    </xf>
    <xf numFmtId="0" fontId="58" fillId="4" borderId="5" xfId="0" applyFont="1" applyFill="1" applyBorder="1" applyAlignment="1" applyProtection="1">
      <alignment horizontal="left" vertical="center"/>
    </xf>
    <xf numFmtId="0" fontId="59" fillId="0" borderId="5" xfId="0" applyFont="1" applyBorder="1" applyAlignment="1" applyProtection="1">
      <alignment horizontal="center" vertical="center"/>
    </xf>
    <xf numFmtId="0" fontId="58" fillId="0" borderId="5" xfId="0" applyFont="1" applyBorder="1" applyAlignment="1" applyProtection="1">
      <alignment horizontal="center" vertical="center" wrapText="1"/>
    </xf>
    <xf numFmtId="0" fontId="58" fillId="0" borderId="5" xfId="0" applyFont="1" applyBorder="1" applyAlignment="1" applyProtection="1">
      <alignment horizontal="center" vertical="center"/>
    </xf>
    <xf numFmtId="0" fontId="58" fillId="0" borderId="5" xfId="0" applyFont="1" applyBorder="1" applyAlignment="1" applyProtection="1">
      <alignment horizontal="left"/>
    </xf>
    <xf numFmtId="0" fontId="20" fillId="0" borderId="5" xfId="0" applyFont="1" applyFill="1" applyBorder="1" applyAlignment="1" applyProtection="1">
      <alignment horizontal="right" vertical="center"/>
    </xf>
    <xf numFmtId="165" fontId="26" fillId="0" borderId="5" xfId="0" applyNumberFormat="1" applyFont="1" applyFill="1" applyBorder="1" applyAlignment="1" applyProtection="1">
      <alignment vertical="center"/>
    </xf>
    <xf numFmtId="0" fontId="19" fillId="0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/>
    </xf>
    <xf numFmtId="44" fontId="31" fillId="15" borderId="5" xfId="0" applyNumberFormat="1" applyFont="1" applyFill="1" applyBorder="1" applyAlignment="1" applyProtection="1">
      <alignment horizontal="right" vertical="center"/>
    </xf>
    <xf numFmtId="0" fontId="20" fillId="0" borderId="5" xfId="0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horizontal="right" vertical="center" wrapText="1"/>
      <protection locked="0"/>
    </xf>
    <xf numFmtId="8" fontId="39" fillId="0" borderId="5" xfId="1" applyNumberFormat="1" applyFont="1" applyBorder="1" applyAlignment="1" applyProtection="1">
      <alignment horizontal="right" vertical="center"/>
      <protection locked="0"/>
    </xf>
    <xf numFmtId="0" fontId="38" fillId="0" borderId="5" xfId="0" applyFont="1" applyBorder="1" applyAlignment="1" applyProtection="1">
      <alignment horizontal="right" vertical="center"/>
      <protection locked="0"/>
    </xf>
    <xf numFmtId="0" fontId="44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168" fontId="27" fillId="0" borderId="5" xfId="0" applyNumberFormat="1" applyFont="1" applyFill="1" applyBorder="1" applyAlignment="1">
      <alignment horizontal="distributed" vertical="distributed" wrapText="1"/>
    </xf>
    <xf numFmtId="168" fontId="27" fillId="0" borderId="5" xfId="0" applyNumberFormat="1" applyFont="1" applyBorder="1" applyAlignment="1">
      <alignment horizontal="distributed" vertical="distributed" wrapText="1"/>
    </xf>
    <xf numFmtId="0" fontId="26" fillId="0" borderId="5" xfId="0" applyFont="1" applyBorder="1" applyAlignment="1">
      <alignment horizontal="right" vertical="center"/>
    </xf>
    <xf numFmtId="168" fontId="26" fillId="0" borderId="5" xfId="0" applyNumberFormat="1" applyFont="1" applyBorder="1" applyAlignment="1">
      <alignment vertical="center"/>
    </xf>
    <xf numFmtId="0" fontId="45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168" fontId="20" fillId="0" borderId="5" xfId="0" applyNumberFormat="1" applyFont="1" applyBorder="1" applyAlignment="1">
      <alignment horizontal="distributed" vertical="center"/>
    </xf>
    <xf numFmtId="44" fontId="27" fillId="0" borderId="5" xfId="0" applyNumberFormat="1" applyFont="1" applyBorder="1" applyAlignment="1">
      <alignment horizontal="right" vertical="center"/>
    </xf>
    <xf numFmtId="0" fontId="47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44" fontId="20" fillId="15" borderId="5" xfId="0" applyNumberFormat="1" applyFont="1" applyFill="1" applyBorder="1" applyAlignment="1">
      <alignment vertical="center"/>
    </xf>
    <xf numFmtId="0" fontId="48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left" vertical="center" wrapText="1"/>
    </xf>
    <xf numFmtId="0" fontId="26" fillId="15" borderId="5" xfId="0" applyFont="1" applyFill="1" applyBorder="1" applyAlignment="1">
      <alignment horizontal="center"/>
    </xf>
    <xf numFmtId="44" fontId="33" fillId="0" borderId="5" xfId="0" applyNumberFormat="1" applyFont="1" applyBorder="1" applyAlignment="1" applyProtection="1">
      <alignment horizontal="right" vertical="center"/>
      <protection locked="0"/>
    </xf>
    <xf numFmtId="0" fontId="34" fillId="0" borderId="5" xfId="0" applyFont="1" applyBorder="1" applyAlignment="1">
      <alignment horizontal="center"/>
    </xf>
    <xf numFmtId="0" fontId="49" fillId="0" borderId="5" xfId="0" applyFont="1" applyBorder="1" applyAlignment="1">
      <alignment horizontal="left"/>
    </xf>
    <xf numFmtId="0" fontId="19" fillId="0" borderId="5" xfId="0" applyFont="1" applyBorder="1"/>
    <xf numFmtId="0" fontId="23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 vertical="center" wrapText="1"/>
    </xf>
    <xf numFmtId="0" fontId="26" fillId="17" borderId="5" xfId="0" applyFont="1" applyFill="1" applyBorder="1" applyAlignment="1">
      <alignment horizontal="center" vertical="center"/>
    </xf>
    <xf numFmtId="165" fontId="5" fillId="0" borderId="5" xfId="2" applyNumberFormat="1" applyFont="1" applyBorder="1" applyProtection="1"/>
    <xf numFmtId="0" fontId="26" fillId="0" borderId="5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26" fillId="17" borderId="5" xfId="0" applyFont="1" applyFill="1" applyBorder="1" applyAlignment="1">
      <alignment horizontal="center"/>
    </xf>
    <xf numFmtId="168" fontId="26" fillId="15" borderId="5" xfId="0" applyNumberFormat="1" applyFont="1" applyFill="1" applyBorder="1" applyAlignment="1">
      <alignment horizontal="center" vertical="center"/>
    </xf>
    <xf numFmtId="168" fontId="19" fillId="0" borderId="5" xfId="0" applyNumberFormat="1" applyFont="1" applyBorder="1" applyAlignment="1">
      <alignment horizontal="distributed" vertical="center"/>
    </xf>
    <xf numFmtId="168" fontId="35" fillId="0" borderId="5" xfId="0" applyNumberFormat="1" applyFont="1" applyBorder="1" applyAlignment="1">
      <alignment horizontal="distributed" vertical="center"/>
    </xf>
    <xf numFmtId="44" fontId="31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44" fontId="20" fillId="0" borderId="5" xfId="0" applyNumberFormat="1" applyFont="1" applyBorder="1" applyAlignment="1">
      <alignment horizontal="right" vertical="center"/>
    </xf>
    <xf numFmtId="0" fontId="31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44" fontId="19" fillId="0" borderId="5" xfId="0" applyNumberFormat="1" applyFont="1" applyBorder="1" applyAlignment="1">
      <alignment horizontal="right"/>
    </xf>
    <xf numFmtId="0" fontId="58" fillId="4" borderId="5" xfId="0" applyFont="1" applyFill="1" applyBorder="1" applyAlignment="1">
      <alignment horizontal="left"/>
    </xf>
    <xf numFmtId="0" fontId="20" fillId="4" borderId="5" xfId="0" applyFont="1" applyFill="1" applyBorder="1" applyAlignment="1">
      <alignment horizontal="right" vertical="center"/>
    </xf>
    <xf numFmtId="165" fontId="26" fillId="4" borderId="5" xfId="0" applyNumberFormat="1" applyFont="1" applyFill="1" applyBorder="1" applyAlignment="1">
      <alignment vertical="center"/>
    </xf>
    <xf numFmtId="0" fontId="58" fillId="4" borderId="5" xfId="0" applyFont="1" applyFill="1" applyBorder="1" applyAlignment="1">
      <alignment horizontal="left" vertical="center"/>
    </xf>
    <xf numFmtId="0" fontId="59" fillId="0" borderId="5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5" xfId="0" applyFont="1" applyBorder="1" applyAlignment="1">
      <alignment horizontal="left"/>
    </xf>
    <xf numFmtId="0" fontId="20" fillId="0" borderId="5" xfId="0" applyFont="1" applyBorder="1" applyAlignment="1">
      <alignment horizontal="right" vertical="center"/>
    </xf>
    <xf numFmtId="165" fontId="26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4" fillId="0" borderId="5" xfId="0" applyFont="1" applyBorder="1" applyAlignment="1">
      <alignment horizontal="center"/>
    </xf>
    <xf numFmtId="44" fontId="31" fillId="15" borderId="5" xfId="0" applyNumberFormat="1" applyFont="1" applyFill="1" applyBorder="1" applyAlignment="1">
      <alignment horizontal="right" vertical="center"/>
    </xf>
    <xf numFmtId="176" fontId="62" fillId="0" borderId="5" xfId="2" applyNumberFormat="1" applyFont="1" applyBorder="1" applyAlignment="1">
      <alignment vertical="center"/>
    </xf>
    <xf numFmtId="176" fontId="62" fillId="15" borderId="5" xfId="2" applyNumberFormat="1" applyFont="1" applyFill="1" applyBorder="1" applyAlignment="1">
      <alignment vertical="center"/>
    </xf>
    <xf numFmtId="0" fontId="20" fillId="3" borderId="5" xfId="0" applyFont="1" applyFill="1" applyBorder="1" applyAlignment="1">
      <alignment horizontal="center"/>
    </xf>
    <xf numFmtId="0" fontId="20" fillId="7" borderId="5" xfId="0" applyFont="1" applyFill="1" applyBorder="1" applyAlignment="1">
      <alignment horizontal="center"/>
    </xf>
    <xf numFmtId="0" fontId="21" fillId="3" borderId="5" xfId="0" applyFont="1" applyFill="1" applyBorder="1" applyAlignment="1" applyProtection="1">
      <alignment horizontal="center"/>
      <protection locked="0"/>
    </xf>
    <xf numFmtId="49" fontId="22" fillId="3" borderId="5" xfId="0" applyNumberFormat="1" applyFont="1" applyFill="1" applyBorder="1" applyAlignment="1">
      <alignment horizontal="center"/>
    </xf>
    <xf numFmtId="166" fontId="17" fillId="12" borderId="5" xfId="0" applyNumberFormat="1" applyFont="1" applyFill="1" applyBorder="1" applyAlignment="1" applyProtection="1">
      <alignment horizontal="center"/>
      <protection locked="0"/>
    </xf>
    <xf numFmtId="0" fontId="20" fillId="8" borderId="5" xfId="0" applyFont="1" applyFill="1" applyBorder="1" applyAlignment="1">
      <alignment horizontal="center"/>
    </xf>
    <xf numFmtId="0" fontId="20" fillId="20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22" fontId="19" fillId="11" borderId="5" xfId="0" applyNumberFormat="1" applyFont="1" applyFill="1" applyBorder="1" applyAlignment="1">
      <alignment horizontal="center"/>
    </xf>
    <xf numFmtId="0" fontId="19" fillId="11" borderId="5" xfId="0" applyFont="1" applyFill="1" applyBorder="1" applyAlignment="1">
      <alignment horizontal="center"/>
    </xf>
    <xf numFmtId="0" fontId="30" fillId="0" borderId="5" xfId="0" applyFont="1" applyBorder="1" applyAlignment="1">
      <alignment horizontal="left"/>
    </xf>
    <xf numFmtId="0" fontId="40" fillId="0" borderId="5" xfId="0" applyFont="1" applyBorder="1" applyAlignment="1" applyProtection="1">
      <alignment horizontal="center" vertical="center"/>
      <protection locked="0"/>
    </xf>
    <xf numFmtId="0" fontId="30" fillId="12" borderId="5" xfId="0" applyFont="1" applyFill="1" applyBorder="1" applyAlignment="1">
      <alignment horizontal="left" vertical="center" wrapText="1"/>
    </xf>
    <xf numFmtId="0" fontId="30" fillId="12" borderId="5" xfId="0" applyFont="1" applyFill="1" applyBorder="1" applyAlignment="1">
      <alignment horizontal="left" vertical="center"/>
    </xf>
    <xf numFmtId="0" fontId="40" fillId="12" borderId="5" xfId="0" applyFont="1" applyFill="1" applyBorder="1" applyAlignment="1" applyProtection="1">
      <alignment horizontal="center" vertical="center" wrapText="1"/>
      <protection locked="0"/>
    </xf>
    <xf numFmtId="0" fontId="30" fillId="12" borderId="5" xfId="0" applyFont="1" applyFill="1" applyBorder="1" applyAlignment="1">
      <alignment vertical="center"/>
    </xf>
    <xf numFmtId="0" fontId="20" fillId="0" borderId="5" xfId="0" applyFont="1" applyBorder="1" applyAlignment="1">
      <alignment horizontal="left"/>
    </xf>
    <xf numFmtId="0" fontId="22" fillId="11" borderId="5" xfId="0" applyFont="1" applyFill="1" applyBorder="1" applyAlignment="1" applyProtection="1">
      <alignment horizontal="center"/>
      <protection locked="0"/>
    </xf>
    <xf numFmtId="0" fontId="22" fillId="23" borderId="5" xfId="0" applyFont="1" applyFill="1" applyBorder="1" applyAlignment="1" applyProtection="1">
      <alignment horizontal="center" wrapText="1"/>
      <protection locked="0"/>
    </xf>
    <xf numFmtId="0" fontId="20" fillId="0" borderId="5" xfId="0" applyFont="1" applyBorder="1" applyAlignment="1">
      <alignment horizontal="center"/>
    </xf>
    <xf numFmtId="0" fontId="6" fillId="13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12" borderId="5" xfId="0" applyFont="1" applyFill="1" applyBorder="1" applyAlignment="1">
      <alignment horizontal="left" vertical="center"/>
    </xf>
    <xf numFmtId="0" fontId="19" fillId="12" borderId="5" xfId="0" applyFont="1" applyFill="1" applyBorder="1" applyAlignment="1">
      <alignment horizontal="left"/>
    </xf>
    <xf numFmtId="0" fontId="20" fillId="21" borderId="5" xfId="0" applyFont="1" applyFill="1" applyBorder="1" applyAlignment="1">
      <alignment horizontal="center"/>
    </xf>
    <xf numFmtId="0" fontId="20" fillId="22" borderId="5" xfId="0" applyFont="1" applyFill="1" applyBorder="1" applyAlignment="1">
      <alignment horizontal="center"/>
    </xf>
    <xf numFmtId="0" fontId="19" fillId="22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1" fillId="12" borderId="5" xfId="0" applyFont="1" applyFill="1" applyBorder="1" applyAlignment="1">
      <alignment horizontal="center" vertical="center"/>
    </xf>
    <xf numFmtId="0" fontId="31" fillId="23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left" wrapText="1"/>
    </xf>
    <xf numFmtId="0" fontId="38" fillId="0" borderId="5" xfId="0" applyFont="1" applyBorder="1" applyAlignment="1">
      <alignment horizontal="left" wrapText="1"/>
    </xf>
    <xf numFmtId="0" fontId="19" fillId="0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left"/>
    </xf>
    <xf numFmtId="9" fontId="28" fillId="0" borderId="5" xfId="0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46" fillId="4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center"/>
    </xf>
    <xf numFmtId="0" fontId="20" fillId="9" borderId="5" xfId="0" applyFont="1" applyFill="1" applyBorder="1" applyAlignment="1">
      <alignment horizontal="center"/>
    </xf>
    <xf numFmtId="0" fontId="20" fillId="14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/>
    </xf>
    <xf numFmtId="0" fontId="28" fillId="15" borderId="5" xfId="0" applyFont="1" applyFill="1" applyBorder="1" applyAlignment="1">
      <alignment horizontal="right" vertical="center"/>
    </xf>
    <xf numFmtId="0" fontId="43" fillId="4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right" vertical="center"/>
    </xf>
    <xf numFmtId="0" fontId="31" fillId="0" borderId="5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right" vertical="center"/>
    </xf>
    <xf numFmtId="0" fontId="45" fillId="4" borderId="5" xfId="0" applyFont="1" applyFill="1" applyBorder="1" applyAlignment="1">
      <alignment horizontal="left" vertical="center"/>
    </xf>
    <xf numFmtId="10" fontId="27" fillId="0" borderId="5" xfId="0" applyNumberFormat="1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wrapText="1"/>
    </xf>
    <xf numFmtId="0" fontId="20" fillId="4" borderId="5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/>
    </xf>
    <xf numFmtId="0" fontId="19" fillId="4" borderId="5" xfId="0" applyFont="1" applyFill="1" applyBorder="1"/>
    <xf numFmtId="0" fontId="28" fillId="15" borderId="5" xfId="0" applyFont="1" applyFill="1" applyBorder="1" applyAlignment="1">
      <alignment horizontal="right" vertical="center" wrapText="1"/>
    </xf>
    <xf numFmtId="10" fontId="20" fillId="15" borderId="5" xfId="0" applyNumberFormat="1" applyFont="1" applyFill="1" applyBorder="1" applyAlignment="1">
      <alignment horizontal="center" vertical="center"/>
    </xf>
    <xf numFmtId="0" fontId="19" fillId="15" borderId="5" xfId="0" applyFont="1" applyFill="1" applyBorder="1" applyAlignment="1">
      <alignment horizontal="center" vertical="center"/>
    </xf>
    <xf numFmtId="0" fontId="42" fillId="4" borderId="5" xfId="0" applyFont="1" applyFill="1" applyBorder="1" applyAlignment="1">
      <alignment horizontal="left" vertical="center" wrapText="1"/>
    </xf>
    <xf numFmtId="0" fontId="42" fillId="4" borderId="5" xfId="0" applyFont="1" applyFill="1" applyBorder="1" applyAlignment="1">
      <alignment horizontal="left" vertical="center"/>
    </xf>
    <xf numFmtId="0" fontId="28" fillId="6" borderId="5" xfId="0" applyFont="1" applyFill="1" applyBorder="1" applyAlignment="1">
      <alignment horizontal="center" wrapText="1"/>
    </xf>
    <xf numFmtId="0" fontId="26" fillId="15" borderId="5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 vertical="center" wrapText="1"/>
    </xf>
    <xf numFmtId="174" fontId="2" fillId="23" borderId="5" xfId="2" applyNumberFormat="1" applyFill="1" applyBorder="1" applyAlignment="1" applyProtection="1">
      <alignment vertical="center"/>
    </xf>
    <xf numFmtId="174" fontId="2" fillId="23" borderId="5" xfId="2" applyNumberFormat="1" applyFill="1" applyBorder="1" applyAlignment="1">
      <alignment vertical="center"/>
    </xf>
    <xf numFmtId="44" fontId="31" fillId="0" borderId="5" xfId="0" applyNumberFormat="1" applyFont="1" applyBorder="1" applyAlignment="1">
      <alignment horizontal="center" vertical="center"/>
    </xf>
    <xf numFmtId="0" fontId="32" fillId="0" borderId="5" xfId="0" applyFont="1" applyBorder="1" applyAlignment="1" applyProtection="1">
      <alignment horizontal="right" vertical="center"/>
      <protection locked="0"/>
    </xf>
    <xf numFmtId="0" fontId="19" fillId="0" borderId="5" xfId="0" applyFont="1" applyBorder="1" applyAlignment="1">
      <alignment horizontal="right" vertical="center"/>
    </xf>
    <xf numFmtId="0" fontId="26" fillId="0" borderId="5" xfId="0" applyFont="1" applyBorder="1" applyAlignment="1">
      <alignment horizontal="left" vertical="center"/>
    </xf>
    <xf numFmtId="9" fontId="32" fillId="0" borderId="5" xfId="0" applyNumberFormat="1" applyFont="1" applyBorder="1" applyAlignment="1" applyProtection="1">
      <alignment horizontal="right" vertical="center"/>
      <protection locked="0"/>
    </xf>
    <xf numFmtId="9" fontId="19" fillId="0" borderId="5" xfId="0" applyNumberFormat="1" applyFont="1" applyBorder="1" applyAlignment="1">
      <alignment horizontal="right" vertical="center"/>
    </xf>
    <xf numFmtId="0" fontId="20" fillId="14" borderId="5" xfId="0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left" vertical="center"/>
    </xf>
    <xf numFmtId="174" fontId="32" fillId="0" borderId="5" xfId="1" applyNumberFormat="1" applyFont="1" applyBorder="1" applyAlignment="1" applyProtection="1">
      <alignment horizontal="right" vertical="center"/>
      <protection locked="0"/>
    </xf>
    <xf numFmtId="174" fontId="19" fillId="0" borderId="5" xfId="0" applyNumberFormat="1" applyFont="1" applyBorder="1" applyAlignment="1">
      <alignment horizontal="right" vertical="center"/>
    </xf>
    <xf numFmtId="9" fontId="26" fillId="0" borderId="5" xfId="0" applyNumberFormat="1" applyFont="1" applyBorder="1" applyAlignment="1">
      <alignment horizontal="right" vertical="center"/>
    </xf>
    <xf numFmtId="0" fontId="26" fillId="15" borderId="5" xfId="0" applyFont="1" applyFill="1" applyBorder="1" applyAlignment="1">
      <alignment horizontal="right" vertical="center"/>
    </xf>
    <xf numFmtId="0" fontId="49" fillId="4" borderId="5" xfId="0" applyFont="1" applyFill="1" applyBorder="1" applyAlignment="1">
      <alignment horizontal="left"/>
    </xf>
    <xf numFmtId="0" fontId="26" fillId="6" borderId="5" xfId="0" applyFont="1" applyFill="1" applyBorder="1" applyAlignment="1">
      <alignment horizontal="right" vertical="center"/>
    </xf>
    <xf numFmtId="0" fontId="6" fillId="13" borderId="5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horizontal="center"/>
    </xf>
    <xf numFmtId="0" fontId="38" fillId="0" borderId="5" xfId="0" applyFont="1" applyBorder="1" applyAlignment="1">
      <alignment horizontal="left" vertical="center"/>
    </xf>
    <xf numFmtId="0" fontId="20" fillId="16" borderId="5" xfId="0" applyFont="1" applyFill="1" applyBorder="1" applyAlignment="1">
      <alignment horizontal="right"/>
    </xf>
    <xf numFmtId="0" fontId="20" fillId="13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right"/>
    </xf>
    <xf numFmtId="0" fontId="20" fillId="13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left"/>
    </xf>
    <xf numFmtId="0" fontId="20" fillId="6" borderId="5" xfId="0" applyFont="1" applyFill="1" applyBorder="1" applyAlignment="1">
      <alignment horizontal="right" vertical="center"/>
    </xf>
    <xf numFmtId="0" fontId="45" fillId="4" borderId="5" xfId="0" applyFont="1" applyFill="1" applyBorder="1" applyAlignment="1">
      <alignment horizontal="left" vertical="center" wrapText="1"/>
    </xf>
    <xf numFmtId="0" fontId="26" fillId="15" borderId="5" xfId="0" applyFont="1" applyFill="1" applyBorder="1" applyAlignment="1">
      <alignment horizontal="left" vertical="center"/>
    </xf>
    <xf numFmtId="0" fontId="11" fillId="15" borderId="2" xfId="0" applyFont="1" applyFill="1" applyBorder="1" applyAlignment="1" applyProtection="1">
      <alignment horizontal="center"/>
      <protection locked="0"/>
    </xf>
    <xf numFmtId="0" fontId="11" fillId="15" borderId="5" xfId="0" applyFont="1" applyFill="1" applyBorder="1" applyAlignment="1" applyProtection="1">
      <alignment horizontal="center"/>
      <protection locked="0"/>
    </xf>
    <xf numFmtId="0" fontId="26" fillId="2" borderId="5" xfId="0" applyFont="1" applyFill="1" applyBorder="1" applyAlignment="1">
      <alignment horizontal="center" vertical="center"/>
    </xf>
    <xf numFmtId="0" fontId="59" fillId="4" borderId="5" xfId="0" applyFont="1" applyFill="1" applyBorder="1" applyAlignment="1">
      <alignment horizontal="center" vertical="center"/>
    </xf>
    <xf numFmtId="0" fontId="58" fillId="4" borderId="5" xfId="0" applyFont="1" applyFill="1" applyBorder="1" applyAlignment="1">
      <alignment horizontal="center" vertical="center" wrapText="1"/>
    </xf>
    <xf numFmtId="0" fontId="58" fillId="4" borderId="5" xfId="0" applyFont="1" applyFill="1" applyBorder="1" applyAlignment="1">
      <alignment horizontal="center" vertical="center"/>
    </xf>
    <xf numFmtId="0" fontId="60" fillId="6" borderId="5" xfId="0" applyFont="1" applyFill="1" applyBorder="1" applyAlignment="1">
      <alignment horizontal="center"/>
    </xf>
    <xf numFmtId="0" fontId="19" fillId="0" borderId="5" xfId="0" quotePrefix="1" applyFont="1" applyBorder="1" applyAlignment="1">
      <alignment horizontal="left" vertical="center"/>
    </xf>
    <xf numFmtId="0" fontId="57" fillId="4" borderId="5" xfId="0" applyFont="1" applyFill="1" applyBorder="1" applyAlignment="1">
      <alignment horizontal="left"/>
    </xf>
    <xf numFmtId="0" fontId="20" fillId="15" borderId="5" xfId="0" applyFont="1" applyFill="1" applyBorder="1" applyAlignment="1">
      <alignment horizontal="right" vertical="center"/>
    </xf>
    <xf numFmtId="0" fontId="20" fillId="0" borderId="5" xfId="0" applyFont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0" fontId="20" fillId="17" borderId="5" xfId="0" applyFont="1" applyFill="1" applyBorder="1" applyAlignment="1">
      <alignment horizontal="center"/>
    </xf>
    <xf numFmtId="0" fontId="20" fillId="0" borderId="5" xfId="0" applyFont="1" applyFill="1" applyBorder="1" applyAlignment="1" applyProtection="1">
      <alignment horizontal="left" vertical="center"/>
    </xf>
    <xf numFmtId="0" fontId="31" fillId="0" borderId="5" xfId="0" applyFont="1" applyFill="1" applyBorder="1" applyAlignment="1">
      <alignment horizontal="left"/>
    </xf>
    <xf numFmtId="0" fontId="31" fillId="0" borderId="5" xfId="0" applyFont="1" applyFill="1" applyBorder="1" applyAlignment="1" applyProtection="1">
      <alignment horizontal="left" vertical="center"/>
    </xf>
    <xf numFmtId="0" fontId="20" fillId="6" borderId="5" xfId="0" applyFont="1" applyFill="1" applyBorder="1" applyAlignment="1" applyProtection="1">
      <alignment horizontal="right" vertical="center"/>
    </xf>
    <xf numFmtId="0" fontId="6" fillId="13" borderId="5" xfId="0" applyFont="1" applyFill="1" applyBorder="1" applyAlignment="1" applyProtection="1">
      <alignment horizontal="center" vertical="center"/>
    </xf>
    <xf numFmtId="0" fontId="20" fillId="14" borderId="5" xfId="0" applyFont="1" applyFill="1" applyBorder="1" applyAlignment="1" applyProtection="1">
      <alignment horizontal="center" vertical="center"/>
    </xf>
    <xf numFmtId="0" fontId="26" fillId="6" borderId="5" xfId="0" applyFont="1" applyFill="1" applyBorder="1" applyAlignment="1" applyProtection="1">
      <alignment horizontal="right" vertical="center"/>
    </xf>
    <xf numFmtId="0" fontId="45" fillId="4" borderId="5" xfId="0" applyFont="1" applyFill="1" applyBorder="1" applyAlignment="1" applyProtection="1">
      <alignment horizontal="left" vertical="center" wrapText="1"/>
    </xf>
    <xf numFmtId="0" fontId="31" fillId="0" borderId="5" xfId="0" applyFont="1" applyFill="1" applyBorder="1" applyAlignment="1">
      <alignment horizontal="left" vertical="center"/>
    </xf>
    <xf numFmtId="0" fontId="20" fillId="15" borderId="5" xfId="0" applyFont="1" applyFill="1" applyBorder="1" applyAlignment="1" applyProtection="1">
      <alignment horizontal="right" vertical="center"/>
    </xf>
    <xf numFmtId="0" fontId="31" fillId="0" borderId="5" xfId="0" applyFont="1" applyFill="1" applyBorder="1" applyAlignment="1" applyProtection="1">
      <alignment horizontal="left" vertical="center" wrapText="1"/>
    </xf>
    <xf numFmtId="0" fontId="6" fillId="15" borderId="5" xfId="0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 applyProtection="1">
      <alignment horizontal="center" vertical="center"/>
    </xf>
    <xf numFmtId="0" fontId="60" fillId="6" borderId="5" xfId="0" applyFont="1" applyFill="1" applyBorder="1" applyAlignment="1" applyProtection="1">
      <alignment horizontal="center"/>
    </xf>
    <xf numFmtId="0" fontId="20" fillId="17" borderId="5" xfId="0" applyFont="1" applyFill="1" applyBorder="1" applyAlignment="1" applyProtection="1">
      <alignment horizontal="center"/>
    </xf>
    <xf numFmtId="0" fontId="57" fillId="4" borderId="5" xfId="0" applyFont="1" applyFill="1" applyBorder="1" applyAlignment="1" applyProtection="1">
      <alignment horizontal="left"/>
    </xf>
    <xf numFmtId="0" fontId="59" fillId="4" borderId="5" xfId="0" applyFont="1" applyFill="1" applyBorder="1" applyAlignment="1" applyProtection="1">
      <alignment horizontal="center" vertical="center"/>
    </xf>
    <xf numFmtId="0" fontId="58" fillId="4" borderId="5" xfId="0" applyFont="1" applyFill="1" applyBorder="1" applyAlignment="1" applyProtection="1">
      <alignment horizontal="center" vertical="center" wrapText="1"/>
    </xf>
    <xf numFmtId="0" fontId="58" fillId="4" borderId="5" xfId="0" applyFont="1" applyFill="1" applyBorder="1" applyAlignment="1" applyProtection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 applyProtection="1">
      <alignment horizontal="right"/>
    </xf>
    <xf numFmtId="0" fontId="20" fillId="13" borderId="5" xfId="0" applyFont="1" applyFill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left" vertical="center"/>
    </xf>
    <xf numFmtId="0" fontId="19" fillId="0" borderId="5" xfId="0" applyFont="1" applyBorder="1" applyAlignment="1" applyProtection="1">
      <alignment horizontal="left" vertical="center"/>
    </xf>
    <xf numFmtId="0" fontId="31" fillId="0" borderId="5" xfId="0" applyFont="1" applyBorder="1" applyAlignment="1" applyProtection="1">
      <alignment horizontal="left" vertical="center" wrapText="1"/>
    </xf>
    <xf numFmtId="0" fontId="19" fillId="0" borderId="5" xfId="0" applyFont="1" applyBorder="1" applyAlignment="1" applyProtection="1">
      <alignment horizontal="left" vertical="center" wrapText="1"/>
    </xf>
    <xf numFmtId="0" fontId="38" fillId="0" borderId="5" xfId="0" applyFont="1" applyBorder="1" applyAlignment="1" applyProtection="1">
      <alignment horizontal="left" vertical="center"/>
    </xf>
    <xf numFmtId="0" fontId="20" fillId="16" borderId="5" xfId="0" applyFont="1" applyFill="1" applyBorder="1" applyAlignment="1" applyProtection="1">
      <alignment horizontal="right"/>
    </xf>
    <xf numFmtId="0" fontId="20" fillId="13" borderId="5" xfId="0" applyFont="1" applyFill="1" applyBorder="1" applyAlignment="1" applyProtection="1">
      <alignment horizontal="center" vertical="center" wrapText="1"/>
    </xf>
    <xf numFmtId="0" fontId="26" fillId="0" borderId="5" xfId="0" applyFont="1" applyBorder="1" applyAlignment="1" applyProtection="1">
      <alignment horizontal="left" vertical="center" wrapText="1"/>
    </xf>
    <xf numFmtId="0" fontId="26" fillId="2" borderId="5" xfId="0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left" vertical="center"/>
    </xf>
    <xf numFmtId="0" fontId="45" fillId="4" borderId="5" xfId="0" applyFont="1" applyFill="1" applyBorder="1" applyAlignment="1" applyProtection="1">
      <alignment horizontal="left"/>
    </xf>
    <xf numFmtId="0" fontId="26" fillId="0" borderId="5" xfId="0" applyFont="1" applyBorder="1" applyAlignment="1" applyProtection="1">
      <alignment horizontal="left" vertical="center"/>
    </xf>
    <xf numFmtId="0" fontId="26" fillId="15" borderId="5" xfId="0" applyFont="1" applyFill="1" applyBorder="1" applyAlignment="1" applyProtection="1">
      <alignment horizontal="right" vertical="center"/>
    </xf>
    <xf numFmtId="0" fontId="26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 wrapText="1"/>
    </xf>
    <xf numFmtId="165" fontId="32" fillId="0" borderId="5" xfId="1" applyNumberFormat="1" applyFont="1" applyFill="1" applyBorder="1" applyAlignment="1" applyProtection="1">
      <alignment horizontal="right" vertical="center"/>
      <protection locked="0"/>
    </xf>
    <xf numFmtId="165" fontId="19" fillId="0" borderId="5" xfId="0" applyNumberFormat="1" applyFont="1" applyFill="1" applyBorder="1" applyAlignment="1">
      <alignment horizontal="right" vertical="center"/>
    </xf>
    <xf numFmtId="44" fontId="31" fillId="0" borderId="5" xfId="0" applyNumberFormat="1" applyFont="1" applyFill="1" applyBorder="1" applyAlignment="1" applyProtection="1">
      <alignment horizontal="center" vertical="center"/>
    </xf>
    <xf numFmtId="0" fontId="32" fillId="0" borderId="5" xfId="0" applyNumberFormat="1" applyFont="1" applyFill="1" applyBorder="1" applyAlignment="1" applyProtection="1">
      <alignment horizontal="right" vertical="center"/>
      <protection locked="0"/>
    </xf>
    <xf numFmtId="0" fontId="19" fillId="0" borderId="5" xfId="0" applyNumberFormat="1" applyFont="1" applyFill="1" applyBorder="1" applyAlignment="1">
      <alignment horizontal="right" vertical="center"/>
    </xf>
    <xf numFmtId="9" fontId="26" fillId="0" borderId="5" xfId="0" applyNumberFormat="1" applyFont="1" applyFill="1" applyBorder="1" applyAlignment="1" applyProtection="1">
      <alignment horizontal="right" vertical="center"/>
    </xf>
    <xf numFmtId="165" fontId="2" fillId="23" borderId="5" xfId="2" applyNumberFormat="1" applyFill="1" applyBorder="1" applyAlignment="1" applyProtection="1">
      <alignment horizontal="right" vertical="center"/>
    </xf>
    <xf numFmtId="165" fontId="2" fillId="23" borderId="5" xfId="2" applyNumberFormat="1" applyFill="1" applyBorder="1" applyAlignment="1">
      <alignment horizontal="right" vertical="center"/>
    </xf>
    <xf numFmtId="0" fontId="28" fillId="15" borderId="5" xfId="0" applyFont="1" applyFill="1" applyBorder="1" applyAlignment="1" applyProtection="1">
      <alignment horizontal="right" vertical="center" wrapText="1"/>
    </xf>
    <xf numFmtId="0" fontId="28" fillId="15" borderId="5" xfId="0" applyFont="1" applyFill="1" applyBorder="1" applyAlignment="1" applyProtection="1">
      <alignment horizontal="right" vertical="center"/>
    </xf>
    <xf numFmtId="10" fontId="20" fillId="15" borderId="5" xfId="0" applyNumberFormat="1" applyFont="1" applyFill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right" vertical="center"/>
      <protection locked="0"/>
    </xf>
    <xf numFmtId="0" fontId="19" fillId="0" borderId="5" xfId="0" applyFont="1" applyFill="1" applyBorder="1" applyAlignment="1">
      <alignment horizontal="right" vertical="center"/>
    </xf>
    <xf numFmtId="9" fontId="32" fillId="0" borderId="5" xfId="0" applyNumberFormat="1" applyFont="1" applyFill="1" applyBorder="1" applyAlignment="1" applyProtection="1">
      <alignment horizontal="right" vertical="center"/>
      <protection locked="0"/>
    </xf>
    <xf numFmtId="9" fontId="19" fillId="0" borderId="5" xfId="0" applyNumberFormat="1" applyFont="1" applyFill="1" applyBorder="1" applyAlignment="1">
      <alignment horizontal="right" vertical="center"/>
    </xf>
    <xf numFmtId="0" fontId="43" fillId="4" borderId="5" xfId="0" applyFont="1" applyFill="1" applyBorder="1" applyAlignment="1" applyProtection="1">
      <alignment horizontal="left" vertical="center" wrapText="1"/>
    </xf>
    <xf numFmtId="0" fontId="26" fillId="10" borderId="5" xfId="0" applyFont="1" applyFill="1" applyBorder="1" applyAlignment="1">
      <alignment horizontal="center" vertical="center" wrapText="1"/>
    </xf>
    <xf numFmtId="10" fontId="27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/>
    <xf numFmtId="0" fontId="6" fillId="13" borderId="5" xfId="0" applyFont="1" applyFill="1" applyBorder="1" applyAlignment="1" applyProtection="1">
      <alignment horizontal="center"/>
    </xf>
    <xf numFmtId="0" fontId="20" fillId="14" borderId="5" xfId="0" applyFont="1" applyFill="1" applyBorder="1" applyAlignment="1" applyProtection="1">
      <alignment horizontal="center" vertical="center" wrapText="1"/>
    </xf>
    <xf numFmtId="0" fontId="27" fillId="0" borderId="5" xfId="0" applyFont="1" applyFill="1" applyBorder="1" applyAlignment="1" applyProtection="1">
      <alignment horizontal="left" wrapText="1"/>
    </xf>
    <xf numFmtId="9" fontId="28" fillId="0" borderId="5" xfId="0" applyNumberFormat="1" applyFont="1" applyFill="1" applyBorder="1" applyAlignment="1" applyProtection="1">
      <alignment horizontal="center" vertical="center"/>
    </xf>
    <xf numFmtId="0" fontId="28" fillId="0" borderId="5" xfId="0" applyFont="1" applyFill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left"/>
    </xf>
    <xf numFmtId="0" fontId="20" fillId="5" borderId="5" xfId="0" applyFont="1" applyFill="1" applyBorder="1" applyAlignment="1" applyProtection="1">
      <alignment horizontal="right" vertical="center"/>
    </xf>
    <xf numFmtId="0" fontId="45" fillId="4" borderId="5" xfId="0" applyFont="1" applyFill="1" applyBorder="1" applyAlignment="1" applyProtection="1">
      <alignment horizontal="left" vertical="center"/>
    </xf>
    <xf numFmtId="0" fontId="46" fillId="4" borderId="5" xfId="0" applyFont="1" applyFill="1" applyBorder="1" applyAlignment="1" applyProtection="1">
      <alignment horizontal="left" vertical="center"/>
    </xf>
    <xf numFmtId="0" fontId="6" fillId="6" borderId="5" xfId="0" applyFont="1" applyFill="1" applyBorder="1" applyAlignment="1" applyProtection="1">
      <alignment horizontal="center"/>
    </xf>
    <xf numFmtId="0" fontId="28" fillId="0" borderId="5" xfId="0" applyFont="1" applyFill="1" applyBorder="1" applyAlignment="1" applyProtection="1">
      <alignment horizontal="left" wrapText="1"/>
    </xf>
    <xf numFmtId="0" fontId="38" fillId="0" borderId="5" xfId="0" applyFont="1" applyFill="1" applyBorder="1" applyAlignment="1" applyProtection="1">
      <alignment horizontal="left" wrapText="1"/>
    </xf>
    <xf numFmtId="0" fontId="62" fillId="0" borderId="5" xfId="0" applyFont="1" applyFill="1" applyBorder="1" applyAlignment="1" applyProtection="1">
      <alignment horizontal="left" vertical="center" wrapText="1"/>
    </xf>
    <xf numFmtId="0" fontId="61" fillId="0" borderId="5" xfId="0" applyFont="1" applyFill="1" applyBorder="1" applyAlignment="1" applyProtection="1">
      <alignment horizontal="left" vertical="center" wrapText="1"/>
    </xf>
    <xf numFmtId="22" fontId="19" fillId="11" borderId="5" xfId="0" applyNumberFormat="1" applyFont="1" applyFill="1" applyBorder="1" applyAlignment="1" applyProtection="1">
      <alignment horizontal="center"/>
    </xf>
    <xf numFmtId="0" fontId="19" fillId="11" borderId="5" xfId="0" applyFont="1" applyFill="1" applyBorder="1" applyAlignment="1" applyProtection="1">
      <alignment horizontal="center"/>
    </xf>
    <xf numFmtId="0" fontId="31" fillId="0" borderId="5" xfId="0" applyFont="1" applyFill="1" applyBorder="1" applyAlignment="1" applyProtection="1">
      <alignment horizontal="left" wrapText="1"/>
    </xf>
    <xf numFmtId="0" fontId="20" fillId="7" borderId="5" xfId="0" applyFont="1" applyFill="1" applyBorder="1" applyAlignment="1" applyProtection="1">
      <alignment horizontal="center"/>
    </xf>
    <xf numFmtId="0" fontId="19" fillId="0" borderId="5" xfId="0" applyFont="1" applyBorder="1" applyAlignment="1" applyProtection="1">
      <alignment horizontal="center" vertical="center"/>
    </xf>
    <xf numFmtId="0" fontId="19" fillId="0" borderId="5" xfId="0" applyFont="1" applyFill="1" applyBorder="1" applyAlignment="1">
      <alignment horizontal="left"/>
    </xf>
    <xf numFmtId="0" fontId="20" fillId="21" borderId="5" xfId="0" applyFont="1" applyFill="1" applyBorder="1" applyAlignment="1" applyProtection="1">
      <alignment horizontal="center"/>
    </xf>
    <xf numFmtId="0" fontId="20" fillId="22" borderId="5" xfId="0" applyFont="1" applyFill="1" applyBorder="1" applyAlignment="1" applyProtection="1">
      <alignment horizontal="center"/>
    </xf>
    <xf numFmtId="0" fontId="19" fillId="22" borderId="5" xfId="0" applyFont="1" applyFill="1" applyBorder="1" applyAlignment="1" applyProtection="1">
      <alignment horizontal="center"/>
    </xf>
    <xf numFmtId="0" fontId="31" fillId="12" borderId="5" xfId="0" applyFont="1" applyFill="1" applyBorder="1" applyAlignment="1" applyProtection="1">
      <alignment horizontal="center" vertical="center"/>
    </xf>
    <xf numFmtId="49" fontId="22" fillId="3" borderId="5" xfId="0" applyNumberFormat="1" applyFont="1" applyFill="1" applyBorder="1" applyAlignment="1" applyProtection="1">
      <alignment horizontal="center"/>
    </xf>
    <xf numFmtId="17" fontId="22" fillId="3" borderId="5" xfId="0" applyNumberFormat="1" applyFont="1" applyFill="1" applyBorder="1" applyAlignment="1" applyProtection="1">
      <alignment horizontal="center"/>
    </xf>
    <xf numFmtId="0" fontId="20" fillId="3" borderId="5" xfId="0" applyFont="1" applyFill="1" applyBorder="1" applyAlignment="1" applyProtection="1">
      <alignment horizontal="center"/>
    </xf>
    <xf numFmtId="0" fontId="20" fillId="8" borderId="5" xfId="0" applyFont="1" applyFill="1" applyBorder="1" applyAlignment="1" applyProtection="1">
      <alignment horizontal="center"/>
    </xf>
    <xf numFmtId="0" fontId="20" fillId="0" borderId="5" xfId="0" applyFont="1" applyBorder="1" applyAlignment="1" applyProtection="1">
      <alignment horizontal="left"/>
    </xf>
    <xf numFmtId="0" fontId="61" fillId="0" borderId="5" xfId="0" applyFont="1" applyFill="1" applyBorder="1" applyAlignment="1" applyProtection="1">
      <alignment horizontal="left" wrapText="1"/>
    </xf>
    <xf numFmtId="0" fontId="30" fillId="0" borderId="5" xfId="0" applyFont="1" applyBorder="1" applyAlignment="1" applyProtection="1">
      <alignment horizontal="left"/>
    </xf>
    <xf numFmtId="0" fontId="30" fillId="12" borderId="5" xfId="0" applyFont="1" applyFill="1" applyBorder="1" applyAlignment="1" applyProtection="1">
      <alignment horizontal="left" vertical="center" wrapText="1"/>
    </xf>
    <xf numFmtId="0" fontId="30" fillId="12" borderId="5" xfId="0" applyFont="1" applyFill="1" applyBorder="1" applyAlignment="1" applyProtection="1">
      <alignment horizontal="left" vertical="center"/>
    </xf>
    <xf numFmtId="0" fontId="40" fillId="12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5" xfId="0" applyNumberFormat="1" applyFont="1" applyFill="1" applyBorder="1" applyAlignment="1">
      <alignment vertical="center"/>
    </xf>
    <xf numFmtId="0" fontId="19" fillId="12" borderId="5" xfId="0" applyFont="1" applyFill="1" applyBorder="1" applyAlignment="1" applyProtection="1">
      <alignment horizontal="left"/>
    </xf>
    <xf numFmtId="0" fontId="20" fillId="0" borderId="5" xfId="0" applyFont="1" applyBorder="1" applyAlignment="1" applyProtection="1">
      <alignment horizontal="center"/>
    </xf>
    <xf numFmtId="0" fontId="19" fillId="0" borderId="5" xfId="0" applyFont="1" applyBorder="1" applyAlignment="1" applyProtection="1">
      <alignment horizontal="left"/>
    </xf>
    <xf numFmtId="0" fontId="52" fillId="6" borderId="5" xfId="15" applyFont="1" applyFill="1" applyBorder="1" applyAlignment="1" applyProtection="1">
      <alignment horizontal="center"/>
    </xf>
    <xf numFmtId="0" fontId="52" fillId="2" borderId="5" xfId="15" applyFont="1" applyFill="1" applyBorder="1" applyAlignment="1" applyProtection="1">
      <alignment horizontal="center" wrapText="1"/>
    </xf>
    <xf numFmtId="0" fontId="11" fillId="0" borderId="5" xfId="15" applyFont="1" applyFill="1" applyBorder="1" applyAlignment="1" applyProtection="1">
      <alignment horizontal="center" vertical="center"/>
    </xf>
    <xf numFmtId="0" fontId="11" fillId="0" borderId="5" xfId="15" applyFont="1" applyFill="1" applyBorder="1" applyAlignment="1" applyProtection="1">
      <alignment horizontal="center" vertical="center" wrapText="1"/>
    </xf>
    <xf numFmtId="0" fontId="11" fillId="0" borderId="5" xfId="15" applyFont="1" applyBorder="1" applyAlignment="1" applyProtection="1">
      <alignment horizontal="center" vertical="center"/>
    </xf>
    <xf numFmtId="0" fontId="11" fillId="0" borderId="5" xfId="15" applyFont="1" applyBorder="1" applyAlignment="1" applyProtection="1">
      <alignment horizontal="center" vertical="center" wrapText="1"/>
    </xf>
    <xf numFmtId="0" fontId="18" fillId="0" borderId="1" xfId="15" applyNumberFormat="1" applyFont="1" applyFill="1" applyBorder="1" applyAlignment="1" applyProtection="1">
      <alignment horizontal="center" vertical="center"/>
    </xf>
    <xf numFmtId="0" fontId="18" fillId="0" borderId="2" xfId="15" applyNumberFormat="1" applyFont="1" applyFill="1" applyBorder="1" applyAlignment="1" applyProtection="1">
      <alignment horizontal="center" vertical="center"/>
    </xf>
    <xf numFmtId="0" fontId="11" fillId="18" borderId="5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18" fillId="0" borderId="5" xfId="15" applyNumberFormat="1" applyFont="1" applyFill="1" applyBorder="1" applyAlignment="1" applyProtection="1">
      <alignment horizontal="center" vertical="center"/>
    </xf>
    <xf numFmtId="0" fontId="55" fillId="19" borderId="5" xfId="15" applyFont="1" applyFill="1" applyBorder="1" applyAlignment="1" applyProtection="1">
      <alignment horizontal="center"/>
    </xf>
    <xf numFmtId="0" fontId="11" fillId="19" borderId="5" xfId="15" applyFont="1" applyFill="1" applyBorder="1" applyAlignment="1" applyProtection="1">
      <alignment horizontal="right" vertical="center"/>
    </xf>
    <xf numFmtId="0" fontId="0" fillId="0" borderId="6" xfId="15" applyFont="1" applyBorder="1" applyAlignment="1" applyProtection="1">
      <alignment horizontal="center" vertical="center"/>
    </xf>
    <xf numFmtId="0" fontId="51" fillId="19" borderId="5" xfId="15" applyFont="1" applyFill="1" applyBorder="1" applyAlignment="1" applyProtection="1">
      <alignment horizontal="center" vertical="center"/>
    </xf>
    <xf numFmtId="0" fontId="54" fillId="0" borderId="0" xfId="15" applyFont="1" applyBorder="1" applyAlignment="1">
      <alignment horizontal="left" vertical="center"/>
    </xf>
    <xf numFmtId="173" fontId="62" fillId="0" borderId="5" xfId="2" applyNumberFormat="1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173" fontId="27" fillId="0" borderId="1" xfId="2" applyNumberFormat="1" applyFont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8" fillId="15" borderId="5" xfId="0" applyFont="1" applyFill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1" fillId="3" borderId="5" xfId="0" applyFont="1" applyFill="1" applyBorder="1" applyAlignment="1">
      <alignment horizontal="center"/>
    </xf>
    <xf numFmtId="0" fontId="61" fillId="0" borderId="5" xfId="0" applyFont="1" applyBorder="1" applyAlignment="1">
      <alignment horizontal="center"/>
    </xf>
    <xf numFmtId="0" fontId="61" fillId="2" borderId="3" xfId="0" applyFont="1" applyFill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/>
    </xf>
    <xf numFmtId="0" fontId="61" fillId="15" borderId="5" xfId="0" applyFont="1" applyFill="1" applyBorder="1" applyAlignment="1">
      <alignment horizontal="center" vertical="center"/>
    </xf>
    <xf numFmtId="173" fontId="61" fillId="15" borderId="5" xfId="2" applyNumberFormat="1" applyFont="1" applyFill="1" applyBorder="1" applyAlignment="1">
      <alignment horizontal="center" vertical="center"/>
    </xf>
    <xf numFmtId="0" fontId="61" fillId="6" borderId="5" xfId="0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/>
    </xf>
    <xf numFmtId="0" fontId="61" fillId="0" borderId="7" xfId="0" applyFont="1" applyBorder="1" applyAlignment="1">
      <alignment horizontal="center"/>
    </xf>
    <xf numFmtId="0" fontId="61" fillId="0" borderId="2" xfId="0" applyFont="1" applyBorder="1" applyAlignment="1">
      <alignment horizontal="center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15" borderId="10" xfId="0" applyFont="1" applyFill="1" applyBorder="1" applyAlignment="1">
      <alignment horizontal="center" vertical="center" wrapText="1"/>
    </xf>
    <xf numFmtId="0" fontId="61" fillId="15" borderId="11" xfId="0" applyFont="1" applyFill="1" applyBorder="1" applyAlignment="1">
      <alignment horizontal="center" vertical="center"/>
    </xf>
    <xf numFmtId="0" fontId="61" fillId="15" borderId="12" xfId="0" applyFont="1" applyFill="1" applyBorder="1" applyAlignment="1">
      <alignment horizontal="center" vertical="center"/>
    </xf>
    <xf numFmtId="0" fontId="61" fillId="15" borderId="13" xfId="0" applyFont="1" applyFill="1" applyBorder="1" applyAlignment="1">
      <alignment horizontal="center" vertical="center"/>
    </xf>
    <xf numFmtId="0" fontId="61" fillId="15" borderId="14" xfId="0" applyFont="1" applyFill="1" applyBorder="1" applyAlignment="1">
      <alignment horizontal="center" vertical="center"/>
    </xf>
    <xf numFmtId="0" fontId="61" fillId="15" borderId="15" xfId="0" applyFont="1" applyFill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62" fillId="15" borderId="1" xfId="0" applyFont="1" applyFill="1" applyBorder="1" applyAlignment="1">
      <alignment horizontal="center" vertical="center" wrapText="1"/>
    </xf>
    <xf numFmtId="0" fontId="62" fillId="15" borderId="7" xfId="0" applyFont="1" applyFill="1" applyBorder="1" applyAlignment="1">
      <alignment horizontal="center" vertical="center" wrapText="1"/>
    </xf>
    <xf numFmtId="0" fontId="62" fillId="15" borderId="2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1" fillId="19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11" fillId="19" borderId="5" xfId="0" applyFont="1" applyFill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52" fillId="19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6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0805247-0993-428D-B9B4-6A59A8ADA8E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B86E4ABF-91F3-4A52-AF59-B09C19A6980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EBB4F11-19DC-40A2-9F0A-692E79F161C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BABB8E7-925B-42F4-91BF-A7A7F734567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87FD3FB-151E-4818-ADD2-15100306CE99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534BE857-3112-4DD0-9DAD-93EEF2F3056B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83B19334-3C66-4398-AD19-B9D8DA41AA4A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75AD79C-B679-4307-8B74-A14034E8FA0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Normal="100" workbookViewId="0">
      <selection activeCell="B22" sqref="B22:F22"/>
    </sheetView>
  </sheetViews>
  <sheetFormatPr defaultRowHeight="15"/>
  <cols>
    <col min="1" max="1" width="17.5703125" customWidth="1"/>
    <col min="2" max="2" width="19.7109375" customWidth="1"/>
    <col min="3" max="3" width="25.5703125" customWidth="1"/>
    <col min="4" max="4" width="16.42578125" customWidth="1"/>
    <col min="5" max="5" width="13.85546875" customWidth="1"/>
    <col min="6" max="6" width="19.85546875" customWidth="1"/>
    <col min="7" max="7" width="28.140625" customWidth="1"/>
    <col min="8" max="8" width="11.85546875" customWidth="1"/>
    <col min="9" max="9" width="10.42578125" customWidth="1"/>
  </cols>
  <sheetData>
    <row r="1" spans="1:9">
      <c r="A1" s="360" t="s">
        <v>36</v>
      </c>
      <c r="B1" s="360"/>
      <c r="C1" s="360"/>
      <c r="D1" s="360"/>
      <c r="E1" s="360"/>
      <c r="F1" s="360"/>
      <c r="G1" s="360"/>
      <c r="H1" s="2"/>
      <c r="I1" s="2"/>
    </row>
    <row r="2" spans="1:9">
      <c r="A2" s="361" t="s">
        <v>0</v>
      </c>
      <c r="B2" s="361"/>
      <c r="C2" s="361"/>
      <c r="D2" s="361"/>
      <c r="E2" s="361"/>
      <c r="F2" s="361"/>
      <c r="G2" s="361"/>
      <c r="H2" s="2"/>
      <c r="I2" s="2"/>
    </row>
    <row r="3" spans="1:9">
      <c r="A3" s="136" t="s">
        <v>1</v>
      </c>
      <c r="B3" s="362" t="s">
        <v>369</v>
      </c>
      <c r="C3" s="362"/>
      <c r="D3" s="362"/>
      <c r="E3" s="137" t="s">
        <v>2</v>
      </c>
      <c r="F3" s="363" t="s">
        <v>371</v>
      </c>
      <c r="G3" s="363"/>
      <c r="H3" s="2"/>
      <c r="I3" s="2"/>
    </row>
    <row r="4" spans="1:9">
      <c r="A4" s="136" t="s">
        <v>3</v>
      </c>
      <c r="B4" s="364">
        <f ca="1">NOW()</f>
        <v>44335.713012268519</v>
      </c>
      <c r="C4" s="364"/>
      <c r="D4" s="364"/>
      <c r="E4" s="364"/>
      <c r="F4" s="364"/>
      <c r="G4" s="364"/>
      <c r="H4" s="2"/>
      <c r="I4" s="2"/>
    </row>
    <row r="5" spans="1:9">
      <c r="A5" s="365" t="s">
        <v>4</v>
      </c>
      <c r="B5" s="365"/>
      <c r="C5" s="365"/>
      <c r="D5" s="365"/>
      <c r="E5" s="365"/>
      <c r="F5" s="365"/>
      <c r="G5" s="365"/>
      <c r="H5" s="6"/>
      <c r="I5" s="2"/>
    </row>
    <row r="6" spans="1:9">
      <c r="A6" s="376" t="s">
        <v>5</v>
      </c>
      <c r="B6" s="376"/>
      <c r="C6" s="377" t="s">
        <v>350</v>
      </c>
      <c r="D6" s="377"/>
      <c r="E6" s="377"/>
      <c r="F6" s="377"/>
      <c r="G6" s="377"/>
      <c r="H6" s="4"/>
      <c r="I6" s="2"/>
    </row>
    <row r="7" spans="1:9">
      <c r="A7" s="376" t="s">
        <v>6</v>
      </c>
      <c r="B7" s="376"/>
      <c r="C7" s="377" t="s">
        <v>370</v>
      </c>
      <c r="D7" s="377"/>
      <c r="E7" s="377"/>
      <c r="F7" s="377"/>
      <c r="G7" s="377"/>
      <c r="H7" s="138"/>
      <c r="I7" s="2"/>
    </row>
    <row r="8" spans="1:9">
      <c r="A8" s="376" t="s">
        <v>268</v>
      </c>
      <c r="B8" s="376"/>
      <c r="C8" s="376"/>
      <c r="D8" s="211"/>
      <c r="E8" s="378">
        <v>1</v>
      </c>
      <c r="F8" s="378"/>
      <c r="G8" s="298" t="str">
        <f>IF(E8=1,"Lucro Real",IF(E8=2,"Lucro Presumido",IF(E8=3,"SIMPLES-Anexo III",IF(E8=4,"SIMPLES-Anexo IV","RT Inválido"))))</f>
        <v>Lucro Real</v>
      </c>
      <c r="H8" s="138"/>
      <c r="I8" s="2"/>
    </row>
    <row r="9" spans="1:9">
      <c r="A9" s="366" t="s">
        <v>7</v>
      </c>
      <c r="B9" s="366"/>
      <c r="C9" s="366"/>
      <c r="D9" s="366"/>
      <c r="E9" s="366"/>
      <c r="F9" s="366"/>
      <c r="G9" s="366"/>
      <c r="H9" s="138"/>
      <c r="I9" s="2"/>
    </row>
    <row r="10" spans="1:9">
      <c r="A10" s="299" t="s">
        <v>8</v>
      </c>
      <c r="B10" s="367" t="s">
        <v>9</v>
      </c>
      <c r="C10" s="367"/>
      <c r="D10" s="367"/>
      <c r="E10" s="368">
        <f ca="1">NOW()</f>
        <v>44335.713012268519</v>
      </c>
      <c r="F10" s="369"/>
      <c r="G10" s="369"/>
      <c r="H10" s="138"/>
      <c r="I10" s="2"/>
    </row>
    <row r="11" spans="1:9">
      <c r="A11" s="299" t="s">
        <v>10</v>
      </c>
      <c r="B11" s="370" t="s">
        <v>11</v>
      </c>
      <c r="C11" s="370"/>
      <c r="D11" s="370"/>
      <c r="E11" s="371" t="s">
        <v>351</v>
      </c>
      <c r="F11" s="371"/>
      <c r="G11" s="371"/>
      <c r="H11" s="2"/>
      <c r="I11" s="2"/>
    </row>
    <row r="12" spans="1:9" ht="28.5" customHeight="1">
      <c r="A12" s="148" t="s">
        <v>12</v>
      </c>
      <c r="B12" s="372" t="s">
        <v>69</v>
      </c>
      <c r="C12" s="373"/>
      <c r="D12" s="373"/>
      <c r="E12" s="373"/>
      <c r="F12" s="374" t="s">
        <v>263</v>
      </c>
      <c r="G12" s="375"/>
      <c r="H12" s="2"/>
      <c r="I12" s="2"/>
    </row>
    <row r="13" spans="1:9">
      <c r="A13" s="299" t="s">
        <v>13</v>
      </c>
      <c r="B13" s="384" t="s">
        <v>14</v>
      </c>
      <c r="C13" s="384"/>
      <c r="D13" s="384"/>
      <c r="E13" s="384"/>
      <c r="F13" s="384"/>
      <c r="G13" s="230">
        <v>30</v>
      </c>
      <c r="H13" s="2"/>
      <c r="I13" s="2"/>
    </row>
    <row r="14" spans="1:9">
      <c r="A14" s="385" t="s">
        <v>289</v>
      </c>
      <c r="B14" s="385"/>
      <c r="C14" s="385"/>
      <c r="D14" s="385"/>
      <c r="E14" s="385"/>
      <c r="F14" s="385"/>
      <c r="G14" s="385"/>
      <c r="H14" s="2"/>
      <c r="I14" s="2"/>
    </row>
    <row r="15" spans="1:9">
      <c r="A15" s="386" t="s">
        <v>290</v>
      </c>
      <c r="B15" s="386"/>
      <c r="C15" s="386"/>
      <c r="D15" s="387" t="s">
        <v>291</v>
      </c>
      <c r="E15" s="387"/>
      <c r="F15" s="387" t="s">
        <v>292</v>
      </c>
      <c r="G15" s="387"/>
      <c r="H15" s="2"/>
      <c r="I15" s="2"/>
    </row>
    <row r="16" spans="1:9">
      <c r="A16" s="388" t="s">
        <v>348</v>
      </c>
      <c r="B16" s="388"/>
      <c r="C16" s="388"/>
      <c r="D16" s="389" t="s">
        <v>293</v>
      </c>
      <c r="E16" s="389"/>
      <c r="F16" s="390">
        <v>2</v>
      </c>
      <c r="G16" s="390"/>
      <c r="H16" s="2"/>
      <c r="I16" s="2"/>
    </row>
    <row r="17" spans="1:9">
      <c r="A17" s="388"/>
      <c r="B17" s="388"/>
      <c r="C17" s="388"/>
      <c r="D17" s="389"/>
      <c r="E17" s="389"/>
      <c r="F17" s="390"/>
      <c r="G17" s="390"/>
      <c r="H17" s="2"/>
      <c r="I17" s="2"/>
    </row>
    <row r="18" spans="1:9">
      <c r="A18" s="379"/>
      <c r="B18" s="379"/>
      <c r="C18" s="379"/>
      <c r="D18" s="379"/>
      <c r="E18" s="379"/>
      <c r="F18" s="379"/>
      <c r="G18" s="379"/>
      <c r="H18" s="2"/>
      <c r="I18" s="6"/>
    </row>
    <row r="19" spans="1:9" ht="15.75">
      <c r="A19" s="380" t="s">
        <v>304</v>
      </c>
      <c r="B19" s="380"/>
      <c r="C19" s="380"/>
      <c r="D19" s="380"/>
      <c r="E19" s="380"/>
      <c r="F19" s="380"/>
      <c r="G19" s="380"/>
      <c r="H19" s="2"/>
      <c r="I19" s="6"/>
    </row>
    <row r="20" spans="1:9">
      <c r="A20" s="361" t="s">
        <v>303</v>
      </c>
      <c r="B20" s="361"/>
      <c r="C20" s="361"/>
      <c r="D20" s="361"/>
      <c r="E20" s="361"/>
      <c r="F20" s="361"/>
      <c r="G20" s="361"/>
      <c r="H20" s="2"/>
      <c r="I20" s="6"/>
    </row>
    <row r="21" spans="1:9">
      <c r="A21" s="381" t="s">
        <v>305</v>
      </c>
      <c r="B21" s="381"/>
      <c r="C21" s="381"/>
      <c r="D21" s="381"/>
      <c r="E21" s="381"/>
      <c r="F21" s="381"/>
      <c r="G21" s="381"/>
      <c r="H21" s="2"/>
      <c r="I21" s="6"/>
    </row>
    <row r="22" spans="1:9" ht="63" customHeight="1">
      <c r="A22" s="159">
        <v>1</v>
      </c>
      <c r="B22" s="382" t="s">
        <v>271</v>
      </c>
      <c r="C22" s="382"/>
      <c r="D22" s="382"/>
      <c r="E22" s="382"/>
      <c r="F22" s="367"/>
      <c r="G22" s="300" t="s">
        <v>354</v>
      </c>
      <c r="H22" s="2"/>
      <c r="I22" s="6"/>
    </row>
    <row r="23" spans="1:9">
      <c r="A23" s="159">
        <v>2</v>
      </c>
      <c r="B23" s="383" t="s">
        <v>54</v>
      </c>
      <c r="C23" s="383"/>
      <c r="D23" s="383"/>
      <c r="E23" s="383"/>
      <c r="F23" s="384"/>
      <c r="G23" s="301" t="s">
        <v>68</v>
      </c>
      <c r="H23" s="2"/>
      <c r="I23" s="6"/>
    </row>
    <row r="24" spans="1:9">
      <c r="A24" s="159">
        <v>3</v>
      </c>
      <c r="B24" s="393" t="s">
        <v>340</v>
      </c>
      <c r="C24" s="393"/>
      <c r="D24" s="393"/>
      <c r="E24" s="393"/>
      <c r="F24" s="393"/>
      <c r="G24" s="302">
        <v>1500.4</v>
      </c>
      <c r="H24" s="2"/>
      <c r="I24" s="7"/>
    </row>
    <row r="25" spans="1:9">
      <c r="A25" s="159">
        <v>4</v>
      </c>
      <c r="B25" s="382" t="s">
        <v>15</v>
      </c>
      <c r="C25" s="382"/>
      <c r="D25" s="382"/>
      <c r="E25" s="382"/>
      <c r="F25" s="382"/>
      <c r="G25" s="139" t="s">
        <v>72</v>
      </c>
      <c r="H25" s="2"/>
      <c r="I25" s="6"/>
    </row>
    <row r="26" spans="1:9">
      <c r="A26" s="159">
        <v>5</v>
      </c>
      <c r="B26" s="382" t="s">
        <v>16</v>
      </c>
      <c r="C26" s="382"/>
      <c r="D26" s="382"/>
      <c r="E26" s="382"/>
      <c r="F26" s="382"/>
      <c r="G26" s="303" t="s">
        <v>73</v>
      </c>
      <c r="H26" s="2"/>
      <c r="I26" s="6"/>
    </row>
    <row r="27" spans="1:9">
      <c r="A27" s="140">
        <v>6</v>
      </c>
      <c r="B27" s="391" t="s">
        <v>77</v>
      </c>
      <c r="C27" s="391"/>
      <c r="D27" s="391"/>
      <c r="E27" s="391"/>
      <c r="F27" s="391"/>
      <c r="G27" s="141">
        <f>G24/220</f>
        <v>6.82</v>
      </c>
      <c r="H27" s="2"/>
      <c r="I27" s="6"/>
    </row>
    <row r="28" spans="1:9">
      <c r="A28" s="140">
        <v>7</v>
      </c>
      <c r="B28" s="391" t="s">
        <v>138</v>
      </c>
      <c r="C28" s="391"/>
      <c r="D28" s="391"/>
      <c r="E28" s="391"/>
      <c r="F28" s="391"/>
      <c r="G28" s="141">
        <f>SUM(G27+G29)</f>
        <v>8.870000000000001</v>
      </c>
      <c r="H28" s="2"/>
      <c r="I28" s="6"/>
    </row>
    <row r="29" spans="1:9">
      <c r="A29" s="140">
        <v>8</v>
      </c>
      <c r="B29" s="391" t="s">
        <v>139</v>
      </c>
      <c r="C29" s="391"/>
      <c r="D29" s="391"/>
      <c r="E29" s="391"/>
      <c r="F29" s="391"/>
      <c r="G29" s="141">
        <f>ROUND(G27*0.3,2)</f>
        <v>2.0499999999999998</v>
      </c>
      <c r="H29" s="2"/>
      <c r="I29" s="6"/>
    </row>
    <row r="30" spans="1:9">
      <c r="A30" s="140">
        <v>9</v>
      </c>
      <c r="B30" s="391" t="s">
        <v>142</v>
      </c>
      <c r="C30" s="391"/>
      <c r="D30" s="391"/>
      <c r="E30" s="391"/>
      <c r="F30" s="391"/>
      <c r="G30" s="141">
        <f>G24*0.3</f>
        <v>450.12</v>
      </c>
      <c r="H30" s="2"/>
      <c r="I30" s="6"/>
    </row>
    <row r="31" spans="1:9">
      <c r="A31" s="142">
        <v>10</v>
      </c>
      <c r="B31" s="392" t="s">
        <v>70</v>
      </c>
      <c r="C31" s="392"/>
      <c r="D31" s="392"/>
      <c r="E31" s="392"/>
      <c r="F31" s="392"/>
      <c r="G31" s="141">
        <f>ROUND(G27*1.5,2)</f>
        <v>10.23</v>
      </c>
      <c r="H31" s="2"/>
      <c r="I31" s="6"/>
    </row>
    <row r="32" spans="1:9">
      <c r="A32" s="142">
        <v>11</v>
      </c>
      <c r="B32" s="392" t="s">
        <v>140</v>
      </c>
      <c r="C32" s="392"/>
      <c r="D32" s="392"/>
      <c r="E32" s="392"/>
      <c r="F32" s="392"/>
      <c r="G32" s="141">
        <f>ROUND(1.3*G27*1.5,2)</f>
        <v>13.3</v>
      </c>
      <c r="H32" s="2"/>
      <c r="I32" s="6"/>
    </row>
    <row r="33" spans="1:9">
      <c r="A33" s="142">
        <v>12</v>
      </c>
      <c r="B33" s="392" t="s">
        <v>246</v>
      </c>
      <c r="C33" s="392"/>
      <c r="D33" s="392"/>
      <c r="E33" s="392"/>
      <c r="F33" s="392"/>
      <c r="G33" s="141">
        <f>ROUND(G27*0.2,2)</f>
        <v>1.36</v>
      </c>
      <c r="H33" s="2"/>
      <c r="I33" s="6"/>
    </row>
    <row r="34" spans="1:9">
      <c r="A34" s="142">
        <v>13</v>
      </c>
      <c r="B34" s="392" t="s">
        <v>141</v>
      </c>
      <c r="C34" s="392"/>
      <c r="D34" s="392"/>
      <c r="E34" s="392"/>
      <c r="F34" s="392"/>
      <c r="G34" s="141">
        <f>ROUND(1.3*G27*0.2,2)</f>
        <v>1.77</v>
      </c>
      <c r="H34" s="2"/>
      <c r="I34" s="6"/>
    </row>
    <row r="35" spans="1:9">
      <c r="A35" s="142">
        <v>14</v>
      </c>
      <c r="B35" s="392" t="s">
        <v>143</v>
      </c>
      <c r="C35" s="392"/>
      <c r="D35" s="392"/>
      <c r="E35" s="392"/>
      <c r="F35" s="392"/>
      <c r="G35" s="141">
        <f>ROUND(G27/6,2)</f>
        <v>1.1399999999999999</v>
      </c>
      <c r="H35" s="2"/>
      <c r="I35" s="6"/>
    </row>
    <row r="36" spans="1:9">
      <c r="A36" s="142">
        <v>15</v>
      </c>
      <c r="B36" s="392" t="s">
        <v>71</v>
      </c>
      <c r="C36" s="392"/>
      <c r="D36" s="392"/>
      <c r="E36" s="392"/>
      <c r="F36" s="392"/>
      <c r="G36" s="143">
        <v>2</v>
      </c>
      <c r="H36" s="2"/>
      <c r="I36" s="6"/>
    </row>
    <row r="37" spans="1:9">
      <c r="A37" s="144" t="s">
        <v>74</v>
      </c>
      <c r="B37" s="400" t="s">
        <v>308</v>
      </c>
      <c r="C37" s="400"/>
      <c r="D37" s="400"/>
      <c r="E37" s="400"/>
      <c r="F37" s="400"/>
      <c r="G37" s="400"/>
      <c r="H37" s="2"/>
      <c r="I37" s="6"/>
    </row>
    <row r="38" spans="1:9">
      <c r="A38" s="144" t="s">
        <v>75</v>
      </c>
      <c r="B38" s="400" t="s">
        <v>307</v>
      </c>
      <c r="C38" s="400"/>
      <c r="D38" s="400"/>
      <c r="E38" s="400"/>
      <c r="F38" s="400"/>
      <c r="G38" s="400"/>
      <c r="H38" s="2"/>
      <c r="I38" s="6"/>
    </row>
    <row r="39" spans="1:9">
      <c r="A39" s="304"/>
      <c r="B39" s="305"/>
      <c r="C39" s="305"/>
      <c r="D39" s="305"/>
      <c r="E39" s="305"/>
      <c r="F39" s="305"/>
      <c r="G39" s="305"/>
      <c r="H39" s="2"/>
      <c r="I39" s="6"/>
    </row>
    <row r="40" spans="1:9">
      <c r="A40" s="148"/>
      <c r="B40" s="306"/>
      <c r="C40" s="306"/>
      <c r="D40" s="306"/>
      <c r="E40" s="306"/>
      <c r="F40" s="306"/>
      <c r="G40" s="306"/>
      <c r="H40" s="2"/>
      <c r="I40" s="6"/>
    </row>
    <row r="41" spans="1:9" ht="15.75">
      <c r="A41" s="401" t="s">
        <v>76</v>
      </c>
      <c r="B41" s="401"/>
      <c r="C41" s="401"/>
      <c r="D41" s="401"/>
      <c r="E41" s="401"/>
      <c r="F41" s="401"/>
      <c r="G41" s="401"/>
      <c r="H41" s="2"/>
      <c r="I41" s="6"/>
    </row>
    <row r="42" spans="1:9">
      <c r="A42" s="208">
        <v>1</v>
      </c>
      <c r="B42" s="402" t="s">
        <v>17</v>
      </c>
      <c r="C42" s="402"/>
      <c r="D42" s="402"/>
      <c r="E42" s="402" t="s">
        <v>20</v>
      </c>
      <c r="F42" s="402"/>
      <c r="G42" s="210" t="s">
        <v>18</v>
      </c>
      <c r="H42" s="2"/>
      <c r="I42" s="6"/>
    </row>
    <row r="43" spans="1:9" ht="25.5" customHeight="1">
      <c r="A43" s="207" t="s">
        <v>8</v>
      </c>
      <c r="B43" s="394" t="s">
        <v>341</v>
      </c>
      <c r="C43" s="394"/>
      <c r="D43" s="394"/>
      <c r="E43" s="394"/>
      <c r="F43" s="394"/>
      <c r="G43" s="307">
        <f>ROUND((G24/220)*180,2)*G36</f>
        <v>2455.1999999999998</v>
      </c>
      <c r="H43" s="10"/>
      <c r="I43" s="11"/>
    </row>
    <row r="44" spans="1:9">
      <c r="A44" s="207" t="s">
        <v>10</v>
      </c>
      <c r="B44" s="395" t="s">
        <v>78</v>
      </c>
      <c r="C44" s="396"/>
      <c r="D44" s="396"/>
      <c r="E44" s="396"/>
      <c r="F44" s="396"/>
      <c r="G44" s="308">
        <f>ROUND($G$35*G36*15,2)</f>
        <v>34.200000000000003</v>
      </c>
      <c r="H44" s="9"/>
      <c r="I44" s="8"/>
    </row>
    <row r="45" spans="1:9">
      <c r="A45" s="145" t="s">
        <v>12</v>
      </c>
      <c r="B45" s="397" t="s">
        <v>276</v>
      </c>
      <c r="C45" s="397"/>
      <c r="D45" s="397"/>
      <c r="E45" s="397"/>
      <c r="F45" s="397"/>
      <c r="G45" s="308">
        <f>ROUND((G44)*0.2,2)</f>
        <v>6.84</v>
      </c>
      <c r="H45" s="9"/>
      <c r="I45" s="8"/>
    </row>
    <row r="46" spans="1:9">
      <c r="A46" s="207" t="s">
        <v>13</v>
      </c>
      <c r="B46" s="396" t="s">
        <v>251</v>
      </c>
      <c r="C46" s="396"/>
      <c r="D46" s="396"/>
      <c r="E46" s="398">
        <v>0.3</v>
      </c>
      <c r="F46" s="399"/>
      <c r="G46" s="146">
        <f>ROUND(E46*SUM(G43:G45),2)</f>
        <v>748.87</v>
      </c>
      <c r="H46" s="9"/>
      <c r="I46" s="8"/>
    </row>
    <row r="47" spans="1:9">
      <c r="A47" s="145" t="s">
        <v>22</v>
      </c>
      <c r="B47" s="397" t="s">
        <v>79</v>
      </c>
      <c r="C47" s="397"/>
      <c r="D47" s="397"/>
      <c r="E47" s="397"/>
      <c r="F47" s="397"/>
      <c r="G47" s="146">
        <v>0</v>
      </c>
      <c r="H47" s="9"/>
      <c r="I47" s="8"/>
    </row>
    <row r="48" spans="1:9">
      <c r="A48" s="407" t="s">
        <v>255</v>
      </c>
      <c r="B48" s="407"/>
      <c r="C48" s="407"/>
      <c r="D48" s="407"/>
      <c r="E48" s="407"/>
      <c r="F48" s="407"/>
      <c r="G48" s="147">
        <f>SUM(G43:G47)</f>
        <v>3245.1099999999997</v>
      </c>
      <c r="H48" s="2"/>
      <c r="I48" s="6"/>
    </row>
    <row r="49" spans="1:9">
      <c r="A49" s="148" t="s">
        <v>23</v>
      </c>
      <c r="B49" s="408" t="s">
        <v>326</v>
      </c>
      <c r="C49" s="408"/>
      <c r="D49" s="408"/>
      <c r="E49" s="408"/>
      <c r="F49" s="408"/>
      <c r="G49" s="149">
        <f>ROUND(G31*15*G36*0.5,2)</f>
        <v>153.44999999999999</v>
      </c>
      <c r="H49" s="2"/>
      <c r="I49" s="6"/>
    </row>
    <row r="50" spans="1:9">
      <c r="A50" s="409" t="s">
        <v>256</v>
      </c>
      <c r="B50" s="409"/>
      <c r="C50" s="409"/>
      <c r="D50" s="409"/>
      <c r="E50" s="409"/>
      <c r="F50" s="409"/>
      <c r="G50" s="150">
        <f>SUM(G49)</f>
        <v>153.44999999999999</v>
      </c>
      <c r="H50" s="2"/>
      <c r="I50" s="6"/>
    </row>
    <row r="51" spans="1:9">
      <c r="A51" s="309"/>
      <c r="B51" s="309"/>
      <c r="C51" s="309"/>
      <c r="D51" s="309"/>
      <c r="E51" s="309"/>
      <c r="F51" s="309"/>
      <c r="G51" s="310"/>
      <c r="H51" s="2"/>
      <c r="I51" s="6"/>
    </row>
    <row r="52" spans="1:9">
      <c r="A52" s="409" t="s">
        <v>250</v>
      </c>
      <c r="B52" s="409"/>
      <c r="C52" s="409"/>
      <c r="D52" s="409"/>
      <c r="E52" s="409"/>
      <c r="F52" s="409"/>
      <c r="G52" s="151">
        <f>G48+G50</f>
        <v>3398.5599999999995</v>
      </c>
      <c r="H52" s="2"/>
      <c r="I52" s="6"/>
    </row>
    <row r="53" spans="1:9">
      <c r="A53" s="144" t="s">
        <v>80</v>
      </c>
      <c r="B53" s="410" t="s">
        <v>317</v>
      </c>
      <c r="C53" s="410"/>
      <c r="D53" s="410"/>
      <c r="E53" s="410"/>
      <c r="F53" s="410"/>
      <c r="G53" s="410"/>
      <c r="H53" s="2"/>
      <c r="I53" s="6"/>
    </row>
    <row r="54" spans="1:9">
      <c r="A54" s="144" t="s">
        <v>84</v>
      </c>
      <c r="B54" s="410" t="s">
        <v>316</v>
      </c>
      <c r="C54" s="410"/>
      <c r="D54" s="410"/>
      <c r="E54" s="410"/>
      <c r="F54" s="410"/>
      <c r="G54" s="410"/>
      <c r="H54" s="2"/>
      <c r="I54" s="6"/>
    </row>
    <row r="55" spans="1:9">
      <c r="A55" s="304"/>
      <c r="B55" s="311"/>
      <c r="C55" s="311"/>
      <c r="D55" s="311"/>
      <c r="E55" s="311"/>
      <c r="F55" s="311"/>
      <c r="G55" s="311"/>
      <c r="H55" s="2"/>
      <c r="I55" s="6"/>
    </row>
    <row r="56" spans="1:9">
      <c r="A56" s="312"/>
      <c r="B56" s="312"/>
      <c r="C56" s="312"/>
      <c r="D56" s="299"/>
      <c r="E56" s="299"/>
      <c r="F56" s="299"/>
      <c r="G56" s="313"/>
      <c r="H56" s="2"/>
      <c r="I56" s="6"/>
    </row>
    <row r="57" spans="1:9" ht="15.75">
      <c r="A57" s="380" t="s">
        <v>81</v>
      </c>
      <c r="B57" s="380"/>
      <c r="C57" s="380"/>
      <c r="D57" s="380"/>
      <c r="E57" s="380"/>
      <c r="F57" s="380"/>
      <c r="G57" s="380"/>
      <c r="H57" s="2"/>
      <c r="I57" s="6"/>
    </row>
    <row r="58" spans="1:9">
      <c r="A58" s="152" t="s">
        <v>37</v>
      </c>
      <c r="B58" s="403" t="s">
        <v>252</v>
      </c>
      <c r="C58" s="403"/>
      <c r="D58" s="403"/>
      <c r="E58" s="403"/>
      <c r="F58" s="403"/>
      <c r="G58" s="205" t="s">
        <v>18</v>
      </c>
      <c r="H58" s="2"/>
      <c r="I58" s="6"/>
    </row>
    <row r="59" spans="1:9">
      <c r="A59" s="207" t="s">
        <v>8</v>
      </c>
      <c r="B59" s="404" t="s">
        <v>309</v>
      </c>
      <c r="C59" s="404"/>
      <c r="D59" s="404"/>
      <c r="E59" s="404"/>
      <c r="F59" s="404"/>
      <c r="G59" s="314">
        <f>ROUND(G48/12,2)</f>
        <v>270.43</v>
      </c>
      <c r="H59" s="15"/>
      <c r="I59" s="14"/>
    </row>
    <row r="60" spans="1:9">
      <c r="A60" s="207" t="s">
        <v>10</v>
      </c>
      <c r="B60" s="404" t="s">
        <v>82</v>
      </c>
      <c r="C60" s="404"/>
      <c r="D60" s="404"/>
      <c r="E60" s="404"/>
      <c r="F60" s="404"/>
      <c r="G60" s="314">
        <f>ROUND((G48+G48/3)/12,2)</f>
        <v>360.57</v>
      </c>
      <c r="H60" s="15"/>
      <c r="I60" s="14"/>
    </row>
    <row r="61" spans="1:9">
      <c r="A61" s="405" t="s">
        <v>83</v>
      </c>
      <c r="B61" s="405"/>
      <c r="C61" s="405"/>
      <c r="D61" s="405"/>
      <c r="E61" s="405"/>
      <c r="F61" s="405"/>
      <c r="G61" s="249">
        <f>SUM(G59:G60)</f>
        <v>631</v>
      </c>
      <c r="H61" s="15"/>
      <c r="I61" s="14"/>
    </row>
    <row r="62" spans="1:9" ht="28.5" customHeight="1">
      <c r="A62" s="153" t="s">
        <v>86</v>
      </c>
      <c r="B62" s="406" t="s">
        <v>310</v>
      </c>
      <c r="C62" s="406"/>
      <c r="D62" s="406"/>
      <c r="E62" s="406"/>
      <c r="F62" s="406"/>
      <c r="G62" s="406"/>
      <c r="H62" s="15"/>
      <c r="I62" s="14"/>
    </row>
    <row r="63" spans="1:9" ht="31.5" customHeight="1">
      <c r="A63" s="153" t="s">
        <v>87</v>
      </c>
      <c r="B63" s="406" t="s">
        <v>88</v>
      </c>
      <c r="C63" s="406"/>
      <c r="D63" s="406"/>
      <c r="E63" s="406"/>
      <c r="F63" s="406"/>
      <c r="G63" s="406"/>
      <c r="H63" s="15"/>
      <c r="I63" s="14"/>
    </row>
    <row r="64" spans="1:9">
      <c r="A64" s="315"/>
      <c r="B64" s="316"/>
      <c r="C64" s="316"/>
      <c r="D64" s="316"/>
      <c r="E64" s="316"/>
      <c r="F64" s="316"/>
      <c r="G64" s="316"/>
      <c r="H64" s="15"/>
      <c r="I64" s="14"/>
    </row>
    <row r="65" spans="1:9">
      <c r="A65" s="299"/>
      <c r="B65" s="299"/>
      <c r="C65" s="299"/>
      <c r="D65" s="317"/>
      <c r="E65" s="318"/>
      <c r="F65" s="318"/>
      <c r="G65" s="318"/>
      <c r="H65" s="2"/>
      <c r="I65" s="6"/>
    </row>
    <row r="66" spans="1:9">
      <c r="A66" s="154" t="s">
        <v>38</v>
      </c>
      <c r="B66" s="412" t="s">
        <v>253</v>
      </c>
      <c r="C66" s="412"/>
      <c r="D66" s="412"/>
      <c r="E66" s="412"/>
      <c r="F66" s="412"/>
      <c r="G66" s="412"/>
      <c r="H66" s="2"/>
      <c r="I66" s="6"/>
    </row>
    <row r="67" spans="1:9">
      <c r="A67" s="319"/>
      <c r="B67" s="413" t="s">
        <v>89</v>
      </c>
      <c r="C67" s="413"/>
      <c r="D67" s="413"/>
      <c r="E67" s="414" t="s">
        <v>20</v>
      </c>
      <c r="F67" s="415"/>
      <c r="G67" s="255" t="s">
        <v>18</v>
      </c>
      <c r="H67" s="2"/>
      <c r="I67" s="6"/>
    </row>
    <row r="68" spans="1:9">
      <c r="A68" s="207" t="s">
        <v>8</v>
      </c>
      <c r="B68" s="404" t="s">
        <v>28</v>
      </c>
      <c r="C68" s="404"/>
      <c r="D68" s="404"/>
      <c r="E68" s="411">
        <v>0.2</v>
      </c>
      <c r="F68" s="381"/>
      <c r="G68" s="314">
        <f>ROUND((G48+G61)*E68,2)</f>
        <v>775.22</v>
      </c>
      <c r="H68" s="15"/>
      <c r="I68" s="14"/>
    </row>
    <row r="69" spans="1:9">
      <c r="A69" s="207" t="s">
        <v>10</v>
      </c>
      <c r="B69" s="404" t="s">
        <v>39</v>
      </c>
      <c r="C69" s="404"/>
      <c r="D69" s="404"/>
      <c r="E69" s="411">
        <v>2.5000000000000001E-2</v>
      </c>
      <c r="F69" s="381"/>
      <c r="G69" s="314">
        <f>ROUND((G48+G61)*E69,2)</f>
        <v>96.9</v>
      </c>
      <c r="H69" s="15"/>
      <c r="I69" s="14"/>
    </row>
    <row r="70" spans="1:9">
      <c r="A70" s="207" t="s">
        <v>12</v>
      </c>
      <c r="B70" s="404" t="s">
        <v>96</v>
      </c>
      <c r="C70" s="404"/>
      <c r="D70" s="404"/>
      <c r="E70" s="411">
        <f>ROUND((H71*I71),6)</f>
        <v>0.03</v>
      </c>
      <c r="F70" s="381"/>
      <c r="G70" s="314">
        <f>ROUND((G48+G61)*E70,2)</f>
        <v>116.28</v>
      </c>
      <c r="H70" s="220" t="s">
        <v>90</v>
      </c>
      <c r="I70" s="38" t="s">
        <v>91</v>
      </c>
    </row>
    <row r="71" spans="1:9">
      <c r="A71" s="207" t="s">
        <v>13</v>
      </c>
      <c r="B71" s="404" t="s">
        <v>40</v>
      </c>
      <c r="C71" s="404"/>
      <c r="D71" s="404"/>
      <c r="E71" s="411">
        <v>1.4999999999999999E-2</v>
      </c>
      <c r="F71" s="381"/>
      <c r="G71" s="314">
        <f>ROUND((G48+G61)*E71,2)</f>
        <v>58.14</v>
      </c>
      <c r="H71" s="221">
        <v>0.03</v>
      </c>
      <c r="I71" s="40">
        <v>1</v>
      </c>
    </row>
    <row r="72" spans="1:9">
      <c r="A72" s="207" t="s">
        <v>22</v>
      </c>
      <c r="B72" s="404" t="s">
        <v>41</v>
      </c>
      <c r="C72" s="404"/>
      <c r="D72" s="404"/>
      <c r="E72" s="411">
        <v>0.01</v>
      </c>
      <c r="F72" s="381"/>
      <c r="G72" s="314">
        <f>ROUND((G48+G61)*E72,2)</f>
        <v>38.76</v>
      </c>
      <c r="H72" s="15"/>
      <c r="I72" s="14"/>
    </row>
    <row r="73" spans="1:9">
      <c r="A73" s="207" t="s">
        <v>23</v>
      </c>
      <c r="B73" s="404" t="s">
        <v>29</v>
      </c>
      <c r="C73" s="404"/>
      <c r="D73" s="404"/>
      <c r="E73" s="411">
        <v>6.0000000000000001E-3</v>
      </c>
      <c r="F73" s="381"/>
      <c r="G73" s="314">
        <f>ROUND((G48+G61)*E73,2)</f>
        <v>23.26</v>
      </c>
      <c r="H73" s="15"/>
      <c r="I73" s="14"/>
    </row>
    <row r="74" spans="1:9">
      <c r="A74" s="207" t="s">
        <v>24</v>
      </c>
      <c r="B74" s="404" t="s">
        <v>42</v>
      </c>
      <c r="C74" s="404"/>
      <c r="D74" s="404"/>
      <c r="E74" s="411">
        <v>2E-3</v>
      </c>
      <c r="F74" s="381"/>
      <c r="G74" s="314">
        <f>ROUND((G48+G61)*E74,2)</f>
        <v>7.75</v>
      </c>
      <c r="H74" s="15"/>
      <c r="I74" s="14"/>
    </row>
    <row r="75" spans="1:9">
      <c r="A75" s="207" t="s">
        <v>25</v>
      </c>
      <c r="B75" s="404" t="s">
        <v>43</v>
      </c>
      <c r="C75" s="404"/>
      <c r="D75" s="404"/>
      <c r="E75" s="411">
        <v>0.08</v>
      </c>
      <c r="F75" s="381"/>
      <c r="G75" s="314">
        <f>ROUND((G48+G61)*E75,2)</f>
        <v>310.08999999999997</v>
      </c>
      <c r="H75" s="15"/>
      <c r="I75" s="14"/>
    </row>
    <row r="76" spans="1:9">
      <c r="A76" s="416" t="s">
        <v>92</v>
      </c>
      <c r="B76" s="405"/>
      <c r="C76" s="405"/>
      <c r="D76" s="405"/>
      <c r="E76" s="417">
        <f>SUM(E68:F75)</f>
        <v>0.36800000000000005</v>
      </c>
      <c r="F76" s="418"/>
      <c r="G76" s="320">
        <f>SUM(G68:G75)</f>
        <v>1426.3999999999999</v>
      </c>
      <c r="H76" s="2"/>
      <c r="I76" s="155"/>
    </row>
    <row r="77" spans="1:9">
      <c r="A77" s="156" t="s">
        <v>93</v>
      </c>
      <c r="B77" s="419" t="s">
        <v>311</v>
      </c>
      <c r="C77" s="419"/>
      <c r="D77" s="419"/>
      <c r="E77" s="419"/>
      <c r="F77" s="419"/>
      <c r="G77" s="419"/>
      <c r="H77" s="2"/>
      <c r="I77" s="155"/>
    </row>
    <row r="78" spans="1:9">
      <c r="A78" s="156" t="s">
        <v>95</v>
      </c>
      <c r="B78" s="420" t="s">
        <v>312</v>
      </c>
      <c r="C78" s="420"/>
      <c r="D78" s="420"/>
      <c r="E78" s="420"/>
      <c r="F78" s="420"/>
      <c r="G78" s="420"/>
      <c r="H78" s="2"/>
      <c r="I78" s="155"/>
    </row>
    <row r="79" spans="1:9">
      <c r="A79" s="321"/>
      <c r="B79" s="322"/>
      <c r="C79" s="322"/>
      <c r="D79" s="322"/>
      <c r="E79" s="322"/>
      <c r="F79" s="322"/>
      <c r="G79" s="322"/>
      <c r="H79" s="2"/>
      <c r="I79" s="155"/>
    </row>
    <row r="80" spans="1:9">
      <c r="A80" s="321"/>
      <c r="B80" s="322"/>
      <c r="C80" s="322"/>
      <c r="D80" s="322"/>
      <c r="E80" s="322"/>
      <c r="F80" s="322"/>
      <c r="G80" s="322"/>
      <c r="H80" s="2"/>
      <c r="I80" s="155"/>
    </row>
    <row r="81" spans="1:9">
      <c r="A81" s="157" t="s">
        <v>44</v>
      </c>
      <c r="B81" s="421" t="s">
        <v>99</v>
      </c>
      <c r="C81" s="421"/>
      <c r="D81" s="421"/>
      <c r="E81" s="421"/>
      <c r="F81" s="421"/>
      <c r="G81" s="421"/>
      <c r="H81" s="2"/>
      <c r="I81" s="6"/>
    </row>
    <row r="82" spans="1:9">
      <c r="A82" s="158"/>
      <c r="B82" s="422" t="s">
        <v>99</v>
      </c>
      <c r="C82" s="422"/>
      <c r="D82" s="422"/>
      <c r="E82" s="422"/>
      <c r="F82" s="422"/>
      <c r="G82" s="323" t="s">
        <v>18</v>
      </c>
      <c r="H82" s="2"/>
      <c r="I82" s="6"/>
    </row>
    <row r="83" spans="1:9" ht="26.25" customHeight="1">
      <c r="A83" s="423" t="s">
        <v>8</v>
      </c>
      <c r="B83" s="424" t="s">
        <v>100</v>
      </c>
      <c r="C83" s="425" t="s">
        <v>101</v>
      </c>
      <c r="D83" s="425"/>
      <c r="E83" s="426">
        <v>3.5</v>
      </c>
      <c r="F83" s="427"/>
      <c r="G83" s="428">
        <f>IF(ROUND((E83*E85*E84)-(G43*E86),2)&lt;0,0,ROUND((E83*E85*E84)-(G43*E86),2))</f>
        <v>62.69</v>
      </c>
      <c r="H83" s="21"/>
      <c r="I83" s="20"/>
    </row>
    <row r="84" spans="1:9" ht="26.25" customHeight="1">
      <c r="A84" s="423"/>
      <c r="B84" s="424"/>
      <c r="C84" s="425" t="s">
        <v>102</v>
      </c>
      <c r="D84" s="425"/>
      <c r="E84" s="429">
        <v>2</v>
      </c>
      <c r="F84" s="430"/>
      <c r="G84" s="428"/>
      <c r="H84" s="21"/>
      <c r="I84" s="20"/>
    </row>
    <row r="85" spans="1:9" ht="30" customHeight="1">
      <c r="A85" s="423"/>
      <c r="B85" s="424"/>
      <c r="C85" s="425" t="s">
        <v>103</v>
      </c>
      <c r="D85" s="425"/>
      <c r="E85" s="429">
        <v>30</v>
      </c>
      <c r="F85" s="430"/>
      <c r="G85" s="428"/>
      <c r="H85" s="22"/>
      <c r="I85" s="23"/>
    </row>
    <row r="86" spans="1:9" ht="27.75" customHeight="1">
      <c r="A86" s="423"/>
      <c r="B86" s="424"/>
      <c r="C86" s="425" t="s">
        <v>105</v>
      </c>
      <c r="D86" s="425"/>
      <c r="E86" s="432">
        <v>0.06</v>
      </c>
      <c r="F86" s="433"/>
      <c r="G86" s="428"/>
      <c r="H86" s="21"/>
      <c r="I86" s="23"/>
    </row>
    <row r="87" spans="1:9" ht="30" customHeight="1">
      <c r="A87" s="423" t="s">
        <v>10</v>
      </c>
      <c r="B87" s="424" t="s">
        <v>327</v>
      </c>
      <c r="C87" s="425" t="s">
        <v>104</v>
      </c>
      <c r="D87" s="425"/>
      <c r="E87" s="437">
        <v>20</v>
      </c>
      <c r="F87" s="438"/>
      <c r="G87" s="428">
        <f>ROUND((E87*E88)-((E87*E88)*E89),2)</f>
        <v>480</v>
      </c>
      <c r="H87" s="21"/>
      <c r="I87" s="20"/>
    </row>
    <row r="88" spans="1:9" ht="25.5" customHeight="1">
      <c r="A88" s="423"/>
      <c r="B88" s="424"/>
      <c r="C88" s="425" t="s">
        <v>106</v>
      </c>
      <c r="D88" s="425"/>
      <c r="E88" s="429">
        <v>30</v>
      </c>
      <c r="F88" s="430"/>
      <c r="G88" s="428"/>
      <c r="H88" s="21"/>
      <c r="I88" s="20"/>
    </row>
    <row r="89" spans="1:9" ht="30.75" customHeight="1">
      <c r="A89" s="423"/>
      <c r="B89" s="424"/>
      <c r="C89" s="425" t="s">
        <v>107</v>
      </c>
      <c r="D89" s="425"/>
      <c r="E89" s="439">
        <v>0.2</v>
      </c>
      <c r="F89" s="439"/>
      <c r="G89" s="428"/>
      <c r="H89" s="21"/>
      <c r="I89" s="20"/>
    </row>
    <row r="90" spans="1:9">
      <c r="A90" s="159" t="s">
        <v>12</v>
      </c>
      <c r="B90" s="431" t="s">
        <v>26</v>
      </c>
      <c r="C90" s="431"/>
      <c r="D90" s="431"/>
      <c r="E90" s="431"/>
      <c r="F90" s="431"/>
      <c r="G90" s="324">
        <v>0</v>
      </c>
      <c r="H90" s="21"/>
      <c r="I90" s="20"/>
    </row>
    <row r="91" spans="1:9">
      <c r="A91" s="159" t="s">
        <v>13</v>
      </c>
      <c r="B91" s="436" t="s">
        <v>108</v>
      </c>
      <c r="C91" s="436"/>
      <c r="D91" s="436"/>
      <c r="E91" s="436"/>
      <c r="F91" s="436"/>
      <c r="G91" s="324">
        <f>ROUND((G48)*26*0.00023,2)</f>
        <v>19.41</v>
      </c>
      <c r="H91" s="21"/>
      <c r="I91" s="20"/>
    </row>
    <row r="92" spans="1:9">
      <c r="A92" s="159" t="s">
        <v>22</v>
      </c>
      <c r="B92" s="436" t="s">
        <v>109</v>
      </c>
      <c r="C92" s="436"/>
      <c r="D92" s="436"/>
      <c r="E92" s="436"/>
      <c r="F92" s="436"/>
      <c r="G92" s="43">
        <f>ROUND(((($G$43))*0.0052066)/12,2)</f>
        <v>1.07</v>
      </c>
      <c r="H92" s="21"/>
      <c r="I92" s="20"/>
    </row>
    <row r="93" spans="1:9">
      <c r="A93" s="159" t="s">
        <v>23</v>
      </c>
      <c r="B93" s="436" t="s">
        <v>110</v>
      </c>
      <c r="C93" s="436"/>
      <c r="D93" s="436"/>
      <c r="E93" s="436"/>
      <c r="F93" s="436"/>
      <c r="G93" s="43">
        <v>0</v>
      </c>
      <c r="H93" s="21"/>
      <c r="I93" s="20"/>
    </row>
    <row r="94" spans="1:9">
      <c r="A94" s="440" t="s">
        <v>111</v>
      </c>
      <c r="B94" s="440"/>
      <c r="C94" s="440"/>
      <c r="D94" s="440"/>
      <c r="E94" s="440"/>
      <c r="F94" s="440"/>
      <c r="G94" s="160">
        <f>SUM(G83:G93)</f>
        <v>563.17000000000007</v>
      </c>
      <c r="H94" s="2"/>
      <c r="I94" s="6"/>
    </row>
    <row r="95" spans="1:9">
      <c r="A95" s="161" t="s">
        <v>98</v>
      </c>
      <c r="B95" s="441" t="s">
        <v>58</v>
      </c>
      <c r="C95" s="441"/>
      <c r="D95" s="441"/>
      <c r="E95" s="441"/>
      <c r="F95" s="441"/>
      <c r="G95" s="441"/>
      <c r="H95" s="2"/>
      <c r="I95" s="6"/>
    </row>
    <row r="96" spans="1:9">
      <c r="A96" s="161" t="s">
        <v>112</v>
      </c>
      <c r="B96" s="441" t="s">
        <v>114</v>
      </c>
      <c r="C96" s="441"/>
      <c r="D96" s="441"/>
      <c r="E96" s="441"/>
      <c r="F96" s="441"/>
      <c r="G96" s="441"/>
      <c r="H96" s="2"/>
      <c r="I96" s="6"/>
    </row>
    <row r="97" spans="1:9">
      <c r="A97" s="325"/>
      <c r="B97" s="326"/>
      <c r="C97" s="326"/>
      <c r="D97" s="326"/>
      <c r="E97" s="326"/>
      <c r="F97" s="326"/>
      <c r="G97" s="326"/>
      <c r="H97" s="2"/>
      <c r="I97" s="6"/>
    </row>
    <row r="98" spans="1:9">
      <c r="A98" s="327"/>
      <c r="B98" s="328"/>
      <c r="C98" s="328"/>
      <c r="D98" s="329"/>
      <c r="E98" s="203"/>
      <c r="F98" s="203"/>
      <c r="G98" s="203"/>
      <c r="H98" s="2"/>
      <c r="I98" s="6"/>
    </row>
    <row r="99" spans="1:9">
      <c r="A99" s="434" t="s">
        <v>115</v>
      </c>
      <c r="B99" s="434"/>
      <c r="C99" s="434"/>
      <c r="D99" s="434"/>
      <c r="E99" s="434"/>
      <c r="F99" s="434"/>
      <c r="G99" s="434"/>
      <c r="H99" s="2"/>
      <c r="I99" s="6"/>
    </row>
    <row r="100" spans="1:9">
      <c r="A100" s="330" t="s">
        <v>116</v>
      </c>
      <c r="B100" s="435" t="s">
        <v>313</v>
      </c>
      <c r="C100" s="435"/>
      <c r="D100" s="435"/>
      <c r="E100" s="435"/>
      <c r="F100" s="435"/>
      <c r="G100" s="187" t="s">
        <v>18</v>
      </c>
      <c r="H100" s="21"/>
      <c r="I100" s="20"/>
    </row>
    <row r="101" spans="1:9">
      <c r="A101" s="159" t="s">
        <v>37</v>
      </c>
      <c r="B101" s="425" t="s">
        <v>53</v>
      </c>
      <c r="C101" s="425"/>
      <c r="D101" s="425"/>
      <c r="E101" s="425"/>
      <c r="F101" s="425"/>
      <c r="G101" s="180">
        <f>G61</f>
        <v>631</v>
      </c>
      <c r="H101" s="21"/>
      <c r="I101" s="20"/>
    </row>
    <row r="102" spans="1:9">
      <c r="A102" s="159" t="s">
        <v>38</v>
      </c>
      <c r="B102" s="425" t="s">
        <v>117</v>
      </c>
      <c r="C102" s="425"/>
      <c r="D102" s="425"/>
      <c r="E102" s="425"/>
      <c r="F102" s="425"/>
      <c r="G102" s="180">
        <f>G76</f>
        <v>1426.3999999999999</v>
      </c>
      <c r="H102" s="21"/>
      <c r="I102" s="20"/>
    </row>
    <row r="103" spans="1:9">
      <c r="A103" s="159" t="s">
        <v>44</v>
      </c>
      <c r="B103" s="436" t="s">
        <v>118</v>
      </c>
      <c r="C103" s="436"/>
      <c r="D103" s="436"/>
      <c r="E103" s="436"/>
      <c r="F103" s="436"/>
      <c r="G103" s="162">
        <f>G94</f>
        <v>563.17000000000007</v>
      </c>
      <c r="H103" s="26"/>
      <c r="I103" s="25"/>
    </row>
    <row r="104" spans="1:9">
      <c r="A104" s="409" t="s">
        <v>120</v>
      </c>
      <c r="B104" s="409"/>
      <c r="C104" s="409"/>
      <c r="D104" s="409"/>
      <c r="E104" s="409"/>
      <c r="F104" s="409"/>
      <c r="G104" s="45">
        <f>SUM(G101:G103)</f>
        <v>2620.5699999999997</v>
      </c>
      <c r="H104" s="26"/>
      <c r="I104" s="25"/>
    </row>
    <row r="105" spans="1:9">
      <c r="A105" s="309"/>
      <c r="B105" s="309"/>
      <c r="C105" s="309"/>
      <c r="D105" s="309"/>
      <c r="E105" s="309"/>
      <c r="F105" s="309"/>
      <c r="G105" s="331"/>
      <c r="H105" s="26"/>
      <c r="I105" s="25"/>
    </row>
    <row r="106" spans="1:9">
      <c r="A106" s="332"/>
      <c r="B106" s="333"/>
      <c r="C106" s="333"/>
      <c r="D106" s="148"/>
      <c r="E106" s="148"/>
      <c r="F106" s="148"/>
      <c r="G106" s="148"/>
      <c r="H106" s="26"/>
      <c r="I106" s="25"/>
    </row>
    <row r="107" spans="1:9" ht="15.75">
      <c r="A107" s="443" t="s">
        <v>121</v>
      </c>
      <c r="B107" s="443"/>
      <c r="C107" s="443"/>
      <c r="D107" s="443"/>
      <c r="E107" s="443"/>
      <c r="F107" s="443"/>
      <c r="G107" s="443"/>
      <c r="H107" s="2"/>
      <c r="I107" s="6"/>
    </row>
    <row r="108" spans="1:9">
      <c r="A108" s="334"/>
      <c r="B108" s="446" t="s">
        <v>122</v>
      </c>
      <c r="C108" s="446"/>
      <c r="D108" s="446"/>
      <c r="E108" s="446"/>
      <c r="F108" s="446"/>
      <c r="G108" s="335" t="s">
        <v>18</v>
      </c>
      <c r="H108" s="2"/>
      <c r="I108" s="6"/>
    </row>
    <row r="109" spans="1:9">
      <c r="A109" s="148" t="s">
        <v>8</v>
      </c>
      <c r="B109" s="436" t="s">
        <v>336</v>
      </c>
      <c r="C109" s="382"/>
      <c r="D109" s="382"/>
      <c r="E109" s="382"/>
      <c r="F109" s="382"/>
      <c r="G109" s="336">
        <f>ROUND(((G48/12)+($G$59/12)+($G$60/12))*(33/30)*0.05,2)</f>
        <v>17.77</v>
      </c>
      <c r="H109" s="2"/>
      <c r="I109" s="6"/>
    </row>
    <row r="110" spans="1:9">
      <c r="A110" s="148" t="s">
        <v>10</v>
      </c>
      <c r="B110" s="382" t="s">
        <v>32</v>
      </c>
      <c r="C110" s="382"/>
      <c r="D110" s="382"/>
      <c r="E110" s="382"/>
      <c r="F110" s="382"/>
      <c r="G110" s="336">
        <f>ROUND($E$75*G109,2)</f>
        <v>1.42</v>
      </c>
      <c r="H110" s="2"/>
      <c r="I110" s="6"/>
    </row>
    <row r="111" spans="1:9">
      <c r="A111" s="148" t="s">
        <v>12</v>
      </c>
      <c r="B111" s="382" t="s">
        <v>123</v>
      </c>
      <c r="C111" s="382"/>
      <c r="D111" s="382"/>
      <c r="E111" s="382"/>
      <c r="F111" s="382"/>
      <c r="G111" s="336">
        <f>ROUND((0.08*0.4*SUM(G48+$G$59+$G$60)*0.05),2)</f>
        <v>6.2</v>
      </c>
      <c r="H111" s="163"/>
      <c r="I111" s="6"/>
    </row>
    <row r="112" spans="1:9">
      <c r="A112" s="148" t="s">
        <v>13</v>
      </c>
      <c r="B112" s="382" t="s">
        <v>337</v>
      </c>
      <c r="C112" s="382"/>
      <c r="D112" s="382"/>
      <c r="E112" s="382"/>
      <c r="F112" s="382"/>
      <c r="G112" s="337">
        <f>ROUND(((7/33)/$G$13)*G48*1,2)</f>
        <v>22.95</v>
      </c>
      <c r="H112" s="2"/>
      <c r="I112" s="6"/>
    </row>
    <row r="113" spans="1:9">
      <c r="A113" s="148" t="s">
        <v>22</v>
      </c>
      <c r="B113" s="382" t="s">
        <v>125</v>
      </c>
      <c r="C113" s="382"/>
      <c r="D113" s="382"/>
      <c r="E113" s="382"/>
      <c r="F113" s="382"/>
      <c r="G113" s="336">
        <f>ROUND($E$76*G112,2)</f>
        <v>8.4499999999999993</v>
      </c>
      <c r="H113" s="2"/>
      <c r="I113" s="6"/>
    </row>
    <row r="114" spans="1:9">
      <c r="A114" s="148" t="s">
        <v>23</v>
      </c>
      <c r="B114" s="382" t="s">
        <v>124</v>
      </c>
      <c r="C114" s="382"/>
      <c r="D114" s="382"/>
      <c r="E114" s="382"/>
      <c r="F114" s="382"/>
      <c r="G114" s="338">
        <f>ROUND((0.08*0.4*SUM(G48+$G$59+$G$60)*1),2)</f>
        <v>124.04</v>
      </c>
      <c r="H114" s="26"/>
      <c r="I114" s="25"/>
    </row>
    <row r="115" spans="1:9">
      <c r="A115" s="442" t="s">
        <v>126</v>
      </c>
      <c r="B115" s="442"/>
      <c r="C115" s="442"/>
      <c r="D115" s="442"/>
      <c r="E115" s="442"/>
      <c r="F115" s="442"/>
      <c r="G115" s="46">
        <f>SUM(G109:G114)</f>
        <v>180.82999999999998</v>
      </c>
      <c r="H115" s="2"/>
      <c r="I115" s="6"/>
    </row>
    <row r="116" spans="1:9">
      <c r="A116" s="309"/>
      <c r="B116" s="309"/>
      <c r="C116" s="309"/>
      <c r="D116" s="309"/>
      <c r="E116" s="309"/>
      <c r="F116" s="309"/>
      <c r="G116" s="331"/>
      <c r="H116" s="2"/>
      <c r="I116" s="6"/>
    </row>
    <row r="117" spans="1:9">
      <c r="A117" s="327"/>
      <c r="B117" s="327"/>
      <c r="C117" s="327"/>
      <c r="D117" s="148"/>
      <c r="E117" s="148"/>
      <c r="F117" s="148"/>
      <c r="G117" s="148"/>
      <c r="H117" s="2"/>
      <c r="I117" s="6"/>
    </row>
    <row r="118" spans="1:9" ht="15.75">
      <c r="A118" s="443" t="s">
        <v>314</v>
      </c>
      <c r="B118" s="443"/>
      <c r="C118" s="443"/>
      <c r="D118" s="443"/>
      <c r="E118" s="443"/>
      <c r="F118" s="443"/>
      <c r="G118" s="443"/>
      <c r="H118" s="164"/>
      <c r="I118" s="6"/>
    </row>
    <row r="119" spans="1:9" ht="15.75">
      <c r="A119" s="444" t="s">
        <v>128</v>
      </c>
      <c r="B119" s="444"/>
      <c r="C119" s="444"/>
      <c r="D119" s="444"/>
      <c r="E119" s="444"/>
      <c r="F119" s="444"/>
      <c r="G119" s="444"/>
      <c r="H119" s="164"/>
      <c r="I119" s="6"/>
    </row>
    <row r="120" spans="1:9" ht="31.5">
      <c r="A120" s="191" t="s">
        <v>342</v>
      </c>
      <c r="B120" s="189">
        <f>G48</f>
        <v>3245.1099999999997</v>
      </c>
      <c r="C120" s="191" t="s">
        <v>319</v>
      </c>
      <c r="D120" s="190">
        <f>G104-G83-G87</f>
        <v>2077.8799999999997</v>
      </c>
      <c r="E120" s="206" t="s">
        <v>127</v>
      </c>
      <c r="F120" s="165">
        <f>G115</f>
        <v>180.82999999999998</v>
      </c>
      <c r="G120" s="166">
        <f>B120+D120+F120</f>
        <v>5503.82</v>
      </c>
      <c r="H120" s="164"/>
      <c r="I120" s="6"/>
    </row>
    <row r="121" spans="1:9" ht="15.75">
      <c r="A121" s="445" t="s">
        <v>129</v>
      </c>
      <c r="B121" s="445"/>
      <c r="C121" s="445"/>
      <c r="D121" s="445"/>
      <c r="E121" s="445" t="s">
        <v>130</v>
      </c>
      <c r="F121" s="445"/>
      <c r="G121" s="167">
        <f>ROUND(G120/30,2)</f>
        <v>183.46</v>
      </c>
      <c r="H121" s="164"/>
      <c r="I121" s="6"/>
    </row>
    <row r="122" spans="1:9" ht="15.75">
      <c r="A122" s="339"/>
      <c r="B122" s="339"/>
      <c r="C122" s="339"/>
      <c r="D122" s="339"/>
      <c r="E122" s="339"/>
      <c r="F122" s="339"/>
      <c r="G122" s="339"/>
      <c r="H122" s="164"/>
      <c r="I122" s="6"/>
    </row>
    <row r="123" spans="1:9">
      <c r="A123" s="168" t="s">
        <v>27</v>
      </c>
      <c r="B123" s="449" t="s">
        <v>147</v>
      </c>
      <c r="C123" s="449"/>
      <c r="D123" s="449"/>
      <c r="E123" s="449"/>
      <c r="F123" s="449"/>
      <c r="G123" s="54" t="s">
        <v>18</v>
      </c>
      <c r="H123" s="2"/>
      <c r="I123" s="6"/>
    </row>
    <row r="124" spans="1:9">
      <c r="A124" s="148" t="s">
        <v>8</v>
      </c>
      <c r="B124" s="436" t="s">
        <v>131</v>
      </c>
      <c r="C124" s="382"/>
      <c r="D124" s="382"/>
      <c r="E124" s="382"/>
      <c r="F124" s="382"/>
      <c r="G124" s="169">
        <f>ROUND($G$120/12,2)</f>
        <v>458.65</v>
      </c>
      <c r="H124" s="2"/>
      <c r="I124" s="6"/>
    </row>
    <row r="125" spans="1:9">
      <c r="A125" s="148" t="s">
        <v>10</v>
      </c>
      <c r="B125" s="436" t="s">
        <v>324</v>
      </c>
      <c r="C125" s="382"/>
      <c r="D125" s="382"/>
      <c r="E125" s="382"/>
      <c r="F125" s="382"/>
      <c r="G125" s="169">
        <f>ROUND((2.59/30)/12*($G$120),2)</f>
        <v>39.6</v>
      </c>
      <c r="H125" s="170"/>
      <c r="I125" s="6"/>
    </row>
    <row r="126" spans="1:9">
      <c r="A126" s="148" t="s">
        <v>12</v>
      </c>
      <c r="B126" s="436" t="s">
        <v>133</v>
      </c>
      <c r="C126" s="382"/>
      <c r="D126" s="382"/>
      <c r="E126" s="382"/>
      <c r="F126" s="382"/>
      <c r="G126" s="169">
        <f>ROUND((5/30)/12*0.015*($G$120),2)</f>
        <v>1.1499999999999999</v>
      </c>
      <c r="H126" s="2"/>
      <c r="I126" s="6"/>
    </row>
    <row r="127" spans="1:9">
      <c r="A127" s="148" t="s">
        <v>13</v>
      </c>
      <c r="B127" s="436" t="s">
        <v>132</v>
      </c>
      <c r="C127" s="382"/>
      <c r="D127" s="382"/>
      <c r="E127" s="382"/>
      <c r="F127" s="382"/>
      <c r="G127" s="169">
        <f>ROUND(((15/30)/12)*0.0078*($G$120),2)</f>
        <v>1.79</v>
      </c>
      <c r="H127" s="170"/>
      <c r="I127" s="6"/>
    </row>
    <row r="128" spans="1:9">
      <c r="A128" s="148" t="s">
        <v>22</v>
      </c>
      <c r="B128" s="436" t="s">
        <v>134</v>
      </c>
      <c r="C128" s="382"/>
      <c r="D128" s="382"/>
      <c r="E128" s="382"/>
      <c r="F128" s="382"/>
      <c r="G128" s="171">
        <f>ROUND((((G48+G48/3)/12+(G76+G94+G115))*4/12)*0.02,2)</f>
        <v>16.87</v>
      </c>
      <c r="H128" s="172"/>
      <c r="I128" s="173"/>
    </row>
    <row r="129" spans="1:9">
      <c r="A129" s="340" t="s">
        <v>23</v>
      </c>
      <c r="B129" s="447" t="s">
        <v>135</v>
      </c>
      <c r="C129" s="447"/>
      <c r="D129" s="447"/>
      <c r="E129" s="447"/>
      <c r="F129" s="447"/>
      <c r="G129" s="171">
        <f>ROUND(((3/30)/12)*($G$120),2)</f>
        <v>45.87</v>
      </c>
      <c r="H129" s="172"/>
      <c r="I129" s="173"/>
    </row>
    <row r="130" spans="1:9">
      <c r="A130" s="448" t="s">
        <v>136</v>
      </c>
      <c r="B130" s="448"/>
      <c r="C130" s="448"/>
      <c r="D130" s="448"/>
      <c r="E130" s="448"/>
      <c r="F130" s="448"/>
      <c r="G130" s="174">
        <f>SUM(G124:G129)</f>
        <v>563.92999999999995</v>
      </c>
      <c r="H130" s="2"/>
      <c r="I130" s="6"/>
    </row>
    <row r="131" spans="1:9">
      <c r="A131" s="299"/>
      <c r="B131" s="299"/>
      <c r="C131" s="299"/>
      <c r="D131" s="317"/>
      <c r="E131" s="318"/>
      <c r="F131" s="318"/>
      <c r="G131" s="318"/>
      <c r="H131" s="164"/>
      <c r="I131" s="6"/>
    </row>
    <row r="132" spans="1:9">
      <c r="A132" s="168" t="s">
        <v>30</v>
      </c>
      <c r="B132" s="449" t="s">
        <v>137</v>
      </c>
      <c r="C132" s="449"/>
      <c r="D132" s="449"/>
      <c r="E132" s="449"/>
      <c r="F132" s="449"/>
      <c r="G132" s="54" t="s">
        <v>18</v>
      </c>
      <c r="H132" s="2"/>
      <c r="I132" s="6"/>
    </row>
    <row r="133" spans="1:9">
      <c r="A133" s="148" t="s">
        <v>8</v>
      </c>
      <c r="B133" s="450" t="s">
        <v>262</v>
      </c>
      <c r="C133" s="451"/>
      <c r="D133" s="451"/>
      <c r="E133" s="451"/>
      <c r="F133" s="451"/>
      <c r="G133" s="341">
        <v>0</v>
      </c>
      <c r="H133" s="2"/>
      <c r="I133" s="6"/>
    </row>
    <row r="134" spans="1:9">
      <c r="A134" s="452" t="s">
        <v>315</v>
      </c>
      <c r="B134" s="452"/>
      <c r="C134" s="452"/>
      <c r="D134" s="452"/>
      <c r="E134" s="452"/>
      <c r="F134" s="452"/>
      <c r="G134" s="55">
        <f>SUM(G133:G133)</f>
        <v>0</v>
      </c>
      <c r="H134" s="2"/>
      <c r="I134" s="6"/>
    </row>
    <row r="135" spans="1:9">
      <c r="A135" s="342"/>
      <c r="B135" s="178"/>
      <c r="C135" s="343"/>
      <c r="D135" s="329"/>
      <c r="E135" s="329"/>
      <c r="F135" s="329"/>
      <c r="G135" s="329"/>
      <c r="H135" s="2"/>
      <c r="I135" s="6"/>
    </row>
    <row r="136" spans="1:9">
      <c r="A136" s="453" t="s">
        <v>145</v>
      </c>
      <c r="B136" s="453"/>
      <c r="C136" s="453"/>
      <c r="D136" s="453"/>
      <c r="E136" s="453"/>
      <c r="F136" s="453"/>
      <c r="G136" s="453"/>
      <c r="H136" s="26"/>
      <c r="I136" s="25"/>
    </row>
    <row r="137" spans="1:9">
      <c r="A137" s="152" t="s">
        <v>146</v>
      </c>
      <c r="B137" s="434" t="s">
        <v>122</v>
      </c>
      <c r="C137" s="434"/>
      <c r="D137" s="434"/>
      <c r="E137" s="434"/>
      <c r="F137" s="434"/>
      <c r="G137" s="204" t="s">
        <v>18</v>
      </c>
      <c r="H137" s="26"/>
      <c r="I137" s="25"/>
    </row>
    <row r="138" spans="1:9">
      <c r="A138" s="342" t="s">
        <v>27</v>
      </c>
      <c r="B138" s="455" t="s">
        <v>147</v>
      </c>
      <c r="C138" s="455"/>
      <c r="D138" s="455"/>
      <c r="E138" s="455"/>
      <c r="F138" s="455"/>
      <c r="G138" s="344">
        <f>G130</f>
        <v>563.92999999999995</v>
      </c>
      <c r="H138" s="2"/>
      <c r="I138" s="6"/>
    </row>
    <row r="139" spans="1:9">
      <c r="A139" s="342" t="s">
        <v>30</v>
      </c>
      <c r="B139" s="455" t="s">
        <v>137</v>
      </c>
      <c r="C139" s="455"/>
      <c r="D139" s="455"/>
      <c r="E139" s="455"/>
      <c r="F139" s="455"/>
      <c r="G139" s="162">
        <f>G134</f>
        <v>0</v>
      </c>
      <c r="H139" s="26"/>
      <c r="I139" s="25"/>
    </row>
    <row r="140" spans="1:9">
      <c r="A140" s="442" t="s">
        <v>148</v>
      </c>
      <c r="B140" s="442"/>
      <c r="C140" s="442"/>
      <c r="D140" s="442"/>
      <c r="E140" s="442"/>
      <c r="F140" s="442"/>
      <c r="G140" s="175">
        <f>SUM(G138:G139)</f>
        <v>563.92999999999995</v>
      </c>
      <c r="H140" s="2"/>
      <c r="I140" s="6"/>
    </row>
    <row r="141" spans="1:9" ht="31.5" customHeight="1">
      <c r="A141" s="176" t="s">
        <v>113</v>
      </c>
      <c r="B141" s="457" t="s">
        <v>259</v>
      </c>
      <c r="C141" s="457"/>
      <c r="D141" s="457"/>
      <c r="E141" s="457"/>
      <c r="F141" s="457"/>
      <c r="G141" s="457"/>
      <c r="H141" s="2"/>
      <c r="I141" s="6"/>
    </row>
    <row r="142" spans="1:9">
      <c r="A142" s="327"/>
      <c r="B142" s="327"/>
      <c r="C142" s="327"/>
      <c r="D142" s="317"/>
      <c r="E142" s="318"/>
      <c r="F142" s="318"/>
      <c r="G142" s="318"/>
      <c r="H142" s="164"/>
      <c r="I142" s="6"/>
    </row>
    <row r="143" spans="1:9" ht="15.75">
      <c r="A143" s="443" t="s">
        <v>189</v>
      </c>
      <c r="B143" s="443"/>
      <c r="C143" s="443"/>
      <c r="D143" s="443"/>
      <c r="E143" s="443"/>
      <c r="F143" s="443"/>
      <c r="G143" s="443"/>
      <c r="H143" s="2"/>
      <c r="I143" s="6"/>
    </row>
    <row r="144" spans="1:9">
      <c r="A144" s="177"/>
      <c r="B144" s="454" t="s">
        <v>122</v>
      </c>
      <c r="C144" s="454"/>
      <c r="D144" s="454"/>
      <c r="E144" s="454"/>
      <c r="F144" s="454"/>
      <c r="G144" s="55" t="s">
        <v>18</v>
      </c>
      <c r="H144" s="2"/>
      <c r="I144" s="6"/>
    </row>
    <row r="145" spans="1:9">
      <c r="A145" s="178" t="s">
        <v>8</v>
      </c>
      <c r="B145" s="455" t="s">
        <v>190</v>
      </c>
      <c r="C145" s="455"/>
      <c r="D145" s="455"/>
      <c r="E145" s="455"/>
      <c r="F145" s="455"/>
      <c r="G145" s="179">
        <f>'SAn UNIFORMES E EQUIPAMENTOS'!H13</f>
        <v>124.00533333333334</v>
      </c>
      <c r="H145" s="2"/>
      <c r="I145" s="6"/>
    </row>
    <row r="146" spans="1:9">
      <c r="A146" s="178" t="s">
        <v>10</v>
      </c>
      <c r="B146" s="455" t="s">
        <v>191</v>
      </c>
      <c r="C146" s="455"/>
      <c r="D146" s="455"/>
      <c r="E146" s="455"/>
      <c r="F146" s="455"/>
      <c r="G146" s="180">
        <f>'SAn UNIFORMES E EQUIPAMENTOS'!H24</f>
        <v>6.1016666666666666</v>
      </c>
      <c r="H146" s="2"/>
      <c r="I146" s="6"/>
    </row>
    <row r="147" spans="1:9">
      <c r="A147" s="159" t="s">
        <v>12</v>
      </c>
      <c r="B147" s="436" t="s">
        <v>192</v>
      </c>
      <c r="C147" s="436"/>
      <c r="D147" s="436"/>
      <c r="E147" s="436"/>
      <c r="F147" s="436"/>
      <c r="G147" s="162">
        <v>0</v>
      </c>
      <c r="H147" s="2"/>
      <c r="I147" s="6"/>
    </row>
    <row r="148" spans="1:9">
      <c r="A148" s="456" t="s">
        <v>193</v>
      </c>
      <c r="B148" s="456"/>
      <c r="C148" s="456"/>
      <c r="D148" s="456"/>
      <c r="E148" s="456"/>
      <c r="F148" s="456"/>
      <c r="G148" s="46">
        <f>SUM(G145:G147)</f>
        <v>130.107</v>
      </c>
      <c r="H148" s="2"/>
      <c r="I148" s="6"/>
    </row>
    <row r="149" spans="1:9">
      <c r="A149" s="148"/>
      <c r="B149" s="203"/>
      <c r="C149" s="203"/>
      <c r="D149" s="317"/>
      <c r="E149" s="318"/>
      <c r="F149" s="318"/>
      <c r="G149" s="318"/>
      <c r="H149" s="164"/>
      <c r="I149" s="6"/>
    </row>
    <row r="150" spans="1:9" ht="15.75">
      <c r="A150" s="443" t="s">
        <v>194</v>
      </c>
      <c r="B150" s="443"/>
      <c r="C150" s="443"/>
      <c r="D150" s="443"/>
      <c r="E150" s="443"/>
      <c r="F150" s="443"/>
      <c r="G150" s="443"/>
      <c r="H150" s="164"/>
      <c r="I150" s="25"/>
    </row>
    <row r="151" spans="1:9">
      <c r="A151" s="181"/>
      <c r="B151" s="461" t="s">
        <v>45</v>
      </c>
      <c r="C151" s="461"/>
      <c r="D151" s="461"/>
      <c r="E151" s="461"/>
      <c r="F151" s="87" t="s">
        <v>20</v>
      </c>
      <c r="G151" s="87" t="s">
        <v>18</v>
      </c>
      <c r="H151" s="164"/>
      <c r="I151" s="6"/>
    </row>
    <row r="152" spans="1:9" ht="39" customHeight="1">
      <c r="A152" s="425" t="s">
        <v>195</v>
      </c>
      <c r="B152" s="425"/>
      <c r="C152" s="425"/>
      <c r="D152" s="425"/>
      <c r="E152" s="425"/>
      <c r="F152" s="425"/>
      <c r="G152" s="182">
        <f>SUM(G48+G104+G115+G140+G148)</f>
        <v>6740.5469999999996</v>
      </c>
      <c r="H152" s="164"/>
      <c r="I152" s="6"/>
    </row>
    <row r="153" spans="1:9">
      <c r="A153" s="183" t="s">
        <v>8</v>
      </c>
      <c r="B153" s="458" t="s">
        <v>46</v>
      </c>
      <c r="C153" s="458"/>
      <c r="D153" s="458"/>
      <c r="E153" s="458"/>
      <c r="F153" s="192">
        <v>0.1467</v>
      </c>
      <c r="G153" s="93">
        <f>ROUND(F153*G152,2)</f>
        <v>988.84</v>
      </c>
      <c r="H153" s="164"/>
      <c r="I153" s="6"/>
    </row>
    <row r="154" spans="1:9" ht="38.25" customHeight="1">
      <c r="A154" s="425" t="s">
        <v>196</v>
      </c>
      <c r="B154" s="425"/>
      <c r="C154" s="425"/>
      <c r="D154" s="425"/>
      <c r="E154" s="425"/>
      <c r="F154" s="425"/>
      <c r="G154" s="184">
        <f>SUM(G48+G104+G115+G140+G148+G153)</f>
        <v>7729.3869999999997</v>
      </c>
      <c r="H154" s="164"/>
      <c r="I154" s="25"/>
    </row>
    <row r="155" spans="1:9">
      <c r="A155" s="183" t="s">
        <v>10</v>
      </c>
      <c r="B155" s="458" t="s">
        <v>47</v>
      </c>
      <c r="C155" s="458"/>
      <c r="D155" s="458"/>
      <c r="E155" s="458"/>
      <c r="F155" s="192">
        <v>0.13400000000000001</v>
      </c>
      <c r="G155" s="91">
        <f>ROUND(F155*G154,2)</f>
        <v>1035.74</v>
      </c>
      <c r="H155" s="164"/>
      <c r="I155" s="25"/>
    </row>
    <row r="156" spans="1:9" ht="39" customHeight="1">
      <c r="A156" s="425" t="s">
        <v>197</v>
      </c>
      <c r="B156" s="425"/>
      <c r="C156" s="425"/>
      <c r="D156" s="425"/>
      <c r="E156" s="425"/>
      <c r="F156" s="425"/>
      <c r="G156" s="182">
        <f>SUM(G48+G104+G115+G140+G148+G153+G155)</f>
        <v>8765.1270000000004</v>
      </c>
      <c r="H156" s="164"/>
      <c r="I156" s="25"/>
    </row>
    <row r="157" spans="1:9">
      <c r="A157" s="183" t="s">
        <v>12</v>
      </c>
      <c r="B157" s="458" t="s">
        <v>48</v>
      </c>
      <c r="C157" s="458"/>
      <c r="D157" s="458"/>
      <c r="E157" s="458"/>
      <c r="F157" s="89">
        <f>SUM(F158:F161)</f>
        <v>0.1225</v>
      </c>
      <c r="G157" s="187">
        <f>SUM(G158:G161)</f>
        <v>1223.6100000000001</v>
      </c>
      <c r="H157" s="459" t="s">
        <v>264</v>
      </c>
      <c r="I157" s="460"/>
    </row>
    <row r="158" spans="1:9">
      <c r="A158" s="423" t="s">
        <v>200</v>
      </c>
      <c r="B158" s="436" t="s">
        <v>203</v>
      </c>
      <c r="C158" s="436"/>
      <c r="D158" s="382" t="s">
        <v>34</v>
      </c>
      <c r="E158" s="382"/>
      <c r="F158" s="92">
        <f>IF(E8=1,0.0165,IF(E8=2,0.0065,IF(E8=3,I160,IF(E8=4,I160,¨RT Indefinido¨))))</f>
        <v>1.6500000000000001E-2</v>
      </c>
      <c r="G158" s="182">
        <f>ROUND(($G$156/(1-$F$157))*F158,2)</f>
        <v>164.81</v>
      </c>
      <c r="H158" s="222" t="s">
        <v>265</v>
      </c>
      <c r="I158" s="107" t="s">
        <v>266</v>
      </c>
    </row>
    <row r="159" spans="1:9">
      <c r="A159" s="423"/>
      <c r="B159" s="436"/>
      <c r="C159" s="436"/>
      <c r="D159" s="382" t="s">
        <v>198</v>
      </c>
      <c r="E159" s="382"/>
      <c r="F159" s="92">
        <f>IF(E8=1,0.076,IF(E8=2,0.03,IF(E8=3,I159,IF(E8=4,I159,¨RT Indefinido¨))))</f>
        <v>7.5999999999999998E-2</v>
      </c>
      <c r="G159" s="182">
        <f>ROUND(($G$156/(1-$F$157))*F159,2)</f>
        <v>759.14</v>
      </c>
      <c r="H159" s="223" t="s">
        <v>198</v>
      </c>
      <c r="I159" s="108">
        <v>0</v>
      </c>
    </row>
    <row r="160" spans="1:9">
      <c r="A160" s="159" t="s">
        <v>201</v>
      </c>
      <c r="B160" s="436" t="s">
        <v>204</v>
      </c>
      <c r="C160" s="436"/>
      <c r="D160" s="466" t="s">
        <v>206</v>
      </c>
      <c r="E160" s="382"/>
      <c r="F160" s="92">
        <v>0</v>
      </c>
      <c r="G160" s="182">
        <v>0</v>
      </c>
      <c r="H160" s="223" t="s">
        <v>34</v>
      </c>
      <c r="I160" s="108">
        <v>0</v>
      </c>
    </row>
    <row r="161" spans="1:9">
      <c r="A161" s="159" t="s">
        <v>202</v>
      </c>
      <c r="B161" s="436" t="s">
        <v>205</v>
      </c>
      <c r="C161" s="436"/>
      <c r="D161" s="382" t="s">
        <v>199</v>
      </c>
      <c r="E161" s="382"/>
      <c r="F161" s="193">
        <v>0.03</v>
      </c>
      <c r="G161" s="162">
        <f>ROUND(($G$156/(1-$F$157))*F161,2)</f>
        <v>299.66000000000003</v>
      </c>
      <c r="H161" s="223" t="s">
        <v>267</v>
      </c>
      <c r="I161" s="108">
        <v>0</v>
      </c>
    </row>
    <row r="162" spans="1:9">
      <c r="A162" s="456" t="s">
        <v>207</v>
      </c>
      <c r="B162" s="456"/>
      <c r="C162" s="456"/>
      <c r="D162" s="456"/>
      <c r="E162" s="456"/>
      <c r="F162" s="456"/>
      <c r="G162" s="185">
        <f>SUM(G153+G155+G157)</f>
        <v>3248.19</v>
      </c>
      <c r="H162" s="26"/>
      <c r="I162" s="25"/>
    </row>
    <row r="163" spans="1:9">
      <c r="A163" s="186" t="s">
        <v>208</v>
      </c>
      <c r="B163" s="467" t="s">
        <v>209</v>
      </c>
      <c r="C163" s="467"/>
      <c r="D163" s="467"/>
      <c r="E163" s="467"/>
      <c r="F163" s="467"/>
      <c r="G163" s="467"/>
      <c r="H163" s="26"/>
      <c r="I163" s="25"/>
    </row>
    <row r="164" spans="1:9">
      <c r="A164" s="462" t="s">
        <v>215</v>
      </c>
      <c r="B164" s="463" t="s">
        <v>210</v>
      </c>
      <c r="C164" s="464" t="s">
        <v>211</v>
      </c>
      <c r="D164" s="464"/>
      <c r="E164" s="345"/>
      <c r="F164" s="346"/>
      <c r="G164" s="347"/>
      <c r="H164" s="26"/>
      <c r="I164" s="25"/>
    </row>
    <row r="165" spans="1:9">
      <c r="A165" s="462"/>
      <c r="B165" s="463"/>
      <c r="C165" s="464" t="s">
        <v>212</v>
      </c>
      <c r="D165" s="464"/>
      <c r="E165" s="348" t="s">
        <v>214</v>
      </c>
      <c r="F165" s="346"/>
      <c r="G165" s="347"/>
      <c r="H165" s="26"/>
      <c r="I165" s="25"/>
    </row>
    <row r="166" spans="1:9">
      <c r="A166" s="462"/>
      <c r="B166" s="463"/>
      <c r="C166" s="464" t="s">
        <v>213</v>
      </c>
      <c r="D166" s="464"/>
      <c r="E166" s="345"/>
      <c r="F166" s="346"/>
      <c r="G166" s="347"/>
      <c r="H166" s="26"/>
      <c r="I166" s="25"/>
    </row>
    <row r="167" spans="1:9">
      <c r="A167" s="349"/>
      <c r="B167" s="350"/>
      <c r="C167" s="351"/>
      <c r="D167" s="351"/>
      <c r="E167" s="352"/>
      <c r="F167" s="353"/>
      <c r="G167" s="354"/>
      <c r="H167" s="26"/>
      <c r="I167" s="25"/>
    </row>
    <row r="168" spans="1:9">
      <c r="A168" s="332"/>
      <c r="B168" s="355"/>
      <c r="C168" s="355"/>
      <c r="D168" s="356"/>
      <c r="E168" s="356"/>
      <c r="F168" s="356"/>
      <c r="G168" s="356"/>
      <c r="H168" s="2"/>
      <c r="I168" s="6"/>
    </row>
    <row r="169" spans="1:9">
      <c r="A169" s="465" t="s">
        <v>216</v>
      </c>
      <c r="B169" s="465"/>
      <c r="C169" s="465"/>
      <c r="D169" s="465"/>
      <c r="E169" s="465"/>
      <c r="F169" s="465"/>
      <c r="G169" s="465"/>
      <c r="H169" s="2"/>
      <c r="I169" s="6"/>
    </row>
    <row r="170" spans="1:9">
      <c r="A170" s="471" t="s">
        <v>217</v>
      </c>
      <c r="B170" s="471"/>
      <c r="C170" s="471"/>
      <c r="D170" s="471"/>
      <c r="E170" s="471"/>
      <c r="F170" s="471"/>
      <c r="G170" s="187" t="s">
        <v>18</v>
      </c>
      <c r="H170" s="2"/>
      <c r="I170" s="6"/>
    </row>
    <row r="171" spans="1:9">
      <c r="A171" s="148" t="s">
        <v>8</v>
      </c>
      <c r="B171" s="469" t="s">
        <v>56</v>
      </c>
      <c r="C171" s="469"/>
      <c r="D171" s="469"/>
      <c r="E171" s="469"/>
      <c r="F171" s="469"/>
      <c r="G171" s="180">
        <f>G48</f>
        <v>3245.1099999999997</v>
      </c>
      <c r="H171" s="2"/>
      <c r="I171" s="6"/>
    </row>
    <row r="172" spans="1:9">
      <c r="A172" s="148" t="s">
        <v>10</v>
      </c>
      <c r="B172" s="469" t="s">
        <v>218</v>
      </c>
      <c r="C172" s="469"/>
      <c r="D172" s="469"/>
      <c r="E172" s="469"/>
      <c r="F172" s="469"/>
      <c r="G172" s="180">
        <f>G104</f>
        <v>2620.5699999999997</v>
      </c>
      <c r="H172" s="2"/>
      <c r="I172" s="6"/>
    </row>
    <row r="173" spans="1:9">
      <c r="A173" s="148" t="s">
        <v>12</v>
      </c>
      <c r="B173" s="469" t="s">
        <v>50</v>
      </c>
      <c r="C173" s="469"/>
      <c r="D173" s="469"/>
      <c r="E173" s="469"/>
      <c r="F173" s="469"/>
      <c r="G173" s="180">
        <f>G115</f>
        <v>180.82999999999998</v>
      </c>
      <c r="H173" s="2"/>
      <c r="I173" s="6"/>
    </row>
    <row r="174" spans="1:9">
      <c r="A174" s="148" t="s">
        <v>13</v>
      </c>
      <c r="B174" s="469" t="s">
        <v>51</v>
      </c>
      <c r="C174" s="469"/>
      <c r="D174" s="469"/>
      <c r="E174" s="469"/>
      <c r="F174" s="469"/>
      <c r="G174" s="180">
        <f>G140</f>
        <v>563.92999999999995</v>
      </c>
      <c r="H174" s="26"/>
      <c r="I174" s="25"/>
    </row>
    <row r="175" spans="1:9">
      <c r="A175" s="159" t="s">
        <v>22</v>
      </c>
      <c r="B175" s="469" t="s">
        <v>52</v>
      </c>
      <c r="C175" s="469"/>
      <c r="D175" s="469"/>
      <c r="E175" s="469"/>
      <c r="F175" s="469"/>
      <c r="G175" s="180">
        <f>G148</f>
        <v>130.107</v>
      </c>
      <c r="H175" s="26"/>
      <c r="I175" s="25"/>
    </row>
    <row r="176" spans="1:9">
      <c r="A176" s="468" t="s">
        <v>49</v>
      </c>
      <c r="B176" s="468"/>
      <c r="C176" s="468"/>
      <c r="D176" s="468"/>
      <c r="E176" s="468"/>
      <c r="F176" s="468"/>
      <c r="G176" s="357">
        <f>SUM(G171:G175)</f>
        <v>6740.5469999999996</v>
      </c>
      <c r="H176" s="26"/>
      <c r="I176" s="25"/>
    </row>
    <row r="177" spans="1:9">
      <c r="A177" s="159" t="s">
        <v>23</v>
      </c>
      <c r="B177" s="469" t="s">
        <v>55</v>
      </c>
      <c r="C177" s="469"/>
      <c r="D177" s="469"/>
      <c r="E177" s="469"/>
      <c r="F177" s="469"/>
      <c r="G177" s="180">
        <f>G162</f>
        <v>3248.19</v>
      </c>
      <c r="H177" s="26"/>
      <c r="I177" s="25"/>
    </row>
    <row r="178" spans="1:9" ht="15.75">
      <c r="A178" s="470" t="s">
        <v>219</v>
      </c>
      <c r="B178" s="470"/>
      <c r="C178" s="470"/>
      <c r="D178" s="470"/>
      <c r="E178" s="470"/>
      <c r="F178" s="470"/>
      <c r="G178" s="188">
        <f>SUM(G176:G177)</f>
        <v>9988.7369999999992</v>
      </c>
      <c r="H178" s="2"/>
      <c r="I178" s="6"/>
    </row>
  </sheetData>
  <mergeCells count="198">
    <mergeCell ref="A176:F176"/>
    <mergeCell ref="B177:F177"/>
    <mergeCell ref="A178:F178"/>
    <mergeCell ref="A170:F170"/>
    <mergeCell ref="B171:F171"/>
    <mergeCell ref="B172:F172"/>
    <mergeCell ref="B173:F173"/>
    <mergeCell ref="B174:F174"/>
    <mergeCell ref="B175:F175"/>
    <mergeCell ref="A164:A166"/>
    <mergeCell ref="B164:B166"/>
    <mergeCell ref="C164:D164"/>
    <mergeCell ref="C165:D165"/>
    <mergeCell ref="C166:D166"/>
    <mergeCell ref="A169:G169"/>
    <mergeCell ref="B160:C160"/>
    <mergeCell ref="D160:E160"/>
    <mergeCell ref="B161:C161"/>
    <mergeCell ref="D161:E161"/>
    <mergeCell ref="A162:F162"/>
    <mergeCell ref="B163:G163"/>
    <mergeCell ref="B157:E157"/>
    <mergeCell ref="H157:I157"/>
    <mergeCell ref="A158:A159"/>
    <mergeCell ref="B158:C159"/>
    <mergeCell ref="D158:E158"/>
    <mergeCell ref="D159:E159"/>
    <mergeCell ref="B151:E151"/>
    <mergeCell ref="A152:F152"/>
    <mergeCell ref="B153:E153"/>
    <mergeCell ref="A154:F154"/>
    <mergeCell ref="B155:E155"/>
    <mergeCell ref="A156:F156"/>
    <mergeCell ref="B144:F144"/>
    <mergeCell ref="B145:F145"/>
    <mergeCell ref="B146:F146"/>
    <mergeCell ref="B147:F147"/>
    <mergeCell ref="A148:F148"/>
    <mergeCell ref="A150:G150"/>
    <mergeCell ref="B137:F137"/>
    <mergeCell ref="B138:F138"/>
    <mergeCell ref="B139:F139"/>
    <mergeCell ref="A140:F140"/>
    <mergeCell ref="B141:G141"/>
    <mergeCell ref="A143:G143"/>
    <mergeCell ref="B129:F129"/>
    <mergeCell ref="A130:F130"/>
    <mergeCell ref="B132:F132"/>
    <mergeCell ref="B133:F133"/>
    <mergeCell ref="A134:F134"/>
    <mergeCell ref="A136:G136"/>
    <mergeCell ref="B123:F123"/>
    <mergeCell ref="B124:F124"/>
    <mergeCell ref="B125:F125"/>
    <mergeCell ref="B126:F126"/>
    <mergeCell ref="B127:F127"/>
    <mergeCell ref="B128:F128"/>
    <mergeCell ref="A115:F115"/>
    <mergeCell ref="A118:G118"/>
    <mergeCell ref="A119:G119"/>
    <mergeCell ref="A121:D121"/>
    <mergeCell ref="E121:F121"/>
    <mergeCell ref="A107:G107"/>
    <mergeCell ref="B108:F108"/>
    <mergeCell ref="B109:F109"/>
    <mergeCell ref="B110:F110"/>
    <mergeCell ref="B111:F111"/>
    <mergeCell ref="B112:F112"/>
    <mergeCell ref="A104:F104"/>
    <mergeCell ref="B91:F91"/>
    <mergeCell ref="B92:F92"/>
    <mergeCell ref="B93:F93"/>
    <mergeCell ref="A94:F94"/>
    <mergeCell ref="B95:G95"/>
    <mergeCell ref="B96:G96"/>
    <mergeCell ref="B113:F113"/>
    <mergeCell ref="B114:F114"/>
    <mergeCell ref="B90:F90"/>
    <mergeCell ref="E85:F85"/>
    <mergeCell ref="C86:D86"/>
    <mergeCell ref="E86:F86"/>
    <mergeCell ref="A99:G99"/>
    <mergeCell ref="B100:F100"/>
    <mergeCell ref="B101:F101"/>
    <mergeCell ref="B102:F102"/>
    <mergeCell ref="B103:F103"/>
    <mergeCell ref="A87:A89"/>
    <mergeCell ref="B87:B89"/>
    <mergeCell ref="C87:D87"/>
    <mergeCell ref="E87:F87"/>
    <mergeCell ref="G87:G89"/>
    <mergeCell ref="C88:D88"/>
    <mergeCell ref="E88:F88"/>
    <mergeCell ref="C89:D89"/>
    <mergeCell ref="E89:F89"/>
    <mergeCell ref="B81:G81"/>
    <mergeCell ref="B82:F82"/>
    <mergeCell ref="A83:A86"/>
    <mergeCell ref="B83:B86"/>
    <mergeCell ref="C83:D83"/>
    <mergeCell ref="E83:F83"/>
    <mergeCell ref="G83:G86"/>
    <mergeCell ref="C84:D84"/>
    <mergeCell ref="E84:F84"/>
    <mergeCell ref="C85:D85"/>
    <mergeCell ref="B75:D75"/>
    <mergeCell ref="E75:F75"/>
    <mergeCell ref="A76:D76"/>
    <mergeCell ref="E76:F76"/>
    <mergeCell ref="B77:G77"/>
    <mergeCell ref="B78:G78"/>
    <mergeCell ref="B72:D72"/>
    <mergeCell ref="E72:F72"/>
    <mergeCell ref="B73:D73"/>
    <mergeCell ref="E73:F73"/>
    <mergeCell ref="B74:D74"/>
    <mergeCell ref="E74:F74"/>
    <mergeCell ref="B69:D69"/>
    <mergeCell ref="E69:F69"/>
    <mergeCell ref="B70:D70"/>
    <mergeCell ref="E70:F70"/>
    <mergeCell ref="B71:D71"/>
    <mergeCell ref="E71:F71"/>
    <mergeCell ref="B63:G63"/>
    <mergeCell ref="B66:G66"/>
    <mergeCell ref="B67:D67"/>
    <mergeCell ref="E67:F67"/>
    <mergeCell ref="B68:D68"/>
    <mergeCell ref="E68:F68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:G1"/>
    <mergeCell ref="A2:G2"/>
    <mergeCell ref="B3:D3"/>
    <mergeCell ref="F3:G3"/>
    <mergeCell ref="B4:G4"/>
    <mergeCell ref="A5:G5"/>
    <mergeCell ref="A9:G9"/>
    <mergeCell ref="B10:D10"/>
    <mergeCell ref="E10:G10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headerFooter>
    <oddFooter>&amp;C&amp;A&amp;R&amp;P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>
      <selection activeCell="A8" sqref="A8:C8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7" width="24.85546875" customWidth="1"/>
    <col min="8" max="8" width="13" customWidth="1"/>
    <col min="9" max="9" width="12.7109375" customWidth="1"/>
  </cols>
  <sheetData>
    <row r="1" spans="1:10">
      <c r="A1" s="558" t="s">
        <v>36</v>
      </c>
      <c r="B1" s="558"/>
      <c r="C1" s="558"/>
      <c r="D1" s="558"/>
      <c r="E1" s="558"/>
      <c r="F1" s="558"/>
      <c r="G1" s="558"/>
      <c r="H1" s="2"/>
      <c r="I1" s="2"/>
    </row>
    <row r="2" spans="1:10">
      <c r="A2" s="549" t="s">
        <v>0</v>
      </c>
      <c r="B2" s="549"/>
      <c r="C2" s="549"/>
      <c r="D2" s="549"/>
      <c r="E2" s="549"/>
      <c r="F2" s="549"/>
      <c r="G2" s="549"/>
      <c r="H2" s="2"/>
      <c r="I2" s="27"/>
    </row>
    <row r="3" spans="1:10">
      <c r="A3" s="224" t="s">
        <v>1</v>
      </c>
      <c r="B3" s="362" t="str">
        <f>'SAn DIURNO DESARMADO 12X36'!B3:D3</f>
        <v>23242.002232/2020-15</v>
      </c>
      <c r="C3" s="362"/>
      <c r="D3" s="362"/>
      <c r="E3" s="225" t="s">
        <v>2</v>
      </c>
      <c r="F3" s="556" t="str">
        <f>'SAn DIURNO DESARMADO 12X36'!F3:G3</f>
        <v>02/2021</v>
      </c>
      <c r="G3" s="557"/>
      <c r="H3" s="2"/>
      <c r="I3" s="2"/>
    </row>
    <row r="4" spans="1:10">
      <c r="A4" s="224" t="s">
        <v>3</v>
      </c>
      <c r="B4" s="364">
        <f ca="1">NOW()</f>
        <v>44335.713012268519</v>
      </c>
      <c r="C4" s="364"/>
      <c r="D4" s="364"/>
      <c r="E4" s="364"/>
      <c r="F4" s="364"/>
      <c r="G4" s="364"/>
      <c r="H4" s="2"/>
      <c r="I4" s="2"/>
    </row>
    <row r="5" spans="1:10">
      <c r="A5" s="559" t="s">
        <v>4</v>
      </c>
      <c r="B5" s="559"/>
      <c r="C5" s="559"/>
      <c r="D5" s="559"/>
      <c r="E5" s="559"/>
      <c r="F5" s="559"/>
      <c r="G5" s="559"/>
      <c r="H5" s="3"/>
      <c r="I5" s="2"/>
    </row>
    <row r="6" spans="1:10">
      <c r="A6" s="560" t="s">
        <v>5</v>
      </c>
      <c r="B6" s="560"/>
      <c r="C6" s="377" t="s">
        <v>350</v>
      </c>
      <c r="D6" s="377"/>
      <c r="E6" s="377"/>
      <c r="F6" s="377"/>
      <c r="G6" s="377"/>
      <c r="H6" s="4"/>
      <c r="I6" s="2"/>
    </row>
    <row r="7" spans="1:10">
      <c r="A7" s="560" t="s">
        <v>6</v>
      </c>
      <c r="B7" s="560"/>
      <c r="C7" s="377" t="str">
        <f>'SAn DIURNO DESARMADO 12X36'!C7:G7</f>
        <v>10.662072/0010-49</v>
      </c>
      <c r="D7" s="377"/>
      <c r="E7" s="377"/>
      <c r="F7" s="377"/>
      <c r="G7" s="377"/>
      <c r="H7" s="5"/>
      <c r="I7" s="2"/>
    </row>
    <row r="8" spans="1:10">
      <c r="A8" s="560" t="s">
        <v>268</v>
      </c>
      <c r="B8" s="560"/>
      <c r="C8" s="560"/>
      <c r="D8" s="226"/>
      <c r="E8" s="378">
        <v>1</v>
      </c>
      <c r="F8" s="378"/>
      <c r="G8" s="227" t="str">
        <f>IF(E8=1,"Lucro Real",IF(E8=2,"Lucro Presumido",IF(E8=3,"SIMPLES-Anexo III",IF(E8=4,"SIMPLES-Anexo IV","RT Inválido"))))</f>
        <v>Lucro Real</v>
      </c>
      <c r="H8" s="5"/>
      <c r="I8" s="2"/>
    </row>
    <row r="9" spans="1:10">
      <c r="A9" s="559" t="s">
        <v>7</v>
      </c>
      <c r="B9" s="559"/>
      <c r="C9" s="559"/>
      <c r="D9" s="559"/>
      <c r="E9" s="559"/>
      <c r="F9" s="559"/>
      <c r="G9" s="559"/>
      <c r="H9" s="5"/>
      <c r="I9" s="2"/>
    </row>
    <row r="10" spans="1:10">
      <c r="A10" s="228" t="s">
        <v>8</v>
      </c>
      <c r="B10" s="569" t="s">
        <v>9</v>
      </c>
      <c r="C10" s="569"/>
      <c r="D10" s="569"/>
      <c r="E10" s="546">
        <f ca="1">NOW()</f>
        <v>44335.713012268519</v>
      </c>
      <c r="F10" s="547"/>
      <c r="G10" s="547"/>
      <c r="H10" s="5"/>
      <c r="I10" s="2"/>
    </row>
    <row r="11" spans="1:10">
      <c r="A11" s="228" t="s">
        <v>10</v>
      </c>
      <c r="B11" s="562" t="s">
        <v>11</v>
      </c>
      <c r="C11" s="562"/>
      <c r="D11" s="562"/>
      <c r="E11" s="371" t="s">
        <v>351</v>
      </c>
      <c r="F11" s="371"/>
      <c r="G11" s="371"/>
      <c r="H11" s="2"/>
      <c r="I11" s="2"/>
    </row>
    <row r="12" spans="1:10">
      <c r="A12" s="229" t="s">
        <v>12</v>
      </c>
      <c r="B12" s="563" t="s">
        <v>269</v>
      </c>
      <c r="C12" s="564"/>
      <c r="D12" s="564"/>
      <c r="E12" s="564"/>
      <c r="F12" s="565" t="s">
        <v>263</v>
      </c>
      <c r="G12" s="566"/>
      <c r="H12" s="2"/>
      <c r="I12" s="2"/>
    </row>
    <row r="13" spans="1:10">
      <c r="A13" s="228" t="s">
        <v>13</v>
      </c>
      <c r="B13" s="567" t="s">
        <v>14</v>
      </c>
      <c r="C13" s="567"/>
      <c r="D13" s="567"/>
      <c r="E13" s="567"/>
      <c r="F13" s="384"/>
      <c r="G13" s="230">
        <v>30</v>
      </c>
      <c r="H13" s="27"/>
      <c r="I13" s="27"/>
      <c r="J13" s="135"/>
    </row>
    <row r="14" spans="1:10">
      <c r="A14" s="552" t="s">
        <v>289</v>
      </c>
      <c r="B14" s="552"/>
      <c r="C14" s="552"/>
      <c r="D14" s="552"/>
      <c r="E14" s="552"/>
      <c r="F14" s="552"/>
      <c r="G14" s="552"/>
      <c r="H14" s="27"/>
      <c r="I14" s="27"/>
      <c r="J14" s="135"/>
    </row>
    <row r="15" spans="1:10">
      <c r="A15" s="553" t="s">
        <v>290</v>
      </c>
      <c r="B15" s="553"/>
      <c r="C15" s="553"/>
      <c r="D15" s="554" t="s">
        <v>291</v>
      </c>
      <c r="E15" s="554"/>
      <c r="F15" s="554" t="s">
        <v>292</v>
      </c>
      <c r="G15" s="554"/>
      <c r="H15" s="27"/>
      <c r="I15" s="27"/>
      <c r="J15" s="135"/>
    </row>
    <row r="16" spans="1:10">
      <c r="A16" s="509" t="s">
        <v>349</v>
      </c>
      <c r="B16" s="509"/>
      <c r="C16" s="509"/>
      <c r="D16" s="555" t="s">
        <v>293</v>
      </c>
      <c r="E16" s="555"/>
      <c r="F16" s="390">
        <v>2</v>
      </c>
      <c r="G16" s="390"/>
      <c r="H16" s="27"/>
      <c r="I16" s="27"/>
      <c r="J16" s="135"/>
    </row>
    <row r="17" spans="1:9">
      <c r="A17" s="509"/>
      <c r="B17" s="509"/>
      <c r="C17" s="509"/>
      <c r="D17" s="555"/>
      <c r="E17" s="555"/>
      <c r="F17" s="390"/>
      <c r="G17" s="390"/>
      <c r="H17" s="2"/>
      <c r="I17" s="2"/>
    </row>
    <row r="18" spans="1:9">
      <c r="A18" s="568"/>
      <c r="B18" s="568"/>
      <c r="C18" s="568"/>
      <c r="D18" s="568"/>
      <c r="E18" s="568"/>
      <c r="F18" s="568"/>
      <c r="G18" s="568"/>
      <c r="H18" s="2"/>
      <c r="I18" s="6"/>
    </row>
    <row r="19" spans="1:9" ht="15.75">
      <c r="A19" s="532" t="s">
        <v>304</v>
      </c>
      <c r="B19" s="532"/>
      <c r="C19" s="532"/>
      <c r="D19" s="532"/>
      <c r="E19" s="532"/>
      <c r="F19" s="532"/>
      <c r="G19" s="532"/>
      <c r="H19" s="2"/>
      <c r="I19" s="6"/>
    </row>
    <row r="20" spans="1:9">
      <c r="A20" s="549" t="s">
        <v>303</v>
      </c>
      <c r="B20" s="549"/>
      <c r="C20" s="549"/>
      <c r="D20" s="549"/>
      <c r="E20" s="549"/>
      <c r="F20" s="549"/>
      <c r="G20" s="549"/>
      <c r="H20" s="2"/>
      <c r="I20" s="6"/>
    </row>
    <row r="21" spans="1:9">
      <c r="A21" s="550" t="s">
        <v>305</v>
      </c>
      <c r="B21" s="550"/>
      <c r="C21" s="550"/>
      <c r="D21" s="550"/>
      <c r="E21" s="550"/>
      <c r="F21" s="550"/>
      <c r="G21" s="550"/>
      <c r="H21" s="2"/>
      <c r="I21" s="6"/>
    </row>
    <row r="22" spans="1:9" ht="66" customHeight="1">
      <c r="A22" s="42">
        <v>1</v>
      </c>
      <c r="B22" s="504" t="s">
        <v>270</v>
      </c>
      <c r="C22" s="504"/>
      <c r="D22" s="504"/>
      <c r="E22" s="504"/>
      <c r="F22" s="551"/>
      <c r="G22" s="231" t="s">
        <v>355</v>
      </c>
      <c r="H22" s="2"/>
      <c r="I22" s="6"/>
    </row>
    <row r="23" spans="1:9">
      <c r="A23" s="42">
        <v>2</v>
      </c>
      <c r="B23" s="504" t="s">
        <v>54</v>
      </c>
      <c r="C23" s="504"/>
      <c r="D23" s="504"/>
      <c r="E23" s="504"/>
      <c r="F23" s="551"/>
      <c r="G23" s="232" t="s">
        <v>68</v>
      </c>
      <c r="H23" s="2"/>
      <c r="I23" s="6"/>
    </row>
    <row r="24" spans="1:9">
      <c r="A24" s="42">
        <v>3</v>
      </c>
      <c r="B24" s="504" t="s">
        <v>59</v>
      </c>
      <c r="C24" s="504"/>
      <c r="D24" s="504"/>
      <c r="E24" s="504"/>
      <c r="F24" s="504"/>
      <c r="G24" s="233">
        <v>1500.4</v>
      </c>
      <c r="H24" s="2"/>
      <c r="I24" s="7"/>
    </row>
    <row r="25" spans="1:9">
      <c r="A25" s="42">
        <v>4</v>
      </c>
      <c r="B25" s="504" t="s">
        <v>15</v>
      </c>
      <c r="C25" s="504"/>
      <c r="D25" s="504"/>
      <c r="E25" s="504"/>
      <c r="F25" s="393"/>
      <c r="G25" s="111" t="s">
        <v>72</v>
      </c>
      <c r="H25" s="2"/>
      <c r="I25" s="6"/>
    </row>
    <row r="26" spans="1:9">
      <c r="A26" s="42">
        <v>5</v>
      </c>
      <c r="B26" s="504" t="s">
        <v>16</v>
      </c>
      <c r="C26" s="504"/>
      <c r="D26" s="504"/>
      <c r="E26" s="504"/>
      <c r="F26" s="393"/>
      <c r="G26" s="234" t="s">
        <v>73</v>
      </c>
      <c r="H26" s="2"/>
      <c r="I26" s="6"/>
    </row>
    <row r="27" spans="1:9">
      <c r="A27" s="103">
        <v>6</v>
      </c>
      <c r="B27" s="548" t="s">
        <v>77</v>
      </c>
      <c r="C27" s="548"/>
      <c r="D27" s="548"/>
      <c r="E27" s="548"/>
      <c r="F27" s="548"/>
      <c r="G27" s="112">
        <f>G24/220</f>
        <v>6.82</v>
      </c>
      <c r="H27" s="2"/>
      <c r="I27" s="6"/>
    </row>
    <row r="28" spans="1:9">
      <c r="A28" s="103">
        <v>7</v>
      </c>
      <c r="B28" s="548" t="s">
        <v>138</v>
      </c>
      <c r="C28" s="548"/>
      <c r="D28" s="548"/>
      <c r="E28" s="548"/>
      <c r="F28" s="548"/>
      <c r="G28" s="112">
        <f>SUM(G27+G29)</f>
        <v>8.870000000000001</v>
      </c>
      <c r="H28" s="2"/>
      <c r="I28" s="6"/>
    </row>
    <row r="29" spans="1:9">
      <c r="A29" s="103">
        <v>8</v>
      </c>
      <c r="B29" s="548" t="s">
        <v>139</v>
      </c>
      <c r="C29" s="548"/>
      <c r="D29" s="548"/>
      <c r="E29" s="548"/>
      <c r="F29" s="548"/>
      <c r="G29" s="112">
        <f>ROUND(G27*0.3,2)</f>
        <v>2.0499999999999998</v>
      </c>
      <c r="H29" s="2"/>
      <c r="I29" s="6"/>
    </row>
    <row r="30" spans="1:9">
      <c r="A30" s="103">
        <v>9</v>
      </c>
      <c r="B30" s="548" t="s">
        <v>142</v>
      </c>
      <c r="C30" s="548"/>
      <c r="D30" s="548"/>
      <c r="E30" s="548"/>
      <c r="F30" s="548"/>
      <c r="G30" s="112">
        <f>G24*0.3</f>
        <v>450.12</v>
      </c>
      <c r="H30" s="2"/>
      <c r="I30" s="6"/>
    </row>
    <row r="31" spans="1:9">
      <c r="A31" s="33">
        <v>10</v>
      </c>
      <c r="B31" s="543" t="s">
        <v>70</v>
      </c>
      <c r="C31" s="543"/>
      <c r="D31" s="543"/>
      <c r="E31" s="543"/>
      <c r="F31" s="543"/>
      <c r="G31" s="112">
        <f>ROUND(G27*1.5,2)</f>
        <v>10.23</v>
      </c>
      <c r="H31" s="2"/>
      <c r="I31" s="6"/>
    </row>
    <row r="32" spans="1:9">
      <c r="A32" s="33">
        <v>11</v>
      </c>
      <c r="B32" s="543" t="s">
        <v>140</v>
      </c>
      <c r="C32" s="543"/>
      <c r="D32" s="543"/>
      <c r="E32" s="543"/>
      <c r="F32" s="543"/>
      <c r="G32" s="112">
        <f>ROUND(1.3*G27*1.5,2)</f>
        <v>13.3</v>
      </c>
      <c r="H32" s="2"/>
      <c r="I32" s="6"/>
    </row>
    <row r="33" spans="1:9" ht="15" customHeight="1">
      <c r="A33" s="33">
        <v>12</v>
      </c>
      <c r="B33" s="543" t="s">
        <v>246</v>
      </c>
      <c r="C33" s="543"/>
      <c r="D33" s="543"/>
      <c r="E33" s="543"/>
      <c r="F33" s="543"/>
      <c r="G33" s="112">
        <f>ROUND(G27*0.2,2)</f>
        <v>1.36</v>
      </c>
      <c r="H33" s="2"/>
      <c r="I33" s="6"/>
    </row>
    <row r="34" spans="1:9">
      <c r="A34" s="33">
        <v>13</v>
      </c>
      <c r="B34" s="543" t="s">
        <v>141</v>
      </c>
      <c r="C34" s="543"/>
      <c r="D34" s="543"/>
      <c r="E34" s="543"/>
      <c r="F34" s="543"/>
      <c r="G34" s="112">
        <f>ROUND(1.3*G27*0.2,2)</f>
        <v>1.77</v>
      </c>
      <c r="H34" s="2"/>
      <c r="I34" s="6"/>
    </row>
    <row r="35" spans="1:9">
      <c r="A35" s="33">
        <v>14</v>
      </c>
      <c r="B35" s="543" t="s">
        <v>143</v>
      </c>
      <c r="C35" s="543"/>
      <c r="D35" s="543"/>
      <c r="E35" s="543"/>
      <c r="F35" s="543"/>
      <c r="G35" s="112">
        <f>ROUND(G27/6,2)</f>
        <v>1.1399999999999999</v>
      </c>
      <c r="H35" s="2"/>
      <c r="I35" s="6"/>
    </row>
    <row r="36" spans="1:9">
      <c r="A36" s="33">
        <v>15</v>
      </c>
      <c r="B36" s="543" t="s">
        <v>71</v>
      </c>
      <c r="C36" s="543"/>
      <c r="D36" s="543"/>
      <c r="E36" s="543"/>
      <c r="F36" s="543"/>
      <c r="G36" s="119">
        <v>2</v>
      </c>
      <c r="H36" s="2"/>
      <c r="I36" s="6"/>
    </row>
    <row r="37" spans="1:9">
      <c r="A37" s="114" t="s">
        <v>74</v>
      </c>
      <c r="B37" s="540" t="s">
        <v>306</v>
      </c>
      <c r="C37" s="540"/>
      <c r="D37" s="540"/>
      <c r="E37" s="540"/>
      <c r="F37" s="540"/>
      <c r="G37" s="540"/>
      <c r="H37" s="2"/>
      <c r="I37" s="6"/>
    </row>
    <row r="38" spans="1:9">
      <c r="A38" s="114" t="s">
        <v>75</v>
      </c>
      <c r="B38" s="540" t="s">
        <v>307</v>
      </c>
      <c r="C38" s="540"/>
      <c r="D38" s="540"/>
      <c r="E38" s="540"/>
      <c r="F38" s="540"/>
      <c r="G38" s="540"/>
      <c r="H38" s="2"/>
      <c r="I38" s="6"/>
    </row>
    <row r="39" spans="1:9" ht="15" customHeight="1">
      <c r="A39" s="235"/>
      <c r="B39" s="236"/>
      <c r="C39" s="236"/>
      <c r="D39" s="236"/>
      <c r="E39" s="236"/>
      <c r="F39" s="236"/>
      <c r="G39" s="236"/>
      <c r="H39" s="2"/>
      <c r="I39" s="6"/>
    </row>
    <row r="40" spans="1:9">
      <c r="A40" s="229"/>
      <c r="B40" s="237"/>
      <c r="C40" s="237"/>
      <c r="D40" s="237"/>
      <c r="E40" s="237"/>
      <c r="F40" s="237"/>
      <c r="G40" s="237"/>
      <c r="H40" s="2"/>
      <c r="I40" s="6"/>
    </row>
    <row r="41" spans="1:9" ht="15.75">
      <c r="A41" s="541" t="s">
        <v>76</v>
      </c>
      <c r="B41" s="541"/>
      <c r="C41" s="541"/>
      <c r="D41" s="541"/>
      <c r="E41" s="541"/>
      <c r="F41" s="541"/>
      <c r="G41" s="541"/>
      <c r="H41" s="2"/>
      <c r="I41" s="6"/>
    </row>
    <row r="42" spans="1:9">
      <c r="A42" s="213">
        <v>1</v>
      </c>
      <c r="B42" s="486" t="s">
        <v>17</v>
      </c>
      <c r="C42" s="486"/>
      <c r="D42" s="486"/>
      <c r="E42" s="486" t="s">
        <v>20</v>
      </c>
      <c r="F42" s="486"/>
      <c r="G42" s="238" t="s">
        <v>18</v>
      </c>
      <c r="H42" s="2"/>
      <c r="I42" s="6"/>
    </row>
    <row r="43" spans="1:9" ht="34.5" customHeight="1">
      <c r="A43" s="57" t="s">
        <v>8</v>
      </c>
      <c r="B43" s="394" t="s">
        <v>341</v>
      </c>
      <c r="C43" s="394"/>
      <c r="D43" s="394"/>
      <c r="E43" s="394"/>
      <c r="F43" s="394"/>
      <c r="G43" s="239">
        <f>ROUND((G24/220)*180,2)*G36</f>
        <v>2455.1999999999998</v>
      </c>
      <c r="H43" s="109"/>
      <c r="I43" s="11"/>
    </row>
    <row r="44" spans="1:9" ht="27.75" customHeight="1">
      <c r="A44" s="240" t="s">
        <v>10</v>
      </c>
      <c r="B44" s="561" t="s">
        <v>247</v>
      </c>
      <c r="C44" s="561"/>
      <c r="D44" s="561"/>
      <c r="E44" s="561"/>
      <c r="F44" s="561"/>
      <c r="G44" s="239">
        <f>ROUND(G33*8*15*G36,2)</f>
        <v>326.39999999999998</v>
      </c>
      <c r="H44" s="10"/>
      <c r="I44" s="11"/>
    </row>
    <row r="45" spans="1:9" ht="41.25" customHeight="1">
      <c r="A45" s="240" t="s">
        <v>12</v>
      </c>
      <c r="B45" s="544" t="s">
        <v>249</v>
      </c>
      <c r="C45" s="545"/>
      <c r="D45" s="545"/>
      <c r="E45" s="545"/>
      <c r="F45" s="545"/>
      <c r="G45" s="239">
        <f>ROUND(G31*4.33*G36,2)</f>
        <v>88.59</v>
      </c>
      <c r="H45" s="10"/>
      <c r="I45" s="11"/>
    </row>
    <row r="46" spans="1:9" ht="27" customHeight="1">
      <c r="A46" s="240" t="s">
        <v>13</v>
      </c>
      <c r="B46" s="542" t="s">
        <v>78</v>
      </c>
      <c r="C46" s="534"/>
      <c r="D46" s="534"/>
      <c r="E46" s="534"/>
      <c r="F46" s="534"/>
      <c r="G46" s="239">
        <f>ROUND($G$35*G36*15,2)</f>
        <v>34.200000000000003</v>
      </c>
      <c r="H46" s="9"/>
      <c r="I46" s="8"/>
    </row>
    <row r="47" spans="1:9" ht="30" customHeight="1">
      <c r="A47" s="240" t="s">
        <v>22</v>
      </c>
      <c r="B47" s="534" t="s">
        <v>278</v>
      </c>
      <c r="C47" s="534"/>
      <c r="D47" s="534"/>
      <c r="E47" s="534"/>
      <c r="F47" s="534"/>
      <c r="G47" s="239">
        <f>ROUND(SUM(G44:G46)*0.2,2)</f>
        <v>89.84</v>
      </c>
      <c r="H47" s="9"/>
      <c r="I47" s="8"/>
    </row>
    <row r="48" spans="1:9" ht="30" customHeight="1">
      <c r="A48" s="240" t="s">
        <v>23</v>
      </c>
      <c r="B48" s="534" t="s">
        <v>251</v>
      </c>
      <c r="C48" s="534"/>
      <c r="D48" s="534"/>
      <c r="E48" s="535">
        <v>0.3</v>
      </c>
      <c r="F48" s="536"/>
      <c r="G48" s="97">
        <f>ROUND(E48*SUM(G43:G47),2)</f>
        <v>898.27</v>
      </c>
      <c r="H48" s="9"/>
      <c r="I48" s="8"/>
    </row>
    <row r="49" spans="1:9">
      <c r="A49" s="57" t="s">
        <v>24</v>
      </c>
      <c r="B49" s="537" t="s">
        <v>79</v>
      </c>
      <c r="C49" s="537"/>
      <c r="D49" s="537"/>
      <c r="E49" s="537"/>
      <c r="F49" s="537"/>
      <c r="G49" s="97">
        <v>0</v>
      </c>
      <c r="H49" s="110"/>
      <c r="I49" s="8"/>
    </row>
    <row r="50" spans="1:9">
      <c r="A50" s="538" t="s">
        <v>255</v>
      </c>
      <c r="B50" s="538"/>
      <c r="C50" s="538"/>
      <c r="D50" s="538"/>
      <c r="E50" s="538"/>
      <c r="F50" s="538"/>
      <c r="G50" s="34">
        <f>SUM(G43:G49)</f>
        <v>3892.5</v>
      </c>
      <c r="H50" s="13"/>
      <c r="I50" s="12"/>
    </row>
    <row r="51" spans="1:9">
      <c r="A51" s="84" t="s">
        <v>25</v>
      </c>
      <c r="B51" s="482" t="s">
        <v>326</v>
      </c>
      <c r="C51" s="482"/>
      <c r="D51" s="482"/>
      <c r="E51" s="482"/>
      <c r="F51" s="482"/>
      <c r="G51" s="105">
        <f>ROUND(G31*15*G36*0.5,2)</f>
        <v>153.44999999999999</v>
      </c>
      <c r="H51" s="13"/>
      <c r="I51" s="12"/>
    </row>
    <row r="52" spans="1:9">
      <c r="A52" s="502" t="s">
        <v>256</v>
      </c>
      <c r="B52" s="502"/>
      <c r="C52" s="502"/>
      <c r="D52" s="502"/>
      <c r="E52" s="502"/>
      <c r="F52" s="502"/>
      <c r="G52" s="104">
        <f>G51</f>
        <v>153.44999999999999</v>
      </c>
      <c r="H52" s="13"/>
      <c r="I52" s="12"/>
    </row>
    <row r="53" spans="1:9">
      <c r="A53" s="241"/>
      <c r="B53" s="241"/>
      <c r="C53" s="241"/>
      <c r="D53" s="241"/>
      <c r="E53" s="241"/>
      <c r="F53" s="241"/>
      <c r="G53" s="242"/>
      <c r="H53" s="13"/>
      <c r="I53" s="12"/>
    </row>
    <row r="54" spans="1:9">
      <c r="A54" s="502" t="s">
        <v>250</v>
      </c>
      <c r="B54" s="502"/>
      <c r="C54" s="502"/>
      <c r="D54" s="502"/>
      <c r="E54" s="502"/>
      <c r="F54" s="502"/>
      <c r="G54" s="104">
        <f>G50+G52</f>
        <v>4045.95</v>
      </c>
      <c r="H54" s="13"/>
      <c r="I54" s="12"/>
    </row>
    <row r="55" spans="1:9">
      <c r="A55" s="114" t="s">
        <v>80</v>
      </c>
      <c r="B55" s="539" t="s">
        <v>317</v>
      </c>
      <c r="C55" s="539"/>
      <c r="D55" s="539"/>
      <c r="E55" s="539"/>
      <c r="F55" s="539"/>
      <c r="G55" s="539"/>
      <c r="H55" s="13"/>
      <c r="I55" s="12"/>
    </row>
    <row r="56" spans="1:9">
      <c r="A56" s="114" t="s">
        <v>84</v>
      </c>
      <c r="B56" s="539" t="s">
        <v>316</v>
      </c>
      <c r="C56" s="539"/>
      <c r="D56" s="539"/>
      <c r="E56" s="539"/>
      <c r="F56" s="539"/>
      <c r="G56" s="539"/>
      <c r="H56" s="13"/>
      <c r="I56" s="12"/>
    </row>
    <row r="57" spans="1:9">
      <c r="A57" s="243"/>
      <c r="B57" s="244"/>
      <c r="C57" s="244"/>
      <c r="D57" s="244"/>
      <c r="E57" s="244"/>
      <c r="F57" s="244"/>
      <c r="G57" s="244"/>
      <c r="H57" s="13"/>
      <c r="I57" s="12"/>
    </row>
    <row r="58" spans="1:9">
      <c r="A58" s="245"/>
      <c r="B58" s="245"/>
      <c r="C58" s="245"/>
      <c r="D58" s="246"/>
      <c r="E58" s="246"/>
      <c r="F58" s="246"/>
      <c r="G58" s="247"/>
      <c r="H58" s="13"/>
      <c r="I58" s="12"/>
    </row>
    <row r="59" spans="1:9" ht="15.75">
      <c r="A59" s="532" t="s">
        <v>81</v>
      </c>
      <c r="B59" s="532"/>
      <c r="C59" s="532"/>
      <c r="D59" s="532"/>
      <c r="E59" s="532"/>
      <c r="F59" s="532"/>
      <c r="G59" s="532"/>
      <c r="H59" s="2"/>
      <c r="I59" s="6"/>
    </row>
    <row r="60" spans="1:9">
      <c r="A60" s="36" t="s">
        <v>37</v>
      </c>
      <c r="B60" s="533" t="s">
        <v>252</v>
      </c>
      <c r="C60" s="533"/>
      <c r="D60" s="533"/>
      <c r="E60" s="533"/>
      <c r="F60" s="533"/>
      <c r="G60" s="205" t="s">
        <v>18</v>
      </c>
      <c r="H60" s="2"/>
      <c r="I60" s="6"/>
    </row>
    <row r="61" spans="1:9">
      <c r="A61" s="214" t="s">
        <v>8</v>
      </c>
      <c r="B61" s="404" t="s">
        <v>309</v>
      </c>
      <c r="C61" s="404"/>
      <c r="D61" s="404"/>
      <c r="E61" s="404"/>
      <c r="F61" s="404"/>
      <c r="G61" s="248">
        <f>ROUND(G50/12,2)</f>
        <v>324.38</v>
      </c>
      <c r="H61" s="17"/>
      <c r="I61" s="16"/>
    </row>
    <row r="62" spans="1:9">
      <c r="A62" s="214" t="s">
        <v>10</v>
      </c>
      <c r="B62" s="404" t="s">
        <v>82</v>
      </c>
      <c r="C62" s="404"/>
      <c r="D62" s="404"/>
      <c r="E62" s="404"/>
      <c r="F62" s="404"/>
      <c r="G62" s="248">
        <f>ROUND((G50+G50/3)/12,2)</f>
        <v>432.5</v>
      </c>
      <c r="H62" s="17"/>
      <c r="I62" s="16"/>
    </row>
    <row r="63" spans="1:9">
      <c r="A63" s="519" t="s">
        <v>83</v>
      </c>
      <c r="B63" s="519"/>
      <c r="C63" s="519"/>
      <c r="D63" s="519"/>
      <c r="E63" s="519"/>
      <c r="F63" s="519"/>
      <c r="G63" s="249">
        <f>SUM(G61:G62)</f>
        <v>756.88</v>
      </c>
      <c r="H63" s="17"/>
      <c r="I63" s="16"/>
    </row>
    <row r="64" spans="1:9" ht="25.5" customHeight="1">
      <c r="A64" s="115" t="s">
        <v>86</v>
      </c>
      <c r="B64" s="525" t="s">
        <v>85</v>
      </c>
      <c r="C64" s="525"/>
      <c r="D64" s="525"/>
      <c r="E64" s="525"/>
      <c r="F64" s="525"/>
      <c r="G64" s="525"/>
      <c r="H64" s="17"/>
      <c r="I64" s="16"/>
    </row>
    <row r="65" spans="1:9" ht="37.5" customHeight="1">
      <c r="A65" s="115" t="s">
        <v>87</v>
      </c>
      <c r="B65" s="525" t="s">
        <v>88</v>
      </c>
      <c r="C65" s="525"/>
      <c r="D65" s="525"/>
      <c r="E65" s="525"/>
      <c r="F65" s="525"/>
      <c r="G65" s="525"/>
      <c r="H65" s="17"/>
      <c r="I65" s="16"/>
    </row>
    <row r="66" spans="1:9">
      <c r="A66" s="250"/>
      <c r="B66" s="251"/>
      <c r="C66" s="251"/>
      <c r="D66" s="251"/>
      <c r="E66" s="251"/>
      <c r="F66" s="251"/>
      <c r="G66" s="251"/>
      <c r="H66" s="17"/>
      <c r="I66" s="16"/>
    </row>
    <row r="67" spans="1:9">
      <c r="A67" s="246"/>
      <c r="B67" s="246"/>
      <c r="C67" s="246"/>
      <c r="D67" s="252"/>
      <c r="E67" s="253"/>
      <c r="F67" s="253"/>
      <c r="G67" s="253"/>
      <c r="H67" s="2"/>
      <c r="I67" s="6"/>
    </row>
    <row r="68" spans="1:9" ht="34.5" customHeight="1">
      <c r="A68" s="37" t="s">
        <v>38</v>
      </c>
      <c r="B68" s="529" t="s">
        <v>254</v>
      </c>
      <c r="C68" s="529"/>
      <c r="D68" s="529"/>
      <c r="E68" s="529"/>
      <c r="F68" s="529"/>
      <c r="G68" s="529"/>
      <c r="H68" s="2"/>
      <c r="I68" s="6"/>
    </row>
    <row r="69" spans="1:9">
      <c r="A69" s="254"/>
      <c r="B69" s="530" t="s">
        <v>89</v>
      </c>
      <c r="C69" s="530"/>
      <c r="D69" s="530"/>
      <c r="E69" s="414" t="s">
        <v>20</v>
      </c>
      <c r="F69" s="531"/>
      <c r="G69" s="255" t="s">
        <v>18</v>
      </c>
      <c r="H69" s="2"/>
      <c r="I69" s="6"/>
    </row>
    <row r="70" spans="1:9">
      <c r="A70" s="214" t="s">
        <v>8</v>
      </c>
      <c r="B70" s="404" t="s">
        <v>28</v>
      </c>
      <c r="C70" s="404"/>
      <c r="D70" s="404"/>
      <c r="E70" s="527">
        <v>0.2</v>
      </c>
      <c r="F70" s="528"/>
      <c r="G70" s="256">
        <f>ROUND((G50+G63)*E70,2)</f>
        <v>929.88</v>
      </c>
      <c r="H70" s="15"/>
      <c r="I70" s="14"/>
    </row>
    <row r="71" spans="1:9">
      <c r="A71" s="214" t="s">
        <v>10</v>
      </c>
      <c r="B71" s="404" t="s">
        <v>39</v>
      </c>
      <c r="C71" s="404"/>
      <c r="D71" s="404"/>
      <c r="E71" s="411">
        <v>2.5000000000000001E-2</v>
      </c>
      <c r="F71" s="381"/>
      <c r="G71" s="256">
        <f>ROUND((G50+G63)*E71,2)</f>
        <v>116.23</v>
      </c>
      <c r="H71" s="15"/>
      <c r="I71" s="14"/>
    </row>
    <row r="72" spans="1:9">
      <c r="A72" s="214" t="s">
        <v>12</v>
      </c>
      <c r="B72" s="404" t="s">
        <v>96</v>
      </c>
      <c r="C72" s="404"/>
      <c r="D72" s="404"/>
      <c r="E72" s="527">
        <f>ROUND((H73*I73),6)</f>
        <v>0.03</v>
      </c>
      <c r="F72" s="528"/>
      <c r="G72" s="256">
        <f>ROUND((G50+G63)*E72,2)</f>
        <v>139.47999999999999</v>
      </c>
      <c r="H72" s="220" t="s">
        <v>90</v>
      </c>
      <c r="I72" s="38" t="s">
        <v>91</v>
      </c>
    </row>
    <row r="73" spans="1:9">
      <c r="A73" s="214" t="s">
        <v>13</v>
      </c>
      <c r="B73" s="404" t="s">
        <v>40</v>
      </c>
      <c r="C73" s="404"/>
      <c r="D73" s="404"/>
      <c r="E73" s="411">
        <v>1.4999999999999999E-2</v>
      </c>
      <c r="F73" s="381"/>
      <c r="G73" s="256">
        <f>ROUND((G50+G63)*E73,2)</f>
        <v>69.739999999999995</v>
      </c>
      <c r="H73" s="221">
        <v>0.03</v>
      </c>
      <c r="I73" s="40">
        <v>1</v>
      </c>
    </row>
    <row r="74" spans="1:9">
      <c r="A74" s="214" t="s">
        <v>22</v>
      </c>
      <c r="B74" s="404" t="s">
        <v>41</v>
      </c>
      <c r="C74" s="404"/>
      <c r="D74" s="404"/>
      <c r="E74" s="411">
        <v>0.01</v>
      </c>
      <c r="F74" s="381"/>
      <c r="G74" s="256">
        <f>ROUND((G50+G63)*E74,2)</f>
        <v>46.49</v>
      </c>
      <c r="H74" s="15"/>
      <c r="I74" s="14"/>
    </row>
    <row r="75" spans="1:9">
      <c r="A75" s="214" t="s">
        <v>23</v>
      </c>
      <c r="B75" s="404" t="s">
        <v>29</v>
      </c>
      <c r="C75" s="404"/>
      <c r="D75" s="404"/>
      <c r="E75" s="411">
        <v>6.0000000000000001E-3</v>
      </c>
      <c r="F75" s="381"/>
      <c r="G75" s="256">
        <f>ROUND((G50+G63)*E75,2)</f>
        <v>27.9</v>
      </c>
      <c r="H75" s="15"/>
      <c r="I75" s="14"/>
    </row>
    <row r="76" spans="1:9">
      <c r="A76" s="214" t="s">
        <v>24</v>
      </c>
      <c r="B76" s="404" t="s">
        <v>42</v>
      </c>
      <c r="C76" s="404"/>
      <c r="D76" s="404"/>
      <c r="E76" s="411">
        <v>2E-3</v>
      </c>
      <c r="F76" s="381"/>
      <c r="G76" s="256">
        <f>ROUND((G50+G63)*E76,2)</f>
        <v>9.3000000000000007</v>
      </c>
      <c r="H76" s="15"/>
      <c r="I76" s="14"/>
    </row>
    <row r="77" spans="1:9">
      <c r="A77" s="214" t="s">
        <v>25</v>
      </c>
      <c r="B77" s="404" t="s">
        <v>43</v>
      </c>
      <c r="C77" s="404"/>
      <c r="D77" s="404"/>
      <c r="E77" s="411">
        <v>0.08</v>
      </c>
      <c r="F77" s="381"/>
      <c r="G77" s="256">
        <f>ROUND((G50+G63)*E77,2)</f>
        <v>371.95</v>
      </c>
      <c r="H77" s="15"/>
      <c r="I77" s="14"/>
    </row>
    <row r="78" spans="1:9">
      <c r="A78" s="518" t="s">
        <v>92</v>
      </c>
      <c r="B78" s="519"/>
      <c r="C78" s="519"/>
      <c r="D78" s="519"/>
      <c r="E78" s="520">
        <f>SUM(E70:F77)</f>
        <v>0.36800000000000005</v>
      </c>
      <c r="F78" s="418"/>
      <c r="G78" s="257">
        <f>SUM(G70:G77)</f>
        <v>1710.97</v>
      </c>
      <c r="H78" s="13"/>
      <c r="I78" s="39"/>
    </row>
    <row r="79" spans="1:9">
      <c r="A79" s="117" t="s">
        <v>93</v>
      </c>
      <c r="B79" s="525" t="s">
        <v>94</v>
      </c>
      <c r="C79" s="525"/>
      <c r="D79" s="525"/>
      <c r="E79" s="525"/>
      <c r="F79" s="525"/>
      <c r="G79" s="525"/>
      <c r="H79" s="13"/>
      <c r="I79" s="39"/>
    </row>
    <row r="80" spans="1:9">
      <c r="A80" s="117" t="s">
        <v>95</v>
      </c>
      <c r="B80" s="525" t="s">
        <v>97</v>
      </c>
      <c r="C80" s="525"/>
      <c r="D80" s="525"/>
      <c r="E80" s="525"/>
      <c r="F80" s="525"/>
      <c r="G80" s="525"/>
      <c r="H80" s="13"/>
      <c r="I80" s="39"/>
    </row>
    <row r="81" spans="1:9">
      <c r="A81" s="258"/>
      <c r="B81" s="259"/>
      <c r="C81" s="259"/>
      <c r="D81" s="259"/>
      <c r="E81" s="259"/>
      <c r="F81" s="259"/>
      <c r="G81" s="259"/>
      <c r="H81" s="13"/>
      <c r="I81" s="39"/>
    </row>
    <row r="82" spans="1:9">
      <c r="A82" s="258"/>
      <c r="B82" s="259"/>
      <c r="C82" s="259"/>
      <c r="D82" s="259"/>
      <c r="E82" s="259"/>
      <c r="F82" s="259"/>
      <c r="G82" s="259"/>
      <c r="H82" s="13"/>
      <c r="I82" s="39"/>
    </row>
    <row r="83" spans="1:9">
      <c r="A83" s="41" t="s">
        <v>44</v>
      </c>
      <c r="B83" s="421" t="s">
        <v>99</v>
      </c>
      <c r="C83" s="421"/>
      <c r="D83" s="421"/>
      <c r="E83" s="421"/>
      <c r="F83" s="421"/>
      <c r="G83" s="421"/>
      <c r="H83" s="2"/>
      <c r="I83" s="6"/>
    </row>
    <row r="84" spans="1:9">
      <c r="A84" s="35"/>
      <c r="B84" s="526" t="s">
        <v>99</v>
      </c>
      <c r="C84" s="526"/>
      <c r="D84" s="526"/>
      <c r="E84" s="526"/>
      <c r="F84" s="526"/>
      <c r="G84" s="260" t="s">
        <v>18</v>
      </c>
      <c r="H84" s="2"/>
      <c r="I84" s="6"/>
    </row>
    <row r="85" spans="1:9" ht="43.5" customHeight="1">
      <c r="A85" s="508" t="s">
        <v>8</v>
      </c>
      <c r="B85" s="509" t="s">
        <v>100</v>
      </c>
      <c r="C85" s="482" t="s">
        <v>101</v>
      </c>
      <c r="D85" s="482"/>
      <c r="E85" s="516">
        <v>3.5</v>
      </c>
      <c r="F85" s="517"/>
      <c r="G85" s="512">
        <f>IF(ROUND((E85*E87*E86)-(G43*E88),2)&lt;0,0,ROUND((E85*E87*E86)-(G43*E88),2))</f>
        <v>62.69</v>
      </c>
      <c r="H85" s="21"/>
      <c r="I85" s="20"/>
    </row>
    <row r="86" spans="1:9" ht="33.75" customHeight="1">
      <c r="A86" s="508"/>
      <c r="B86" s="509"/>
      <c r="C86" s="482" t="s">
        <v>102</v>
      </c>
      <c r="D86" s="482"/>
      <c r="E86" s="521">
        <v>2</v>
      </c>
      <c r="F86" s="522"/>
      <c r="G86" s="512"/>
      <c r="H86" s="21"/>
      <c r="I86" s="20"/>
    </row>
    <row r="87" spans="1:9" ht="31.5" customHeight="1">
      <c r="A87" s="508"/>
      <c r="B87" s="509"/>
      <c r="C87" s="482" t="s">
        <v>103</v>
      </c>
      <c r="D87" s="482"/>
      <c r="E87" s="513">
        <v>30</v>
      </c>
      <c r="F87" s="514"/>
      <c r="G87" s="512"/>
      <c r="H87" s="22"/>
      <c r="I87" s="23"/>
    </row>
    <row r="88" spans="1:9" ht="39" customHeight="1">
      <c r="A88" s="508"/>
      <c r="B88" s="509"/>
      <c r="C88" s="482" t="s">
        <v>105</v>
      </c>
      <c r="D88" s="482"/>
      <c r="E88" s="523">
        <v>0.06</v>
      </c>
      <c r="F88" s="524"/>
      <c r="G88" s="512"/>
      <c r="H88" s="21"/>
      <c r="I88" s="23"/>
    </row>
    <row r="89" spans="1:9" ht="33.75" customHeight="1">
      <c r="A89" s="508" t="s">
        <v>10</v>
      </c>
      <c r="B89" s="509" t="s">
        <v>327</v>
      </c>
      <c r="C89" s="482" t="s">
        <v>104</v>
      </c>
      <c r="D89" s="482"/>
      <c r="E89" s="510">
        <v>20</v>
      </c>
      <c r="F89" s="511"/>
      <c r="G89" s="512">
        <f>ROUND((E89*E90)-((E89*E90)*E91),2)</f>
        <v>480</v>
      </c>
      <c r="H89" s="21"/>
      <c r="I89" s="20"/>
    </row>
    <row r="90" spans="1:9" ht="32.25" customHeight="1">
      <c r="A90" s="508"/>
      <c r="B90" s="509"/>
      <c r="C90" s="482" t="s">
        <v>106</v>
      </c>
      <c r="D90" s="482"/>
      <c r="E90" s="513">
        <v>30</v>
      </c>
      <c r="F90" s="514"/>
      <c r="G90" s="512"/>
      <c r="H90" s="21"/>
      <c r="I90" s="20"/>
    </row>
    <row r="91" spans="1:9" ht="54" customHeight="1">
      <c r="A91" s="508"/>
      <c r="B91" s="509"/>
      <c r="C91" s="482" t="s">
        <v>107</v>
      </c>
      <c r="D91" s="482"/>
      <c r="E91" s="515">
        <v>0.2</v>
      </c>
      <c r="F91" s="515"/>
      <c r="G91" s="512"/>
      <c r="H91" s="21"/>
      <c r="I91" s="20"/>
    </row>
    <row r="92" spans="1:9">
      <c r="A92" s="42" t="s">
        <v>12</v>
      </c>
      <c r="B92" s="506" t="s">
        <v>26</v>
      </c>
      <c r="C92" s="506"/>
      <c r="D92" s="506"/>
      <c r="E92" s="506"/>
      <c r="F92" s="506"/>
      <c r="G92" s="261">
        <v>0</v>
      </c>
      <c r="H92" s="21"/>
      <c r="I92" s="20"/>
    </row>
    <row r="93" spans="1:9">
      <c r="A93" s="42" t="s">
        <v>13</v>
      </c>
      <c r="B93" s="494" t="s">
        <v>108</v>
      </c>
      <c r="C93" s="494"/>
      <c r="D93" s="494"/>
      <c r="E93" s="494"/>
      <c r="F93" s="494"/>
      <c r="G93" s="261">
        <f>ROUND((G50)*26*0.00023,2)</f>
        <v>23.28</v>
      </c>
      <c r="H93" s="21"/>
      <c r="I93" s="20"/>
    </row>
    <row r="94" spans="1:9">
      <c r="A94" s="42" t="s">
        <v>22</v>
      </c>
      <c r="B94" s="494" t="s">
        <v>109</v>
      </c>
      <c r="C94" s="494"/>
      <c r="D94" s="494"/>
      <c r="E94" s="494"/>
      <c r="F94" s="494"/>
      <c r="G94" s="106">
        <f>ROUND(((($G$43))*0.0052066)/12,2)</f>
        <v>1.07</v>
      </c>
      <c r="H94" s="21"/>
      <c r="I94" s="20"/>
    </row>
    <row r="95" spans="1:9">
      <c r="A95" s="42" t="s">
        <v>23</v>
      </c>
      <c r="B95" s="494" t="s">
        <v>110</v>
      </c>
      <c r="C95" s="494"/>
      <c r="D95" s="494"/>
      <c r="E95" s="494"/>
      <c r="F95" s="494"/>
      <c r="G95" s="43">
        <v>0</v>
      </c>
      <c r="H95" s="21"/>
      <c r="I95" s="20"/>
    </row>
    <row r="96" spans="1:9">
      <c r="A96" s="507" t="s">
        <v>111</v>
      </c>
      <c r="B96" s="507"/>
      <c r="C96" s="507"/>
      <c r="D96" s="507"/>
      <c r="E96" s="507"/>
      <c r="F96" s="507"/>
      <c r="G96" s="44">
        <f>SUM(G85:G95)</f>
        <v>567.04000000000008</v>
      </c>
      <c r="H96" s="2"/>
      <c r="I96" s="6"/>
    </row>
    <row r="97" spans="1:9">
      <c r="A97" s="118" t="s">
        <v>112</v>
      </c>
      <c r="B97" s="505" t="s">
        <v>58</v>
      </c>
      <c r="C97" s="505"/>
      <c r="D97" s="505"/>
      <c r="E97" s="505"/>
      <c r="F97" s="505"/>
      <c r="G97" s="505"/>
      <c r="H97" s="24"/>
      <c r="I97" s="6"/>
    </row>
    <row r="98" spans="1:9">
      <c r="A98" s="118" t="s">
        <v>113</v>
      </c>
      <c r="B98" s="505" t="s">
        <v>114</v>
      </c>
      <c r="C98" s="505"/>
      <c r="D98" s="505"/>
      <c r="E98" s="505"/>
      <c r="F98" s="505"/>
      <c r="G98" s="505"/>
      <c r="H98" s="24"/>
      <c r="I98" s="6"/>
    </row>
    <row r="99" spans="1:9">
      <c r="A99" s="262"/>
      <c r="B99" s="263"/>
      <c r="C99" s="263"/>
      <c r="D99" s="263"/>
      <c r="E99" s="263"/>
      <c r="F99" s="263"/>
      <c r="G99" s="263"/>
      <c r="H99" s="24"/>
      <c r="I99" s="6"/>
    </row>
    <row r="100" spans="1:9">
      <c r="A100" s="264"/>
      <c r="B100" s="265"/>
      <c r="C100" s="265"/>
      <c r="D100" s="266"/>
      <c r="E100" s="209"/>
      <c r="F100" s="209"/>
      <c r="G100" s="209"/>
      <c r="H100" s="2"/>
      <c r="I100" s="6"/>
    </row>
    <row r="101" spans="1:9">
      <c r="A101" s="477" t="s">
        <v>115</v>
      </c>
      <c r="B101" s="477"/>
      <c r="C101" s="477"/>
      <c r="D101" s="477"/>
      <c r="E101" s="477"/>
      <c r="F101" s="477"/>
      <c r="G101" s="477"/>
      <c r="H101" s="2"/>
      <c r="I101" s="6"/>
    </row>
    <row r="102" spans="1:9">
      <c r="A102" s="267" t="s">
        <v>116</v>
      </c>
      <c r="B102" s="435" t="s">
        <v>313</v>
      </c>
      <c r="C102" s="435"/>
      <c r="D102" s="435"/>
      <c r="E102" s="435"/>
      <c r="F102" s="435"/>
      <c r="G102" s="95" t="s">
        <v>18</v>
      </c>
      <c r="H102" s="21"/>
      <c r="I102" s="20"/>
    </row>
    <row r="103" spans="1:9">
      <c r="A103" s="42" t="s">
        <v>37</v>
      </c>
      <c r="B103" s="496" t="s">
        <v>335</v>
      </c>
      <c r="C103" s="496"/>
      <c r="D103" s="496"/>
      <c r="E103" s="496"/>
      <c r="F103" s="496"/>
      <c r="G103" s="101">
        <f>G63</f>
        <v>756.88</v>
      </c>
      <c r="H103" s="21"/>
      <c r="I103" s="20"/>
    </row>
    <row r="104" spans="1:9" ht="29.25" customHeight="1">
      <c r="A104" s="42" t="s">
        <v>38</v>
      </c>
      <c r="B104" s="496" t="s">
        <v>117</v>
      </c>
      <c r="C104" s="496"/>
      <c r="D104" s="496"/>
      <c r="E104" s="496"/>
      <c r="F104" s="496"/>
      <c r="G104" s="101">
        <f>G78</f>
        <v>1710.97</v>
      </c>
      <c r="H104" s="21"/>
      <c r="I104" s="20"/>
    </row>
    <row r="105" spans="1:9">
      <c r="A105" s="42" t="s">
        <v>44</v>
      </c>
      <c r="B105" s="494" t="s">
        <v>118</v>
      </c>
      <c r="C105" s="494"/>
      <c r="D105" s="494"/>
      <c r="E105" s="494"/>
      <c r="F105" s="494"/>
      <c r="G105" s="85">
        <f>G96</f>
        <v>567.04000000000008</v>
      </c>
      <c r="H105" s="26"/>
      <c r="I105" s="25"/>
    </row>
    <row r="106" spans="1:9">
      <c r="A106" s="502" t="s">
        <v>120</v>
      </c>
      <c r="B106" s="502"/>
      <c r="C106" s="502"/>
      <c r="D106" s="502"/>
      <c r="E106" s="502"/>
      <c r="F106" s="502"/>
      <c r="G106" s="45">
        <f>SUM(G103:G105)</f>
        <v>3034.89</v>
      </c>
      <c r="H106" s="19"/>
      <c r="I106" s="18"/>
    </row>
    <row r="107" spans="1:9">
      <c r="A107" s="241"/>
      <c r="B107" s="241"/>
      <c r="C107" s="241"/>
      <c r="D107" s="241"/>
      <c r="E107" s="241"/>
      <c r="F107" s="241"/>
      <c r="G107" s="268"/>
      <c r="H107" s="19"/>
      <c r="I107" s="18"/>
    </row>
    <row r="108" spans="1:9">
      <c r="A108" s="269"/>
      <c r="B108" s="270"/>
      <c r="C108" s="270"/>
      <c r="D108" s="271"/>
      <c r="E108" s="271"/>
      <c r="F108" s="271"/>
      <c r="G108" s="271"/>
      <c r="H108" s="19"/>
      <c r="I108" s="18"/>
    </row>
    <row r="109" spans="1:9" ht="15.75">
      <c r="A109" s="476" t="s">
        <v>121</v>
      </c>
      <c r="B109" s="476"/>
      <c r="C109" s="476"/>
      <c r="D109" s="476"/>
      <c r="E109" s="476"/>
      <c r="F109" s="476"/>
      <c r="G109" s="476"/>
      <c r="H109" s="27"/>
      <c r="I109" s="6"/>
    </row>
    <row r="110" spans="1:9">
      <c r="A110" s="272"/>
      <c r="B110" s="446" t="s">
        <v>122</v>
      </c>
      <c r="C110" s="446"/>
      <c r="D110" s="446"/>
      <c r="E110" s="446"/>
      <c r="F110" s="446"/>
      <c r="G110" s="273" t="s">
        <v>18</v>
      </c>
      <c r="H110" s="27"/>
      <c r="I110" s="6"/>
    </row>
    <row r="111" spans="1:9" ht="30.75" customHeight="1">
      <c r="A111" s="229" t="s">
        <v>8</v>
      </c>
      <c r="B111" s="496" t="s">
        <v>338</v>
      </c>
      <c r="C111" s="497"/>
      <c r="D111" s="497"/>
      <c r="E111" s="497"/>
      <c r="F111" s="497"/>
      <c r="G111" s="274">
        <f>ROUND(((G50/12)+($G$61/12)+($G$62/12))*(33/30)*0.05,2)</f>
        <v>21.31</v>
      </c>
      <c r="H111" s="27"/>
      <c r="I111" s="6"/>
    </row>
    <row r="112" spans="1:9">
      <c r="A112" s="229" t="s">
        <v>10</v>
      </c>
      <c r="B112" s="495" t="s">
        <v>32</v>
      </c>
      <c r="C112" s="495"/>
      <c r="D112" s="495"/>
      <c r="E112" s="495"/>
      <c r="F112" s="495"/>
      <c r="G112" s="274">
        <f>ROUND($E$77*G111,2)</f>
        <v>1.7</v>
      </c>
      <c r="H112" s="27"/>
      <c r="I112" s="6"/>
    </row>
    <row r="113" spans="1:9" ht="28.5" customHeight="1">
      <c r="A113" s="229" t="s">
        <v>12</v>
      </c>
      <c r="B113" s="496" t="s">
        <v>257</v>
      </c>
      <c r="C113" s="497"/>
      <c r="D113" s="497"/>
      <c r="E113" s="497"/>
      <c r="F113" s="497"/>
      <c r="G113" s="274">
        <f>ROUND((0.08*0.4*SUM(G50+$G$61+$G$62)*0.05),2)</f>
        <v>7.44</v>
      </c>
      <c r="H113" s="28"/>
      <c r="I113" s="6"/>
    </row>
    <row r="114" spans="1:9">
      <c r="A114" s="229" t="s">
        <v>13</v>
      </c>
      <c r="B114" s="494" t="s">
        <v>339</v>
      </c>
      <c r="C114" s="495"/>
      <c r="D114" s="495"/>
      <c r="E114" s="495"/>
      <c r="F114" s="495"/>
      <c r="G114" s="275">
        <f>ROUND(((7/33)/$G$13)*G50*1,2)</f>
        <v>27.52</v>
      </c>
      <c r="H114" s="27"/>
      <c r="I114" s="6"/>
    </row>
    <row r="115" spans="1:9">
      <c r="A115" s="229" t="s">
        <v>22</v>
      </c>
      <c r="B115" s="495" t="s">
        <v>125</v>
      </c>
      <c r="C115" s="495"/>
      <c r="D115" s="495"/>
      <c r="E115" s="495"/>
      <c r="F115" s="495"/>
      <c r="G115" s="274">
        <f>ROUND($E$78*G114,2)</f>
        <v>10.130000000000001</v>
      </c>
      <c r="H115" s="27"/>
      <c r="I115" s="6"/>
    </row>
    <row r="116" spans="1:9" ht="30" customHeight="1">
      <c r="A116" s="229" t="s">
        <v>23</v>
      </c>
      <c r="B116" s="496" t="s">
        <v>258</v>
      </c>
      <c r="C116" s="497"/>
      <c r="D116" s="497"/>
      <c r="E116" s="497"/>
      <c r="F116" s="497"/>
      <c r="G116" s="276">
        <f>ROUND((0.08*0.4*SUM(G50+$G$61+$G$62)*1),2)</f>
        <v>148.78</v>
      </c>
      <c r="H116" s="19"/>
      <c r="I116" s="18"/>
    </row>
    <row r="117" spans="1:9">
      <c r="A117" s="478" t="s">
        <v>318</v>
      </c>
      <c r="B117" s="478"/>
      <c r="C117" s="478"/>
      <c r="D117" s="478"/>
      <c r="E117" s="478"/>
      <c r="F117" s="478"/>
      <c r="G117" s="46">
        <f>SUM(G111:G116)</f>
        <v>216.88</v>
      </c>
      <c r="H117" s="27"/>
      <c r="I117" s="29"/>
    </row>
    <row r="118" spans="1:9">
      <c r="A118" s="241"/>
      <c r="B118" s="241"/>
      <c r="C118" s="241"/>
      <c r="D118" s="241"/>
      <c r="E118" s="241"/>
      <c r="F118" s="241"/>
      <c r="G118" s="268"/>
      <c r="H118" s="27"/>
      <c r="I118" s="29"/>
    </row>
    <row r="119" spans="1:9">
      <c r="A119" s="277"/>
      <c r="B119" s="277"/>
      <c r="C119" s="277"/>
      <c r="D119" s="271"/>
      <c r="E119" s="271"/>
      <c r="F119" s="271"/>
      <c r="G119" s="271"/>
      <c r="H119" s="27"/>
      <c r="I119" s="29"/>
    </row>
    <row r="120" spans="1:9" ht="15.75">
      <c r="A120" s="476" t="s">
        <v>314</v>
      </c>
      <c r="B120" s="476"/>
      <c r="C120" s="476"/>
      <c r="D120" s="476"/>
      <c r="E120" s="476"/>
      <c r="F120" s="476"/>
      <c r="G120" s="476"/>
      <c r="H120" s="32"/>
      <c r="I120" s="12"/>
    </row>
    <row r="121" spans="1:9" ht="33.75" customHeight="1">
      <c r="A121" s="483" t="s">
        <v>260</v>
      </c>
      <c r="B121" s="483"/>
      <c r="C121" s="483"/>
      <c r="D121" s="483"/>
      <c r="E121" s="483"/>
      <c r="F121" s="483"/>
      <c r="G121" s="483"/>
      <c r="H121" s="32"/>
      <c r="I121" s="12"/>
    </row>
    <row r="122" spans="1:9" ht="31.5">
      <c r="A122" s="215" t="s">
        <v>261</v>
      </c>
      <c r="B122" s="47">
        <f>G50</f>
        <v>3892.5</v>
      </c>
      <c r="C122" s="215" t="s">
        <v>319</v>
      </c>
      <c r="D122" s="48">
        <f>G106-G85-G89</f>
        <v>2492.1999999999998</v>
      </c>
      <c r="E122" s="58" t="s">
        <v>127</v>
      </c>
      <c r="F122" s="48">
        <f>G117</f>
        <v>216.88</v>
      </c>
      <c r="G122" s="49">
        <f>B122+D122+F122</f>
        <v>6601.58</v>
      </c>
      <c r="H122" s="32"/>
      <c r="I122" s="12"/>
    </row>
    <row r="123" spans="1:9" ht="15.75">
      <c r="A123" s="503" t="s">
        <v>129</v>
      </c>
      <c r="B123" s="503"/>
      <c r="C123" s="503"/>
      <c r="D123" s="503"/>
      <c r="E123" s="503" t="s">
        <v>130</v>
      </c>
      <c r="F123" s="503"/>
      <c r="G123" s="50">
        <f>ROUND(G122/30,2)</f>
        <v>220.05</v>
      </c>
      <c r="H123" s="32"/>
      <c r="I123" s="12"/>
    </row>
    <row r="124" spans="1:9" ht="15.75">
      <c r="A124" s="278"/>
      <c r="B124" s="278"/>
      <c r="C124" s="278"/>
      <c r="D124" s="278"/>
      <c r="E124" s="278"/>
      <c r="F124" s="278"/>
      <c r="G124" s="278"/>
      <c r="H124" s="32"/>
      <c r="I124" s="12"/>
    </row>
    <row r="125" spans="1:9">
      <c r="A125" s="51" t="s">
        <v>27</v>
      </c>
      <c r="B125" s="500" t="s">
        <v>147</v>
      </c>
      <c r="C125" s="500"/>
      <c r="D125" s="500"/>
      <c r="E125" s="500"/>
      <c r="F125" s="500"/>
      <c r="G125" s="54" t="s">
        <v>18</v>
      </c>
      <c r="H125" s="13"/>
      <c r="I125" s="12"/>
    </row>
    <row r="126" spans="1:9">
      <c r="A126" s="229" t="s">
        <v>8</v>
      </c>
      <c r="B126" s="494" t="s">
        <v>131</v>
      </c>
      <c r="C126" s="495"/>
      <c r="D126" s="495"/>
      <c r="E126" s="495"/>
      <c r="F126" s="495"/>
      <c r="G126" s="98">
        <f>ROUND($G$122/12,2)</f>
        <v>550.13</v>
      </c>
      <c r="H126" s="13"/>
      <c r="I126" s="12"/>
    </row>
    <row r="127" spans="1:9">
      <c r="A127" s="229" t="s">
        <v>10</v>
      </c>
      <c r="B127" s="474" t="s">
        <v>324</v>
      </c>
      <c r="C127" s="504"/>
      <c r="D127" s="504"/>
      <c r="E127" s="504"/>
      <c r="F127" s="504"/>
      <c r="G127" s="98">
        <f>ROUND((2.59/30)/12*($G$122),2)</f>
        <v>47.49</v>
      </c>
      <c r="H127" s="53"/>
      <c r="I127" s="12"/>
    </row>
    <row r="128" spans="1:9">
      <c r="A128" s="229" t="s">
        <v>12</v>
      </c>
      <c r="B128" s="494" t="s">
        <v>133</v>
      </c>
      <c r="C128" s="495"/>
      <c r="D128" s="495"/>
      <c r="E128" s="495"/>
      <c r="F128" s="495"/>
      <c r="G128" s="98">
        <f>ROUND((5/30)/12*0.015*($G$122),2)</f>
        <v>1.38</v>
      </c>
      <c r="H128" s="13"/>
      <c r="I128" s="12"/>
    </row>
    <row r="129" spans="1:9">
      <c r="A129" s="229" t="s">
        <v>13</v>
      </c>
      <c r="B129" s="494" t="s">
        <v>132</v>
      </c>
      <c r="C129" s="495"/>
      <c r="D129" s="495"/>
      <c r="E129" s="495"/>
      <c r="F129" s="495"/>
      <c r="G129" s="98">
        <f>ROUND(((15/30)/12)*0.0078*($G$122),2)</f>
        <v>2.15</v>
      </c>
      <c r="H129" s="53"/>
      <c r="I129" s="12"/>
    </row>
    <row r="130" spans="1:9" ht="32.25" customHeight="1">
      <c r="A130" s="229" t="s">
        <v>22</v>
      </c>
      <c r="B130" s="496" t="s">
        <v>134</v>
      </c>
      <c r="C130" s="497"/>
      <c r="D130" s="497"/>
      <c r="E130" s="497"/>
      <c r="F130" s="497"/>
      <c r="G130" s="99">
        <f>ROUND((((G50+G50/3)/12+(G78+G96+G117))*4/12)*0.02,2)</f>
        <v>19.52</v>
      </c>
      <c r="H130" s="31"/>
      <c r="I130" s="30"/>
    </row>
    <row r="131" spans="1:9">
      <c r="A131" s="279" t="s">
        <v>23</v>
      </c>
      <c r="B131" s="498" t="s">
        <v>135</v>
      </c>
      <c r="C131" s="498"/>
      <c r="D131" s="498"/>
      <c r="E131" s="498"/>
      <c r="F131" s="498"/>
      <c r="G131" s="99">
        <f>ROUND(((3/30)/12)*($G$122),2)</f>
        <v>55.01</v>
      </c>
      <c r="H131" s="31"/>
      <c r="I131" s="30"/>
    </row>
    <row r="132" spans="1:9">
      <c r="A132" s="499" t="s">
        <v>136</v>
      </c>
      <c r="B132" s="499"/>
      <c r="C132" s="499"/>
      <c r="D132" s="499"/>
      <c r="E132" s="499"/>
      <c r="F132" s="499"/>
      <c r="G132" s="52">
        <f>SUM(G126:G131)</f>
        <v>675.68</v>
      </c>
      <c r="H132" s="27"/>
      <c r="I132" s="29"/>
    </row>
    <row r="133" spans="1:9">
      <c r="A133" s="246"/>
      <c r="B133" s="246"/>
      <c r="C133" s="246"/>
      <c r="D133" s="252"/>
      <c r="E133" s="253"/>
      <c r="F133" s="253"/>
      <c r="G133" s="253"/>
      <c r="H133" s="32"/>
      <c r="I133" s="29"/>
    </row>
    <row r="134" spans="1:9">
      <c r="A134" s="51" t="s">
        <v>30</v>
      </c>
      <c r="B134" s="500" t="s">
        <v>137</v>
      </c>
      <c r="C134" s="500"/>
      <c r="D134" s="500"/>
      <c r="E134" s="500"/>
      <c r="F134" s="500"/>
      <c r="G134" s="54" t="s">
        <v>18</v>
      </c>
      <c r="H134" s="2"/>
      <c r="I134" s="6"/>
    </row>
    <row r="135" spans="1:9">
      <c r="A135" s="229" t="s">
        <v>8</v>
      </c>
      <c r="B135" s="501" t="s">
        <v>262</v>
      </c>
      <c r="C135" s="497"/>
      <c r="D135" s="497"/>
      <c r="E135" s="497"/>
      <c r="F135" s="497"/>
      <c r="G135" s="280">
        <v>0</v>
      </c>
      <c r="H135" s="2"/>
      <c r="I135" s="6"/>
    </row>
    <row r="136" spans="1:9">
      <c r="A136" s="492" t="s">
        <v>144</v>
      </c>
      <c r="B136" s="492"/>
      <c r="C136" s="492"/>
      <c r="D136" s="492"/>
      <c r="E136" s="492"/>
      <c r="F136" s="492"/>
      <c r="G136" s="55">
        <f>SUM(G135:G135)</f>
        <v>0</v>
      </c>
      <c r="H136" s="2"/>
      <c r="I136" s="6"/>
    </row>
    <row r="137" spans="1:9">
      <c r="A137" s="281"/>
      <c r="B137" s="282"/>
      <c r="C137" s="283"/>
      <c r="D137" s="266"/>
      <c r="E137" s="266"/>
      <c r="F137" s="266"/>
      <c r="G137" s="266"/>
      <c r="H137" s="2"/>
      <c r="I137" s="6"/>
    </row>
    <row r="138" spans="1:9">
      <c r="A138" s="493" t="s">
        <v>145</v>
      </c>
      <c r="B138" s="493"/>
      <c r="C138" s="493"/>
      <c r="D138" s="493"/>
      <c r="E138" s="493"/>
      <c r="F138" s="493"/>
      <c r="G138" s="493"/>
      <c r="H138" s="26"/>
      <c r="I138" s="25"/>
    </row>
    <row r="139" spans="1:9">
      <c r="A139" s="36" t="s">
        <v>146</v>
      </c>
      <c r="B139" s="477" t="s">
        <v>122</v>
      </c>
      <c r="C139" s="477"/>
      <c r="D139" s="477"/>
      <c r="E139" s="477"/>
      <c r="F139" s="477"/>
      <c r="G139" s="204" t="s">
        <v>18</v>
      </c>
      <c r="H139" s="26"/>
      <c r="I139" s="25"/>
    </row>
    <row r="140" spans="1:9">
      <c r="A140" s="281" t="s">
        <v>27</v>
      </c>
      <c r="B140" s="473" t="s">
        <v>147</v>
      </c>
      <c r="C140" s="473"/>
      <c r="D140" s="473"/>
      <c r="E140" s="473"/>
      <c r="F140" s="473"/>
      <c r="G140" s="284">
        <f>G132</f>
        <v>675.68</v>
      </c>
      <c r="H140" s="2"/>
      <c r="I140" s="6"/>
    </row>
    <row r="141" spans="1:9">
      <c r="A141" s="281" t="s">
        <v>30</v>
      </c>
      <c r="B141" s="473" t="s">
        <v>137</v>
      </c>
      <c r="C141" s="473"/>
      <c r="D141" s="473"/>
      <c r="E141" s="473"/>
      <c r="F141" s="473"/>
      <c r="G141" s="85">
        <f>G136</f>
        <v>0</v>
      </c>
      <c r="H141" s="19"/>
      <c r="I141" s="18"/>
    </row>
    <row r="142" spans="1:9">
      <c r="A142" s="478" t="s">
        <v>148</v>
      </c>
      <c r="B142" s="478"/>
      <c r="C142" s="478"/>
      <c r="D142" s="478"/>
      <c r="E142" s="478"/>
      <c r="F142" s="478"/>
      <c r="G142" s="56">
        <f>SUM(G140:G141)</f>
        <v>675.68</v>
      </c>
      <c r="H142" s="2"/>
      <c r="I142" s="6"/>
    </row>
    <row r="143" spans="1:9" ht="30" customHeight="1">
      <c r="A143" s="114" t="s">
        <v>208</v>
      </c>
      <c r="B143" s="479" t="s">
        <v>259</v>
      </c>
      <c r="C143" s="479"/>
      <c r="D143" s="479"/>
      <c r="E143" s="479"/>
      <c r="F143" s="479"/>
      <c r="G143" s="479"/>
      <c r="H143" s="2"/>
      <c r="I143" s="6"/>
    </row>
    <row r="144" spans="1:9">
      <c r="A144" s="264"/>
      <c r="B144" s="264"/>
      <c r="C144" s="264"/>
      <c r="D144" s="252"/>
      <c r="E144" s="253"/>
      <c r="F144" s="253"/>
      <c r="G144" s="253"/>
      <c r="H144" s="32"/>
      <c r="I144" s="29"/>
    </row>
    <row r="145" spans="1:9" ht="15.75">
      <c r="A145" s="476" t="s">
        <v>189</v>
      </c>
      <c r="B145" s="476"/>
      <c r="C145" s="476"/>
      <c r="D145" s="476"/>
      <c r="E145" s="476"/>
      <c r="F145" s="476"/>
      <c r="G145" s="476"/>
      <c r="H145" s="2"/>
      <c r="I145" s="6"/>
    </row>
    <row r="146" spans="1:9">
      <c r="A146" s="82"/>
      <c r="B146" s="454" t="s">
        <v>122</v>
      </c>
      <c r="C146" s="454"/>
      <c r="D146" s="454"/>
      <c r="E146" s="454"/>
      <c r="F146" s="454"/>
      <c r="G146" s="55" t="s">
        <v>18</v>
      </c>
      <c r="H146" s="2"/>
      <c r="I146" s="6"/>
    </row>
    <row r="147" spans="1:9">
      <c r="A147" s="83" t="s">
        <v>8</v>
      </c>
      <c r="B147" s="473" t="s">
        <v>190</v>
      </c>
      <c r="C147" s="473"/>
      <c r="D147" s="473"/>
      <c r="E147" s="473"/>
      <c r="F147" s="473"/>
      <c r="G147" s="100">
        <f>'SAn UNIFORMES E EQUIPAMENTOS'!H13</f>
        <v>124.00533333333334</v>
      </c>
      <c r="H147" s="2"/>
      <c r="I147" s="6"/>
    </row>
    <row r="148" spans="1:9">
      <c r="A148" s="83" t="s">
        <v>10</v>
      </c>
      <c r="B148" s="473" t="s">
        <v>191</v>
      </c>
      <c r="C148" s="473"/>
      <c r="D148" s="473"/>
      <c r="E148" s="473"/>
      <c r="F148" s="473"/>
      <c r="G148" s="101">
        <f>'SAn UNIFORMES E EQUIPAMENTOS'!H44</f>
        <v>265.26100000000002</v>
      </c>
      <c r="H148" s="2"/>
      <c r="I148" s="6"/>
    </row>
    <row r="149" spans="1:9">
      <c r="A149" s="84" t="s">
        <v>12</v>
      </c>
      <c r="B149" s="474" t="s">
        <v>192</v>
      </c>
      <c r="C149" s="474"/>
      <c r="D149" s="474"/>
      <c r="E149" s="474"/>
      <c r="F149" s="474"/>
      <c r="G149" s="85">
        <v>0</v>
      </c>
      <c r="H149" s="2"/>
      <c r="I149" s="6"/>
    </row>
    <row r="150" spans="1:9">
      <c r="A150" s="475" t="s">
        <v>193</v>
      </c>
      <c r="B150" s="475"/>
      <c r="C150" s="475"/>
      <c r="D150" s="475"/>
      <c r="E150" s="475"/>
      <c r="F150" s="475"/>
      <c r="G150" s="46">
        <f>SUM(G147:G149)</f>
        <v>389.26633333333336</v>
      </c>
      <c r="H150" s="24"/>
      <c r="I150" s="6"/>
    </row>
    <row r="151" spans="1:9">
      <c r="A151" s="271"/>
      <c r="B151" s="212"/>
      <c r="C151" s="212"/>
      <c r="D151" s="252"/>
      <c r="E151" s="253"/>
      <c r="F151" s="253"/>
      <c r="G151" s="253"/>
      <c r="H151" s="32"/>
      <c r="I151" s="29"/>
    </row>
    <row r="152" spans="1:9" ht="15.75">
      <c r="A152" s="476" t="s">
        <v>194</v>
      </c>
      <c r="B152" s="476"/>
      <c r="C152" s="476"/>
      <c r="D152" s="476"/>
      <c r="E152" s="476"/>
      <c r="F152" s="476"/>
      <c r="G152" s="476"/>
      <c r="H152" s="32"/>
      <c r="I152" s="18"/>
    </row>
    <row r="153" spans="1:9">
      <c r="A153" s="86"/>
      <c r="B153" s="461" t="s">
        <v>45</v>
      </c>
      <c r="C153" s="461"/>
      <c r="D153" s="461"/>
      <c r="E153" s="461"/>
      <c r="F153" s="87" t="s">
        <v>20</v>
      </c>
      <c r="G153" s="87" t="s">
        <v>18</v>
      </c>
      <c r="H153" s="32"/>
      <c r="I153" s="6"/>
    </row>
    <row r="154" spans="1:9" ht="47.25" customHeight="1">
      <c r="A154" s="482" t="s">
        <v>195</v>
      </c>
      <c r="B154" s="482"/>
      <c r="C154" s="482"/>
      <c r="D154" s="482"/>
      <c r="E154" s="482"/>
      <c r="F154" s="482"/>
      <c r="G154" s="90">
        <f>SUM(G50+G106+G117+G142+G150)</f>
        <v>8209.2163333333338</v>
      </c>
      <c r="H154" s="32"/>
      <c r="I154" s="6"/>
    </row>
    <row r="155" spans="1:9">
      <c r="A155" s="88" t="s">
        <v>8</v>
      </c>
      <c r="B155" s="458" t="s">
        <v>46</v>
      </c>
      <c r="C155" s="458"/>
      <c r="D155" s="458"/>
      <c r="E155" s="458"/>
      <c r="F155" s="192">
        <v>0.1467</v>
      </c>
      <c r="G155" s="93">
        <f>ROUND(F155*G154,2)</f>
        <v>1204.29</v>
      </c>
      <c r="H155" s="32"/>
      <c r="I155" s="6"/>
    </row>
    <row r="156" spans="1:9" ht="44.25" customHeight="1">
      <c r="A156" s="482" t="s">
        <v>196</v>
      </c>
      <c r="B156" s="482"/>
      <c r="C156" s="482"/>
      <c r="D156" s="482"/>
      <c r="E156" s="482"/>
      <c r="F156" s="482"/>
      <c r="G156" s="102">
        <f>SUM(G50+G106+G117+G142+G150+G155)</f>
        <v>9413.5063333333346</v>
      </c>
      <c r="H156" s="32"/>
      <c r="I156" s="18"/>
    </row>
    <row r="157" spans="1:9">
      <c r="A157" s="88" t="s">
        <v>10</v>
      </c>
      <c r="B157" s="458" t="s">
        <v>47</v>
      </c>
      <c r="C157" s="458"/>
      <c r="D157" s="458"/>
      <c r="E157" s="458"/>
      <c r="F157" s="192">
        <v>0.13400000000000001</v>
      </c>
      <c r="G157" s="91">
        <f>ROUND(F157*G156,2)</f>
        <v>1261.4100000000001</v>
      </c>
      <c r="H157" s="32"/>
      <c r="I157" s="18"/>
    </row>
    <row r="158" spans="1:9" ht="46.5" customHeight="1">
      <c r="A158" s="482" t="s">
        <v>197</v>
      </c>
      <c r="B158" s="482"/>
      <c r="C158" s="482"/>
      <c r="D158" s="482"/>
      <c r="E158" s="482"/>
      <c r="F158" s="482"/>
      <c r="G158" s="90">
        <f>SUM(G50+G106+G117+G142+G150+G155+G157)</f>
        <v>10674.916333333334</v>
      </c>
      <c r="H158" s="32"/>
      <c r="I158" s="18"/>
    </row>
    <row r="159" spans="1:9">
      <c r="A159" s="88" t="s">
        <v>12</v>
      </c>
      <c r="B159" s="458" t="s">
        <v>48</v>
      </c>
      <c r="C159" s="458"/>
      <c r="D159" s="458"/>
      <c r="E159" s="458"/>
      <c r="F159" s="89">
        <f>SUM(F160:F163)</f>
        <v>0.1225</v>
      </c>
      <c r="G159" s="187">
        <f>SUM(G160:G163)</f>
        <v>1490.22</v>
      </c>
      <c r="H159" s="459" t="s">
        <v>264</v>
      </c>
      <c r="I159" s="460"/>
    </row>
    <row r="160" spans="1:9">
      <c r="A160" s="491" t="s">
        <v>200</v>
      </c>
      <c r="B160" s="480" t="s">
        <v>203</v>
      </c>
      <c r="C160" s="480"/>
      <c r="D160" s="382" t="s">
        <v>34</v>
      </c>
      <c r="E160" s="382"/>
      <c r="F160" s="92">
        <f>IF(E8=1,0.0165,IF(E8=2,0.0065,IF(E8=3,I162,IF(E8=4,I162,¨RT Indefinido¨))))</f>
        <v>1.6500000000000001E-2</v>
      </c>
      <c r="G160" s="90">
        <f>ROUND(($G$158/(1-$F$159))*F160,2)</f>
        <v>200.72</v>
      </c>
      <c r="H160" s="222" t="s">
        <v>265</v>
      </c>
      <c r="I160" s="107" t="s">
        <v>266</v>
      </c>
    </row>
    <row r="161" spans="1:9">
      <c r="A161" s="423"/>
      <c r="B161" s="480"/>
      <c r="C161" s="480"/>
      <c r="D161" s="393" t="s">
        <v>198</v>
      </c>
      <c r="E161" s="393"/>
      <c r="F161" s="92">
        <f>IF(E8=1,0.076,IF(E8=2,0.03,IF(E8=3,I161,IF(E8=4,I161,¨RT Indefinido¨))))</f>
        <v>7.5999999999999998E-2</v>
      </c>
      <c r="G161" s="90">
        <f>ROUND(($G$158/(1-$F$159))*F161,2)</f>
        <v>924.55</v>
      </c>
      <c r="H161" s="223" t="s">
        <v>198</v>
      </c>
      <c r="I161" s="108">
        <v>0</v>
      </c>
    </row>
    <row r="162" spans="1:9">
      <c r="A162" s="84" t="s">
        <v>201</v>
      </c>
      <c r="B162" s="480" t="s">
        <v>204</v>
      </c>
      <c r="C162" s="480"/>
      <c r="D162" s="466" t="s">
        <v>206</v>
      </c>
      <c r="E162" s="382"/>
      <c r="F162" s="92">
        <v>0</v>
      </c>
      <c r="G162" s="90">
        <v>0</v>
      </c>
      <c r="H162" s="223" t="s">
        <v>34</v>
      </c>
      <c r="I162" s="108">
        <v>0</v>
      </c>
    </row>
    <row r="163" spans="1:9">
      <c r="A163" s="84" t="s">
        <v>202</v>
      </c>
      <c r="B163" s="480" t="s">
        <v>205</v>
      </c>
      <c r="C163" s="480"/>
      <c r="D163" s="382" t="s">
        <v>199</v>
      </c>
      <c r="E163" s="382"/>
      <c r="F163" s="193">
        <v>0.03</v>
      </c>
      <c r="G163" s="85">
        <f>ROUND(($G$158/(1-$F$159))*F163,2)</f>
        <v>364.95</v>
      </c>
      <c r="H163" s="223" t="s">
        <v>267</v>
      </c>
      <c r="I163" s="108">
        <v>0</v>
      </c>
    </row>
    <row r="164" spans="1:9">
      <c r="A164" s="475" t="s">
        <v>207</v>
      </c>
      <c r="B164" s="475"/>
      <c r="C164" s="475"/>
      <c r="D164" s="475"/>
      <c r="E164" s="475"/>
      <c r="F164" s="475"/>
      <c r="G164" s="94">
        <f>SUM(G155+G157+G159)</f>
        <v>3955.92</v>
      </c>
      <c r="H164" s="19"/>
      <c r="I164" s="18"/>
    </row>
    <row r="165" spans="1:9">
      <c r="A165" s="116" t="s">
        <v>215</v>
      </c>
      <c r="B165" s="487" t="s">
        <v>209</v>
      </c>
      <c r="C165" s="487"/>
      <c r="D165" s="487"/>
      <c r="E165" s="487"/>
      <c r="F165" s="487"/>
      <c r="G165" s="487"/>
      <c r="H165" s="19"/>
      <c r="I165" s="18"/>
    </row>
    <row r="166" spans="1:9">
      <c r="A166" s="488" t="s">
        <v>302</v>
      </c>
      <c r="B166" s="489" t="s">
        <v>210</v>
      </c>
      <c r="C166" s="490" t="s">
        <v>211</v>
      </c>
      <c r="D166" s="490"/>
      <c r="E166" s="285"/>
      <c r="F166" s="286"/>
      <c r="G166" s="287"/>
      <c r="H166" s="19"/>
      <c r="I166" s="18"/>
    </row>
    <row r="167" spans="1:9">
      <c r="A167" s="488"/>
      <c r="B167" s="489"/>
      <c r="C167" s="490" t="s">
        <v>212</v>
      </c>
      <c r="D167" s="490"/>
      <c r="E167" s="288" t="s">
        <v>214</v>
      </c>
      <c r="F167" s="286"/>
      <c r="G167" s="287"/>
      <c r="H167" s="19"/>
      <c r="I167" s="18"/>
    </row>
    <row r="168" spans="1:9">
      <c r="A168" s="488"/>
      <c r="B168" s="489"/>
      <c r="C168" s="490" t="s">
        <v>213</v>
      </c>
      <c r="D168" s="490"/>
      <c r="E168" s="285"/>
      <c r="F168" s="286"/>
      <c r="G168" s="287"/>
      <c r="H168" s="19"/>
      <c r="I168" s="18"/>
    </row>
    <row r="169" spans="1:9">
      <c r="A169" s="289"/>
      <c r="B169" s="290"/>
      <c r="C169" s="291"/>
      <c r="D169" s="291"/>
      <c r="E169" s="292"/>
      <c r="F169" s="293"/>
      <c r="G169" s="294"/>
      <c r="H169" s="19"/>
      <c r="I169" s="18"/>
    </row>
    <row r="170" spans="1:9">
      <c r="A170" s="269"/>
      <c r="B170" s="295"/>
      <c r="C170" s="295"/>
      <c r="D170" s="296"/>
      <c r="E170" s="296"/>
      <c r="F170" s="296"/>
      <c r="G170" s="296"/>
      <c r="H170" s="2"/>
      <c r="I170" s="6"/>
    </row>
    <row r="171" spans="1:9">
      <c r="A171" s="485" t="s">
        <v>216</v>
      </c>
      <c r="B171" s="485"/>
      <c r="C171" s="485"/>
      <c r="D171" s="485"/>
      <c r="E171" s="485"/>
      <c r="F171" s="485"/>
      <c r="G171" s="485"/>
      <c r="H171" s="2"/>
      <c r="I171" s="6"/>
    </row>
    <row r="172" spans="1:9">
      <c r="A172" s="486" t="s">
        <v>217</v>
      </c>
      <c r="B172" s="486"/>
      <c r="C172" s="486"/>
      <c r="D172" s="486"/>
      <c r="E172" s="486"/>
      <c r="F172" s="486"/>
      <c r="G172" s="95" t="s">
        <v>119</v>
      </c>
      <c r="H172" s="2"/>
      <c r="I172" s="6"/>
    </row>
    <row r="173" spans="1:9">
      <c r="A173" s="271" t="s">
        <v>8</v>
      </c>
      <c r="B173" s="472" t="s">
        <v>56</v>
      </c>
      <c r="C173" s="472"/>
      <c r="D173" s="472"/>
      <c r="E173" s="472"/>
      <c r="F173" s="472"/>
      <c r="G173" s="101">
        <f>G50</f>
        <v>3892.5</v>
      </c>
      <c r="H173" s="2"/>
      <c r="I173" s="6"/>
    </row>
    <row r="174" spans="1:9">
      <c r="A174" s="271" t="s">
        <v>10</v>
      </c>
      <c r="B174" s="472" t="s">
        <v>218</v>
      </c>
      <c r="C174" s="472"/>
      <c r="D174" s="472"/>
      <c r="E174" s="472"/>
      <c r="F174" s="472"/>
      <c r="G174" s="101">
        <f>G106</f>
        <v>3034.89</v>
      </c>
      <c r="H174" s="2"/>
      <c r="I174" s="6"/>
    </row>
    <row r="175" spans="1:9">
      <c r="A175" s="271" t="s">
        <v>12</v>
      </c>
      <c r="B175" s="472" t="s">
        <v>50</v>
      </c>
      <c r="C175" s="472"/>
      <c r="D175" s="472"/>
      <c r="E175" s="472"/>
      <c r="F175" s="472"/>
      <c r="G175" s="101">
        <f>G117</f>
        <v>216.88</v>
      </c>
      <c r="H175" s="2"/>
      <c r="I175" s="6"/>
    </row>
    <row r="176" spans="1:9">
      <c r="A176" s="271" t="s">
        <v>13</v>
      </c>
      <c r="B176" s="472" t="s">
        <v>51</v>
      </c>
      <c r="C176" s="472"/>
      <c r="D176" s="472"/>
      <c r="E176" s="472"/>
      <c r="F176" s="472"/>
      <c r="G176" s="101">
        <f>G142</f>
        <v>675.68</v>
      </c>
      <c r="H176" s="19"/>
      <c r="I176" s="18"/>
    </row>
    <row r="177" spans="1:9">
      <c r="A177" s="84" t="s">
        <v>22</v>
      </c>
      <c r="B177" s="472" t="s">
        <v>52</v>
      </c>
      <c r="C177" s="472"/>
      <c r="D177" s="472"/>
      <c r="E177" s="472"/>
      <c r="F177" s="472"/>
      <c r="G177" s="101">
        <f>G150</f>
        <v>389.26633333333336</v>
      </c>
      <c r="H177" s="19"/>
      <c r="I177" s="18"/>
    </row>
    <row r="178" spans="1:9">
      <c r="A178" s="481" t="s">
        <v>49</v>
      </c>
      <c r="B178" s="481"/>
      <c r="C178" s="481"/>
      <c r="D178" s="481"/>
      <c r="E178" s="481"/>
      <c r="F178" s="481"/>
      <c r="G178" s="297">
        <f>SUM(G173:G177)</f>
        <v>8209.2163333333338</v>
      </c>
      <c r="H178" s="19"/>
      <c r="I178" s="18"/>
    </row>
    <row r="179" spans="1:9">
      <c r="A179" s="84" t="s">
        <v>23</v>
      </c>
      <c r="B179" s="472" t="s">
        <v>55</v>
      </c>
      <c r="C179" s="472"/>
      <c r="D179" s="472"/>
      <c r="E179" s="472"/>
      <c r="F179" s="472"/>
      <c r="G179" s="101">
        <f>G164</f>
        <v>3955.92</v>
      </c>
      <c r="H179" s="19"/>
      <c r="I179" s="18"/>
    </row>
    <row r="180" spans="1:9" ht="15.75">
      <c r="A180" s="484" t="s">
        <v>320</v>
      </c>
      <c r="B180" s="484"/>
      <c r="C180" s="484"/>
      <c r="D180" s="484"/>
      <c r="E180" s="484"/>
      <c r="F180" s="484"/>
      <c r="G180" s="96">
        <f>SUM(G178:G179)</f>
        <v>12165.136333333334</v>
      </c>
      <c r="H180" s="24"/>
      <c r="I180" s="6"/>
    </row>
  </sheetData>
  <mergeCells count="200">
    <mergeCell ref="B3:D3"/>
    <mergeCell ref="F3:G3"/>
    <mergeCell ref="B75:D75"/>
    <mergeCell ref="B76:D76"/>
    <mergeCell ref="B77:D77"/>
    <mergeCell ref="H159:I159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1:D71"/>
    <mergeCell ref="E71:F71"/>
    <mergeCell ref="B72:D72"/>
    <mergeCell ref="E72:F72"/>
    <mergeCell ref="B73:D73"/>
    <mergeCell ref="E73:F73"/>
    <mergeCell ref="B65:G65"/>
    <mergeCell ref="B68:G68"/>
    <mergeCell ref="B69:D69"/>
    <mergeCell ref="E69:F69"/>
    <mergeCell ref="B70:D70"/>
    <mergeCell ref="E70:F70"/>
    <mergeCell ref="A85:A88"/>
    <mergeCell ref="B85:B88"/>
    <mergeCell ref="C85:D85"/>
    <mergeCell ref="E85:F85"/>
    <mergeCell ref="G85:G88"/>
    <mergeCell ref="B74:D74"/>
    <mergeCell ref="E74:F74"/>
    <mergeCell ref="E75:F75"/>
    <mergeCell ref="E76:F76"/>
    <mergeCell ref="E77:F77"/>
    <mergeCell ref="A78:D78"/>
    <mergeCell ref="E78:F78"/>
    <mergeCell ref="C86:D86"/>
    <mergeCell ref="E86:F86"/>
    <mergeCell ref="C87:D87"/>
    <mergeCell ref="E87:F87"/>
    <mergeCell ref="C88:D88"/>
    <mergeCell ref="E88:F88"/>
    <mergeCell ref="B79:G79"/>
    <mergeCell ref="B80:G80"/>
    <mergeCell ref="B83:G83"/>
    <mergeCell ref="B84:F84"/>
    <mergeCell ref="A89:A91"/>
    <mergeCell ref="B89:B91"/>
    <mergeCell ref="C89:D89"/>
    <mergeCell ref="E89:F89"/>
    <mergeCell ref="G89:G91"/>
    <mergeCell ref="C90:D90"/>
    <mergeCell ref="E90:F90"/>
    <mergeCell ref="C91:D91"/>
    <mergeCell ref="E91:F91"/>
    <mergeCell ref="B98:G98"/>
    <mergeCell ref="A101:G101"/>
    <mergeCell ref="B102:F102"/>
    <mergeCell ref="B103:F103"/>
    <mergeCell ref="B104:F104"/>
    <mergeCell ref="B105:F105"/>
    <mergeCell ref="B92:F92"/>
    <mergeCell ref="B93:F93"/>
    <mergeCell ref="B94:F94"/>
    <mergeCell ref="B95:F95"/>
    <mergeCell ref="A96:F96"/>
    <mergeCell ref="B97:G97"/>
    <mergeCell ref="A136:F136"/>
    <mergeCell ref="A138:G138"/>
    <mergeCell ref="B129:F129"/>
    <mergeCell ref="B130:F130"/>
    <mergeCell ref="B131:F131"/>
    <mergeCell ref="A132:F132"/>
    <mergeCell ref="B134:F134"/>
    <mergeCell ref="B135:F135"/>
    <mergeCell ref="A106:F106"/>
    <mergeCell ref="A109:G109"/>
    <mergeCell ref="B110:F110"/>
    <mergeCell ref="B111:F111"/>
    <mergeCell ref="B112:F112"/>
    <mergeCell ref="B113:F113"/>
    <mergeCell ref="A123:D123"/>
    <mergeCell ref="E123:F123"/>
    <mergeCell ref="B125:F125"/>
    <mergeCell ref="B126:F126"/>
    <mergeCell ref="B127:F127"/>
    <mergeCell ref="B128:F128"/>
    <mergeCell ref="B114:F114"/>
    <mergeCell ref="B115:F115"/>
    <mergeCell ref="B116:F116"/>
    <mergeCell ref="A117:F117"/>
    <mergeCell ref="A120:G120"/>
    <mergeCell ref="A121:G121"/>
    <mergeCell ref="A180:F180"/>
    <mergeCell ref="E8:F8"/>
    <mergeCell ref="A171:G171"/>
    <mergeCell ref="A172:F172"/>
    <mergeCell ref="B173:F173"/>
    <mergeCell ref="B174:F174"/>
    <mergeCell ref="B175:F175"/>
    <mergeCell ref="B176:F176"/>
    <mergeCell ref="B163:C163"/>
    <mergeCell ref="D163:E163"/>
    <mergeCell ref="A164:F164"/>
    <mergeCell ref="B165:G165"/>
    <mergeCell ref="A166:A168"/>
    <mergeCell ref="B166:B168"/>
    <mergeCell ref="C166:D166"/>
    <mergeCell ref="C167:D167"/>
    <mergeCell ref="C168:D168"/>
    <mergeCell ref="B159:E159"/>
    <mergeCell ref="A160:A161"/>
    <mergeCell ref="B160:C161"/>
    <mergeCell ref="D160:E160"/>
    <mergeCell ref="D161:E161"/>
    <mergeCell ref="B179:F179"/>
    <mergeCell ref="B148:F148"/>
    <mergeCell ref="B149:F149"/>
    <mergeCell ref="A150:F150"/>
    <mergeCell ref="A152:G152"/>
    <mergeCell ref="B139:F139"/>
    <mergeCell ref="B140:F140"/>
    <mergeCell ref="B141:F141"/>
    <mergeCell ref="A142:F142"/>
    <mergeCell ref="B177:F177"/>
    <mergeCell ref="A145:G145"/>
    <mergeCell ref="B146:F146"/>
    <mergeCell ref="B143:G143"/>
    <mergeCell ref="B162:C162"/>
    <mergeCell ref="B147:F147"/>
    <mergeCell ref="A178:F178"/>
    <mergeCell ref="D162:E162"/>
    <mergeCell ref="B153:E153"/>
    <mergeCell ref="A154:F154"/>
    <mergeCell ref="B155:E155"/>
    <mergeCell ref="A156:F156"/>
    <mergeCell ref="B157:E157"/>
    <mergeCell ref="A158:F158"/>
  </mergeCells>
  <pageMargins left="0.51181102362204722" right="0.51181102362204722" top="0.78740157480314965" bottom="0.78740157480314965" header="0.31496062992125984" footer="0.31496062992125984"/>
  <pageSetup paperSize="9" scale="64" orientation="portrait" horizontalDpi="300" verticalDpi="300" r:id="rId1"/>
  <headerFooter>
    <oddFooter>&amp;C&amp;A&amp;R&amp;P de &amp;N</oddFooter>
  </headerFooter>
  <rowBreaks count="1" manualBreakCount="1">
    <brk id="65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topLeftCell="A7" zoomScaleNormal="100" workbookViewId="0">
      <selection activeCell="F22" sqref="F22:G22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3.7109375" customWidth="1"/>
    <col min="8" max="8" width="16.42578125" customWidth="1"/>
  </cols>
  <sheetData>
    <row r="1" spans="1:8" ht="15.75">
      <c r="A1" s="570" t="s">
        <v>180</v>
      </c>
      <c r="B1" s="570"/>
      <c r="C1" s="570"/>
      <c r="D1" s="570"/>
      <c r="E1" s="570"/>
      <c r="F1" s="570"/>
      <c r="G1" s="570"/>
      <c r="H1" s="570"/>
    </row>
    <row r="2" spans="1:8" ht="16.5">
      <c r="A2" s="571" t="s">
        <v>179</v>
      </c>
      <c r="B2" s="571"/>
      <c r="C2" s="571"/>
      <c r="D2" s="571"/>
      <c r="E2" s="571"/>
      <c r="F2" s="571"/>
      <c r="G2" s="571"/>
      <c r="H2" s="571"/>
    </row>
    <row r="3" spans="1:8">
      <c r="A3" s="572" t="s">
        <v>57</v>
      </c>
      <c r="B3" s="573" t="s">
        <v>149</v>
      </c>
      <c r="C3" s="574" t="s">
        <v>150</v>
      </c>
      <c r="D3" s="574" t="s">
        <v>151</v>
      </c>
      <c r="E3" s="573" t="s">
        <v>152</v>
      </c>
      <c r="F3" s="575" t="s">
        <v>153</v>
      </c>
      <c r="G3" s="575" t="s">
        <v>154</v>
      </c>
      <c r="H3" s="575" t="s">
        <v>155</v>
      </c>
    </row>
    <row r="4" spans="1:8">
      <c r="A4" s="572"/>
      <c r="B4" s="573"/>
      <c r="C4" s="574"/>
      <c r="D4" s="574"/>
      <c r="E4" s="573"/>
      <c r="F4" s="575"/>
      <c r="G4" s="575"/>
      <c r="H4" s="575"/>
    </row>
    <row r="5" spans="1:8">
      <c r="A5" s="194" t="s">
        <v>156</v>
      </c>
      <c r="B5" s="76" t="s">
        <v>188</v>
      </c>
      <c r="C5" s="59" t="s">
        <v>35</v>
      </c>
      <c r="D5" s="60">
        <v>113.2</v>
      </c>
      <c r="E5" s="61">
        <v>30</v>
      </c>
      <c r="F5" s="62">
        <v>5</v>
      </c>
      <c r="G5" s="62">
        <f>F5*2</f>
        <v>10</v>
      </c>
      <c r="H5" s="63">
        <f>D5*G5/E5</f>
        <v>37.733333333333334</v>
      </c>
    </row>
    <row r="6" spans="1:8">
      <c r="A6" s="195" t="s">
        <v>157</v>
      </c>
      <c r="B6" s="76" t="s">
        <v>188</v>
      </c>
      <c r="C6" s="59" t="s">
        <v>158</v>
      </c>
      <c r="D6" s="60">
        <v>90.73</v>
      </c>
      <c r="E6" s="61">
        <v>30</v>
      </c>
      <c r="F6" s="62">
        <v>1</v>
      </c>
      <c r="G6" s="62">
        <f t="shared" ref="G6:G12" si="0">F6*2</f>
        <v>2</v>
      </c>
      <c r="H6" s="63">
        <f t="shared" ref="H6:H12" si="1">D6*G6/E6</f>
        <v>6.0486666666666666</v>
      </c>
    </row>
    <row r="7" spans="1:8">
      <c r="A7" s="194" t="s">
        <v>159</v>
      </c>
      <c r="B7" s="76" t="s">
        <v>188</v>
      </c>
      <c r="C7" s="59" t="s">
        <v>35</v>
      </c>
      <c r="D7" s="60">
        <v>69.930000000000007</v>
      </c>
      <c r="E7" s="61">
        <v>30</v>
      </c>
      <c r="F7" s="62">
        <v>5</v>
      </c>
      <c r="G7" s="62">
        <f t="shared" si="0"/>
        <v>10</v>
      </c>
      <c r="H7" s="63">
        <f t="shared" si="1"/>
        <v>23.310000000000002</v>
      </c>
    </row>
    <row r="8" spans="1:8">
      <c r="A8" s="194" t="s">
        <v>160</v>
      </c>
      <c r="B8" s="76" t="s">
        <v>188</v>
      </c>
      <c r="C8" s="59" t="s">
        <v>35</v>
      </c>
      <c r="D8" s="60">
        <v>89.93</v>
      </c>
      <c r="E8" s="61">
        <v>30</v>
      </c>
      <c r="F8" s="62">
        <v>5</v>
      </c>
      <c r="G8" s="62">
        <f t="shared" si="0"/>
        <v>10</v>
      </c>
      <c r="H8" s="63">
        <f t="shared" si="1"/>
        <v>29.97666666666667</v>
      </c>
    </row>
    <row r="9" spans="1:8">
      <c r="A9" s="195" t="s">
        <v>161</v>
      </c>
      <c r="B9" s="77" t="s">
        <v>188</v>
      </c>
      <c r="C9" s="64" t="s">
        <v>35</v>
      </c>
      <c r="D9" s="60">
        <v>29.97</v>
      </c>
      <c r="E9" s="61">
        <v>30</v>
      </c>
      <c r="F9" s="62">
        <v>2</v>
      </c>
      <c r="G9" s="62">
        <f t="shared" si="0"/>
        <v>4</v>
      </c>
      <c r="H9" s="63">
        <f t="shared" si="1"/>
        <v>3.996</v>
      </c>
    </row>
    <row r="10" spans="1:8">
      <c r="A10" s="194" t="s">
        <v>162</v>
      </c>
      <c r="B10" s="78" t="s">
        <v>188</v>
      </c>
      <c r="C10" s="59" t="s">
        <v>163</v>
      </c>
      <c r="D10" s="60">
        <v>138.03</v>
      </c>
      <c r="E10" s="61">
        <v>30</v>
      </c>
      <c r="F10" s="62">
        <v>2</v>
      </c>
      <c r="G10" s="62">
        <f t="shared" si="0"/>
        <v>4</v>
      </c>
      <c r="H10" s="63">
        <f t="shared" si="1"/>
        <v>18.404</v>
      </c>
    </row>
    <row r="11" spans="1:8">
      <c r="A11" s="194" t="s">
        <v>164</v>
      </c>
      <c r="B11" s="76" t="s">
        <v>188</v>
      </c>
      <c r="C11" s="59" t="s">
        <v>163</v>
      </c>
      <c r="D11" s="60">
        <v>7.38</v>
      </c>
      <c r="E11" s="61">
        <v>30</v>
      </c>
      <c r="F11" s="62">
        <v>5</v>
      </c>
      <c r="G11" s="62">
        <f t="shared" si="0"/>
        <v>10</v>
      </c>
      <c r="H11" s="63">
        <f t="shared" si="1"/>
        <v>2.46</v>
      </c>
    </row>
    <row r="12" spans="1:8">
      <c r="A12" s="194" t="s">
        <v>165</v>
      </c>
      <c r="B12" s="79" t="s">
        <v>188</v>
      </c>
      <c r="C12" s="59" t="s">
        <v>35</v>
      </c>
      <c r="D12" s="65">
        <v>6.23</v>
      </c>
      <c r="E12" s="61">
        <v>30</v>
      </c>
      <c r="F12" s="62">
        <v>5</v>
      </c>
      <c r="G12" s="62">
        <f t="shared" si="0"/>
        <v>10</v>
      </c>
      <c r="H12" s="63">
        <f t="shared" si="1"/>
        <v>2.0766666666666667</v>
      </c>
    </row>
    <row r="13" spans="1:8">
      <c r="A13" s="578" t="s">
        <v>166</v>
      </c>
      <c r="B13" s="578"/>
      <c r="C13" s="578"/>
      <c r="D13" s="578"/>
      <c r="E13" s="578"/>
      <c r="F13" s="578"/>
      <c r="G13" s="578"/>
      <c r="H13" s="66">
        <f>SUM(H5:H12)</f>
        <v>124.00533333333334</v>
      </c>
    </row>
    <row r="14" spans="1:8">
      <c r="A14" s="579"/>
      <c r="B14" s="579"/>
      <c r="C14" s="579"/>
      <c r="D14" s="579"/>
      <c r="E14" s="579"/>
      <c r="F14" s="579"/>
      <c r="G14" s="579"/>
      <c r="H14" s="579"/>
    </row>
    <row r="15" spans="1:8" ht="15.75">
      <c r="A15" s="581" t="s">
        <v>167</v>
      </c>
      <c r="B15" s="581"/>
      <c r="C15" s="581"/>
      <c r="D15" s="581"/>
      <c r="E15" s="581"/>
      <c r="F15" s="581"/>
      <c r="G15" s="581"/>
      <c r="H15" s="581"/>
    </row>
    <row r="16" spans="1:8">
      <c r="A16" s="572" t="s">
        <v>57</v>
      </c>
      <c r="B16" s="573" t="s">
        <v>149</v>
      </c>
      <c r="C16" s="574" t="s">
        <v>150</v>
      </c>
      <c r="D16" s="574" t="s">
        <v>151</v>
      </c>
      <c r="E16" s="573" t="s">
        <v>152</v>
      </c>
      <c r="F16" s="575" t="s">
        <v>154</v>
      </c>
      <c r="G16" s="575"/>
      <c r="H16" s="575" t="s">
        <v>155</v>
      </c>
    </row>
    <row r="17" spans="1:8">
      <c r="A17" s="572"/>
      <c r="B17" s="573"/>
      <c r="C17" s="574"/>
      <c r="D17" s="574"/>
      <c r="E17" s="573"/>
      <c r="F17" s="575"/>
      <c r="G17" s="575"/>
      <c r="H17" s="575"/>
    </row>
    <row r="18" spans="1:8" ht="45">
      <c r="A18" s="196" t="s">
        <v>183</v>
      </c>
      <c r="B18" s="80" t="s">
        <v>188</v>
      </c>
      <c r="C18" s="68" t="s">
        <v>35</v>
      </c>
      <c r="D18" s="73">
        <v>18.07</v>
      </c>
      <c r="E18" s="70">
        <v>30</v>
      </c>
      <c r="F18" s="580">
        <v>1</v>
      </c>
      <c r="G18" s="580"/>
      <c r="H18" s="71">
        <f>D18*F18/E18</f>
        <v>0.60233333333333339</v>
      </c>
    </row>
    <row r="19" spans="1:8">
      <c r="A19" s="197" t="s">
        <v>168</v>
      </c>
      <c r="B19" s="77" t="s">
        <v>188</v>
      </c>
      <c r="C19" s="68" t="s">
        <v>35</v>
      </c>
      <c r="D19" s="69">
        <v>35.14</v>
      </c>
      <c r="E19" s="70">
        <v>30</v>
      </c>
      <c r="F19" s="580">
        <v>1</v>
      </c>
      <c r="G19" s="580"/>
      <c r="H19" s="71">
        <f t="shared" ref="H19:H23" si="2">D19*F19/E19</f>
        <v>1.1713333333333333</v>
      </c>
    </row>
    <row r="20" spans="1:8">
      <c r="A20" s="197" t="s">
        <v>169</v>
      </c>
      <c r="B20" s="77" t="s">
        <v>188</v>
      </c>
      <c r="C20" s="68" t="s">
        <v>35</v>
      </c>
      <c r="D20" s="69">
        <v>26.97</v>
      </c>
      <c r="E20" s="70">
        <v>30</v>
      </c>
      <c r="F20" s="580">
        <v>1</v>
      </c>
      <c r="G20" s="580"/>
      <c r="H20" s="71">
        <f t="shared" si="2"/>
        <v>0.89899999999999991</v>
      </c>
    </row>
    <row r="21" spans="1:8">
      <c r="A21" s="198" t="s">
        <v>170</v>
      </c>
      <c r="B21" s="81" t="s">
        <v>188</v>
      </c>
      <c r="C21" s="68" t="s">
        <v>35</v>
      </c>
      <c r="D21" s="69">
        <v>21.07</v>
      </c>
      <c r="E21" s="70">
        <v>30</v>
      </c>
      <c r="F21" s="580">
        <v>1</v>
      </c>
      <c r="G21" s="580"/>
      <c r="H21" s="71">
        <f t="shared" si="2"/>
        <v>0.70233333333333337</v>
      </c>
    </row>
    <row r="22" spans="1:8">
      <c r="A22" s="199" t="s">
        <v>171</v>
      </c>
      <c r="B22" s="76" t="s">
        <v>188</v>
      </c>
      <c r="C22" s="68" t="s">
        <v>35</v>
      </c>
      <c r="D22" s="69">
        <v>29.2</v>
      </c>
      <c r="E22" s="70">
        <v>30</v>
      </c>
      <c r="F22" s="580">
        <v>1</v>
      </c>
      <c r="G22" s="580"/>
      <c r="H22" s="71">
        <f t="shared" si="2"/>
        <v>0.97333333333333327</v>
      </c>
    </row>
    <row r="23" spans="1:8">
      <c r="A23" s="199" t="s">
        <v>172</v>
      </c>
      <c r="B23" s="76" t="s">
        <v>188</v>
      </c>
      <c r="C23" s="68" t="s">
        <v>163</v>
      </c>
      <c r="D23" s="69">
        <v>52.6</v>
      </c>
      <c r="E23" s="70">
        <v>30</v>
      </c>
      <c r="F23" s="580">
        <v>1</v>
      </c>
      <c r="G23" s="580"/>
      <c r="H23" s="71">
        <f t="shared" si="2"/>
        <v>1.7533333333333334</v>
      </c>
    </row>
    <row r="24" spans="1:8">
      <c r="A24" s="582" t="s">
        <v>166</v>
      </c>
      <c r="B24" s="582"/>
      <c r="C24" s="582"/>
      <c r="D24" s="582"/>
      <c r="E24" s="582"/>
      <c r="F24" s="582"/>
      <c r="G24" s="582"/>
      <c r="H24" s="67">
        <f>SUM(H18:H23)</f>
        <v>6.1016666666666666</v>
      </c>
    </row>
    <row r="25" spans="1:8">
      <c r="A25" s="583"/>
      <c r="B25" s="583"/>
      <c r="C25" s="583"/>
      <c r="D25" s="583"/>
      <c r="E25" s="583"/>
      <c r="F25" s="583"/>
      <c r="G25" s="583"/>
      <c r="H25" s="583"/>
    </row>
    <row r="26" spans="1:8">
      <c r="A26" s="584" t="s">
        <v>173</v>
      </c>
      <c r="B26" s="584"/>
      <c r="C26" s="584"/>
      <c r="D26" s="584"/>
      <c r="E26" s="584"/>
      <c r="F26" s="584"/>
      <c r="G26" s="584"/>
      <c r="H26" s="584"/>
    </row>
    <row r="27" spans="1:8">
      <c r="A27" s="572" t="s">
        <v>57</v>
      </c>
      <c r="B27" s="573" t="s">
        <v>149</v>
      </c>
      <c r="C27" s="574" t="s">
        <v>150</v>
      </c>
      <c r="D27" s="574" t="s">
        <v>151</v>
      </c>
      <c r="E27" s="573" t="s">
        <v>152</v>
      </c>
      <c r="F27" s="575" t="s">
        <v>154</v>
      </c>
      <c r="G27" s="575"/>
      <c r="H27" s="575" t="s">
        <v>155</v>
      </c>
    </row>
    <row r="28" spans="1:8">
      <c r="A28" s="572"/>
      <c r="B28" s="573"/>
      <c r="C28" s="574"/>
      <c r="D28" s="574"/>
      <c r="E28" s="573"/>
      <c r="F28" s="575"/>
      <c r="G28" s="575"/>
      <c r="H28" s="575"/>
    </row>
    <row r="29" spans="1:8" ht="45">
      <c r="A29" s="196" t="s">
        <v>183</v>
      </c>
      <c r="B29" s="80" t="s">
        <v>188</v>
      </c>
      <c r="C29" s="68" t="s">
        <v>35</v>
      </c>
      <c r="D29" s="73">
        <v>18.07</v>
      </c>
      <c r="E29" s="70">
        <v>30</v>
      </c>
      <c r="F29" s="580">
        <v>1</v>
      </c>
      <c r="G29" s="580"/>
      <c r="H29" s="200">
        <f>D29*F29/E29</f>
        <v>0.60233333333333339</v>
      </c>
    </row>
    <row r="30" spans="1:8" ht="30">
      <c r="A30" s="196" t="s">
        <v>186</v>
      </c>
      <c r="B30" s="80" t="s">
        <v>188</v>
      </c>
      <c r="C30" s="68" t="s">
        <v>35</v>
      </c>
      <c r="D30" s="72">
        <v>4789</v>
      </c>
      <c r="E30" s="70">
        <v>30</v>
      </c>
      <c r="F30" s="580">
        <v>1</v>
      </c>
      <c r="G30" s="580"/>
      <c r="H30" s="74">
        <f>D30*F30/E30</f>
        <v>159.63333333333333</v>
      </c>
    </row>
    <row r="31" spans="1:8" ht="30">
      <c r="A31" s="196" t="s">
        <v>181</v>
      </c>
      <c r="B31" s="80" t="s">
        <v>188</v>
      </c>
      <c r="C31" s="68" t="s">
        <v>35</v>
      </c>
      <c r="D31" s="72">
        <v>36.770000000000003</v>
      </c>
      <c r="E31" s="70">
        <v>30</v>
      </c>
      <c r="F31" s="580">
        <v>1</v>
      </c>
      <c r="G31" s="580"/>
      <c r="H31" s="74">
        <f t="shared" ref="H31:H43" si="3">D31*F31/E31</f>
        <v>1.2256666666666667</v>
      </c>
    </row>
    <row r="32" spans="1:8" ht="30">
      <c r="A32" s="196" t="s">
        <v>185</v>
      </c>
      <c r="B32" s="80" t="s">
        <v>188</v>
      </c>
      <c r="C32" s="75" t="s">
        <v>187</v>
      </c>
      <c r="D32" s="72">
        <v>77.67</v>
      </c>
      <c r="E32" s="70">
        <v>30</v>
      </c>
      <c r="F32" s="580">
        <v>1</v>
      </c>
      <c r="G32" s="580"/>
      <c r="H32" s="74">
        <f t="shared" si="3"/>
        <v>2.589</v>
      </c>
    </row>
    <row r="33" spans="1:8">
      <c r="A33" s="197" t="s">
        <v>184</v>
      </c>
      <c r="B33" s="81" t="s">
        <v>188</v>
      </c>
      <c r="C33" s="68" t="s">
        <v>35</v>
      </c>
      <c r="D33" s="72">
        <v>1052.67</v>
      </c>
      <c r="E33" s="70">
        <v>30</v>
      </c>
      <c r="F33" s="580">
        <v>1</v>
      </c>
      <c r="G33" s="580"/>
      <c r="H33" s="74">
        <f t="shared" si="3"/>
        <v>35.089000000000006</v>
      </c>
    </row>
    <row r="34" spans="1:8">
      <c r="A34" s="197" t="s">
        <v>174</v>
      </c>
      <c r="B34" s="81" t="s">
        <v>188</v>
      </c>
      <c r="C34" s="68" t="s">
        <v>35</v>
      </c>
      <c r="D34" s="72">
        <v>223.88</v>
      </c>
      <c r="E34" s="70">
        <v>30</v>
      </c>
      <c r="F34" s="580">
        <v>2</v>
      </c>
      <c r="G34" s="580"/>
      <c r="H34" s="74">
        <f t="shared" si="3"/>
        <v>14.925333333333333</v>
      </c>
    </row>
    <row r="35" spans="1:8">
      <c r="A35" s="197" t="s">
        <v>168</v>
      </c>
      <c r="B35" s="77" t="s">
        <v>188</v>
      </c>
      <c r="C35" s="68" t="s">
        <v>35</v>
      </c>
      <c r="D35" s="72">
        <v>35.14</v>
      </c>
      <c r="E35" s="70">
        <v>30</v>
      </c>
      <c r="F35" s="580">
        <v>1</v>
      </c>
      <c r="G35" s="580"/>
      <c r="H35" s="74">
        <f t="shared" si="3"/>
        <v>1.1713333333333333</v>
      </c>
    </row>
    <row r="36" spans="1:8">
      <c r="A36" s="197" t="s">
        <v>169</v>
      </c>
      <c r="B36" s="81" t="s">
        <v>188</v>
      </c>
      <c r="C36" s="68" t="s">
        <v>35</v>
      </c>
      <c r="D36" s="72">
        <v>26.97</v>
      </c>
      <c r="E36" s="70">
        <v>30</v>
      </c>
      <c r="F36" s="580">
        <v>1</v>
      </c>
      <c r="G36" s="580"/>
      <c r="H36" s="74">
        <f t="shared" si="3"/>
        <v>0.89899999999999991</v>
      </c>
    </row>
    <row r="37" spans="1:8">
      <c r="A37" s="198" t="s">
        <v>170</v>
      </c>
      <c r="B37" s="81" t="s">
        <v>188</v>
      </c>
      <c r="C37" s="68" t="s">
        <v>35</v>
      </c>
      <c r="D37" s="72">
        <v>21.07</v>
      </c>
      <c r="E37" s="70">
        <v>30</v>
      </c>
      <c r="F37" s="580">
        <v>1</v>
      </c>
      <c r="G37" s="580"/>
      <c r="H37" s="74">
        <f t="shared" si="3"/>
        <v>0.70233333333333337</v>
      </c>
    </row>
    <row r="38" spans="1:8" ht="45">
      <c r="A38" s="196" t="s">
        <v>182</v>
      </c>
      <c r="B38" s="80" t="s">
        <v>188</v>
      </c>
      <c r="C38" s="68" t="s">
        <v>35</v>
      </c>
      <c r="D38" s="72">
        <v>120.5</v>
      </c>
      <c r="E38" s="70">
        <v>30</v>
      </c>
      <c r="F38" s="580">
        <v>1</v>
      </c>
      <c r="G38" s="580"/>
      <c r="H38" s="74">
        <f t="shared" si="3"/>
        <v>4.0166666666666666</v>
      </c>
    </row>
    <row r="39" spans="1:8" ht="45">
      <c r="A39" s="202" t="s">
        <v>175</v>
      </c>
      <c r="B39" s="80" t="s">
        <v>188</v>
      </c>
      <c r="C39" s="68" t="s">
        <v>176</v>
      </c>
      <c r="D39" s="72">
        <v>730</v>
      </c>
      <c r="E39" s="70">
        <v>30</v>
      </c>
      <c r="F39" s="580">
        <v>1</v>
      </c>
      <c r="G39" s="580"/>
      <c r="H39" s="74">
        <f t="shared" si="3"/>
        <v>24.333333333333332</v>
      </c>
    </row>
    <row r="40" spans="1:8" ht="30">
      <c r="A40" s="199" t="s">
        <v>177</v>
      </c>
      <c r="B40" s="79" t="s">
        <v>188</v>
      </c>
      <c r="C40" s="68" t="s">
        <v>35</v>
      </c>
      <c r="D40" s="73">
        <v>298.95</v>
      </c>
      <c r="E40" s="70">
        <v>30</v>
      </c>
      <c r="F40" s="580">
        <v>1</v>
      </c>
      <c r="G40" s="580"/>
      <c r="H40" s="74">
        <f t="shared" si="3"/>
        <v>9.9649999999999999</v>
      </c>
    </row>
    <row r="41" spans="1:8" ht="30">
      <c r="A41" s="199" t="s">
        <v>352</v>
      </c>
      <c r="B41" s="79" t="s">
        <v>188</v>
      </c>
      <c r="C41" s="68" t="s">
        <v>353</v>
      </c>
      <c r="D41" s="73">
        <v>239.53</v>
      </c>
      <c r="E41" s="70">
        <v>30</v>
      </c>
      <c r="F41" s="576">
        <v>1</v>
      </c>
      <c r="G41" s="577"/>
      <c r="H41" s="74">
        <f t="shared" si="3"/>
        <v>7.9843333333333337</v>
      </c>
    </row>
    <row r="42" spans="1:8">
      <c r="A42" s="199" t="s">
        <v>171</v>
      </c>
      <c r="B42" s="76" t="s">
        <v>188</v>
      </c>
      <c r="C42" s="68" t="s">
        <v>35</v>
      </c>
      <c r="D42" s="73">
        <v>29.2</v>
      </c>
      <c r="E42" s="70">
        <v>30</v>
      </c>
      <c r="F42" s="580">
        <v>1</v>
      </c>
      <c r="G42" s="580"/>
      <c r="H42" s="74">
        <f t="shared" si="3"/>
        <v>0.97333333333333327</v>
      </c>
    </row>
    <row r="43" spans="1:8">
      <c r="A43" s="201" t="s">
        <v>172</v>
      </c>
      <c r="B43" s="76" t="s">
        <v>188</v>
      </c>
      <c r="C43" s="68" t="s">
        <v>163</v>
      </c>
      <c r="D43" s="73">
        <v>52.6</v>
      </c>
      <c r="E43" s="70">
        <v>30</v>
      </c>
      <c r="F43" s="580">
        <v>1</v>
      </c>
      <c r="G43" s="580"/>
      <c r="H43" s="74">
        <f t="shared" si="3"/>
        <v>1.7533333333333334</v>
      </c>
    </row>
    <row r="44" spans="1:8">
      <c r="A44" s="582" t="s">
        <v>166</v>
      </c>
      <c r="B44" s="582"/>
      <c r="C44" s="582"/>
      <c r="D44" s="582"/>
      <c r="E44" s="582"/>
      <c r="F44" s="582"/>
      <c r="G44" s="582"/>
      <c r="H44" s="46">
        <f>SUM(H30:H43)</f>
        <v>265.26100000000002</v>
      </c>
    </row>
    <row r="45" spans="1:8">
      <c r="A45" s="585" t="s">
        <v>178</v>
      </c>
      <c r="B45" s="585"/>
      <c r="C45" s="585"/>
      <c r="D45" s="585"/>
      <c r="E45" s="585"/>
      <c r="F45" s="585"/>
      <c r="G45" s="585"/>
      <c r="H45" s="585"/>
    </row>
  </sheetData>
  <mergeCells count="53">
    <mergeCell ref="F40:G40"/>
    <mergeCell ref="F42:G42"/>
    <mergeCell ref="F43:G43"/>
    <mergeCell ref="A44:G44"/>
    <mergeCell ref="A45:H45"/>
    <mergeCell ref="B16:B17"/>
    <mergeCell ref="C16:C17"/>
    <mergeCell ref="F39:G39"/>
    <mergeCell ref="F27:G28"/>
    <mergeCell ref="H27:H28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9:G29"/>
    <mergeCell ref="D27:D28"/>
    <mergeCell ref="E27:E28"/>
    <mergeCell ref="F22:G22"/>
    <mergeCell ref="F23:G23"/>
    <mergeCell ref="A24:G24"/>
    <mergeCell ref="A25:H25"/>
    <mergeCell ref="A26:H26"/>
    <mergeCell ref="D16:D17"/>
    <mergeCell ref="E16:E17"/>
    <mergeCell ref="F16:G17"/>
    <mergeCell ref="F41:G41"/>
    <mergeCell ref="A13:G13"/>
    <mergeCell ref="A14:H14"/>
    <mergeCell ref="F21:G21"/>
    <mergeCell ref="A15:H15"/>
    <mergeCell ref="A16:A17"/>
    <mergeCell ref="H16:H17"/>
    <mergeCell ref="F18:G18"/>
    <mergeCell ref="F19:G19"/>
    <mergeCell ref="F20:G20"/>
    <mergeCell ref="A27:A28"/>
    <mergeCell ref="B27:B28"/>
    <mergeCell ref="C27:C28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00" t="s">
        <v>60</v>
      </c>
      <c r="B1" s="600"/>
      <c r="C1" s="600"/>
      <c r="D1" s="600"/>
      <c r="E1" s="600"/>
      <c r="F1" s="600"/>
      <c r="G1" s="600"/>
      <c r="H1" s="600"/>
      <c r="I1" s="600"/>
    </row>
    <row r="2" spans="1:9" ht="12.75">
      <c r="A2" s="607"/>
      <c r="B2" s="608"/>
      <c r="C2" s="608"/>
      <c r="D2" s="608"/>
      <c r="E2" s="608"/>
      <c r="F2" s="608"/>
      <c r="G2" s="608"/>
      <c r="H2" s="608"/>
      <c r="I2" s="609"/>
    </row>
    <row r="3" spans="1:9" ht="12.75">
      <c r="A3" s="601" t="s">
        <v>372</v>
      </c>
      <c r="B3" s="601"/>
      <c r="C3" s="601"/>
      <c r="D3" s="601"/>
      <c r="E3" s="601"/>
      <c r="F3" s="601"/>
      <c r="G3" s="601"/>
      <c r="H3" s="601"/>
      <c r="I3" s="601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44.25" customHeight="1">
      <c r="A5" s="602" t="s">
        <v>285</v>
      </c>
      <c r="B5" s="602"/>
      <c r="C5" s="602"/>
      <c r="D5" s="602" t="s">
        <v>321</v>
      </c>
      <c r="E5" s="602"/>
      <c r="F5" s="602" t="s">
        <v>286</v>
      </c>
      <c r="G5" s="602"/>
      <c r="H5" s="602" t="s">
        <v>322</v>
      </c>
      <c r="I5" s="602"/>
    </row>
    <row r="6" spans="1:9" ht="30.75" customHeight="1">
      <c r="A6" s="121" t="s">
        <v>287</v>
      </c>
      <c r="B6" s="627" t="s">
        <v>356</v>
      </c>
      <c r="C6" s="629"/>
      <c r="D6" s="588">
        <f>'SAn DIURNO DESARMADO 12X36'!G178</f>
        <v>9988.7369999999992</v>
      </c>
      <c r="E6" s="589"/>
      <c r="F6" s="590">
        <f>'SAn DIURNO DESARMADO 12X36'!F16</f>
        <v>2</v>
      </c>
      <c r="G6" s="591"/>
      <c r="H6" s="588">
        <f>D6*F6</f>
        <v>19977.473999999998</v>
      </c>
      <c r="I6" s="589"/>
    </row>
    <row r="7" spans="1:9" ht="43.5" customHeight="1">
      <c r="A7" s="121" t="s">
        <v>288</v>
      </c>
      <c r="B7" s="627" t="s">
        <v>357</v>
      </c>
      <c r="C7" s="629"/>
      <c r="D7" s="588">
        <f>'SAn NOTURNO ARMADO 12x36'!G180</f>
        <v>12165.136333333334</v>
      </c>
      <c r="E7" s="589"/>
      <c r="F7" s="590">
        <f>'SAn NOTURNO ARMADO 12x36'!F16</f>
        <v>2</v>
      </c>
      <c r="G7" s="591"/>
      <c r="H7" s="588">
        <f>D7*F7</f>
        <v>24330.272666666668</v>
      </c>
      <c r="I7" s="589"/>
    </row>
    <row r="8" spans="1:9" ht="12.75">
      <c r="A8" s="604" t="s">
        <v>374</v>
      </c>
      <c r="B8" s="604"/>
      <c r="C8" s="604"/>
      <c r="D8" s="604"/>
      <c r="E8" s="604"/>
      <c r="F8" s="604"/>
      <c r="G8" s="604"/>
      <c r="H8" s="605">
        <f>SUM(H6:H7)</f>
        <v>44307.746666666666</v>
      </c>
      <c r="I8" s="605"/>
    </row>
    <row r="9" spans="1:9" ht="12.75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606" t="s">
        <v>373</v>
      </c>
      <c r="B10" s="606"/>
      <c r="C10" s="606"/>
      <c r="D10" s="606"/>
      <c r="E10" s="606"/>
      <c r="F10" s="606"/>
      <c r="G10" s="606"/>
      <c r="H10" s="606"/>
      <c r="I10" s="606"/>
    </row>
    <row r="11" spans="1:9" ht="19.5" customHeight="1">
      <c r="A11" s="604" t="s">
        <v>122</v>
      </c>
      <c r="B11" s="604"/>
      <c r="C11" s="604"/>
      <c r="D11" s="604"/>
      <c r="E11" s="604"/>
      <c r="F11" s="604"/>
      <c r="G11" s="604"/>
      <c r="H11" s="604"/>
      <c r="I11" s="125" t="s">
        <v>18</v>
      </c>
    </row>
    <row r="12" spans="1:9" ht="19.5" customHeight="1">
      <c r="A12" s="603" t="s">
        <v>8</v>
      </c>
      <c r="B12" s="587" t="s">
        <v>294</v>
      </c>
      <c r="C12" s="587"/>
      <c r="D12" s="587"/>
      <c r="E12" s="586" t="s">
        <v>295</v>
      </c>
      <c r="F12" s="586"/>
      <c r="G12" s="586"/>
      <c r="H12" s="586"/>
      <c r="I12" s="126">
        <f>H6</f>
        <v>19977.473999999998</v>
      </c>
    </row>
    <row r="13" spans="1:9" ht="19.5" customHeight="1">
      <c r="A13" s="603"/>
      <c r="B13" s="587"/>
      <c r="C13" s="587"/>
      <c r="D13" s="587"/>
      <c r="E13" s="586" t="s">
        <v>296</v>
      </c>
      <c r="F13" s="586"/>
      <c r="G13" s="586"/>
      <c r="H13" s="586"/>
      <c r="I13" s="126">
        <f>H7</f>
        <v>24330.272666666668</v>
      </c>
    </row>
    <row r="14" spans="1:9" ht="20.25" customHeight="1">
      <c r="A14" s="127" t="s">
        <v>10</v>
      </c>
      <c r="B14" s="598" t="s">
        <v>297</v>
      </c>
      <c r="C14" s="598"/>
      <c r="D14" s="598"/>
      <c r="E14" s="598"/>
      <c r="F14" s="598"/>
      <c r="G14" s="598"/>
      <c r="H14" s="598"/>
      <c r="I14" s="128">
        <f>SUM(I12:I13)</f>
        <v>44307.746666666666</v>
      </c>
    </row>
    <row r="15" spans="1:9" ht="20.25" customHeight="1">
      <c r="A15" s="127" t="s">
        <v>12</v>
      </c>
      <c r="B15" s="603" t="s">
        <v>298</v>
      </c>
      <c r="C15" s="603"/>
      <c r="D15" s="603"/>
      <c r="E15" s="603"/>
      <c r="F15" s="603"/>
      <c r="G15" s="603"/>
      <c r="H15" s="603"/>
      <c r="I15" s="129">
        <f>'SAn DIURNO DESARMADO 12X36'!G13</f>
        <v>30</v>
      </c>
    </row>
    <row r="16" spans="1:9" ht="26.25" customHeight="1">
      <c r="A16" s="610" t="s">
        <v>13</v>
      </c>
      <c r="B16" s="612" t="s">
        <v>375</v>
      </c>
      <c r="C16" s="613"/>
      <c r="D16" s="614"/>
      <c r="E16" s="624" t="s">
        <v>348</v>
      </c>
      <c r="F16" s="625"/>
      <c r="G16" s="625"/>
      <c r="H16" s="626"/>
      <c r="I16" s="359">
        <f>D6*I15</f>
        <v>299662.11</v>
      </c>
    </row>
    <row r="17" spans="1:9" ht="26.25" customHeight="1">
      <c r="A17" s="611"/>
      <c r="B17" s="615"/>
      <c r="C17" s="616"/>
      <c r="D17" s="617"/>
      <c r="E17" s="624" t="s">
        <v>377</v>
      </c>
      <c r="F17" s="625"/>
      <c r="G17" s="625"/>
      <c r="H17" s="626"/>
      <c r="I17" s="359">
        <f>D7*I15</f>
        <v>364954.09</v>
      </c>
    </row>
    <row r="18" spans="1:9" ht="27" customHeight="1">
      <c r="A18" s="610" t="s">
        <v>22</v>
      </c>
      <c r="B18" s="618" t="s">
        <v>376</v>
      </c>
      <c r="C18" s="619"/>
      <c r="D18" s="620"/>
      <c r="E18" s="627" t="s">
        <v>348</v>
      </c>
      <c r="F18" s="628"/>
      <c r="G18" s="628"/>
      <c r="H18" s="629"/>
      <c r="I18" s="358">
        <f>I16*F6</f>
        <v>599324.22</v>
      </c>
    </row>
    <row r="19" spans="1:9" ht="25.5" customHeight="1">
      <c r="A19" s="611"/>
      <c r="B19" s="621"/>
      <c r="C19" s="622"/>
      <c r="D19" s="623"/>
      <c r="E19" s="627" t="s">
        <v>377</v>
      </c>
      <c r="F19" s="628"/>
      <c r="G19" s="628"/>
      <c r="H19" s="629"/>
      <c r="I19" s="358">
        <f>I17*F7</f>
        <v>729908.18</v>
      </c>
    </row>
    <row r="20" spans="1:9" ht="22.5" customHeight="1">
      <c r="A20" s="127" t="s">
        <v>23</v>
      </c>
      <c r="B20" s="598" t="s">
        <v>299</v>
      </c>
      <c r="C20" s="598"/>
      <c r="D20" s="598"/>
      <c r="E20" s="598"/>
      <c r="F20" s="598"/>
      <c r="G20" s="598"/>
      <c r="H20" s="598"/>
      <c r="I20" s="130">
        <f>SUM(I18:I19)</f>
        <v>1329232.3999999999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599" t="s">
        <v>61</v>
      </c>
      <c r="B22" s="599"/>
      <c r="C22" s="599"/>
      <c r="D22" s="599"/>
      <c r="E22" s="599"/>
      <c r="F22" s="599"/>
      <c r="G22" s="599"/>
      <c r="H22" s="599"/>
      <c r="I22" s="599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595" t="s">
        <v>300</v>
      </c>
      <c r="B24" s="595"/>
      <c r="C24" s="595"/>
      <c r="D24" s="595"/>
      <c r="E24" s="595"/>
      <c r="F24" s="595"/>
      <c r="G24" s="595"/>
      <c r="H24" s="595"/>
      <c r="I24" s="595"/>
    </row>
    <row r="25" spans="1:9" ht="12.75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32.25" customHeight="1">
      <c r="A26" s="593" t="s">
        <v>62</v>
      </c>
      <c r="B26" s="593"/>
      <c r="C26" s="593"/>
      <c r="D26" s="593"/>
      <c r="E26" s="593"/>
      <c r="F26" s="593"/>
      <c r="G26" s="593"/>
      <c r="H26" s="593"/>
      <c r="I26" s="593"/>
    </row>
    <row r="27" spans="1:9" ht="12.75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7.25" customHeight="1">
      <c r="A28" s="594" t="s">
        <v>63</v>
      </c>
      <c r="B28" s="594"/>
      <c r="C28" s="594"/>
      <c r="D28" s="594"/>
      <c r="E28" s="594"/>
      <c r="F28" s="594"/>
      <c r="G28" s="594"/>
      <c r="H28" s="594"/>
      <c r="I28" s="594"/>
    </row>
    <row r="29" spans="1:9" ht="12.75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27.75" customHeight="1">
      <c r="A30" s="594" t="s">
        <v>64</v>
      </c>
      <c r="B30" s="594"/>
      <c r="C30" s="594"/>
      <c r="D30" s="594"/>
      <c r="E30" s="594"/>
      <c r="F30" s="594"/>
      <c r="G30" s="594"/>
      <c r="H30" s="594"/>
      <c r="I30" s="594"/>
    </row>
    <row r="31" spans="1:9" ht="12.75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6.5" customHeight="1">
      <c r="A32" s="595" t="s">
        <v>65</v>
      </c>
      <c r="B32" s="595"/>
      <c r="C32" s="595"/>
      <c r="D32" s="595"/>
      <c r="E32" s="595"/>
      <c r="F32" s="595"/>
      <c r="G32" s="595"/>
      <c r="H32" s="595"/>
      <c r="I32" s="595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66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596" t="s">
        <v>301</v>
      </c>
      <c r="B36" s="596"/>
      <c r="C36" s="597"/>
      <c r="D36" s="597"/>
      <c r="E36" s="597"/>
      <c r="F36" s="597"/>
      <c r="G36" s="597"/>
      <c r="H36" s="597"/>
      <c r="I36" s="597"/>
    </row>
    <row r="37" spans="1:9">
      <c r="A37" s="113"/>
      <c r="B37" s="113"/>
      <c r="C37" s="113"/>
      <c r="D37" s="113"/>
      <c r="E37" s="113"/>
      <c r="F37" s="113"/>
      <c r="G37" s="113"/>
      <c r="H37" s="113"/>
      <c r="I37" s="113"/>
    </row>
    <row r="39" spans="1:9">
      <c r="A39" s="592" t="s">
        <v>67</v>
      </c>
      <c r="B39" s="592"/>
      <c r="C39" s="592"/>
      <c r="D39" s="592"/>
      <c r="E39" s="592"/>
      <c r="F39" s="592"/>
    </row>
    <row r="40" spans="1:9">
      <c r="A40" s="592"/>
      <c r="B40" s="592"/>
      <c r="C40" s="592"/>
      <c r="D40" s="592"/>
      <c r="E40" s="592"/>
      <c r="F40" s="592"/>
    </row>
    <row r="41" spans="1:9">
      <c r="A41" s="592"/>
      <c r="B41" s="592"/>
      <c r="C41" s="592"/>
      <c r="D41" s="592"/>
      <c r="E41" s="592"/>
      <c r="F41" s="592"/>
    </row>
    <row r="42" spans="1:9">
      <c r="A42" s="592"/>
      <c r="B42" s="592"/>
      <c r="C42" s="592"/>
      <c r="D42" s="592"/>
      <c r="E42" s="592"/>
      <c r="F42" s="592"/>
    </row>
    <row r="43" spans="1:9">
      <c r="A43" s="592"/>
      <c r="B43" s="592"/>
      <c r="C43" s="592"/>
      <c r="D43" s="592"/>
      <c r="E43" s="592"/>
      <c r="F43" s="592"/>
    </row>
    <row r="44" spans="1:9">
      <c r="A44" s="592"/>
      <c r="B44" s="592"/>
      <c r="C44" s="592"/>
      <c r="D44" s="592"/>
      <c r="E44" s="592"/>
      <c r="F44" s="592"/>
    </row>
  </sheetData>
  <mergeCells count="44">
    <mergeCell ref="B15:H15"/>
    <mergeCell ref="B6:C6"/>
    <mergeCell ref="B7:C7"/>
    <mergeCell ref="E12:H12"/>
    <mergeCell ref="A16:A17"/>
    <mergeCell ref="A18:A19"/>
    <mergeCell ref="B16:D17"/>
    <mergeCell ref="B18:D19"/>
    <mergeCell ref="E16:H16"/>
    <mergeCell ref="E17:H17"/>
    <mergeCell ref="E18:H18"/>
    <mergeCell ref="E19:H19"/>
    <mergeCell ref="A12:A13"/>
    <mergeCell ref="B14:H14"/>
    <mergeCell ref="H7:I7"/>
    <mergeCell ref="A8:G8"/>
    <mergeCell ref="H8:I8"/>
    <mergeCell ref="A10:I10"/>
    <mergeCell ref="A11:H11"/>
    <mergeCell ref="D7:E7"/>
    <mergeCell ref="F7:G7"/>
    <mergeCell ref="A1:I1"/>
    <mergeCell ref="A3:I3"/>
    <mergeCell ref="A5:C5"/>
    <mergeCell ref="D5:E5"/>
    <mergeCell ref="F5:G5"/>
    <mergeCell ref="H5:I5"/>
    <mergeCell ref="A2:I2"/>
    <mergeCell ref="E13:H13"/>
    <mergeCell ref="B12:D13"/>
    <mergeCell ref="D6:E6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zoomScaleNormal="100" workbookViewId="0">
      <selection activeCell="C14" sqref="C14:J15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9" t="s">
        <v>220</v>
      </c>
      <c r="B1" s="639"/>
      <c r="C1" s="639"/>
      <c r="D1" s="639"/>
      <c r="E1" s="639"/>
      <c r="F1" s="639"/>
      <c r="G1" s="639"/>
      <c r="H1" s="639"/>
      <c r="I1" s="639"/>
      <c r="J1" s="639"/>
    </row>
    <row r="2" spans="1:10">
      <c r="A2" s="640" t="s">
        <v>358</v>
      </c>
      <c r="B2" s="640"/>
      <c r="C2" s="640"/>
      <c r="D2" s="640"/>
      <c r="E2" s="640"/>
      <c r="F2" s="640"/>
      <c r="G2" s="640"/>
      <c r="H2" s="640"/>
      <c r="I2" s="640"/>
      <c r="J2" s="640"/>
    </row>
    <row r="3" spans="1:10">
      <c r="A3" s="640" t="s">
        <v>359</v>
      </c>
      <c r="B3" s="640"/>
      <c r="C3" s="640"/>
      <c r="D3" s="640"/>
      <c r="E3" s="640"/>
      <c r="F3" s="640"/>
      <c r="G3" s="640"/>
      <c r="H3" s="640"/>
      <c r="I3" s="640"/>
      <c r="J3" s="640"/>
    </row>
    <row r="4" spans="1:10">
      <c r="A4" s="640" t="s">
        <v>360</v>
      </c>
      <c r="B4" s="640"/>
      <c r="C4" s="640"/>
      <c r="D4" s="640"/>
      <c r="E4" s="640"/>
      <c r="F4" s="640"/>
      <c r="G4" s="640"/>
      <c r="H4" s="640"/>
      <c r="I4" s="640"/>
      <c r="J4" s="640"/>
    </row>
    <row r="5" spans="1:10">
      <c r="A5" s="640" t="s">
        <v>361</v>
      </c>
      <c r="B5" s="640"/>
      <c r="C5" s="640"/>
      <c r="D5" s="640"/>
      <c r="E5" s="640"/>
      <c r="F5" s="640"/>
      <c r="G5" s="640"/>
      <c r="H5" s="640"/>
      <c r="I5" s="640"/>
      <c r="J5" s="640"/>
    </row>
    <row r="6" spans="1:10">
      <c r="A6" s="640" t="s">
        <v>221</v>
      </c>
      <c r="B6" s="640"/>
      <c r="C6" s="640"/>
      <c r="D6" s="640"/>
      <c r="E6" s="640"/>
      <c r="F6" s="640"/>
      <c r="G6" s="640"/>
      <c r="H6" s="640"/>
      <c r="I6" s="640"/>
      <c r="J6" s="640"/>
    </row>
    <row r="7" spans="1:10">
      <c r="A7" s="640" t="s">
        <v>362</v>
      </c>
      <c r="B7" s="640"/>
      <c r="C7" s="640"/>
      <c r="D7" s="640"/>
      <c r="E7" s="640"/>
      <c r="F7" s="640"/>
      <c r="G7" s="640"/>
      <c r="H7" s="640"/>
      <c r="I7" s="640"/>
      <c r="J7" s="640"/>
    </row>
    <row r="8" spans="1:10">
      <c r="A8" s="640" t="s">
        <v>363</v>
      </c>
      <c r="B8" s="640"/>
      <c r="C8" s="640"/>
      <c r="D8" s="640"/>
      <c r="E8" s="640"/>
      <c r="F8" s="640"/>
      <c r="G8" s="640"/>
      <c r="H8" s="640"/>
      <c r="I8" s="640"/>
      <c r="J8" s="640"/>
    </row>
    <row r="9" spans="1:10">
      <c r="A9" s="640" t="s">
        <v>364</v>
      </c>
      <c r="B9" s="640"/>
      <c r="C9" s="640"/>
      <c r="D9" s="640"/>
      <c r="E9" s="640"/>
      <c r="F9" s="640"/>
      <c r="G9" s="640"/>
      <c r="H9" s="640"/>
      <c r="I9" s="640"/>
      <c r="J9" s="640"/>
    </row>
    <row r="10" spans="1:10">
      <c r="A10" s="640" t="s">
        <v>366</v>
      </c>
      <c r="B10" s="640"/>
      <c r="C10" s="640"/>
      <c r="D10" s="640"/>
      <c r="E10" s="640"/>
      <c r="F10" s="640"/>
      <c r="G10" s="640"/>
      <c r="H10" s="640"/>
      <c r="I10" s="640"/>
      <c r="J10" s="640"/>
    </row>
    <row r="11" spans="1:10">
      <c r="A11" s="640" t="s">
        <v>365</v>
      </c>
      <c r="B11" s="640"/>
      <c r="C11" s="640"/>
      <c r="D11" s="640"/>
      <c r="E11" s="640"/>
      <c r="F11" s="640"/>
      <c r="G11" s="640"/>
      <c r="H11" s="640"/>
      <c r="I11" s="640"/>
      <c r="J11" s="640"/>
    </row>
    <row r="12" spans="1:10">
      <c r="A12" s="217"/>
      <c r="B12" s="217"/>
      <c r="C12" s="217"/>
      <c r="D12" s="217"/>
      <c r="E12" s="217"/>
      <c r="F12" s="217"/>
      <c r="G12" s="217"/>
      <c r="H12" s="217"/>
      <c r="I12" s="217"/>
      <c r="J12" s="217"/>
    </row>
    <row r="13" spans="1:10" ht="15" customHeight="1">
      <c r="A13" s="641" t="s">
        <v>272</v>
      </c>
      <c r="B13" s="641"/>
      <c r="C13" s="641"/>
      <c r="D13" s="641"/>
      <c r="E13" s="641"/>
      <c r="F13" s="641"/>
      <c r="G13" s="641"/>
      <c r="H13" s="641"/>
      <c r="I13" s="641"/>
      <c r="J13" s="641"/>
    </row>
    <row r="14" spans="1:10" ht="15" customHeight="1">
      <c r="A14" s="631">
        <v>1</v>
      </c>
      <c r="B14" s="642" t="s">
        <v>343</v>
      </c>
      <c r="C14" s="632" t="s">
        <v>344</v>
      </c>
      <c r="D14" s="632"/>
      <c r="E14" s="632"/>
      <c r="F14" s="632"/>
      <c r="G14" s="632"/>
      <c r="H14" s="632"/>
      <c r="I14" s="632"/>
      <c r="J14" s="632"/>
    </row>
    <row r="15" spans="1:10">
      <c r="A15" s="631"/>
      <c r="B15" s="642"/>
      <c r="C15" s="632"/>
      <c r="D15" s="632"/>
      <c r="E15" s="632"/>
      <c r="F15" s="632"/>
      <c r="G15" s="632"/>
      <c r="H15" s="632"/>
      <c r="I15" s="632"/>
      <c r="J15" s="632"/>
    </row>
    <row r="16" spans="1:10">
      <c r="A16" s="635"/>
      <c r="B16" s="635"/>
      <c r="C16" s="635"/>
      <c r="D16" s="635"/>
      <c r="E16" s="635"/>
      <c r="F16" s="635"/>
      <c r="G16" s="635"/>
      <c r="H16" s="635"/>
      <c r="I16" s="635"/>
      <c r="J16" s="635"/>
    </row>
    <row r="17" spans="1:10">
      <c r="A17" s="637" t="s">
        <v>282</v>
      </c>
      <c r="B17" s="637"/>
      <c r="C17" s="637"/>
      <c r="D17" s="637"/>
      <c r="E17" s="637"/>
      <c r="F17" s="637"/>
      <c r="G17" s="637"/>
      <c r="H17" s="637"/>
      <c r="I17" s="637"/>
      <c r="J17" s="637"/>
    </row>
    <row r="18" spans="1:10" ht="93" customHeight="1">
      <c r="A18" s="218">
        <v>1</v>
      </c>
      <c r="B18" s="218" t="s">
        <v>19</v>
      </c>
      <c r="C18" s="630" t="s">
        <v>279</v>
      </c>
      <c r="D18" s="630"/>
      <c r="E18" s="630"/>
      <c r="F18" s="630"/>
      <c r="G18" s="630"/>
      <c r="H18" s="630"/>
      <c r="I18" s="630"/>
      <c r="J18" s="630"/>
    </row>
    <row r="19" spans="1:10" ht="15" customHeight="1">
      <c r="A19" s="631">
        <v>2</v>
      </c>
      <c r="B19" s="635" t="s">
        <v>222</v>
      </c>
      <c r="C19" s="630" t="s">
        <v>275</v>
      </c>
      <c r="D19" s="630"/>
      <c r="E19" s="630"/>
      <c r="F19" s="630"/>
      <c r="G19" s="630"/>
      <c r="H19" s="630"/>
      <c r="I19" s="630"/>
      <c r="J19" s="630"/>
    </row>
    <row r="20" spans="1:10">
      <c r="A20" s="631"/>
      <c r="B20" s="635"/>
      <c r="C20" s="630"/>
      <c r="D20" s="630"/>
      <c r="E20" s="630"/>
      <c r="F20" s="630"/>
      <c r="G20" s="630"/>
      <c r="H20" s="630"/>
      <c r="I20" s="630"/>
      <c r="J20" s="630"/>
    </row>
    <row r="21" spans="1:10">
      <c r="A21" s="631"/>
      <c r="B21" s="635"/>
      <c r="C21" s="630"/>
      <c r="D21" s="630"/>
      <c r="E21" s="630"/>
      <c r="F21" s="630"/>
      <c r="G21" s="630"/>
      <c r="H21" s="630"/>
      <c r="I21" s="630"/>
      <c r="J21" s="630"/>
    </row>
    <row r="22" spans="1:10">
      <c r="A22" s="631"/>
      <c r="B22" s="635"/>
      <c r="C22" s="630"/>
      <c r="D22" s="630"/>
      <c r="E22" s="630"/>
      <c r="F22" s="630"/>
      <c r="G22" s="630"/>
      <c r="H22" s="630"/>
      <c r="I22" s="630"/>
      <c r="J22" s="630"/>
    </row>
    <row r="23" spans="1:10" ht="15" customHeight="1">
      <c r="A23" s="635">
        <v>3</v>
      </c>
      <c r="B23" s="631" t="s">
        <v>223</v>
      </c>
      <c r="C23" s="638" t="s">
        <v>277</v>
      </c>
      <c r="D23" s="638"/>
      <c r="E23" s="638"/>
      <c r="F23" s="638"/>
      <c r="G23" s="638"/>
      <c r="H23" s="638"/>
      <c r="I23" s="638"/>
      <c r="J23" s="638"/>
    </row>
    <row r="24" spans="1:10">
      <c r="A24" s="635"/>
      <c r="B24" s="631"/>
      <c r="C24" s="638"/>
      <c r="D24" s="638"/>
      <c r="E24" s="638"/>
      <c r="F24" s="638"/>
      <c r="G24" s="638"/>
      <c r="H24" s="638"/>
      <c r="I24" s="638"/>
      <c r="J24" s="638"/>
    </row>
    <row r="25" spans="1:10" ht="3" customHeight="1">
      <c r="A25" s="635"/>
      <c r="B25" s="631"/>
      <c r="C25" s="638"/>
      <c r="D25" s="638"/>
      <c r="E25" s="638"/>
      <c r="F25" s="638"/>
      <c r="G25" s="638"/>
      <c r="H25" s="638"/>
      <c r="I25" s="638"/>
      <c r="J25" s="638"/>
    </row>
    <row r="26" spans="1:10" ht="15" hidden="1" customHeight="1">
      <c r="A26" s="635"/>
      <c r="B26" s="631"/>
      <c r="C26" s="638"/>
      <c r="D26" s="638"/>
      <c r="E26" s="638"/>
      <c r="F26" s="638"/>
      <c r="G26" s="638"/>
      <c r="H26" s="638"/>
      <c r="I26" s="638"/>
      <c r="J26" s="638"/>
    </row>
    <row r="27" spans="1:10" ht="15" customHeight="1">
      <c r="A27" s="635">
        <v>4</v>
      </c>
      <c r="B27" s="631" t="s">
        <v>224</v>
      </c>
      <c r="C27" s="638" t="s">
        <v>280</v>
      </c>
      <c r="D27" s="638"/>
      <c r="E27" s="638"/>
      <c r="F27" s="638"/>
      <c r="G27" s="638"/>
      <c r="H27" s="638"/>
      <c r="I27" s="638"/>
      <c r="J27" s="638"/>
    </row>
    <row r="28" spans="1:10">
      <c r="A28" s="635"/>
      <c r="B28" s="631"/>
      <c r="C28" s="638"/>
      <c r="D28" s="638"/>
      <c r="E28" s="638"/>
      <c r="F28" s="638"/>
      <c r="G28" s="638"/>
      <c r="H28" s="638"/>
      <c r="I28" s="638"/>
      <c r="J28" s="638"/>
    </row>
    <row r="29" spans="1:10">
      <c r="A29" s="635"/>
      <c r="B29" s="631"/>
      <c r="C29" s="638"/>
      <c r="D29" s="638"/>
      <c r="E29" s="638"/>
      <c r="F29" s="638"/>
      <c r="G29" s="638"/>
      <c r="H29" s="638"/>
      <c r="I29" s="638"/>
      <c r="J29" s="638"/>
    </row>
    <row r="30" spans="1:10" ht="12.75" customHeight="1">
      <c r="A30" s="635"/>
      <c r="B30" s="631"/>
      <c r="C30" s="638"/>
      <c r="D30" s="638"/>
      <c r="E30" s="638"/>
      <c r="F30" s="638"/>
      <c r="G30" s="638"/>
      <c r="H30" s="638"/>
      <c r="I30" s="638"/>
      <c r="J30" s="638"/>
    </row>
    <row r="31" spans="1:10" ht="15" hidden="1" customHeight="1">
      <c r="A31" s="635"/>
      <c r="B31" s="631"/>
      <c r="C31" s="638"/>
      <c r="D31" s="638"/>
      <c r="E31" s="638"/>
      <c r="F31" s="638"/>
      <c r="G31" s="638"/>
      <c r="H31" s="638"/>
      <c r="I31" s="638"/>
      <c r="J31" s="638"/>
    </row>
    <row r="32" spans="1:10" ht="15" customHeight="1">
      <c r="A32" s="635">
        <v>5</v>
      </c>
      <c r="B32" s="631" t="s">
        <v>225</v>
      </c>
      <c r="C32" s="632" t="s">
        <v>345</v>
      </c>
      <c r="D32" s="632"/>
      <c r="E32" s="632"/>
      <c r="F32" s="632"/>
      <c r="G32" s="632"/>
      <c r="H32" s="632"/>
      <c r="I32" s="632"/>
      <c r="J32" s="632"/>
    </row>
    <row r="33" spans="1:10">
      <c r="A33" s="635"/>
      <c r="B33" s="631"/>
      <c r="C33" s="632"/>
      <c r="D33" s="632"/>
      <c r="E33" s="632"/>
      <c r="F33" s="632"/>
      <c r="G33" s="632"/>
      <c r="H33" s="632"/>
      <c r="I33" s="632"/>
      <c r="J33" s="632"/>
    </row>
    <row r="34" spans="1:10" ht="39.75" customHeight="1">
      <c r="A34" s="635"/>
      <c r="B34" s="631"/>
      <c r="C34" s="632"/>
      <c r="D34" s="632"/>
      <c r="E34" s="632"/>
      <c r="F34" s="632"/>
      <c r="G34" s="632"/>
      <c r="H34" s="632"/>
      <c r="I34" s="632"/>
      <c r="J34" s="632"/>
    </row>
    <row r="35" spans="1:10" ht="15" customHeight="1">
      <c r="A35" s="635">
        <v>6</v>
      </c>
      <c r="B35" s="631" t="s">
        <v>226</v>
      </c>
      <c r="C35" s="632" t="s">
        <v>346</v>
      </c>
      <c r="D35" s="632"/>
      <c r="E35" s="632"/>
      <c r="F35" s="632"/>
      <c r="G35" s="632"/>
      <c r="H35" s="632"/>
      <c r="I35" s="632"/>
      <c r="J35" s="632"/>
    </row>
    <row r="36" spans="1:10">
      <c r="A36" s="635"/>
      <c r="B36" s="631"/>
      <c r="C36" s="632"/>
      <c r="D36" s="632"/>
      <c r="E36" s="632"/>
      <c r="F36" s="632"/>
      <c r="G36" s="632"/>
      <c r="H36" s="632"/>
      <c r="I36" s="632"/>
      <c r="J36" s="632"/>
    </row>
    <row r="37" spans="1:10">
      <c r="A37" s="635"/>
      <c r="B37" s="631"/>
      <c r="C37" s="632"/>
      <c r="D37" s="632"/>
      <c r="E37" s="632"/>
      <c r="F37" s="632"/>
      <c r="G37" s="632"/>
      <c r="H37" s="632"/>
      <c r="I37" s="632"/>
      <c r="J37" s="632"/>
    </row>
    <row r="38" spans="1:10" ht="64.5" customHeight="1">
      <c r="A38" s="635"/>
      <c r="B38" s="631"/>
      <c r="C38" s="632"/>
      <c r="D38" s="632"/>
      <c r="E38" s="632"/>
      <c r="F38" s="632"/>
      <c r="G38" s="632"/>
      <c r="H38" s="632"/>
      <c r="I38" s="632"/>
      <c r="J38" s="632"/>
    </row>
    <row r="39" spans="1:10" ht="15" customHeight="1">
      <c r="A39" s="635">
        <v>7</v>
      </c>
      <c r="B39" s="631" t="s">
        <v>21</v>
      </c>
      <c r="C39" s="632" t="s">
        <v>273</v>
      </c>
      <c r="D39" s="632"/>
      <c r="E39" s="632"/>
      <c r="F39" s="632"/>
      <c r="G39" s="632"/>
      <c r="H39" s="632"/>
      <c r="I39" s="632"/>
      <c r="J39" s="632"/>
    </row>
    <row r="40" spans="1:10">
      <c r="A40" s="635"/>
      <c r="B40" s="631"/>
      <c r="C40" s="632"/>
      <c r="D40" s="632"/>
      <c r="E40" s="632"/>
      <c r="F40" s="632"/>
      <c r="G40" s="632"/>
      <c r="H40" s="632"/>
      <c r="I40" s="632"/>
      <c r="J40" s="632"/>
    </row>
    <row r="41" spans="1:10">
      <c r="A41" s="635"/>
      <c r="B41" s="631"/>
      <c r="C41" s="632"/>
      <c r="D41" s="632"/>
      <c r="E41" s="632"/>
      <c r="F41" s="632"/>
      <c r="G41" s="632"/>
      <c r="H41" s="632"/>
      <c r="I41" s="632"/>
      <c r="J41" s="632"/>
    </row>
    <row r="42" spans="1:10">
      <c r="A42" s="635"/>
      <c r="B42" s="631"/>
      <c r="C42" s="632"/>
      <c r="D42" s="632"/>
      <c r="E42" s="632"/>
      <c r="F42" s="632"/>
      <c r="G42" s="632"/>
      <c r="H42" s="632"/>
      <c r="I42" s="632"/>
      <c r="J42" s="632"/>
    </row>
    <row r="43" spans="1:10">
      <c r="A43" s="635"/>
      <c r="B43" s="631"/>
      <c r="C43" s="632"/>
      <c r="D43" s="632"/>
      <c r="E43" s="632"/>
      <c r="F43" s="632"/>
      <c r="G43" s="632"/>
      <c r="H43" s="632"/>
      <c r="I43" s="632"/>
      <c r="J43" s="632"/>
    </row>
    <row r="44" spans="1:10" ht="25.5" customHeight="1">
      <c r="A44" s="635"/>
      <c r="B44" s="631"/>
      <c r="C44" s="632"/>
      <c r="D44" s="632"/>
      <c r="E44" s="632"/>
      <c r="F44" s="632"/>
      <c r="G44" s="632"/>
      <c r="H44" s="632"/>
      <c r="I44" s="632"/>
      <c r="J44" s="632"/>
    </row>
    <row r="45" spans="1:10" ht="15" customHeight="1">
      <c r="A45" s="631">
        <v>8</v>
      </c>
      <c r="B45" s="631" t="s">
        <v>248</v>
      </c>
      <c r="C45" s="630" t="s">
        <v>274</v>
      </c>
      <c r="D45" s="630"/>
      <c r="E45" s="630"/>
      <c r="F45" s="630"/>
      <c r="G45" s="630"/>
      <c r="H45" s="630"/>
      <c r="I45" s="630"/>
      <c r="J45" s="630"/>
    </row>
    <row r="46" spans="1:10">
      <c r="A46" s="631"/>
      <c r="B46" s="631"/>
      <c r="C46" s="630"/>
      <c r="D46" s="630"/>
      <c r="E46" s="630"/>
      <c r="F46" s="630"/>
      <c r="G46" s="630"/>
      <c r="H46" s="630"/>
      <c r="I46" s="630"/>
      <c r="J46" s="630"/>
    </row>
    <row r="47" spans="1:10">
      <c r="A47" s="631"/>
      <c r="B47" s="631"/>
      <c r="C47" s="630"/>
      <c r="D47" s="630"/>
      <c r="E47" s="630"/>
      <c r="F47" s="630"/>
      <c r="G47" s="630"/>
      <c r="H47" s="630"/>
      <c r="I47" s="630"/>
      <c r="J47" s="630"/>
    </row>
    <row r="48" spans="1:10">
      <c r="A48" s="631"/>
      <c r="B48" s="631"/>
      <c r="C48" s="630"/>
      <c r="D48" s="630"/>
      <c r="E48" s="630"/>
      <c r="F48" s="630"/>
      <c r="G48" s="630"/>
      <c r="H48" s="630"/>
      <c r="I48" s="630"/>
      <c r="J48" s="630"/>
    </row>
    <row r="49" spans="1:10" ht="14.25" customHeight="1">
      <c r="A49" s="631"/>
      <c r="B49" s="631"/>
      <c r="C49" s="630"/>
      <c r="D49" s="630"/>
      <c r="E49" s="630"/>
      <c r="F49" s="630"/>
      <c r="G49" s="630"/>
      <c r="H49" s="630"/>
      <c r="I49" s="630"/>
      <c r="J49" s="630"/>
    </row>
    <row r="50" spans="1:10" ht="3.75" customHeight="1">
      <c r="A50" s="631"/>
      <c r="B50" s="631"/>
      <c r="C50" s="630"/>
      <c r="D50" s="630"/>
      <c r="E50" s="630"/>
      <c r="F50" s="630"/>
      <c r="G50" s="630"/>
      <c r="H50" s="630"/>
      <c r="I50" s="630"/>
      <c r="J50" s="630"/>
    </row>
    <row r="51" spans="1:10" ht="7.5" hidden="1" customHeight="1">
      <c r="A51" s="631"/>
      <c r="B51" s="631"/>
      <c r="C51" s="630"/>
      <c r="D51" s="630"/>
      <c r="E51" s="630"/>
      <c r="F51" s="630"/>
      <c r="G51" s="630"/>
      <c r="H51" s="630"/>
      <c r="I51" s="630"/>
      <c r="J51" s="630"/>
    </row>
    <row r="52" spans="1:10">
      <c r="A52" s="219"/>
      <c r="B52" s="219"/>
      <c r="C52" s="219"/>
      <c r="D52" s="219"/>
      <c r="E52" s="219"/>
      <c r="F52" s="219"/>
      <c r="G52" s="219"/>
      <c r="H52" s="219"/>
      <c r="I52" s="219"/>
      <c r="J52" s="219"/>
    </row>
    <row r="53" spans="1:10">
      <c r="A53" s="637" t="s">
        <v>281</v>
      </c>
      <c r="B53" s="637"/>
      <c r="C53" s="637"/>
      <c r="D53" s="637"/>
      <c r="E53" s="637"/>
      <c r="F53" s="637"/>
      <c r="G53" s="637"/>
      <c r="H53" s="637"/>
      <c r="I53" s="637"/>
      <c r="J53" s="637"/>
    </row>
    <row r="54" spans="1:10" ht="15" customHeight="1">
      <c r="A54" s="635">
        <v>1</v>
      </c>
      <c r="B54" s="631" t="s">
        <v>347</v>
      </c>
      <c r="C54" s="632" t="s">
        <v>284</v>
      </c>
      <c r="D54" s="632"/>
      <c r="E54" s="632"/>
      <c r="F54" s="632"/>
      <c r="G54" s="632"/>
      <c r="H54" s="632"/>
      <c r="I54" s="632"/>
      <c r="J54" s="632"/>
    </row>
    <row r="55" spans="1:10">
      <c r="A55" s="635"/>
      <c r="B55" s="631"/>
      <c r="C55" s="632"/>
      <c r="D55" s="632"/>
      <c r="E55" s="632"/>
      <c r="F55" s="632"/>
      <c r="G55" s="632"/>
      <c r="H55" s="632"/>
      <c r="I55" s="632"/>
      <c r="J55" s="632"/>
    </row>
    <row r="56" spans="1:10">
      <c r="A56" s="635"/>
      <c r="B56" s="631"/>
      <c r="C56" s="632"/>
      <c r="D56" s="632"/>
      <c r="E56" s="632"/>
      <c r="F56" s="632"/>
      <c r="G56" s="632"/>
      <c r="H56" s="632"/>
      <c r="I56" s="632"/>
      <c r="J56" s="632"/>
    </row>
    <row r="57" spans="1:10" ht="15" customHeight="1">
      <c r="A57" s="631">
        <v>3</v>
      </c>
      <c r="B57" s="631" t="s">
        <v>227</v>
      </c>
      <c r="C57" s="632" t="s">
        <v>283</v>
      </c>
      <c r="D57" s="632"/>
      <c r="E57" s="632"/>
      <c r="F57" s="632"/>
      <c r="G57" s="632"/>
      <c r="H57" s="632"/>
      <c r="I57" s="632"/>
      <c r="J57" s="632"/>
    </row>
    <row r="58" spans="1:10">
      <c r="A58" s="631"/>
      <c r="B58" s="631"/>
      <c r="C58" s="632"/>
      <c r="D58" s="632"/>
      <c r="E58" s="632"/>
      <c r="F58" s="632"/>
      <c r="G58" s="632"/>
      <c r="H58" s="632"/>
      <c r="I58" s="632"/>
      <c r="J58" s="632"/>
    </row>
    <row r="59" spans="1:10">
      <c r="A59" s="631"/>
      <c r="B59" s="631"/>
      <c r="C59" s="632"/>
      <c r="D59" s="632"/>
      <c r="E59" s="632"/>
      <c r="F59" s="632"/>
      <c r="G59" s="632"/>
      <c r="H59" s="632"/>
      <c r="I59" s="632"/>
      <c r="J59" s="632"/>
    </row>
    <row r="60" spans="1:10" ht="39.75" customHeight="1">
      <c r="A60" s="631">
        <v>4</v>
      </c>
      <c r="B60" s="631" t="s">
        <v>228</v>
      </c>
      <c r="C60" s="632" t="s">
        <v>328</v>
      </c>
      <c r="D60" s="632"/>
      <c r="E60" s="632"/>
      <c r="F60" s="632"/>
      <c r="G60" s="632"/>
      <c r="H60" s="632"/>
      <c r="I60" s="632"/>
      <c r="J60" s="632"/>
    </row>
    <row r="61" spans="1:10" ht="15" customHeight="1">
      <c r="A61" s="631"/>
      <c r="B61" s="631"/>
      <c r="C61" s="632"/>
      <c r="D61" s="632"/>
      <c r="E61" s="632"/>
      <c r="F61" s="632"/>
      <c r="G61" s="632"/>
      <c r="H61" s="632"/>
      <c r="I61" s="632"/>
      <c r="J61" s="632"/>
    </row>
    <row r="62" spans="1:10">
      <c r="A62" s="631"/>
      <c r="B62" s="631"/>
      <c r="C62" s="632"/>
      <c r="D62" s="632"/>
      <c r="E62" s="632"/>
      <c r="F62" s="632"/>
      <c r="G62" s="632"/>
      <c r="H62" s="632"/>
      <c r="I62" s="632"/>
      <c r="J62" s="632"/>
    </row>
    <row r="63" spans="1:10" ht="4.5" customHeight="1">
      <c r="A63" s="631"/>
      <c r="B63" s="631"/>
      <c r="C63" s="632"/>
      <c r="D63" s="632"/>
      <c r="E63" s="632"/>
      <c r="F63" s="632"/>
      <c r="G63" s="632"/>
      <c r="H63" s="632"/>
      <c r="I63" s="632"/>
      <c r="J63" s="632"/>
    </row>
    <row r="64" spans="1:10" hidden="1">
      <c r="A64" s="631"/>
      <c r="B64" s="631"/>
      <c r="C64" s="632"/>
      <c r="D64" s="632"/>
      <c r="E64" s="632"/>
      <c r="F64" s="632"/>
      <c r="G64" s="632"/>
      <c r="H64" s="632"/>
      <c r="I64" s="632"/>
      <c r="J64" s="632"/>
    </row>
    <row r="65" spans="1:10" ht="15" customHeight="1">
      <c r="A65" s="631">
        <v>5</v>
      </c>
      <c r="B65" s="631" t="s">
        <v>229</v>
      </c>
      <c r="C65" s="630" t="s">
        <v>323</v>
      </c>
      <c r="D65" s="630"/>
      <c r="E65" s="630"/>
      <c r="F65" s="630"/>
      <c r="G65" s="630"/>
      <c r="H65" s="630"/>
      <c r="I65" s="630"/>
      <c r="J65" s="630"/>
    </row>
    <row r="66" spans="1:10">
      <c r="A66" s="631"/>
      <c r="B66" s="631"/>
      <c r="C66" s="630"/>
      <c r="D66" s="630"/>
      <c r="E66" s="630"/>
      <c r="F66" s="630"/>
      <c r="G66" s="630"/>
      <c r="H66" s="630"/>
      <c r="I66" s="630"/>
      <c r="J66" s="630"/>
    </row>
    <row r="67" spans="1:10" ht="3.75" customHeight="1">
      <c r="A67" s="631"/>
      <c r="B67" s="631"/>
      <c r="C67" s="630"/>
      <c r="D67" s="630"/>
      <c r="E67" s="630"/>
      <c r="F67" s="630"/>
      <c r="G67" s="630"/>
      <c r="H67" s="630"/>
      <c r="I67" s="630"/>
      <c r="J67" s="630"/>
    </row>
    <row r="68" spans="1:10" ht="3" customHeight="1">
      <c r="A68" s="631"/>
      <c r="B68" s="631"/>
      <c r="C68" s="630"/>
      <c r="D68" s="630"/>
      <c r="E68" s="630"/>
      <c r="F68" s="630"/>
      <c r="G68" s="630"/>
      <c r="H68" s="630"/>
      <c r="I68" s="630"/>
      <c r="J68" s="630"/>
    </row>
    <row r="69" spans="1:10" ht="15" customHeight="1">
      <c r="A69" s="631"/>
      <c r="B69" s="631"/>
      <c r="C69" s="630"/>
      <c r="D69" s="630"/>
      <c r="E69" s="630"/>
      <c r="F69" s="630"/>
      <c r="G69" s="630"/>
      <c r="H69" s="630"/>
      <c r="I69" s="630"/>
      <c r="J69" s="630"/>
    </row>
    <row r="70" spans="1:10">
      <c r="A70" s="631"/>
      <c r="B70" s="631"/>
      <c r="C70" s="630"/>
      <c r="D70" s="630"/>
      <c r="E70" s="630"/>
      <c r="F70" s="630"/>
      <c r="G70" s="630"/>
      <c r="H70" s="630"/>
      <c r="I70" s="630"/>
      <c r="J70" s="630"/>
    </row>
    <row r="71" spans="1:10">
      <c r="A71" s="631"/>
      <c r="B71" s="631"/>
      <c r="C71" s="631"/>
      <c r="D71" s="631"/>
      <c r="E71" s="631"/>
      <c r="F71" s="631"/>
      <c r="G71" s="631"/>
      <c r="H71" s="631"/>
      <c r="I71" s="631"/>
      <c r="J71" s="631"/>
    </row>
    <row r="72" spans="1:10" ht="20.25" customHeight="1">
      <c r="A72" s="633" t="s">
        <v>230</v>
      </c>
      <c r="B72" s="633"/>
      <c r="C72" s="633"/>
      <c r="D72" s="633"/>
      <c r="E72" s="633"/>
      <c r="F72" s="633"/>
      <c r="G72" s="633"/>
      <c r="H72" s="633"/>
      <c r="I72" s="633"/>
      <c r="J72" s="633"/>
    </row>
    <row r="73" spans="1:10" ht="15" hidden="1" customHeight="1">
      <c r="A73" s="631">
        <v>1</v>
      </c>
      <c r="B73" s="631" t="s">
        <v>231</v>
      </c>
      <c r="C73" s="634" t="s">
        <v>367</v>
      </c>
      <c r="D73" s="634"/>
      <c r="E73" s="634"/>
      <c r="F73" s="634"/>
      <c r="G73" s="634"/>
      <c r="H73" s="634"/>
      <c r="I73" s="634"/>
      <c r="J73" s="634"/>
    </row>
    <row r="74" spans="1:10" ht="15" hidden="1" customHeight="1">
      <c r="A74" s="631"/>
      <c r="B74" s="631"/>
      <c r="C74" s="634"/>
      <c r="D74" s="634"/>
      <c r="E74" s="634"/>
      <c r="F74" s="634"/>
      <c r="G74" s="634"/>
      <c r="H74" s="634"/>
      <c r="I74" s="634"/>
      <c r="J74" s="634"/>
    </row>
    <row r="75" spans="1:10" ht="48" customHeight="1">
      <c r="A75" s="631"/>
      <c r="B75" s="631"/>
      <c r="C75" s="634"/>
      <c r="D75" s="634"/>
      <c r="E75" s="634"/>
      <c r="F75" s="634"/>
      <c r="G75" s="634"/>
      <c r="H75" s="634"/>
      <c r="I75" s="634"/>
      <c r="J75" s="634"/>
    </row>
    <row r="76" spans="1:10" ht="31.5" customHeight="1">
      <c r="A76" s="216">
        <v>2</v>
      </c>
      <c r="B76" s="216" t="s">
        <v>232</v>
      </c>
      <c r="C76" s="630" t="s">
        <v>329</v>
      </c>
      <c r="D76" s="630"/>
      <c r="E76" s="630"/>
      <c r="F76" s="630"/>
      <c r="G76" s="630"/>
      <c r="H76" s="630"/>
      <c r="I76" s="630"/>
      <c r="J76" s="630"/>
    </row>
    <row r="77" spans="1:10" ht="15" customHeight="1">
      <c r="A77" s="631">
        <v>3</v>
      </c>
      <c r="B77" s="631" t="s">
        <v>31</v>
      </c>
      <c r="C77" s="632" t="s">
        <v>330</v>
      </c>
      <c r="D77" s="632"/>
      <c r="E77" s="632"/>
      <c r="F77" s="632"/>
      <c r="G77" s="632"/>
      <c r="H77" s="632"/>
      <c r="I77" s="632"/>
      <c r="J77" s="632"/>
    </row>
    <row r="78" spans="1:10">
      <c r="A78" s="631"/>
      <c r="B78" s="631"/>
      <c r="C78" s="632"/>
      <c r="D78" s="632"/>
      <c r="E78" s="632"/>
      <c r="F78" s="632"/>
      <c r="G78" s="632"/>
      <c r="H78" s="632"/>
      <c r="I78" s="632"/>
      <c r="J78" s="632"/>
    </row>
    <row r="79" spans="1:10">
      <c r="A79" s="631"/>
      <c r="B79" s="631"/>
      <c r="C79" s="632"/>
      <c r="D79" s="632"/>
      <c r="E79" s="632"/>
      <c r="F79" s="632"/>
      <c r="G79" s="632"/>
      <c r="H79" s="632"/>
      <c r="I79" s="632"/>
      <c r="J79" s="632"/>
    </row>
    <row r="80" spans="1:10" ht="32.25" customHeight="1">
      <c r="A80" s="631"/>
      <c r="B80" s="631"/>
      <c r="C80" s="632"/>
      <c r="D80" s="632"/>
      <c r="E80" s="632"/>
      <c r="F80" s="632"/>
      <c r="G80" s="632"/>
      <c r="H80" s="632"/>
      <c r="I80" s="632"/>
      <c r="J80" s="632"/>
    </row>
    <row r="81" spans="1:10" ht="37.5" customHeight="1">
      <c r="A81" s="216">
        <v>4</v>
      </c>
      <c r="B81" s="216" t="s">
        <v>233</v>
      </c>
      <c r="C81" s="630" t="s">
        <v>331</v>
      </c>
      <c r="D81" s="630"/>
      <c r="E81" s="630"/>
      <c r="F81" s="630"/>
      <c r="G81" s="630"/>
      <c r="H81" s="630"/>
      <c r="I81" s="630"/>
      <c r="J81" s="630"/>
    </row>
    <row r="82" spans="1:10" ht="15" customHeight="1">
      <c r="A82" s="631">
        <v>5</v>
      </c>
      <c r="B82" s="631" t="s">
        <v>33</v>
      </c>
      <c r="C82" s="632" t="s">
        <v>332</v>
      </c>
      <c r="D82" s="632"/>
      <c r="E82" s="632"/>
      <c r="F82" s="632"/>
      <c r="G82" s="632"/>
      <c r="H82" s="632"/>
      <c r="I82" s="632"/>
      <c r="J82" s="632"/>
    </row>
    <row r="83" spans="1:10">
      <c r="A83" s="631"/>
      <c r="B83" s="631"/>
      <c r="C83" s="632"/>
      <c r="D83" s="632"/>
      <c r="E83" s="632"/>
      <c r="F83" s="632"/>
      <c r="G83" s="632"/>
      <c r="H83" s="632"/>
      <c r="I83" s="632"/>
      <c r="J83" s="632"/>
    </row>
    <row r="84" spans="1:10">
      <c r="A84" s="631"/>
      <c r="B84" s="631"/>
      <c r="C84" s="632"/>
      <c r="D84" s="632"/>
      <c r="E84" s="632"/>
      <c r="F84" s="632"/>
      <c r="G84" s="632"/>
      <c r="H84" s="632"/>
      <c r="I84" s="632"/>
      <c r="J84" s="632"/>
    </row>
    <row r="85" spans="1:10">
      <c r="A85" s="631"/>
      <c r="B85" s="631"/>
      <c r="C85" s="632"/>
      <c r="D85" s="632"/>
      <c r="E85" s="632"/>
      <c r="F85" s="632"/>
      <c r="G85" s="632"/>
      <c r="H85" s="632"/>
      <c r="I85" s="632"/>
      <c r="J85" s="632"/>
    </row>
    <row r="86" spans="1:10" ht="15" customHeight="1">
      <c r="A86" s="635">
        <v>6</v>
      </c>
      <c r="B86" s="631" t="s">
        <v>234</v>
      </c>
      <c r="C86" s="632" t="s">
        <v>333</v>
      </c>
      <c r="D86" s="632"/>
      <c r="E86" s="632"/>
      <c r="F86" s="632"/>
      <c r="G86" s="632"/>
      <c r="H86" s="632"/>
      <c r="I86" s="632"/>
      <c r="J86" s="632"/>
    </row>
    <row r="87" spans="1:10">
      <c r="A87" s="635"/>
      <c r="B87" s="631"/>
      <c r="C87" s="632"/>
      <c r="D87" s="632"/>
      <c r="E87" s="632"/>
      <c r="F87" s="632"/>
      <c r="G87" s="632"/>
      <c r="H87" s="632"/>
      <c r="I87" s="632"/>
      <c r="J87" s="632"/>
    </row>
    <row r="88" spans="1:10" ht="38.25" customHeight="1">
      <c r="A88" s="216">
        <v>8</v>
      </c>
      <c r="B88" s="216" t="s">
        <v>235</v>
      </c>
      <c r="C88" s="630" t="s">
        <v>236</v>
      </c>
      <c r="D88" s="630"/>
      <c r="E88" s="630"/>
      <c r="F88" s="630"/>
      <c r="G88" s="630"/>
      <c r="H88" s="630"/>
      <c r="I88" s="630"/>
      <c r="J88" s="630"/>
    </row>
    <row r="89" spans="1:10" ht="28.5" customHeight="1">
      <c r="A89" s="216">
        <v>9</v>
      </c>
      <c r="B89" s="216" t="s">
        <v>237</v>
      </c>
      <c r="C89" s="630" t="s">
        <v>238</v>
      </c>
      <c r="D89" s="630"/>
      <c r="E89" s="630"/>
      <c r="F89" s="630"/>
      <c r="G89" s="630"/>
      <c r="H89" s="630"/>
      <c r="I89" s="630"/>
      <c r="J89" s="630"/>
    </row>
    <row r="90" spans="1:10" ht="15" customHeight="1">
      <c r="A90" s="631">
        <v>10</v>
      </c>
      <c r="B90" s="631" t="s">
        <v>239</v>
      </c>
      <c r="C90" s="630" t="s">
        <v>325</v>
      </c>
      <c r="D90" s="630"/>
      <c r="E90" s="630"/>
      <c r="F90" s="630"/>
      <c r="G90" s="630"/>
      <c r="H90" s="630"/>
      <c r="I90" s="630"/>
      <c r="J90" s="630"/>
    </row>
    <row r="91" spans="1:10">
      <c r="A91" s="631"/>
      <c r="B91" s="631"/>
      <c r="C91" s="630"/>
      <c r="D91" s="630"/>
      <c r="E91" s="630"/>
      <c r="F91" s="630"/>
      <c r="G91" s="630"/>
      <c r="H91" s="630"/>
      <c r="I91" s="630"/>
      <c r="J91" s="630"/>
    </row>
    <row r="92" spans="1:10" ht="32.25" customHeight="1">
      <c r="A92" s="631">
        <v>11</v>
      </c>
      <c r="B92" s="631" t="s">
        <v>240</v>
      </c>
      <c r="C92" s="632" t="s">
        <v>241</v>
      </c>
      <c r="D92" s="632"/>
      <c r="E92" s="632"/>
      <c r="F92" s="632"/>
      <c r="G92" s="632"/>
      <c r="H92" s="632"/>
      <c r="I92" s="632"/>
      <c r="J92" s="632"/>
    </row>
    <row r="93" spans="1:10">
      <c r="A93" s="631"/>
      <c r="B93" s="631"/>
      <c r="C93" s="632"/>
      <c r="D93" s="632"/>
      <c r="E93" s="632"/>
      <c r="F93" s="632"/>
      <c r="G93" s="632"/>
      <c r="H93" s="632"/>
      <c r="I93" s="632"/>
      <c r="J93" s="632"/>
    </row>
    <row r="94" spans="1:10" ht="15" customHeight="1">
      <c r="A94" s="631"/>
      <c r="B94" s="631"/>
      <c r="C94" s="631"/>
      <c r="D94" s="631"/>
      <c r="E94" s="631"/>
      <c r="F94" s="631"/>
      <c r="G94" s="631"/>
      <c r="H94" s="631"/>
      <c r="I94" s="631"/>
      <c r="J94" s="631"/>
    </row>
    <row r="95" spans="1:10">
      <c r="A95" s="637" t="s">
        <v>242</v>
      </c>
      <c r="B95" s="637"/>
      <c r="C95" s="637"/>
      <c r="D95" s="637"/>
      <c r="E95" s="637"/>
      <c r="F95" s="637"/>
      <c r="G95" s="637"/>
      <c r="H95" s="637"/>
      <c r="I95" s="637"/>
      <c r="J95" s="637"/>
    </row>
    <row r="96" spans="1:10" ht="15" customHeight="1">
      <c r="A96" s="635">
        <v>1</v>
      </c>
      <c r="B96" s="631" t="s">
        <v>243</v>
      </c>
      <c r="C96" s="632" t="s">
        <v>334</v>
      </c>
      <c r="D96" s="632"/>
      <c r="E96" s="632"/>
      <c r="F96" s="632"/>
      <c r="G96" s="632"/>
      <c r="H96" s="632"/>
      <c r="I96" s="632"/>
      <c r="J96" s="632"/>
    </row>
    <row r="97" spans="1:10">
      <c r="A97" s="635"/>
      <c r="B97" s="631"/>
      <c r="C97" s="632"/>
      <c r="D97" s="632"/>
      <c r="E97" s="632"/>
      <c r="F97" s="632"/>
      <c r="G97" s="632"/>
      <c r="H97" s="632"/>
      <c r="I97" s="632"/>
      <c r="J97" s="632"/>
    </row>
    <row r="98" spans="1:10" ht="15" customHeight="1">
      <c r="A98" s="635">
        <v>2</v>
      </c>
      <c r="B98" s="631" t="s">
        <v>244</v>
      </c>
      <c r="C98" s="636" t="s">
        <v>368</v>
      </c>
      <c r="D98" s="636"/>
      <c r="E98" s="636"/>
      <c r="F98" s="636"/>
      <c r="G98" s="636"/>
      <c r="H98" s="636"/>
      <c r="I98" s="636"/>
      <c r="J98" s="636"/>
    </row>
    <row r="99" spans="1:10">
      <c r="A99" s="635"/>
      <c r="B99" s="631"/>
      <c r="C99" s="636"/>
      <c r="D99" s="636"/>
      <c r="E99" s="636"/>
      <c r="F99" s="636"/>
      <c r="G99" s="636"/>
      <c r="H99" s="636"/>
      <c r="I99" s="636"/>
      <c r="J99" s="636"/>
    </row>
    <row r="100" spans="1:10" ht="15" customHeight="1">
      <c r="A100" s="635">
        <v>3</v>
      </c>
      <c r="B100" s="631" t="s">
        <v>245</v>
      </c>
      <c r="C100" s="632" t="s">
        <v>334</v>
      </c>
      <c r="D100" s="632"/>
      <c r="E100" s="632"/>
      <c r="F100" s="632"/>
      <c r="G100" s="632"/>
      <c r="H100" s="632"/>
      <c r="I100" s="632"/>
      <c r="J100" s="632"/>
    </row>
    <row r="101" spans="1:10">
      <c r="A101" s="635"/>
      <c r="B101" s="631"/>
      <c r="C101" s="632"/>
      <c r="D101" s="632"/>
      <c r="E101" s="632"/>
      <c r="F101" s="632"/>
      <c r="G101" s="632"/>
      <c r="H101" s="632"/>
      <c r="I101" s="632"/>
      <c r="J101" s="632"/>
    </row>
  </sheetData>
  <mergeCells count="87">
    <mergeCell ref="A17:J17"/>
    <mergeCell ref="A13:J13"/>
    <mergeCell ref="A14:A15"/>
    <mergeCell ref="B14:B15"/>
    <mergeCell ref="C14:J15"/>
    <mergeCell ref="A6:J6"/>
    <mergeCell ref="A7:J7"/>
    <mergeCell ref="A8:J8"/>
    <mergeCell ref="A16:J16"/>
    <mergeCell ref="A9:J9"/>
    <mergeCell ref="A10:J10"/>
    <mergeCell ref="A11:J11"/>
    <mergeCell ref="A1:J1"/>
    <mergeCell ref="A2:J2"/>
    <mergeCell ref="A3:J3"/>
    <mergeCell ref="A4:J4"/>
    <mergeCell ref="A5:J5"/>
    <mergeCell ref="C18:J18"/>
    <mergeCell ref="A19:A22"/>
    <mergeCell ref="B19:B22"/>
    <mergeCell ref="C19:J22"/>
    <mergeCell ref="A23:A26"/>
    <mergeCell ref="B23:B26"/>
    <mergeCell ref="C23:J26"/>
    <mergeCell ref="A27:A31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C88:J88"/>
    <mergeCell ref="A82:A85"/>
    <mergeCell ref="B82:B85"/>
    <mergeCell ref="C82:J85"/>
    <mergeCell ref="A86:A87"/>
    <mergeCell ref="B86:B87"/>
    <mergeCell ref="C86:J87"/>
    <mergeCell ref="A96:A97"/>
    <mergeCell ref="B96:B97"/>
    <mergeCell ref="C96:J97"/>
    <mergeCell ref="A94:J94"/>
    <mergeCell ref="A95:J95"/>
    <mergeCell ref="A92:A93"/>
    <mergeCell ref="B92:B93"/>
    <mergeCell ref="C92:J93"/>
    <mergeCell ref="C89:J89"/>
    <mergeCell ref="A90:A91"/>
    <mergeCell ref="B90:B91"/>
    <mergeCell ref="C90:J91"/>
    <mergeCell ref="A100:A101"/>
    <mergeCell ref="B100:B101"/>
    <mergeCell ref="C100:J101"/>
    <mergeCell ref="A98:A99"/>
    <mergeCell ref="B98:B99"/>
    <mergeCell ref="C98:J99"/>
    <mergeCell ref="A71:J71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SAn DIURNO DESARMADO 12X36</vt:lpstr>
      <vt:lpstr>SAn NOTURNO ARMADO 12x36</vt:lpstr>
      <vt:lpstr>SAn UNIFORMES E EQUIPAMENTOS</vt:lpstr>
      <vt:lpstr>SAn RESUMO DA PROPOSTA</vt:lpstr>
      <vt:lpstr>SAn OBSERVAÇÕES</vt:lpstr>
      <vt:lpstr>'SAn DIURNO DESARMADO 12X36'!Area_de_impressao</vt:lpstr>
      <vt:lpstr>'SAn NOTURNO ARMADO 12x36'!Area_de_impressao</vt:lpstr>
      <vt:lpstr>'SAn OBSERVAÇÕES'!Area_de_impressao</vt:lpstr>
      <vt:lpstr>'SAn RESUMO DA PROPOSTA'!Area_de_impressao</vt:lpstr>
      <vt:lpstr>'SAn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2021-05-17T19:07:07Z</cp:lastPrinted>
  <dcterms:created xsi:type="dcterms:W3CDTF">2013-09-30T16:27:09Z</dcterms:created>
  <dcterms:modified xsi:type="dcterms:W3CDTF">2021-05-19T20:06:58Z</dcterms:modified>
  <dc:language>pt-BR</dc:language>
</cp:coreProperties>
</file>