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data\Licitações\1. LICITACOES\Licitações 2021\Pregão Eletrônico 02.2021 IFFAR\Retificação 2 ao Edital 02.2021 - Vigilância Patrimonial Ostensiva\"/>
    </mc:Choice>
  </mc:AlternateContent>
  <xr:revisionPtr revIDLastSave="0" documentId="13_ncr:1_{28D2A64C-2103-4DC6-9DD4-BE4D866084B6}" xr6:coauthVersionLast="45" xr6:coauthVersionMax="45" xr10:uidLastSave="{00000000-0000-0000-0000-000000000000}"/>
  <bookViews>
    <workbookView xWindow="21480" yWindow="-120" windowWidth="21840" windowHeight="13740" tabRatio="999" activeTab="4" xr2:uid="{00000000-000D-0000-FFFF-FFFF00000000}"/>
  </bookViews>
  <sheets>
    <sheet name="SR. DIURNO DESARMADO 12X36" sheetId="15" r:id="rId1"/>
    <sheet name="SR. NOTURNO ARMADO 12x36" sheetId="13" r:id="rId2"/>
    <sheet name="SR. UNIFORMES E EQUIPAMENTOS" sheetId="12" r:id="rId3"/>
    <sheet name="SR. RESUMO DA PROPOSTA" sheetId="6" r:id="rId4"/>
    <sheet name="SR. OBSERVAÇÕES" sheetId="14" r:id="rId5"/>
  </sheets>
  <definedNames>
    <definedName name="_xlnm.Print_Area" localSheetId="0">'SR. DIURNO DESARMADO 12X36'!$A$1:$G$177</definedName>
    <definedName name="_xlnm.Print_Area" localSheetId="1">'SR. NOTURNO ARMADO 12x36'!$A$1:$G$179</definedName>
    <definedName name="_xlnm.Print_Area" localSheetId="4">'SR. OBSERVAÇÕES'!$A$1:$J$101</definedName>
    <definedName name="_xlnm.Print_Area" localSheetId="3">'SR. RESUMO DA PROPOSTA'!$A$1:$I$44</definedName>
    <definedName name="_xlnm.Print_Area" localSheetId="2">'SR. UNIFORMES E EQUIPAMENTOS'!$A$1:$H$43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3" i="13" l="1"/>
  <c r="G43" i="15"/>
  <c r="F3" i="13"/>
  <c r="B3" i="13"/>
  <c r="F7" i="6" l="1"/>
  <c r="F6" i="6"/>
  <c r="I15" i="6"/>
  <c r="F158" i="15" l="1"/>
  <c r="F157" i="15"/>
  <c r="G133" i="15"/>
  <c r="G138" i="15" s="1"/>
  <c r="G86" i="15"/>
  <c r="G82" i="15"/>
  <c r="E69" i="15"/>
  <c r="E75" i="15" s="1"/>
  <c r="G91" i="15"/>
  <c r="G30" i="15"/>
  <c r="G27" i="15"/>
  <c r="G33" i="15" s="1"/>
  <c r="E10" i="15"/>
  <c r="G8" i="15"/>
  <c r="B4" i="15"/>
  <c r="G34" i="15" l="1"/>
  <c r="F156" i="15"/>
  <c r="G31" i="15"/>
  <c r="G49" i="15" s="1"/>
  <c r="G50" i="15" s="1"/>
  <c r="G35" i="15"/>
  <c r="G44" i="15" s="1"/>
  <c r="G32" i="15"/>
  <c r="G29" i="15"/>
  <c r="G28" i="15" s="1"/>
  <c r="G6" i="12"/>
  <c r="G7" i="12"/>
  <c r="G8" i="12"/>
  <c r="G9" i="12"/>
  <c r="G10" i="12"/>
  <c r="G11" i="12"/>
  <c r="G12" i="12"/>
  <c r="G5" i="12"/>
  <c r="G45" i="15" l="1"/>
  <c r="G46" i="15" s="1"/>
  <c r="E10" i="13"/>
  <c r="F160" i="13"/>
  <c r="F159" i="13"/>
  <c r="G48" i="15" l="1"/>
  <c r="G60" i="15" s="1"/>
  <c r="F158" i="13"/>
  <c r="G88" i="13"/>
  <c r="E71" i="13"/>
  <c r="E77" i="13" s="1"/>
  <c r="G93" i="13"/>
  <c r="G30" i="13"/>
  <c r="G27" i="13"/>
  <c r="G8" i="13"/>
  <c r="B4" i="13"/>
  <c r="G90" i="15" l="1"/>
  <c r="G93" i="15" s="1"/>
  <c r="G102" i="15" s="1"/>
  <c r="G59" i="15"/>
  <c r="G52" i="15"/>
  <c r="B119" i="15"/>
  <c r="G111" i="15"/>
  <c r="G112" i="15" s="1"/>
  <c r="G31" i="13"/>
  <c r="G33" i="13"/>
  <c r="G44" i="13" s="1"/>
  <c r="G32" i="13"/>
  <c r="G34" i="13"/>
  <c r="G29" i="13"/>
  <c r="G28" i="13" s="1"/>
  <c r="G35" i="13"/>
  <c r="G46" i="13" s="1"/>
  <c r="G84" i="13"/>
  <c r="H30" i="12"/>
  <c r="H31" i="12"/>
  <c r="H32" i="12"/>
  <c r="H33" i="12"/>
  <c r="H34" i="12"/>
  <c r="H35" i="12"/>
  <c r="H36" i="12"/>
  <c r="H37" i="12"/>
  <c r="H38" i="12"/>
  <c r="H39" i="12"/>
  <c r="H40" i="12"/>
  <c r="H41" i="12"/>
  <c r="H29" i="12"/>
  <c r="H19" i="12"/>
  <c r="H20" i="12"/>
  <c r="H21" i="12"/>
  <c r="H22" i="12"/>
  <c r="H23" i="12"/>
  <c r="H18" i="12"/>
  <c r="H6" i="12"/>
  <c r="H7" i="12"/>
  <c r="H8" i="12"/>
  <c r="H9" i="12"/>
  <c r="H10" i="12"/>
  <c r="H11" i="12"/>
  <c r="H12" i="12"/>
  <c r="H5" i="12"/>
  <c r="G170" i="15" l="1"/>
  <c r="G61" i="15"/>
  <c r="G100" i="15" s="1"/>
  <c r="G108" i="15"/>
  <c r="G109" i="15" s="1"/>
  <c r="G110" i="15"/>
  <c r="G113" i="15"/>
  <c r="H42" i="12"/>
  <c r="G147" i="13" s="1"/>
  <c r="H24" i="12"/>
  <c r="G145" i="15" s="1"/>
  <c r="H13" i="12"/>
  <c r="G144" i="15" s="1"/>
  <c r="G51" i="13"/>
  <c r="G52" i="13" s="1"/>
  <c r="G45" i="13"/>
  <c r="G47" i="13" s="1"/>
  <c r="G48" i="13" s="1"/>
  <c r="G50" i="13" s="1"/>
  <c r="G62" i="13" s="1"/>
  <c r="G68" i="15" l="1"/>
  <c r="G72" i="15"/>
  <c r="G67" i="15"/>
  <c r="G73" i="15"/>
  <c r="G70" i="15"/>
  <c r="G71" i="15"/>
  <c r="G69" i="15"/>
  <c r="G74" i="15"/>
  <c r="G114" i="15"/>
  <c r="F119" i="15" s="1"/>
  <c r="G147" i="15"/>
  <c r="G174" i="15" s="1"/>
  <c r="G113" i="13"/>
  <c r="G114" i="13" s="1"/>
  <c r="G146" i="13"/>
  <c r="G149" i="13" s="1"/>
  <c r="G176" i="13" s="1"/>
  <c r="B121" i="13"/>
  <c r="G92" i="13"/>
  <c r="G95" i="13" s="1"/>
  <c r="G104" i="13" s="1"/>
  <c r="G61" i="13"/>
  <c r="G54" i="13"/>
  <c r="G135" i="13"/>
  <c r="G140" i="13" s="1"/>
  <c r="G172" i="13" l="1"/>
  <c r="G75" i="15"/>
  <c r="G127" i="15" s="1"/>
  <c r="G172" i="15"/>
  <c r="G110" i="13"/>
  <c r="G111" i="13" s="1"/>
  <c r="G115" i="13"/>
  <c r="G63" i="13"/>
  <c r="G102" i="13" s="1"/>
  <c r="G112" i="13"/>
  <c r="G101" i="15" l="1"/>
  <c r="G103" i="15" s="1"/>
  <c r="G171" i="15" s="1"/>
  <c r="G74" i="13"/>
  <c r="G71" i="13"/>
  <c r="G69" i="13"/>
  <c r="D119" i="15"/>
  <c r="G119" i="15" s="1"/>
  <c r="G124" i="15" s="1"/>
  <c r="G73" i="13"/>
  <c r="G72" i="13"/>
  <c r="G75" i="13"/>
  <c r="G76" i="13"/>
  <c r="G70" i="13"/>
  <c r="G123" i="15"/>
  <c r="G120" i="15"/>
  <c r="G116" i="13"/>
  <c r="G174" i="13" s="1"/>
  <c r="G128" i="15" l="1"/>
  <c r="G125" i="15"/>
  <c r="G77" i="13"/>
  <c r="G103" i="13" s="1"/>
  <c r="G105" i="13" s="1"/>
  <c r="G173" i="13" s="1"/>
  <c r="G126" i="15"/>
  <c r="G129" i="15" s="1"/>
  <c r="G137" i="15" s="1"/>
  <c r="G139" i="15" s="1"/>
  <c r="F121" i="13"/>
  <c r="G129" i="13" l="1"/>
  <c r="D121" i="13"/>
  <c r="G121" i="13" s="1"/>
  <c r="G151" i="15"/>
  <c r="G152" i="15" s="1"/>
  <c r="G173" i="15"/>
  <c r="G175" i="15" s="1"/>
  <c r="G126" i="13" l="1"/>
  <c r="G125" i="13"/>
  <c r="G128" i="13"/>
  <c r="G130" i="13"/>
  <c r="G127" i="13"/>
  <c r="G122" i="13"/>
  <c r="G153" i="15"/>
  <c r="G154" i="15" s="1"/>
  <c r="G155" i="15" s="1"/>
  <c r="G131" i="13" l="1"/>
  <c r="G139" i="13" s="1"/>
  <c r="G141" i="13" s="1"/>
  <c r="G175" i="13" s="1"/>
  <c r="G177" i="13" s="1"/>
  <c r="G153" i="13"/>
  <c r="G158" i="15"/>
  <c r="G157" i="15"/>
  <c r="G160" i="15"/>
  <c r="G154" i="13"/>
  <c r="G155" i="13" s="1"/>
  <c r="G156" i="13" l="1"/>
  <c r="G157" i="13" s="1"/>
  <c r="G156" i="15"/>
  <c r="G161" i="15" s="1"/>
  <c r="G176" i="15" s="1"/>
  <c r="G177" i="15" s="1"/>
  <c r="D6" i="6" s="1"/>
  <c r="I16" i="6" s="1"/>
  <c r="I18" i="6" s="1"/>
  <c r="G162" i="13" l="1"/>
  <c r="G160" i="13"/>
  <c r="G159" i="13"/>
  <c r="G158" i="13" s="1"/>
  <c r="G163" i="13" s="1"/>
  <c r="G178" i="13" s="1"/>
  <c r="G179" i="13" s="1"/>
  <c r="D7" i="6" s="1"/>
  <c r="H7" i="6" l="1"/>
  <c r="I13" i="6" s="1"/>
  <c r="I17" i="6"/>
  <c r="I19" i="6" s="1"/>
  <c r="I20" i="6" s="1"/>
  <c r="H6" i="6"/>
  <c r="H8" i="6" l="1"/>
  <c r="I12" i="6"/>
  <c r="I14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da Luz Pereira</author>
    <author>User</author>
    <author/>
  </authors>
  <commentList>
    <comment ref="F1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Sindicato das Empresas de Segurança e Vigilância do Estado do Rio Grande do Sul - CNPJ: 87.004.982/0001-78 e Sindicato dos Empregados de Empresas de Segurança e Vigilância do Estado do Rio Grande do Sul - CNPJ: 91.343.293/0001-65
</t>
        </r>
      </text>
    </comment>
    <comment ref="B49" authorId="1" shapeId="0" xr:uid="{00000000-0006-0000-0000-000003000000}">
      <text>
        <r>
          <rPr>
            <sz val="9"/>
            <color indexed="81"/>
            <rFont val="Segoe UI"/>
            <family val="2"/>
          </rPr>
          <t xml:space="preserve">Considerado intervalo intrajornada de 30min, conforme consta na Cláusula 69ª da CCT 2019/2020
</t>
        </r>
      </text>
    </comment>
    <comment ref="B90" authorId="1" shapeId="0" xr:uid="{00000000-0006-0000-0000-000004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91" authorId="1" shapeId="0" xr:uid="{00000000-0006-0000-0000-000005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108" authorId="1" shapeId="0" xr:uid="{00000000-0006-0000-0000-000006000000}">
      <text>
        <r>
          <rPr>
            <sz val="9"/>
            <color indexed="81"/>
            <rFont val="Segoe UI"/>
            <family val="2"/>
          </rPr>
          <t xml:space="preserve">Os reflexos de 13º salário, férias e 1/3 de férias são referentes a 1 mês de Aviso Prévio Indenizado, considerando 3 dias a mais, conforme Lei nº 12.506/2011, pois trata-se de contrato de período de execução de 20 meses. Na prorrogação contratual, deverá ocorrer a análise deste item, considerando 3 dias ou mais, dependendo do nº de ocorrências deste evento no período. 
</t>
        </r>
      </text>
    </comment>
    <comment ref="B110" authorId="2" shapeId="0" xr:uid="{00000000-0006-0000-0000-000007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111" authorId="1" shapeId="0" xr:uid="{00000000-0006-0000-0000-000008000000}">
      <text>
        <r>
          <rPr>
            <sz val="9"/>
            <color indexed="81"/>
            <rFont val="Segoe UI"/>
            <family val="2"/>
          </rPr>
          <t xml:space="preserve">Negociar extinção/redução na 1ª prorrogação contratual.
</t>
        </r>
      </text>
    </comment>
    <comment ref="B113" authorId="2" shapeId="0" xr:uid="{00000000-0006-0000-0000-000009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57" authorId="1" shapeId="0" xr:uid="{00000000-0006-0000-0000-00000A000000}">
      <text>
        <r>
          <rPr>
            <sz val="9"/>
            <color indexed="81"/>
            <rFont val="Segoe UI"/>
            <family val="2"/>
          </rPr>
          <t xml:space="preserve">É vedada a insercção do IRPF e CSLL, conforme Acórdão TCU 950/2007 e 205/2018, além de diversas deliberações posteriores.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da Luz Pereira</author>
    <author>User</author>
    <author/>
  </authors>
  <commentList>
    <comment ref="F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Sindicato das Empresas de Segurança e Vigilância do Estado do Rio Grande do Sul - CNPJ: 87.004.982/0001-78 e Sindicato dos Empregados de Empresas de Segurança e Vigilância do Estado do Rio Grande do Sul - CNPJ: 91.343.293/0001-65
</t>
        </r>
      </text>
    </comment>
    <comment ref="B51" authorId="1" shapeId="0" xr:uid="{00000000-0006-0000-0100-000003000000}">
      <text>
        <r>
          <rPr>
            <sz val="9"/>
            <color indexed="81"/>
            <rFont val="Segoe UI"/>
            <family val="2"/>
          </rPr>
          <t xml:space="preserve">Considerado intervalo intrajornada de 30min, conforme consta na Cláusula 69ª da CCT 2019/2020
</t>
        </r>
      </text>
    </comment>
    <comment ref="B92" authorId="1" shapeId="0" xr:uid="{00000000-0006-0000-0100-000004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93" authorId="1" shapeId="0" xr:uid="{00000000-0006-0000-0100-000005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110" authorId="1" shapeId="0" xr:uid="{00000000-0006-0000-0100-000006000000}">
      <text>
        <r>
          <rPr>
            <b/>
            <sz val="9"/>
            <color indexed="81"/>
            <rFont val="Segoe UI"/>
            <family val="2"/>
          </rPr>
          <t xml:space="preserve">Os reflexos de 13º salário, férias e 1/3 de férias são referentes a 1 mês de Aviso Prévio Indenizado, considerando 3 dias a mais, conforme Lei nº 12.506/2011, pois trata-se de contrato de período de execução de 20 meses. Na prorrogação contratual, deverá ocorrer a análise deste item, considerando 3 dias ou mais, dependendo do nº de ocorrências deste evento no período. </t>
        </r>
      </text>
    </comment>
    <comment ref="B112" authorId="2" shapeId="0" xr:uid="{00000000-0006-0000-0100-000007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113" authorId="1" shapeId="0" xr:uid="{00000000-0006-0000-0100-000008000000}">
      <text>
        <r>
          <rPr>
            <b/>
            <sz val="9"/>
            <color indexed="81"/>
            <rFont val="Segoe UI"/>
            <family val="2"/>
          </rPr>
          <t>Negociar extinção/redução na 1ª prorrogação contratual</t>
        </r>
      </text>
    </comment>
    <comment ref="B115" authorId="2" shapeId="0" xr:uid="{00000000-0006-0000-0100-000009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59" authorId="1" shapeId="0" xr:uid="{00000000-0006-0000-0100-00000A000000}">
      <text>
        <r>
          <rPr>
            <sz val="9"/>
            <color indexed="81"/>
            <rFont val="Segoe UI"/>
            <family val="2"/>
          </rPr>
          <t xml:space="preserve">É vedada a insercção do IRPF e CSLL, conforme Acórdão TCU 950/2007 e 205/2018, além de  diversas deliberações posteriores.
</t>
        </r>
      </text>
    </comment>
  </commentList>
</comments>
</file>

<file path=xl/sharedStrings.xml><?xml version="1.0" encoding="utf-8"?>
<sst xmlns="http://schemas.openxmlformats.org/spreadsheetml/2006/main" count="778" uniqueCount="374">
  <si>
    <t>Planilha de Custos e Formação de Preços</t>
  </si>
  <si>
    <t>Processo:</t>
  </si>
  <si>
    <t>Licitação:</t>
  </si>
  <si>
    <t>Dia/hora:</t>
  </si>
  <si>
    <t>DADOS DO PROPONENTE</t>
  </si>
  <si>
    <t>Razão Social...................................:</t>
  </si>
  <si>
    <t>CNPJ..............................................:</t>
  </si>
  <si>
    <t>DISCRIMINAÇÃO DO SERVIÇO</t>
  </si>
  <si>
    <t>A</t>
  </si>
  <si>
    <t>Data de Apresentação da Proposta (dia/mês/ano)</t>
  </si>
  <si>
    <t>B</t>
  </si>
  <si>
    <t>Município/UF</t>
  </si>
  <si>
    <t>C</t>
  </si>
  <si>
    <t>D</t>
  </si>
  <si>
    <t>N° de meses de execução contratual</t>
  </si>
  <si>
    <t>Categoria profissional (vinculada à execução contratual)</t>
  </si>
  <si>
    <t>Data base da categoria (dia/mês/ano)</t>
  </si>
  <si>
    <t>Composição da Remuneração</t>
  </si>
  <si>
    <t>Valor (R$)</t>
  </si>
  <si>
    <t>Adicional de Periculosidade</t>
  </si>
  <si>
    <t>Percentual (%)</t>
  </si>
  <si>
    <t>Adicional Noturno</t>
  </si>
  <si>
    <t>E</t>
  </si>
  <si>
    <t>F</t>
  </si>
  <si>
    <t>G</t>
  </si>
  <si>
    <t>H</t>
  </si>
  <si>
    <t>Assistência Médica e Familiar</t>
  </si>
  <si>
    <t>Submódulo 4.1</t>
  </si>
  <si>
    <t>INSS</t>
  </si>
  <si>
    <t>SEBRAE</t>
  </si>
  <si>
    <t>Submódulo 4.2</t>
  </si>
  <si>
    <t>Aviso Prévio Indenizado</t>
  </si>
  <si>
    <t>Incidência do FGTS sobre Aviso Prévio Indenizado</t>
  </si>
  <si>
    <t>Aviso Prévio Trabalhado</t>
  </si>
  <si>
    <t>PIS</t>
  </si>
  <si>
    <t>Unidade</t>
  </si>
  <si>
    <t xml:space="preserve">IN/MPOG - nº 05/2017 - ANEXO VII-D </t>
  </si>
  <si>
    <t>Submódulo 2.1</t>
  </si>
  <si>
    <t>Submódulo 2.2</t>
  </si>
  <si>
    <t xml:space="preserve">Salário Educação </t>
  </si>
  <si>
    <t>SESC ou SESI</t>
  </si>
  <si>
    <t>SENAI - SENAC</t>
  </si>
  <si>
    <t xml:space="preserve">INCRA </t>
  </si>
  <si>
    <t xml:space="preserve">FGTS </t>
  </si>
  <si>
    <t>Submódulo 2.3</t>
  </si>
  <si>
    <t xml:space="preserve">Insumos Diversos </t>
  </si>
  <si>
    <t xml:space="preserve">Custos Indiretos </t>
  </si>
  <si>
    <t xml:space="preserve">Lucro </t>
  </si>
  <si>
    <t xml:space="preserve">Tributos </t>
  </si>
  <si>
    <t>SUBTOTAL ( A + B + C + D + E )</t>
  </si>
  <si>
    <t xml:space="preserve">Módulo 3 - Provisão para Rescisão </t>
  </si>
  <si>
    <t xml:space="preserve">Módulo 4 - Custo de Reposição do Profissional Ausente </t>
  </si>
  <si>
    <t xml:space="preserve">Módulo 5 - Insumos Diversos </t>
  </si>
  <si>
    <t>Classificação Brasileira de Ocupações</t>
  </si>
  <si>
    <t xml:space="preserve">Módulo 6 - Custos Indiretos, Tributos e Lucro </t>
  </si>
  <si>
    <t xml:space="preserve">Módulo 1 - Composição da Remuneração </t>
  </si>
  <si>
    <t xml:space="preserve">DESCRIÇÃO </t>
  </si>
  <si>
    <t>O valor informado deverá ser o custo real do insumo (descontado o valor eventualmente pago pelo empregado).</t>
  </si>
  <si>
    <t xml:space="preserve">Salário Normativo da Categoria Profissional – 220 hs  </t>
  </si>
  <si>
    <t>ANEXO III</t>
  </si>
  <si>
    <t>Declaro para devidos fins que:</t>
  </si>
  <si>
    <t>2. Que não emprego menor de 18 anos em trabalho noturno, perigoso ou insalubre e não emprega menor de 16 anos, salvo menor, a partir de 14 anos, na condição de aprendiz, nos termos do artigo 7°, XXXIII, da Constituição.</t>
  </si>
  <si>
    <t>3. Que a proposta foi elaborada de forma independente, nos termos da Instrução Normativa SLTI/MP nº 2, de 16 de setembro de 2009</t>
  </si>
  <si>
    <t>4. Que não possuo, em sua cadeia produtiva, empregados executando trabalho degradante ou forçado, observando o disposto nos incisos III e IV do art. 1º e no inciso III do art. 5º da Constituição Federal</t>
  </si>
  <si>
    <t>5. Que para elaboração da presenta proposta foram considereados todos os custos diretos, indiretos, impostos, despesas de pessoa e insumos.</t>
  </si>
  <si>
    <t>6. Que a validade da presente proposta é de 60 dias.</t>
  </si>
  <si>
    <t>CARIMBO E ASSINATURA</t>
  </si>
  <si>
    <t>CBO:  5173-30</t>
  </si>
  <si>
    <t>Ano do Acordo, Convenção ou Sentença Normativa em Dissídio 
Coletivo</t>
  </si>
  <si>
    <t>Valor da Hora Extra (50%) sem periculosidade (valor hora + 50%)</t>
  </si>
  <si>
    <t>Quantidade de vigilantes por posto</t>
  </si>
  <si>
    <t>Vigilante</t>
  </si>
  <si>
    <t>01.02.2020</t>
  </si>
  <si>
    <t>Nota 1</t>
  </si>
  <si>
    <t>Nota 2</t>
  </si>
  <si>
    <t>MÓDULO 1 - COMPOSIÇÃO DA REMUNERAÇÃO</t>
  </si>
  <si>
    <t>Valor do salário/hora (VSH) sem periculosidade (valor salário normativo/220h)</t>
  </si>
  <si>
    <r>
      <t xml:space="preserve">Adicional para troca de uniforme - </t>
    </r>
    <r>
      <rPr>
        <sz val="10"/>
        <color rgb="FF000000"/>
        <rFont val="Calibri"/>
        <family val="2"/>
        <scheme val="minor"/>
      </rPr>
      <t>Cláusula 13ª da CCT 2019/2020 = 1/6 do salário/hora s/peri por dia: (VSH/6=R$ 1,14) = (R$ 1,14x2vig.x15d)</t>
    </r>
  </si>
  <si>
    <r>
      <rPr>
        <b/>
        <sz val="10"/>
        <color rgb="FF000000"/>
        <rFont val="Calibri"/>
        <family val="2"/>
        <scheme val="minor"/>
      </rPr>
      <t xml:space="preserve">Outros </t>
    </r>
    <r>
      <rPr>
        <sz val="10"/>
        <color rgb="FF000000"/>
        <rFont val="Calibri"/>
        <family val="2"/>
        <scheme val="minor"/>
      </rPr>
      <t>(especificar)</t>
    </r>
  </si>
  <si>
    <t>Nota 3</t>
  </si>
  <si>
    <t>MÓDULO 2 - ENCARGOS E BENEFÍCIOS ANUAIS, MENSAIS E DIÁRIOS</t>
  </si>
  <si>
    <t>Total do Submódulo 2.1</t>
  </si>
  <si>
    <t>Nota 4</t>
  </si>
  <si>
    <t>Nota 5</t>
  </si>
  <si>
    <t>Nota 6</t>
  </si>
  <si>
    <t>GPS, FGTS e outras Contribuições</t>
  </si>
  <si>
    <t>RAT</t>
  </si>
  <si>
    <t>FAP</t>
  </si>
  <si>
    <t>Total do Submódulo 2.2</t>
  </si>
  <si>
    <t>Nota 7</t>
  </si>
  <si>
    <t>Os percentuais dos encargos previdenciários, do FGTS e demais contribuições são aqueles estabelecidos pela legislação vigente</t>
  </si>
  <si>
    <t>Nota 8</t>
  </si>
  <si>
    <t xml:space="preserve">SAT - Seguro Acidente de Trabalho (RAT x FAP) </t>
  </si>
  <si>
    <t>O SAT , a depender do grau de risco do serviço, irá variar entre 1% para risco leve, 2% para risco médio e 3% para risco grave</t>
  </si>
  <si>
    <t>Nota 9</t>
  </si>
  <si>
    <t>Benefícios Mensais e Diários</t>
  </si>
  <si>
    <r>
      <rPr>
        <b/>
        <sz val="10"/>
        <color rgb="FF000000"/>
        <rFont val="Calibri"/>
        <family val="2"/>
      </rPr>
      <t xml:space="preserve">Transporte </t>
    </r>
    <r>
      <rPr>
        <sz val="10"/>
        <color rgb="FF000000"/>
        <rFont val="Calibri"/>
        <family val="2"/>
      </rPr>
      <t xml:space="preserve">     [(2xVTx30)-(6%xSB)]</t>
    </r>
  </si>
  <si>
    <t>Valor da passagem do transporte coletivo no município de prestação do serviço</t>
  </si>
  <si>
    <t>Quantidade de passagens por dia por empregado</t>
  </si>
  <si>
    <t>Quantidade de dias do mês de recebimento de passagens</t>
  </si>
  <si>
    <t>Valor do Auxílio-Alimentação  (Cláusula 14ª da CCT 2019/2020)</t>
  </si>
  <si>
    <t>Participação do empregado em percentual do salário-base (Cláusula 35ª da CCT 2018/2020)</t>
  </si>
  <si>
    <t>Quantidade de dias do mês de recebimento de auxílio-alimentação</t>
  </si>
  <si>
    <t>Percentual de participação do empregado sobre o auxílio-alimentação (Cláusula 14ª da CCT 2019/2020)</t>
  </si>
  <si>
    <r>
      <rPr>
        <b/>
        <sz val="10"/>
        <color rgb="FF000000"/>
        <rFont val="Calibri"/>
        <family val="2"/>
      </rPr>
      <t>Seguro de Vida</t>
    </r>
    <r>
      <rPr>
        <sz val="10"/>
        <color rgb="FF000000"/>
        <rFont val="Calibri"/>
        <family val="2"/>
      </rPr>
      <t xml:space="preserve"> - Rem x 26 x 0,023% - (Cláusula 39ª da CCT 2018/2020)</t>
    </r>
  </si>
  <si>
    <r>
      <rPr>
        <b/>
        <sz val="10"/>
        <color rgb="FF000000"/>
        <rFont val="Calibri"/>
        <family val="2"/>
      </rPr>
      <t>Auxílio Funeral</t>
    </r>
    <r>
      <rPr>
        <sz val="10"/>
        <color rgb="FF000000"/>
        <rFont val="Calibri"/>
        <family val="2"/>
      </rPr>
      <t xml:space="preserve"> - [(SB x 0,52066%)/12] - (Cláusula 38º da CCT 2018/2020)</t>
    </r>
  </si>
  <si>
    <r>
      <rPr>
        <b/>
        <sz val="10"/>
        <color rgb="FF000000"/>
        <rFont val="Calibri"/>
        <family val="2"/>
      </rPr>
      <t>Outros</t>
    </r>
    <r>
      <rPr>
        <sz val="10"/>
        <color rgb="FF000000"/>
        <rFont val="Calibri"/>
        <family val="2"/>
      </rPr>
      <t xml:space="preserve"> (Especificar)</t>
    </r>
  </si>
  <si>
    <t>Total do Submódulo 2.3</t>
  </si>
  <si>
    <t>Nota 10</t>
  </si>
  <si>
    <t>Nota 11</t>
  </si>
  <si>
    <t>Observar a previsão dos benefícios contidos em Acordos, Convenções e Dissídios Coletivos de Trabalho.</t>
  </si>
  <si>
    <t>QUADRO RESUMO - MÓDULO 2 - BENEFÍCIOS E ENCARGOS ANUAIS, MENSAIS E DIÁRIOS</t>
  </si>
  <si>
    <t>Módulo 2</t>
  </si>
  <si>
    <t>Encargos Previdenciários (GPS), Fundo de Garantia por Tempo de Serviço (FGTS), e Outras Contribuições</t>
  </si>
  <si>
    <t xml:space="preserve">Beneficios e Encargos Anuais, Mensais e Diários </t>
  </si>
  <si>
    <t>Valor</t>
  </si>
  <si>
    <t>BENEFÍCIOS E ENCARGOS ANUAIS, MENSAIS E DIÁRIOS - TOTAL DO MÓDULO 2</t>
  </si>
  <si>
    <t>MÓDULO 3 - PROVISÃO PARA RESCISÃO</t>
  </si>
  <si>
    <t>Descrição</t>
  </si>
  <si>
    <t>Multa do FGTS sobre Aviso Prévio Indenizado  [40% + 8% x (Rem + 13º + Férias + 1/3Férias)] x 5%rotatividade</t>
  </si>
  <si>
    <t>Multa FGTS sobre Aviso Prévio Trabalhado   [40% + 8% x (Rem + 13º + Férias + 1/3Férias)] x 100% empregados</t>
  </si>
  <si>
    <t xml:space="preserve">Incidência do Submódulo 2.2 sobre Aviso Prévio Trabalhado  </t>
  </si>
  <si>
    <t>PROVISÃO PARA RESCISÃO - TOTAL DO MODULO 3</t>
  </si>
  <si>
    <t>Módulo 3:</t>
  </si>
  <si>
    <t xml:space="preserve">BCCPA - Base de cálculo para o custo de Reposição do Profissional Ausente (substituto): Módulo 1 + Módulo 2 + Módulo 3 </t>
  </si>
  <si>
    <t>Submódulo 4.1 - Substituto nas Ausências Legais</t>
  </si>
  <si>
    <t>Custo Diário: BCCPA/30</t>
  </si>
  <si>
    <r>
      <rPr>
        <b/>
        <sz val="10"/>
        <color rgb="FF000000"/>
        <rFont val="Calibri"/>
        <family val="2"/>
      </rPr>
      <t>Substituto na cobertura de Férias</t>
    </r>
    <r>
      <rPr>
        <sz val="10"/>
        <color rgb="FF000000"/>
        <rFont val="Calibri"/>
        <family val="2"/>
        <charset val="1"/>
      </rPr>
      <t xml:space="preserve">   BCCPA/12</t>
    </r>
  </si>
  <si>
    <r>
      <rPr>
        <b/>
        <sz val="10"/>
        <color rgb="FF000000"/>
        <rFont val="Calibri"/>
        <family val="2"/>
      </rPr>
      <t>Substituto na cobertura de Ausência por Acidente de Trabalho</t>
    </r>
    <r>
      <rPr>
        <sz val="10"/>
        <color rgb="FF000000"/>
        <rFont val="Calibri"/>
        <family val="2"/>
        <charset val="1"/>
      </rPr>
      <t xml:space="preserve">  {[(BCCPA/30)x15dias]/12}x0,78%</t>
    </r>
  </si>
  <si>
    <r>
      <rPr>
        <b/>
        <sz val="10"/>
        <color rgb="FF000000"/>
        <rFont val="Calibri"/>
        <family val="2"/>
      </rPr>
      <t>Substituto na cobertura de Licença Paternidade</t>
    </r>
    <r>
      <rPr>
        <sz val="10"/>
        <color rgb="FF000000"/>
        <rFont val="Calibri"/>
        <family val="2"/>
        <charset val="1"/>
      </rPr>
      <t xml:space="preserve">  {[(BCCPA/30)x5dias]/12}x1,5%</t>
    </r>
  </si>
  <si>
    <r>
      <rPr>
        <b/>
        <sz val="10"/>
        <color rgb="FF000000"/>
        <rFont val="Calibri"/>
        <family val="2"/>
      </rPr>
      <t>Substituto na cobertura de Afastamento Maternidade</t>
    </r>
    <r>
      <rPr>
        <sz val="10"/>
        <color rgb="FF000000"/>
        <rFont val="Calibri"/>
        <family val="2"/>
        <charset val="1"/>
      </rPr>
      <t xml:space="preserve"> {[(Mód.1+Mód.1/3)/12+(sub.2.2+sub.2.3+Mód.3)]x(4/12)}x2%</t>
    </r>
  </si>
  <si>
    <r>
      <rPr>
        <b/>
        <sz val="10"/>
        <rFont val="Calibri"/>
        <family val="2"/>
      </rPr>
      <t>Substituto na cobertuta de Ausência por Doença</t>
    </r>
    <r>
      <rPr>
        <sz val="10"/>
        <rFont val="Calibri"/>
        <family val="2"/>
      </rPr>
      <t xml:space="preserve">  [(BCCPA/30)x3dias])/12</t>
    </r>
  </si>
  <si>
    <t>Total do Submódulo 4.1</t>
  </si>
  <si>
    <t xml:space="preserve">Substituto na Intrajornada </t>
  </si>
  <si>
    <t>Valor do salário/hora (VSH) com periculosidade (valor da hora + 30%)</t>
  </si>
  <si>
    <t>Valor da hora de periculosidade VRP - (30% do valor da hora sem periculosidade)</t>
  </si>
  <si>
    <t>Valor da Hora Extra (50%) com periculosidade (valor hora + 30% periculosidade) + 50%</t>
  </si>
  <si>
    <t>Valor da hora do adicional noturno com periculosidade (valor hora + 30% periculosidade) x 20%</t>
  </si>
  <si>
    <t>Valor do adicional de periculosidade ( 30% do salário normativo)</t>
  </si>
  <si>
    <t>Adicional para troca uniforme sem periculosidade (VSH/6)</t>
  </si>
  <si>
    <t xml:space="preserve">Total do Submodulo 4.2  </t>
  </si>
  <si>
    <t>QUADRO RESUMO - MÓDULO 4 - CUSTO DE REPOSIÇÃO DO PROFISSIONAL AUSENTE</t>
  </si>
  <si>
    <t>Módulo 4</t>
  </si>
  <si>
    <t xml:space="preserve">Substituto nas Ausências Legais </t>
  </si>
  <si>
    <t>CUSTO DE REPOSIÇÃO DO PROFISSIONAL AUSENTE - TOTAL DO MÓDULO 4</t>
  </si>
  <si>
    <t>MARCA / FABRICANTE</t>
  </si>
  <si>
    <t>UNIDADE</t>
  </si>
  <si>
    <t>Valor unitário</t>
  </si>
  <si>
    <t>Período de Amortização (meses)</t>
  </si>
  <si>
    <t>Quantidade por Vigilante</t>
  </si>
  <si>
    <t>Quantidade por Posto</t>
  </si>
  <si>
    <t>Custo mensal unitário</t>
  </si>
  <si>
    <t>Calça social</t>
  </si>
  <si>
    <t>Jaqueta/Japona</t>
  </si>
  <si>
    <t xml:space="preserve">Unidade </t>
  </si>
  <si>
    <t xml:space="preserve">Camisa social manga curta </t>
  </si>
  <si>
    <t>Camisa social manga longa</t>
  </si>
  <si>
    <t>Cinto de nylon</t>
  </si>
  <si>
    <t>Sapatos</t>
  </si>
  <si>
    <t>Par</t>
  </si>
  <si>
    <t>Meia social</t>
  </si>
  <si>
    <t>Crachá de Identificação</t>
  </si>
  <si>
    <t>Valor total mensal por Posto</t>
  </si>
  <si>
    <t>EQUIPAMENTOS ALOCADOS NA EXECUÇÃO CONTRATUAL POR POSTO  (inciso VI do art. 21 da IN SLTI nº 2/2008) - POSTO DIURNO</t>
  </si>
  <si>
    <t>Cassetete</t>
  </si>
  <si>
    <t>Porta Cassetete</t>
  </si>
  <si>
    <t>Apito + Cordão</t>
  </si>
  <si>
    <t>Capa de Chuva</t>
  </si>
  <si>
    <t>Botas de Borracha</t>
  </si>
  <si>
    <t>EQUIPAMENTOS ALOCADOS NA EXECUÇÃO CONTRATUAL POR POSTO  (inciso VI do art. 21 da IN SLTI nº 2/2008) - POSTO NOTURNO</t>
  </si>
  <si>
    <t>Capa de colete a prova de balas</t>
  </si>
  <si>
    <t>Kit Controlador de Ronda com Bastão (caneta), com 06 buttons, e sistema (software)</t>
  </si>
  <si>
    <t>kit</t>
  </si>
  <si>
    <t>Cofre para armazenamento dos materiais pertencentes ao posto</t>
  </si>
  <si>
    <t>* Item com preenchimento obrigatório do campo “Marca / Fabricante”.</t>
  </si>
  <si>
    <r>
      <t xml:space="preserve"> UNIFORMES POR POSTO (02 VIGILANTES TITULARES) -</t>
    </r>
    <r>
      <rPr>
        <b/>
        <sz val="14"/>
        <rFont val="Calibri"/>
        <family val="2"/>
      </rPr>
      <t xml:space="preserve"> POSTO DIURNO E POSTO NOTURNO</t>
    </r>
  </si>
  <si>
    <t>ANEXO XI-C- Serviços de  Vigilância e Segurança Armada e Desarmada (UNIFORMES e EQUIPAMENTOS)</t>
  </si>
  <si>
    <t>Coldre com baleiro para Revólver calibre 38 cano 4 polegadas</t>
  </si>
  <si>
    <t>Lanterna tática profissional, modelo tipo indestrutível, de longo alcance, com LED Q5 ou T6 com zoom, recarregável</t>
  </si>
  <si>
    <t>Livro de Ocorrência tipo caderno Brochurão, costurado, capa dura, 96 folhas, formato 200x275mm</t>
  </si>
  <si>
    <t>Colete balístico Nível II-A*, com registro</t>
  </si>
  <si>
    <t>Cartuchos de Munição calibre 38* (blister com 10 unidades)</t>
  </si>
  <si>
    <t>Revólver calibre 38*, cano de 4 polegadas, tambor para 5 munições</t>
  </si>
  <si>
    <t>Blister com 10 unidades</t>
  </si>
  <si>
    <t>Pesquisa de Preço</t>
  </si>
  <si>
    <t>MÓDULO 5 - INSUMOS DIVERSOS</t>
  </si>
  <si>
    <t>Uniformes</t>
  </si>
  <si>
    <t>Equipamentos</t>
  </si>
  <si>
    <t xml:space="preserve">Outros (especificar) </t>
  </si>
  <si>
    <t>INSUMOS DIVERSOS - TOTAL DO MÓDULO 5</t>
  </si>
  <si>
    <t>MÓDULO 6 - CUSTOS INDIRETOS, LUCRO E TRIBUTOS</t>
  </si>
  <si>
    <r>
      <rPr>
        <b/>
        <sz val="10"/>
        <color rgb="FF000000"/>
        <rFont val="Calibri"/>
        <family val="2"/>
      </rPr>
      <t>BASE DE CÁLCULO DOS CUSTOS INDIRETOS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</t>
    </r>
  </si>
  <si>
    <r>
      <rPr>
        <b/>
        <sz val="10"/>
        <color rgb="FF000000"/>
        <rFont val="Calibri"/>
        <family val="2"/>
      </rPr>
      <t>BASE DE CÁLCULO DO LUCRO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</t>
    </r>
  </si>
  <si>
    <r>
      <rPr>
        <b/>
        <sz val="10"/>
        <color rgb="FF000000"/>
        <rFont val="Calibri"/>
        <family val="2"/>
      </rPr>
      <t>BASE DE CÁLCULO DOS TRIBUTOS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 + Lucro</t>
    </r>
  </si>
  <si>
    <t>COFINS</t>
  </si>
  <si>
    <t>ISS</t>
  </si>
  <si>
    <t>C.1</t>
  </si>
  <si>
    <t>C.2</t>
  </si>
  <si>
    <t>C.3</t>
  </si>
  <si>
    <t xml:space="preserve">Tributos Federais </t>
  </si>
  <si>
    <t>Tributos Estaduais (especificar)</t>
  </si>
  <si>
    <t>Tributos Municipais</t>
  </si>
  <si>
    <t>---------</t>
  </si>
  <si>
    <t>CUSTOS INDIRETOS, LUCRO E TRIBUTOS - TOTAL DO MÓDULO 6</t>
  </si>
  <si>
    <t>Nota 12</t>
  </si>
  <si>
    <t>Custos Indiretos, Lucro e Tributos por Posto.</t>
  </si>
  <si>
    <t>Cálculo do Tributo:</t>
  </si>
  <si>
    <t>Base de Cálculo para os Tributos</t>
  </si>
  <si>
    <t>_______________________________</t>
  </si>
  <si>
    <t>1 – (Total de tributos em % dividido por 100)</t>
  </si>
  <si>
    <t>x Alíquota do Tributo</t>
  </si>
  <si>
    <t>QUADRO RESUMO DO CUSTO POR POSTO DE TRABALHO (com 2 vigilantes)</t>
  </si>
  <si>
    <t>MÃO DE OBRA VINCULADA À EXECUÇÃO CONTRATUAL (valor por posto de trabalho)</t>
  </si>
  <si>
    <t xml:space="preserve">Módulo 2 - Encargos e Beneficios Anuais , Mensais e Diários </t>
  </si>
  <si>
    <t>VALOR TOTAL MENSAL DO POSTO DIURNO DESARMADO 12x36</t>
  </si>
  <si>
    <t>Legislação e Estatísticas que embasam os cálculos da Planilha de Custos e Formação de Preços, constantes nos seguintes documentos:</t>
  </si>
  <si>
    <t>LEI Nº 12.740, de 08 de dezembro de 2012</t>
  </si>
  <si>
    <t>Adicional para troca de uniforme</t>
  </si>
  <si>
    <t>Repouso Semanal Remunerado</t>
  </si>
  <si>
    <t>Pagamento em dobro em feriados na jornada 12x36</t>
  </si>
  <si>
    <t>Rendição para o almoço</t>
  </si>
  <si>
    <t>Intervalo Intrajornada</t>
  </si>
  <si>
    <t>Auxílio Alimentação</t>
  </si>
  <si>
    <t>Seguro de Vida</t>
  </si>
  <si>
    <t>Auxílio Funeral</t>
  </si>
  <si>
    <t>ENCARGOS SOCIAIS E TRABALHISTAS</t>
  </si>
  <si>
    <t>13º Salário</t>
  </si>
  <si>
    <t>Afastamento Maternidade</t>
  </si>
  <si>
    <t>Multa sobre o FGTS e contribuições sociais sobre o aviso prévio indenizado</t>
  </si>
  <si>
    <t>Multa sobre o FGTS e contribuições sociais sobre o aviso prévio trabalhado</t>
  </si>
  <si>
    <t>Ausência por doença</t>
  </si>
  <si>
    <t>Conforme estatística, foi utilizada a média de 03 faltas por ano por empregado, por motivo de doença.</t>
  </si>
  <si>
    <t>Licença Paternidade</t>
  </si>
  <si>
    <t>Conforme estatística, 1,5% dos profissionais se afastam por licenla paternidade, pelo período de 05 dias.</t>
  </si>
  <si>
    <t>Ausências Legais</t>
  </si>
  <si>
    <t>Ausência por Acidente de Trabalho</t>
  </si>
  <si>
    <t>Conforme estatística, 0,78% dos profissionais se afastam devido a acidente de trabalho, onde a empresa arca com os primeiros 15 dias de afastamento.</t>
  </si>
  <si>
    <t>CUSTOS INDIRETOS, TRIBUTOS E LUCRO</t>
  </si>
  <si>
    <t>Custos Indiretos</t>
  </si>
  <si>
    <t>Tributos (ISS)</t>
  </si>
  <si>
    <t>Lucro</t>
  </si>
  <si>
    <t>Valor da hora do adicional noturno sem periculosidade (valor hora x 20%)</t>
  </si>
  <si>
    <r>
      <t xml:space="preserve">Adicional Noturno </t>
    </r>
    <r>
      <rPr>
        <sz val="10"/>
        <rFont val="Calibri"/>
        <family val="2"/>
        <scheme val="minor"/>
      </rPr>
      <t>- Cláusula 28ª e 29ª da CCT 2018/2020 - Das 22h às 05h (8h de adicional noturno para o RS) - AN(s/peri)x8hx15diasx2vig</t>
    </r>
  </si>
  <si>
    <t>Adicional de Hora Noturna Reduzida (como HE)</t>
  </si>
  <si>
    <r>
      <rPr>
        <b/>
        <sz val="10"/>
        <rFont val="Calibri"/>
        <family val="2"/>
        <scheme val="minor"/>
      </rPr>
      <t>Adicional de Hora Noturna Reduzida (como HE)</t>
    </r>
    <r>
      <rPr>
        <sz val="10"/>
        <rFont val="Calibri"/>
        <family val="2"/>
        <scheme val="minor"/>
      </rPr>
      <t xml:space="preserve"> - Cláusula 29ª e 66ª da CCT 2018/2020 - o que excedeu de 190,67h (HE s/peri x 4,33h x 2vig.) -----[195h(=180h + 15h)-190,67=4,33h como horas extras, sendo 15h = (7h x 1,1428571 - 7h)x15dias. Das 22H às 5h</t>
    </r>
  </si>
  <si>
    <r>
      <t>COMPOSIÇÃO DA REMUNERAÇÃO - MÓDULO 1</t>
    </r>
    <r>
      <rPr>
        <b/>
        <sz val="9"/>
        <color rgb="FF000000"/>
        <rFont val="Calibri"/>
        <family val="2"/>
      </rPr>
      <t xml:space="preserve"> (Incide sobre: Quadro-Resumo do Custo por Vigilante, Custos Indiretos, Lucro e Tributos)</t>
    </r>
  </si>
  <si>
    <r>
      <rPr>
        <b/>
        <sz val="10"/>
        <color rgb="FF000000"/>
        <rFont val="Calibri"/>
        <family val="2"/>
        <scheme val="minor"/>
      </rPr>
      <t xml:space="preserve">Adicional de Periculosidade </t>
    </r>
    <r>
      <rPr>
        <sz val="10"/>
        <color rgb="FF000000"/>
        <rFont val="Calibri"/>
        <family val="2"/>
        <scheme val="minor"/>
      </rPr>
      <t>- Lei nº 12.740/2012 - Cláusula 30ª da CCT 2018/2020</t>
    </r>
  </si>
  <si>
    <t>Encargos Previdenciários (GPS), Fundo de Garantia por Tempo de Serviço (FGTS) e outras Contribuições                                                                       BASE DE CÁLCULO = MÓDULO 1 +  SUBMÓDULO 2.1</t>
  </si>
  <si>
    <t>Encargos Previdenciários (GPS), Fundo de Garantia por Tempo de Serviço (FGTS) e outras Contribuições                                                                                          BASE DE CÁLCULO = MÓDULO 1 (Total da Remuneração das Verbas Salariais) +  SUBMÓDULO 2.1</t>
  </si>
  <si>
    <t>Subtotal do Módulo 1: Total da Remuneração das VERBAS SALARIAIS</t>
  </si>
  <si>
    <t>Subtotal do Módulo 1: Total da Remuneração das VERBAS INDENIZATÓRIAS</t>
  </si>
  <si>
    <r>
      <rPr>
        <b/>
        <sz val="10"/>
        <color rgb="FF000000"/>
        <rFont val="Calibri"/>
        <family val="2"/>
      </rPr>
      <t>Multa do FGTS sobre Aviso Prévio Indenizado</t>
    </r>
    <r>
      <rPr>
        <sz val="10"/>
        <color rgb="FF000000"/>
        <rFont val="Calibri"/>
        <family val="2"/>
        <charset val="1"/>
      </rPr>
      <t xml:space="preserve">  [40% + 8% x (Rem + 13º + Férias + 1/3Férias)] x 5%rotatividade</t>
    </r>
  </si>
  <si>
    <r>
      <rPr>
        <b/>
        <sz val="10"/>
        <color rgb="FF000000"/>
        <rFont val="Calibri"/>
        <family val="2"/>
      </rPr>
      <t>Multa FGTS sobre Aviso Prévio Trabalhado</t>
    </r>
    <r>
      <rPr>
        <sz val="10"/>
        <color rgb="FF000000"/>
        <rFont val="Calibri"/>
        <family val="2"/>
        <charset val="1"/>
      </rPr>
      <t xml:space="preserve">   [40% + 8% x (Rem + 13º + Férias + 1/3Férias)] x 100% empregados</t>
    </r>
  </si>
  <si>
    <t>Os itens que comtemplam o Módulo 4 se referem ao custo dos dias trabalhados pelo repositor/substituto quando o empregado alocado na prestação do serviço estiver ausente, conforme as previsões estabelecidas na legislação.</t>
  </si>
  <si>
    <t xml:space="preserve">BCCPA - Base de cálculo para o custo de Reposição do Profissional Ausente (substituto): Módulo 1 (Total da Remuneração das Verbas Salariais) + Módulo 2 + Módulo 3 </t>
  </si>
  <si>
    <t>Módulo 1  Verbas Salariais:</t>
  </si>
  <si>
    <t>Substituto na cobertuta de Intervalo para Repouso ou Alimentação</t>
  </si>
  <si>
    <t>CCT 2018/2020 e CCT 2019/2020</t>
  </si>
  <si>
    <t>Santa Rosa/RS</t>
  </si>
  <si>
    <t>Tabela do SIMPLES</t>
  </si>
  <si>
    <t>Tributo</t>
  </si>
  <si>
    <t>Alíquota</t>
  </si>
  <si>
    <t>CPP</t>
  </si>
  <si>
    <r>
      <t xml:space="preserve">PLANILHA DA ADMINISTRAÇÃO - IFFAR </t>
    </r>
    <r>
      <rPr>
        <b/>
        <i/>
        <sz val="10"/>
        <color rgb="FFFF0000"/>
        <rFont val="Calibri"/>
        <family val="2"/>
      </rPr>
      <t>CAMPUS</t>
    </r>
    <r>
      <rPr>
        <b/>
        <sz val="10"/>
        <color rgb="FFFF0000"/>
        <rFont val="Calibri"/>
        <family val="2"/>
        <charset val="1"/>
      </rPr>
      <t xml:space="preserve"> SANTA ROSA</t>
    </r>
  </si>
  <si>
    <t>10.662.072/0008-24</t>
  </si>
  <si>
    <t>Regime de Tributação: (1)Real (2)Presumido (3 e 4)Simples Nacional</t>
  </si>
  <si>
    <t>Ano do Acordo, Convenção ou Sentença Normativa em Dissídio Coletivo</t>
  </si>
  <si>
    <r>
      <t xml:space="preserve">Tipo de serviço: Vigilância </t>
    </r>
    <r>
      <rPr>
        <sz val="10"/>
        <color rgb="FF000000"/>
        <rFont val="Calibri"/>
        <family val="2"/>
        <charset val="1"/>
      </rPr>
      <t>Armada e Desarmada</t>
    </r>
  </si>
  <si>
    <r>
      <t xml:space="preserve">Tipo de serviço: Vigilância </t>
    </r>
    <r>
      <rPr>
        <sz val="10"/>
        <color rgb="FF000000"/>
        <rFont val="Calibri"/>
        <family val="2"/>
        <charset val="1"/>
      </rPr>
      <t xml:space="preserve"> Armada e Desarmada</t>
    </r>
  </si>
  <si>
    <t>JORNADA DE TRABALHO</t>
  </si>
  <si>
    <r>
      <t>A jornada noturna é compreendida entre 22h da noite e 05h da manhã seguinte (considerando que a hora noturna corresponde a 52,5min) , com remuneração adicional de 20%, de acordo com  o Art.73 da CLT. Conforme Cláusula 29ª da CCT 2018/2020 devem ser pagas 8h de adicional noturno --- 60min-52,5min=7,5min --- (60/52,5x100=14,28571% a mais a cada hora de 60min = 1h por noite) --- 7h + 1h = AN de 20% sobre 8h por noite.</t>
    </r>
    <r>
      <rPr>
        <i/>
        <sz val="11"/>
        <color rgb="FF000000"/>
        <rFont val="Calibri"/>
        <family val="2"/>
      </rPr>
      <t xml:space="preserve"> Obs.: A reforma da CLT desconsiderou a prorrogação da jornada noturna (Art. 73º)</t>
    </r>
  </si>
  <si>
    <r>
      <t xml:space="preserve">Na jornada 12x36 a carga horária mensal é de 180h, e a CCT do RS autoriza o pagamento de HE somente quando exceder 190,67h de trabalho. A cada hora noturna de 60min, o vigilante trabalha 7,5min a mais (60min-52,5min=7,5min) - 60/52,5x100=14,28571% a mais a cada hora de 60min = </t>
    </r>
    <r>
      <rPr>
        <i/>
        <sz val="11"/>
        <color rgb="FF000000"/>
        <rFont val="Calibri"/>
        <family val="2"/>
      </rPr>
      <t>1HE por noite/15HE por mês</t>
    </r>
    <r>
      <rPr>
        <sz val="11"/>
        <color rgb="FF000000"/>
        <rFont val="Calibri"/>
        <family val="2"/>
        <charset val="1"/>
      </rPr>
      <t xml:space="preserve">. </t>
    </r>
    <r>
      <rPr>
        <i/>
        <sz val="11"/>
        <color rgb="FF000000"/>
        <rFont val="Calibri"/>
        <family val="2"/>
      </rPr>
      <t xml:space="preserve">Obs.: A reforma da CLT desconsiderou a prorrogação da jornada noturna (Art. 73º) </t>
    </r>
    <r>
      <rPr>
        <sz val="11"/>
        <color rgb="FF000000"/>
        <rFont val="Calibri"/>
        <family val="2"/>
        <charset val="1"/>
      </rPr>
      <t xml:space="preserve">                                    </t>
    </r>
  </si>
  <si>
    <t>De acordo com a Cláusula Décima Terceira da CCT 2019-2020 o tempo despreendido para a troca de uniforme será remunerado (5 minutos para colocar e 5 minutos para retirar) na proporção de 1/6 do valor da hora normal de trabalho, ou seja, os 10 minutos corresponderão a R$ 1,14 por dia de efetivo serviço, tendo natureza salarial.</t>
  </si>
  <si>
    <r>
      <rPr>
        <b/>
        <sz val="10"/>
        <color rgb="FF000000"/>
        <rFont val="Calibri"/>
        <family val="2"/>
        <scheme val="minor"/>
      </rPr>
      <t>Repouso Semanal Remunerado - RSR</t>
    </r>
    <r>
      <rPr>
        <sz val="10"/>
        <color rgb="FF000000"/>
        <rFont val="Calibri"/>
        <family val="2"/>
        <scheme val="minor"/>
      </rPr>
      <t xml:space="preserve"> - Cláusula 32ª da CCT 2018/2020 (adicional de troca de uniforme x 20%)</t>
    </r>
  </si>
  <si>
    <t>Pagamento de 20% sobre as variáveis, conforme Cláusula 32ª da CCT 2018/2020 (adicional noturno, adicional de hora noturna reduzida e adicional para troca de uniforme).</t>
  </si>
  <si>
    <r>
      <rPr>
        <b/>
        <sz val="10"/>
        <color rgb="FF000000"/>
        <rFont val="Calibri"/>
        <family val="2"/>
        <scheme val="minor"/>
      </rPr>
      <t>Repouso Semanal Remunerado - RSR</t>
    </r>
    <r>
      <rPr>
        <sz val="10"/>
        <color rgb="FF000000"/>
        <rFont val="Calibri"/>
        <family val="2"/>
        <scheme val="minor"/>
      </rPr>
      <t xml:space="preserve"> - Cláusula 32ª da CCT 2018/2020 (adicional noturno + adicional de hora noturna reduzida + adicional de troca de uniforme x 20%)</t>
    </r>
  </si>
  <si>
    <t>Adicional de Periculosidade (com natureza salarial) - instituído pela Lei 12.740/2012, qua alterou o Art. 193 da CLT considerando atividade penosa aquela que tiver exposição pemanente do trabalhador a roubo ou outra espécie de violência física nas atividades profissionais de segurança pessoal ou profissional, determinando também o desconto/compensação de outro adicional por ventura concedido por meio de CCT. Normatizado também pela Cláusula 30ª da CCT 2018/2020.</t>
  </si>
  <si>
    <t>Com a modificação trazida pela reforma trabalhista, pelo Art. 59-A da CLT não é mais devido o pagamento em dobro pelo trabalho realizado em feriados.</t>
  </si>
  <si>
    <t>BENEFÍCIOS ANUAIS, MENSAIS E DIÁRIOS</t>
  </si>
  <si>
    <t>COMPOSIÇÃO DA REMUNERAÇÃO</t>
  </si>
  <si>
    <t>Pagamento de auxílio alimentação em todos os dias do mês, devido a jornada de trabalho ocorrer de segunda a domingo.</t>
  </si>
  <si>
    <t xml:space="preserve">Cálculo do Vale Transporte para todos os dias do mês, uma vez que a jornada de trabalho se dá de segunda a domingo. </t>
  </si>
  <si>
    <t>TIPO DE SERVIÇO - ESCALA DE TRABALHO</t>
  </si>
  <si>
    <t>QUANTIDADE DE  POSTOS</t>
  </si>
  <si>
    <t>I</t>
  </si>
  <si>
    <t>II</t>
  </si>
  <si>
    <t>IDENTIFICAÇÃO DO SERVIÇO</t>
  </si>
  <si>
    <t>Tipo de Serviço</t>
  </si>
  <si>
    <t>Unidade de Medida</t>
  </si>
  <si>
    <t>Quantidade Total a Contratar</t>
  </si>
  <si>
    <t>Posto</t>
  </si>
  <si>
    <t>Valor Proposto por Unidade de Medida</t>
  </si>
  <si>
    <t>I - Posto Diurno Desarmado 12x36</t>
  </si>
  <si>
    <t>II - Posto Noturno Armado 12x36</t>
  </si>
  <si>
    <t>Valor Mensal do Serviço</t>
  </si>
  <si>
    <t>Número de Meses do Contrato</t>
  </si>
  <si>
    <t>Valor Global da Proposta (Valor Mensal do Serviço x nº de meses do contrato)</t>
  </si>
  <si>
    <t>1. Estou CIENTE e de ACORDO com as condições previstas no Termo de Referência.</t>
  </si>
  <si>
    <t>Dados da Empresa:</t>
  </si>
  <si>
    <t>MÃO DE OBRA VINCULADA À EXECUÇÃO CONTRATUAL</t>
  </si>
  <si>
    <t>MÃO DE OBRA</t>
  </si>
  <si>
    <t>Dados complementares para composição dos custos referente à mão de obra</t>
  </si>
  <si>
    <t>Deverá ser elaborado um olanilha para cada tipo de serviço.</t>
  </si>
  <si>
    <t>A planilha será calculada considerando o valor mensal do posto.</t>
  </si>
  <si>
    <t>Deverá ser elaborado uma planilha para cada tipo de serviço.</t>
  </si>
  <si>
    <r>
      <rPr>
        <b/>
        <sz val="10"/>
        <color rgb="FF000000"/>
        <rFont val="Calibri"/>
        <family val="2"/>
        <scheme val="minor"/>
      </rPr>
      <t>13º (Décimo Terceiro) Salário</t>
    </r>
    <r>
      <rPr>
        <sz val="10"/>
        <color rgb="FF000000"/>
        <rFont val="Calibri"/>
        <family val="2"/>
        <scheme val="minor"/>
      </rPr>
      <t xml:space="preserve"> - Rem/12</t>
    </r>
  </si>
  <si>
    <t>Os percentuais dos encargos previdenciários, do FGTS e demais contribuições são aqueles estabelecidos pela legislação vigente.</t>
  </si>
  <si>
    <t>O SAT , a depender do grau de risco do serviço, irá variar entre 1% para risco leve, 2% para risco médio e 3% para risco grave.</t>
  </si>
  <si>
    <t xml:space="preserve">Descrição </t>
  </si>
  <si>
    <t xml:space="preserve">MÓDULO 4 - CUSTO DE REPOSIÇÃO DO PROFISSIONAL AUSENTE </t>
  </si>
  <si>
    <t xml:space="preserve">Total do Submódulo 4.2  </t>
  </si>
  <si>
    <t>O Módulo 1 refere-se ao valor mensal devido ao empregado pela prestação do serviço.</t>
  </si>
  <si>
    <t>.O empregado só irá receber o valor correspondente ao intervalo intrajornada se estiver trabalhando.</t>
  </si>
  <si>
    <t>PROVISÃO PARA RESCISÃO - TOTAL DO MÓDULO 3</t>
  </si>
  <si>
    <t>Módulo 2                     Sem  VA e VT:</t>
  </si>
  <si>
    <t>VALOR TOTAL MENSAL DO POSTO NOTURNO ARMADO 12x36</t>
  </si>
  <si>
    <t>VALOR MENSAL DO POSTO (R$)</t>
  </si>
  <si>
    <t>VALOR TOTAL DO SERVIÇO (R$)</t>
  </si>
  <si>
    <t>Conforme cláusula trigésima oitava e trigésima nona da CCT 2018-2020 no caso de falecimento de empregado por morte acidental ou invalidez permanente total decorrente de acidente de trabalho, os seus dependentes receberão o valor de um salário mensal do empregado a título de auxílio funeral, sendo aplicado o percentual de 0,52066% .</t>
  </si>
  <si>
    <r>
      <rPr>
        <b/>
        <sz val="10"/>
        <color rgb="FF000000"/>
        <rFont val="Calibri"/>
        <family val="2"/>
      </rPr>
      <t>Substituto na cobertura de Ausências Legais</t>
    </r>
    <r>
      <rPr>
        <sz val="10"/>
        <color rgb="FF000000"/>
        <rFont val="Calibri"/>
        <family val="2"/>
        <charset val="1"/>
      </rPr>
      <t xml:space="preserve">   [(BCCPA/30)x2,59dias]/12</t>
    </r>
  </si>
  <si>
    <t>Conforme estatística apresentada pelo caderno Técnico do RS 2019 (pág. 3), em média os profissionais se afastam do trabalho por meio de ausências legais 2,59 dias ao ano.</t>
  </si>
  <si>
    <r>
      <rPr>
        <b/>
        <sz val="10"/>
        <color rgb="FF000000"/>
        <rFont val="Calibri"/>
        <family val="2"/>
      </rPr>
      <t xml:space="preserve">Intervalo Intrajornada </t>
    </r>
    <r>
      <rPr>
        <sz val="10"/>
        <color rgb="FF000000"/>
        <rFont val="Calibri"/>
        <family val="2"/>
      </rPr>
      <t>- Cláusula 69ª da CCT 2019/2020 - [(HE s/peri x 0,5) x 15dias x 2vig.]</t>
    </r>
  </si>
  <si>
    <r>
      <rPr>
        <b/>
        <sz val="10"/>
        <color rgb="FF000000"/>
        <rFont val="Calibri"/>
        <family val="2"/>
      </rPr>
      <t xml:space="preserve">Auxílio Alimentação    </t>
    </r>
    <r>
      <rPr>
        <sz val="10"/>
        <color rgb="FF000000"/>
        <rFont val="Calibri"/>
        <family val="2"/>
      </rPr>
      <t xml:space="preserve"> [(30xVA)x(1-0,20)]</t>
    </r>
  </si>
  <si>
    <t>Calculado com base na cláusula trigésima nona da CCT 2018-2020, que no item a) define o pagamento de 26 vezes a remuneração atual do vigilante para cobertura por morte natural e invalidez permanente total , com aplicação de percentual de 0,0023% de ocorrência.</t>
  </si>
  <si>
    <t>Utilizado o percentual de 2% de mulheres que se afastam do serviço em virtude de licença maternidade.</t>
  </si>
  <si>
    <t>Foi utilizado como referência 01 mês de aviso prévio indenizado (o que poderá se alterado e considerado 03 dias a mais na prorrogação, conforme a Lei 12.506/2011, dependendo da análise do nº de ocorrências deste evento no período). Também foi tomado como base o percentual de 5% de rotatividade anual com esta forma de aviso prévio.</t>
  </si>
  <si>
    <t>Multa de 40% sobre Saldo da Conta Vinculada do FGTS para RCT s/Justa Causa, com Aviso Indenizado durante a vigência do Contrato de Prestação de Serviços.</t>
  </si>
  <si>
    <t xml:space="preserve">Foi utilizado o percentual de 100% de vigilantes demitidos ao final do contrato com aviso prévio trabalhado (não leva-se em consideração a Lei 15.506/2011, pois o aviso prévio trabalhado pode ser dado com até 90 dias de antecedência). </t>
  </si>
  <si>
    <t>Multa de 40% sobre Saldo da Conta Vinculada do FGTS para RCT s/Justa Causa, com Aviso Trabalhado durante a vigência do Contrato de Prestação de Serviços.</t>
  </si>
  <si>
    <t>Utilizada a alíquota média entre as pesquisas de preço realizadas.</t>
  </si>
  <si>
    <r>
      <t>Aviso Prévio Indenizado</t>
    </r>
    <r>
      <rPr>
        <b/>
        <sz val="10"/>
        <color rgb="FF000000"/>
        <rFont val="Calibri"/>
        <family val="2"/>
      </rPr>
      <t xml:space="preserve">  </t>
    </r>
    <r>
      <rPr>
        <sz val="10"/>
        <color rgb="FF000000"/>
        <rFont val="Calibri"/>
        <family val="2"/>
        <charset val="1"/>
      </rPr>
      <t xml:space="preserve"> [Rem/12 + 13º/12 + Férias/12 + (1/3 x Férias)/12] x (33/30=1) x 5%rotatividade</t>
    </r>
  </si>
  <si>
    <t>Aviso Prévio Trabalhado  [(Rem/33)x7]/12x100% empregados no final do contrato</t>
  </si>
  <si>
    <r>
      <rPr>
        <b/>
        <sz val="10"/>
        <color rgb="FF000000"/>
        <rFont val="Calibri"/>
        <family val="2"/>
      </rPr>
      <t xml:space="preserve">Aviso Prévio Indenizado  </t>
    </r>
    <r>
      <rPr>
        <sz val="10"/>
        <color rgb="FF000000"/>
        <rFont val="Calibri"/>
        <family val="2"/>
        <charset val="1"/>
      </rPr>
      <t xml:space="preserve"> [Rem/12 + 13º/12 + Férias/12 + (1/3 x Férias)/12] x (33/30=1) x 5%rotatividade</t>
    </r>
  </si>
  <si>
    <r>
      <rPr>
        <b/>
        <sz val="10"/>
        <color rgb="FF000000"/>
        <rFont val="Calibri"/>
        <family val="2"/>
      </rPr>
      <t>Aviso Prévio Trabalhado</t>
    </r>
    <r>
      <rPr>
        <sz val="10"/>
        <color rgb="FF000000"/>
        <rFont val="Calibri"/>
        <family val="2"/>
        <charset val="1"/>
      </rPr>
      <t xml:space="preserve">  [(Rem/33)x7]/12x100% empregados no final do contrato</t>
    </r>
  </si>
  <si>
    <t>Salário Normativo da Categoria Profissional (Jornada de Trabalho de 220 hs)</t>
  </si>
  <si>
    <t>Módulo 1          Verbas Salariais:</t>
  </si>
  <si>
    <t>Conforme consta no Art. 59-A da CLT atualizada, Anexo VI-A da IN SEGES nº 05/2017 e alterações posteriores,  e também § 3º da Cláusula 67ª da CCT 2018/2020.</t>
  </si>
  <si>
    <r>
      <t xml:space="preserve">Corresponde ao pagamento de substituto do vigilante durante a concessão do intervalo para repouso e alimentação, conforme determinado no </t>
    </r>
    <r>
      <rPr>
        <i/>
        <sz val="11"/>
        <color indexed="8"/>
        <rFont val="Calibri"/>
        <family val="2"/>
      </rPr>
      <t>caput</t>
    </r>
    <r>
      <rPr>
        <sz val="11"/>
        <color rgb="FF000000"/>
        <rFont val="Calibri"/>
        <family val="2"/>
        <charset val="1"/>
      </rPr>
      <t xml:space="preserve"> do Art. 71 da CLT - Consolidação das Leis Trabalhistas. Obs.: Optou-se pela não inclusão da rendição em ambos os postos de trabalho (diurno e noturno).</t>
    </r>
  </si>
  <si>
    <r>
      <t xml:space="preserve">Amparado no § 5º da cláusula 69ª da CCT 2019-2020, por questões de segurança quanto a pandemia do Covid-19, o intervalo nas escalas dirnas e noturnas será remunerado conforme Art. 71 § 4º da CCT, ou seja, com um acréscimo de no mínimo 50% sobre o valor da remuneração da hora normal de trabalho. Foi considerado a indenização de 30min para o intervalo não usufruído, conforme Cláusula 69ª da CCT 2018/2020. </t>
    </r>
    <r>
      <rPr>
        <i/>
        <sz val="11"/>
        <color rgb="FF000000"/>
        <rFont val="Calibri"/>
        <family val="2"/>
      </rPr>
      <t>Obs.: Com a reforma da CLT o Intervalo Intrajornada agora tem natureza indenizatória e não mais salarial.</t>
    </r>
  </si>
  <si>
    <t xml:space="preserve">  Auxílio Transporte</t>
  </si>
  <si>
    <t>Vigilância Desarmada Diurna - Jornada 12 x 36 de segunda-feira a domingo</t>
  </si>
  <si>
    <t>Vigilância Armada Noturna - Jornada 12 x 36 de segunda-feira a domingo</t>
  </si>
  <si>
    <t>VIGILÂNCIA DESARMADA DIURNA 12x36 - Segunda-feira à Domingo</t>
  </si>
  <si>
    <t>VIGILÂNCIA ARMADA NOTURNA 12x36 - Segunda-feira à Domingo</t>
  </si>
  <si>
    <t>Posto de Vigilância Diurna Desarmada Jornada 12 x 36</t>
  </si>
  <si>
    <t>Posto de Vigilância Noturna Armada Jornada 12 x 36</t>
  </si>
  <si>
    <t>Obrigatória a cotação de 8,33% sobre o valor do Módulo 1 - Composição da Remuneração, conforme Anexo XII da IN SEGES nº 05/2017 atualizada, em virtude da utilização da Conta Vinculada.</t>
  </si>
  <si>
    <t>Alíquota de ISS conforme Lei Municipal</t>
  </si>
  <si>
    <t>INSTRUÇÃO NORMATIVA SEGES Nº 05, de 26 de maio de 2017 atualizada</t>
  </si>
  <si>
    <t>CONVENÇÃO COLETIVA DE TRABALHO DOS VIGILANTES DO RIO GRANDE DO SUL  2018-2020 - Cláusulas Sociais</t>
  </si>
  <si>
    <t>CONVENÇÃO COLETIVA DE TRABALHO DOS VIGILANTES DO RIO GRANDE DO SUL  2019-2020 - Cláusula Salarial</t>
  </si>
  <si>
    <t>CONVENÇÃO COLETIVA DE TRABALHO DOS VIGILANTES DO RIO GRANDE DO SUL  2019-2020 - Cláusulas Econômicas</t>
  </si>
  <si>
    <t>LEI Nº 2.506, de 11 de outubro de 2011</t>
  </si>
  <si>
    <t>CADERNO TÉCNICO DE VIGILÂNCIA DO RS 2019</t>
  </si>
  <si>
    <t>DECRETO-LEI Nº 5.452/1943 - CLT - CONSOLIDAÇÃO DAS LEIS DO TRABALHO e alterações posteriores</t>
  </si>
  <si>
    <t>LEI COMPLEMENTAR Nº 34/2006 atualizada - MUNICÍPIO DE SANTA ROSA/RS</t>
  </si>
  <si>
    <t>DECRETO Nº 193, de 18 de dezembro de 2019 - MUNICÍPIO DE SANTA ROSA/RS</t>
  </si>
  <si>
    <t>23242.002232/2020-15</t>
  </si>
  <si>
    <t>02/2021</t>
  </si>
  <si>
    <t>I - QUADRO RESUMO DO VALOR MENSAL DOS SERVIÇOS</t>
  </si>
  <si>
    <t>II - QUADRO DEMONSTRATIVO - VALOR GLOBAL DA PROPOSTA</t>
  </si>
  <si>
    <t>VALOR MENSAL DOS SERVIÇOS (I + II)</t>
  </si>
  <si>
    <t>Valor Unitário do Serviço
(Valor Mensal do Posto x nº Meses do Contrato)</t>
  </si>
  <si>
    <t>Valor Total dos Serviços (R$)
(Valor Unitário x nº de Postos)</t>
  </si>
  <si>
    <t>Vigilância Desarmada Noturna - Jornada 12 x 36 de segunda-feira a domingo</t>
  </si>
  <si>
    <t>13º (Décimo Terceiro) Salário e Adicional de Férias</t>
  </si>
  <si>
    <r>
      <rPr>
        <b/>
        <sz val="10"/>
        <color rgb="FF000000"/>
        <rFont val="Calibri"/>
        <family val="2"/>
        <scheme val="minor"/>
      </rPr>
      <t>Adicional de Férias</t>
    </r>
    <r>
      <rPr>
        <sz val="10"/>
        <color rgb="FF000000"/>
        <rFont val="Calibri"/>
        <family val="2"/>
        <scheme val="minor"/>
      </rPr>
      <t xml:space="preserve"> - [(Rem/3)/12]</t>
    </r>
  </si>
  <si>
    <t>Como a Planilha de Custos é calculada mensalmente, provisiona-se proporcionalmente 1/12 (um doze avos) dos valores referentes à gratificação natalina e adicional de férias.</t>
  </si>
  <si>
    <t xml:space="preserve">13º (decimo terceiro) Salário e Adicional de Férias </t>
  </si>
  <si>
    <t>Como a Planilha de Custos é calculada mensalmente, provisiona-se proporcionalmente 1/12 (um doze avos) dos valores referentes à gratificação natalina e adicional de férias</t>
  </si>
  <si>
    <t xml:space="preserve">13º (décimo terceiro) Salário e Adicional de Férias </t>
  </si>
  <si>
    <r>
      <rPr>
        <b/>
        <sz val="10"/>
        <color rgb="FF000000"/>
        <rFont val="Calibri"/>
        <family val="2"/>
        <scheme val="minor"/>
      </rPr>
      <t>Salário Base</t>
    </r>
    <r>
      <rPr>
        <sz val="10"/>
        <color rgb="FF000000"/>
        <rFont val="Calibri"/>
        <family val="2"/>
        <scheme val="minor"/>
      </rPr>
      <t xml:space="preserve"> - Cláusula 3ª da CCT 2019/2020 (valor para 2 vigilantes = 1 posto) - Jornada de Trabalho 12x36 </t>
    </r>
  </si>
  <si>
    <r>
      <rPr>
        <b/>
        <sz val="10"/>
        <color rgb="FF000000"/>
        <rFont val="Calibri"/>
        <family val="2"/>
        <scheme val="minor"/>
      </rPr>
      <t>Salário Base</t>
    </r>
    <r>
      <rPr>
        <sz val="10"/>
        <color rgb="FF000000"/>
        <rFont val="Calibri"/>
        <family val="2"/>
        <scheme val="minor"/>
      </rPr>
      <t xml:space="preserve"> - Cláusula 3ª da CCT 2019/2020 (valor para 2 vigilantes = 1 posto) - Jornada de Trabalho 12x36</t>
    </r>
  </si>
  <si>
    <t>Jornada de Trabalho 12x36 (12h de trabalho por 36h de descanso)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</si>
</sst>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;[Red]\-&quot;R$&quot;#,##0.00"/>
    <numFmt numFmtId="165" formatCode="_-&quot;R$&quot;* #,##0.00_-;\-&quot;R$&quot;* #,##0.00_-;_-&quot;R$&quot;* &quot;-&quot;??_-;_-@_-"/>
    <numFmt numFmtId="166" formatCode="dddd&quot;, &quot;mmmm\ dd&quot;, &quot;yyyy"/>
    <numFmt numFmtId="167" formatCode="_(* #,##0.00_);_(* \(#,##0.00\);_(* \-??_);_(@_)"/>
    <numFmt numFmtId="168" formatCode="&quot;R$ &quot;#,##0.00_);&quot;(R$ &quot;#,##0.00\)"/>
    <numFmt numFmtId="169" formatCode="[$-416]General"/>
    <numFmt numFmtId="170" formatCode="[$-416]0%"/>
    <numFmt numFmtId="171" formatCode="#,##0.00&quot; &quot;;&quot; (&quot;#,##0.00&quot;)&quot;;&quot; -&quot;#&quot; &quot;;@&quot; &quot;"/>
    <numFmt numFmtId="172" formatCode="[$R$-416]&quot; &quot;#,##0.00;[Red]&quot;-&quot;[$R$-416]&quot; &quot;#,##0.00"/>
    <numFmt numFmtId="173" formatCode="&quot;R$&quot;\ #,##0.00"/>
    <numFmt numFmtId="174" formatCode="&quot;R$&quot;#,##0.00"/>
    <numFmt numFmtId="175" formatCode="_(&quot;R$ &quot;* #,##0.00_);_(&quot;R$ &quot;* \(#,##0.00\);_(&quot;R$ &quot;* \-??_);_(@_)"/>
    <numFmt numFmtId="176" formatCode="_-[$R$-416]\ * #,##0.00_-;\-[$R$-416]\ * #,##0.00_-;_-[$R$-416]\ * &quot;-&quot;??_-;_-@_-"/>
  </numFmts>
  <fonts count="70">
    <font>
      <sz val="11"/>
      <color rgb="FF000000"/>
      <name val="Calibri"/>
      <family val="2"/>
      <charset val="1"/>
    </font>
    <font>
      <b/>
      <sz val="8"/>
      <color rgb="FFFF0000"/>
      <name val="Tahoma"/>
      <family val="2"/>
      <charset val="1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C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Arial1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sz val="9"/>
      <color indexed="8"/>
      <name val="Arial"/>
      <family val="2"/>
    </font>
    <font>
      <sz val="9"/>
      <color theme="0" tint="-0.499984740745262"/>
      <name val="Arial"/>
      <family val="2"/>
    </font>
    <font>
      <b/>
      <sz val="10"/>
      <color rgb="FFFF0000"/>
      <name val="Calibri"/>
      <family val="2"/>
    </font>
    <font>
      <sz val="11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10"/>
      <color rgb="FFFF0000"/>
      <name val="Calibri"/>
      <family val="2"/>
      <charset val="1"/>
    </font>
    <font>
      <i/>
      <sz val="10"/>
      <color rgb="FF000000"/>
      <name val="Calibri"/>
      <family val="2"/>
      <charset val="1"/>
    </font>
    <font>
      <sz val="10"/>
      <color theme="0"/>
      <name val="Calibri"/>
      <family val="2"/>
      <charset val="1"/>
    </font>
    <font>
      <b/>
      <sz val="10"/>
      <color rgb="FFC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charset val="1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10"/>
      <color rgb="FF000000"/>
      <name val="Calibri"/>
      <family val="2"/>
    </font>
    <font>
      <sz val="10"/>
      <color theme="1"/>
      <name val="Calibri"/>
      <family val="2"/>
      <charset val="1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name val="Calibri"/>
      <family val="2"/>
      <charset val="1"/>
    </font>
    <font>
      <i/>
      <sz val="10"/>
      <name val="Calibri"/>
      <family val="2"/>
    </font>
    <font>
      <i/>
      <sz val="10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</font>
    <font>
      <i/>
      <sz val="9"/>
      <color rgb="FF000000"/>
      <name val="Calibri"/>
      <family val="2"/>
    </font>
    <font>
      <i/>
      <sz val="9"/>
      <name val="Calibri"/>
      <family val="2"/>
    </font>
    <font>
      <b/>
      <i/>
      <sz val="9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i/>
      <sz val="10"/>
      <color rgb="FF000000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2"/>
      <name val="Calibri"/>
      <family val="2"/>
    </font>
    <font>
      <b/>
      <sz val="14"/>
      <name val="Calibri"/>
      <family val="2"/>
    </font>
    <font>
      <i/>
      <sz val="11"/>
      <color rgb="FF000000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i/>
      <sz val="10.5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  <charset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1"/>
      <color indexed="8"/>
      <name val="Calibri"/>
      <family val="2"/>
    </font>
    <font>
      <b/>
      <sz val="9"/>
      <color rgb="FF000000"/>
      <name val="Calibri"/>
      <family val="2"/>
    </font>
    <font>
      <b/>
      <sz val="9"/>
      <color indexed="81"/>
      <name val="Segoe UI"/>
      <family val="2"/>
    </font>
    <font>
      <b/>
      <i/>
      <sz val="10"/>
      <color rgb="FFFF0000"/>
      <name val="Calibri"/>
      <family val="2"/>
    </font>
    <font>
      <b/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1"/>
      <name val="Segoe UI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rgb="FF808080"/>
      </patternFill>
    </fill>
    <fill>
      <patternFill patternType="solid">
        <fgColor theme="6" tint="0.79998168889431442"/>
        <bgColor rgb="FFBFBFBF"/>
      </patternFill>
    </fill>
    <fill>
      <patternFill patternType="solid">
        <fgColor theme="6" tint="0.79998168889431442"/>
        <bgColor rgb="FF969696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969696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808080"/>
      </patternFill>
    </fill>
    <fill>
      <patternFill patternType="solid">
        <fgColor theme="0" tint="-0.14999847407452621"/>
        <bgColor rgb="FF969696"/>
      </patternFill>
    </fill>
    <fill>
      <patternFill patternType="solid">
        <fgColor theme="0" tint="-0.249977111117893"/>
        <bgColor indexed="23"/>
      </patternFill>
    </fill>
    <fill>
      <patternFill patternType="solid">
        <fgColor theme="0" tint="-0.34998626667073579"/>
        <bgColor indexed="23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7" fontId="2" fillId="0" borderId="0" applyBorder="0" applyProtection="0"/>
    <xf numFmtId="0" fontId="2" fillId="0" borderId="0" applyBorder="0" applyProtection="0"/>
    <xf numFmtId="9" fontId="2" fillId="0" borderId="0" applyBorder="0" applyProtection="0"/>
    <xf numFmtId="0" fontId="3" fillId="0" borderId="0"/>
    <xf numFmtId="0" fontId="12" fillId="0" borderId="0"/>
    <xf numFmtId="171" fontId="8" fillId="0" borderId="0" applyBorder="0" applyProtection="0"/>
    <xf numFmtId="169" fontId="8" fillId="0" borderId="0" applyBorder="0" applyProtection="0"/>
    <xf numFmtId="169" fontId="8" fillId="0" borderId="0" applyBorder="0" applyProtection="0"/>
    <xf numFmtId="170" fontId="8" fillId="0" borderId="0" applyBorder="0" applyProtection="0"/>
    <xf numFmtId="0" fontId="13" fillId="0" borderId="0" applyNumberFormat="0" applyBorder="0" applyProtection="0">
      <alignment horizontal="center"/>
    </xf>
    <xf numFmtId="0" fontId="13" fillId="0" borderId="0" applyNumberFormat="0" applyBorder="0" applyProtection="0">
      <alignment horizontal="center" textRotation="90"/>
    </xf>
    <xf numFmtId="169" fontId="8" fillId="0" borderId="0" applyBorder="0" applyProtection="0"/>
    <xf numFmtId="0" fontId="14" fillId="0" borderId="0" applyNumberFormat="0" applyBorder="0" applyProtection="0"/>
    <xf numFmtId="172" fontId="14" fillId="0" borderId="0" applyBorder="0" applyProtection="0"/>
    <xf numFmtId="0" fontId="3" fillId="0" borderId="0"/>
    <xf numFmtId="22" fontId="3" fillId="0" borderId="0" applyFill="0" applyBorder="0" applyAlignment="0" applyProtection="0"/>
  </cellStyleXfs>
  <cellXfs count="641">
    <xf numFmtId="0" fontId="0" fillId="0" borderId="0" xfId="0"/>
    <xf numFmtId="0" fontId="15" fillId="0" borderId="0" xfId="0" applyFont="1"/>
    <xf numFmtId="0" fontId="15" fillId="0" borderId="1" xfId="0" applyFont="1" applyBorder="1"/>
    <xf numFmtId="0" fontId="19" fillId="0" borderId="0" xfId="0" applyFont="1"/>
    <xf numFmtId="0" fontId="19" fillId="0" borderId="0" xfId="0" applyFont="1" applyAlignment="1" applyProtection="1">
      <protection locked="0"/>
    </xf>
    <xf numFmtId="0" fontId="19" fillId="0" borderId="0" xfId="0" applyFont="1" applyAlignment="1" applyProtection="1">
      <alignment horizontal="center"/>
      <protection locked="0"/>
    </xf>
    <xf numFmtId="10" fontId="19" fillId="0" borderId="0" xfId="3" applyNumberFormat="1" applyFont="1" applyBorder="1" applyAlignment="1" applyProtection="1">
      <protection locked="0"/>
    </xf>
    <xf numFmtId="0" fontId="19" fillId="0" borderId="0" xfId="0" applyFont="1" applyProtection="1">
      <protection locked="0"/>
    </xf>
    <xf numFmtId="8" fontId="19" fillId="0" borderId="0" xfId="0" applyNumberFormat="1" applyFont="1" applyProtection="1">
      <protection locked="0"/>
    </xf>
    <xf numFmtId="0" fontId="27" fillId="0" borderId="0" xfId="0" applyFont="1" applyProtection="1">
      <protection locked="0"/>
    </xf>
    <xf numFmtId="0" fontId="27" fillId="0" borderId="0" xfId="0" applyFont="1"/>
    <xf numFmtId="0" fontId="29" fillId="0" borderId="0" xfId="0" applyFont="1"/>
    <xf numFmtId="0" fontId="29" fillId="0" borderId="0" xfId="0" applyFont="1" applyProtection="1">
      <protection locked="0"/>
    </xf>
    <xf numFmtId="0" fontId="19" fillId="0" borderId="0" xfId="0" applyFont="1" applyFill="1" applyBorder="1" applyProtection="1">
      <protection locked="0"/>
    </xf>
    <xf numFmtId="0" fontId="19" fillId="0" borderId="0" xfId="0" applyFont="1" applyFill="1" applyBorder="1"/>
    <xf numFmtId="0" fontId="27" fillId="0" borderId="0" xfId="0" applyFont="1" applyAlignment="1" applyProtection="1">
      <alignment vertical="center"/>
      <protection locked="0"/>
    </xf>
    <xf numFmtId="0" fontId="27" fillId="0" borderId="0" xfId="0" applyFont="1" applyAlignment="1">
      <alignment vertical="center"/>
    </xf>
    <xf numFmtId="0" fontId="27" fillId="0" borderId="0" xfId="0" applyFont="1" applyFill="1" applyAlignment="1" applyProtection="1">
      <alignment vertical="center"/>
      <protection locked="0"/>
    </xf>
    <xf numFmtId="0" fontId="27" fillId="0" borderId="0" xfId="0" applyFont="1" applyFill="1" applyAlignment="1">
      <alignment vertical="center"/>
    </xf>
    <xf numFmtId="0" fontId="19" fillId="0" borderId="0" xfId="0" applyFont="1" applyFill="1" applyAlignment="1" applyProtection="1">
      <alignment vertical="center"/>
      <protection locked="0"/>
    </xf>
    <xf numFmtId="0" fontId="19" fillId="0" borderId="0" xfId="0" applyFont="1" applyFill="1" applyAlignment="1">
      <alignment vertical="center"/>
    </xf>
    <xf numFmtId="0" fontId="31" fillId="0" borderId="0" xfId="0" applyFont="1" applyAlignment="1" applyProtection="1">
      <alignment vertical="center"/>
      <protection locked="0"/>
    </xf>
    <xf numFmtId="0" fontId="31" fillId="0" borderId="0" xfId="0" applyFont="1" applyAlignment="1">
      <alignment vertical="center"/>
    </xf>
    <xf numFmtId="43" fontId="31" fillId="0" borderId="0" xfId="0" applyNumberFormat="1" applyFont="1" applyAlignment="1">
      <alignment vertical="center"/>
    </xf>
    <xf numFmtId="43" fontId="31" fillId="0" borderId="0" xfId="0" applyNumberFormat="1" applyFont="1" applyAlignment="1" applyProtection="1">
      <alignment vertical="center"/>
      <protection locked="0"/>
    </xf>
    <xf numFmtId="0" fontId="19" fillId="0" borderId="0" xfId="0" applyFont="1" applyBorder="1"/>
    <xf numFmtId="0" fontId="19" fillId="0" borderId="0" xfId="0" applyFont="1" applyAlignment="1" applyProtection="1">
      <alignment vertical="center"/>
      <protection locked="0"/>
    </xf>
    <xf numFmtId="0" fontId="19" fillId="0" borderId="0" xfId="0" applyFont="1" applyAlignment="1">
      <alignment vertical="center"/>
    </xf>
    <xf numFmtId="0" fontId="19" fillId="0" borderId="0" xfId="0" applyFont="1" applyFill="1"/>
    <xf numFmtId="168" fontId="19" fillId="0" borderId="0" xfId="0" applyNumberFormat="1" applyFont="1" applyFill="1" applyProtection="1">
      <protection locked="0"/>
    </xf>
    <xf numFmtId="0" fontId="19" fillId="0" borderId="0" xfId="0" applyFont="1" applyFill="1" applyProtection="1">
      <protection locked="0"/>
    </xf>
    <xf numFmtId="0" fontId="31" fillId="0" borderId="0" xfId="0" applyFont="1" applyFill="1" applyProtection="1">
      <protection locked="0"/>
    </xf>
    <xf numFmtId="0" fontId="31" fillId="0" borderId="0" xfId="0" applyFont="1" applyFill="1"/>
    <xf numFmtId="0" fontId="36" fillId="0" borderId="0" xfId="0" applyFont="1" applyFill="1" applyBorder="1" applyAlignment="1" applyProtection="1">
      <alignment horizontal="center" vertical="center"/>
    </xf>
    <xf numFmtId="0" fontId="39" fillId="0" borderId="6" xfId="0" applyFont="1" applyBorder="1" applyAlignment="1" applyProtection="1">
      <alignment horizontal="center" wrapText="1"/>
    </xf>
    <xf numFmtId="168" fontId="20" fillId="5" borderId="6" xfId="0" applyNumberFormat="1" applyFont="1" applyFill="1" applyBorder="1" applyAlignment="1" applyProtection="1">
      <alignment vertical="center"/>
    </xf>
    <xf numFmtId="0" fontId="20" fillId="9" borderId="6" xfId="0" applyFont="1" applyFill="1" applyBorder="1" applyAlignment="1" applyProtection="1">
      <alignment vertical="center"/>
    </xf>
    <xf numFmtId="0" fontId="20" fillId="14" borderId="6" xfId="0" applyFont="1" applyFill="1" applyBorder="1" applyAlignment="1" applyProtection="1">
      <alignment horizontal="center" vertical="center"/>
    </xf>
    <xf numFmtId="0" fontId="20" fillId="2" borderId="6" xfId="0" applyFont="1" applyFill="1" applyBorder="1" applyAlignment="1" applyProtection="1">
      <alignment horizontal="center" vertical="center"/>
    </xf>
    <xf numFmtId="0" fontId="27" fillId="15" borderId="6" xfId="0" applyFont="1" applyFill="1" applyBorder="1" applyAlignment="1" applyProtection="1">
      <alignment horizontal="center" vertical="center"/>
      <protection locked="0"/>
    </xf>
    <xf numFmtId="10" fontId="19" fillId="0" borderId="0" xfId="0" applyNumberFormat="1" applyFont="1" applyFill="1" applyBorder="1" applyProtection="1">
      <protection locked="0"/>
    </xf>
    <xf numFmtId="2" fontId="27" fillId="0" borderId="6" xfId="0" applyNumberFormat="1" applyFont="1" applyBorder="1" applyAlignment="1" applyProtection="1">
      <alignment horizontal="center" vertical="center"/>
      <protection locked="0"/>
    </xf>
    <xf numFmtId="0" fontId="20" fillId="6" borderId="6" xfId="0" applyFont="1" applyFill="1" applyBorder="1" applyAlignment="1" applyProtection="1">
      <alignment horizontal="center"/>
    </xf>
    <xf numFmtId="0" fontId="26" fillId="0" borderId="6" xfId="0" applyFont="1" applyBorder="1" applyAlignment="1" applyProtection="1">
      <alignment horizontal="center" vertical="center"/>
    </xf>
    <xf numFmtId="44" fontId="33" fillId="0" borderId="6" xfId="0" applyNumberFormat="1" applyFont="1" applyBorder="1" applyAlignment="1" applyProtection="1">
      <alignment vertical="center"/>
      <protection locked="0"/>
    </xf>
    <xf numFmtId="44" fontId="20" fillId="16" borderId="6" xfId="0" applyNumberFormat="1" applyFont="1" applyFill="1" applyBorder="1" applyAlignment="1" applyProtection="1">
      <alignment horizontal="distributed" vertical="center"/>
    </xf>
    <xf numFmtId="165" fontId="5" fillId="2" borderId="6" xfId="2" applyNumberFormat="1" applyFont="1" applyFill="1" applyBorder="1" applyProtection="1"/>
    <xf numFmtId="165" fontId="5" fillId="6" borderId="6" xfId="2" applyNumberFormat="1" applyFont="1" applyFill="1" applyBorder="1" applyProtection="1"/>
    <xf numFmtId="168" fontId="6" fillId="0" borderId="6" xfId="0" applyNumberFormat="1" applyFont="1" applyFill="1" applyBorder="1" applyAlignment="1" applyProtection="1">
      <alignment horizontal="center" vertical="center"/>
    </xf>
    <xf numFmtId="165" fontId="6" fillId="0" borderId="6" xfId="0" applyNumberFormat="1" applyFont="1" applyFill="1" applyBorder="1" applyAlignment="1" applyProtection="1">
      <alignment horizontal="center" vertical="center"/>
    </xf>
    <xf numFmtId="165" fontId="6" fillId="15" borderId="6" xfId="0" applyNumberFormat="1" applyFont="1" applyFill="1" applyBorder="1" applyAlignment="1" applyProtection="1">
      <alignment horizontal="center" vertical="center"/>
    </xf>
    <xf numFmtId="165" fontId="6" fillId="2" borderId="6" xfId="0" applyNumberFormat="1" applyFont="1" applyFill="1" applyBorder="1" applyAlignment="1" applyProtection="1">
      <alignment horizontal="center" vertical="center"/>
    </xf>
    <xf numFmtId="0" fontId="20" fillId="13" borderId="6" xfId="0" applyFont="1" applyFill="1" applyBorder="1" applyAlignment="1" applyProtection="1">
      <alignment horizontal="center" vertical="center"/>
    </xf>
    <xf numFmtId="165" fontId="20" fillId="15" borderId="6" xfId="0" applyNumberFormat="1" applyFont="1" applyFill="1" applyBorder="1" applyAlignment="1" applyProtection="1">
      <alignment horizontal="right" vertical="center"/>
    </xf>
    <xf numFmtId="0" fontId="37" fillId="0" borderId="0" xfId="0" applyFont="1" applyFill="1" applyBorder="1" applyAlignment="1" applyProtection="1">
      <alignment horizontal="center" vertical="center"/>
      <protection locked="0"/>
    </xf>
    <xf numFmtId="0" fontId="26" fillId="6" borderId="6" xfId="0" applyFont="1" applyFill="1" applyBorder="1" applyAlignment="1">
      <alignment horizontal="center"/>
    </xf>
    <xf numFmtId="44" fontId="26" fillId="2" borderId="6" xfId="0" applyNumberFormat="1" applyFont="1" applyFill="1" applyBorder="1" applyAlignment="1">
      <alignment horizontal="center"/>
    </xf>
    <xf numFmtId="44" fontId="26" fillId="6" borderId="6" xfId="0" applyNumberFormat="1" applyFont="1" applyFill="1" applyBorder="1" applyProtection="1"/>
    <xf numFmtId="0" fontId="28" fillId="0" borderId="6" xfId="0" applyFont="1" applyBorder="1" applyAlignment="1" applyProtection="1">
      <alignment horizontal="center"/>
    </xf>
    <xf numFmtId="0" fontId="6" fillId="15" borderId="6" xfId="0" applyFont="1" applyFill="1" applyBorder="1" applyAlignment="1" applyProtection="1">
      <alignment horizontal="center" vertical="center"/>
    </xf>
    <xf numFmtId="1" fontId="10" fillId="0" borderId="6" xfId="15" applyNumberFormat="1" applyFont="1" applyFill="1" applyBorder="1" applyAlignment="1" applyProtection="1">
      <alignment horizontal="center" vertical="center"/>
    </xf>
    <xf numFmtId="175" fontId="10" fillId="0" borderId="6" xfId="16" applyNumberFormat="1" applyFont="1" applyFill="1" applyBorder="1" applyAlignment="1" applyProtection="1">
      <alignment horizontal="center" vertical="center"/>
      <protection locked="0"/>
    </xf>
    <xf numFmtId="1" fontId="10" fillId="0" borderId="6" xfId="15" applyNumberFormat="1" applyFont="1" applyBorder="1" applyAlignment="1" applyProtection="1">
      <alignment horizontal="center" vertical="center"/>
    </xf>
    <xf numFmtId="0" fontId="10" fillId="0" borderId="6" xfId="15" applyNumberFormat="1" applyFont="1" applyFill="1" applyBorder="1" applyAlignment="1" applyProtection="1">
      <alignment horizontal="center" vertical="center"/>
    </xf>
    <xf numFmtId="175" fontId="10" fillId="0" borderId="6" xfId="16" applyNumberFormat="1" applyFont="1" applyFill="1" applyBorder="1" applyAlignment="1" applyProtection="1">
      <alignment horizontal="center" vertical="center"/>
    </xf>
    <xf numFmtId="0" fontId="10" fillId="0" borderId="6" xfId="15" applyFont="1" applyFill="1" applyBorder="1" applyAlignment="1" applyProtection="1">
      <alignment horizontal="center" vertical="center"/>
    </xf>
    <xf numFmtId="175" fontId="10" fillId="0" borderId="6" xfId="16" applyNumberFormat="1" applyFont="1" applyFill="1" applyBorder="1" applyAlignment="1" applyProtection="1">
      <alignment vertical="center"/>
      <protection locked="0"/>
    </xf>
    <xf numFmtId="175" fontId="11" fillId="18" borderId="6" xfId="16" applyNumberFormat="1" applyFont="1" applyFill="1" applyBorder="1" applyAlignment="1" applyProtection="1">
      <alignment horizontal="center" vertical="center"/>
    </xf>
    <xf numFmtId="175" fontId="11" fillId="19" borderId="6" xfId="16" applyNumberFormat="1" applyFont="1" applyFill="1" applyBorder="1" applyAlignment="1" applyProtection="1">
      <alignment horizontal="center" vertical="center"/>
    </xf>
    <xf numFmtId="1" fontId="18" fillId="0" borderId="6" xfId="15" applyNumberFormat="1" applyFont="1" applyFill="1" applyBorder="1" applyAlignment="1" applyProtection="1">
      <alignment horizontal="center" vertical="center"/>
    </xf>
    <xf numFmtId="175" fontId="18" fillId="0" borderId="6" xfId="16" applyNumberFormat="1" applyFont="1" applyFill="1" applyBorder="1" applyAlignment="1" applyProtection="1">
      <protection locked="0"/>
    </xf>
    <xf numFmtId="1" fontId="18" fillId="0" borderId="6" xfId="15" applyNumberFormat="1" applyFont="1" applyBorder="1" applyAlignment="1" applyProtection="1">
      <alignment horizontal="center" vertical="center"/>
    </xf>
    <xf numFmtId="175" fontId="18" fillId="0" borderId="6" xfId="16" applyNumberFormat="1" applyFont="1" applyFill="1" applyBorder="1" applyAlignment="1" applyProtection="1">
      <alignment horizontal="center" vertical="center"/>
    </xf>
    <xf numFmtId="175" fontId="18" fillId="0" borderId="6" xfId="16" applyNumberFormat="1" applyFont="1" applyFill="1" applyBorder="1" applyAlignment="1" applyProtection="1">
      <alignment horizontal="center" vertical="center"/>
      <protection locked="0"/>
    </xf>
    <xf numFmtId="175" fontId="18" fillId="0" borderId="6" xfId="16" applyNumberFormat="1" applyFont="1" applyFill="1" applyBorder="1" applyAlignment="1" applyProtection="1">
      <alignment vertical="center"/>
      <protection locked="0"/>
    </xf>
    <xf numFmtId="165" fontId="2" fillId="0" borderId="6" xfId="2" applyNumberFormat="1" applyBorder="1" applyProtection="1"/>
    <xf numFmtId="1" fontId="18" fillId="0" borderId="6" xfId="15" applyNumberFormat="1" applyFont="1" applyFill="1" applyBorder="1" applyAlignment="1" applyProtection="1">
      <alignment horizontal="center" vertical="center" wrapText="1"/>
    </xf>
    <xf numFmtId="0" fontId="38" fillId="0" borderId="6" xfId="0" applyFont="1" applyFill="1" applyBorder="1" applyAlignment="1">
      <alignment horizontal="center" wrapText="1"/>
    </xf>
    <xf numFmtId="0" fontId="38" fillId="0" borderId="6" xfId="0" applyFont="1" applyFill="1" applyBorder="1" applyAlignment="1" applyProtection="1">
      <alignment horizontal="center" vertical="center"/>
      <protection locked="0"/>
    </xf>
    <xf numFmtId="0" fontId="38" fillId="0" borderId="6" xfId="0" applyFont="1" applyFill="1" applyBorder="1" applyAlignment="1" applyProtection="1">
      <alignment horizontal="center" vertical="center" wrapText="1"/>
      <protection locked="0"/>
    </xf>
    <xf numFmtId="0" fontId="38" fillId="0" borderId="6" xfId="15" applyFont="1" applyFill="1" applyBorder="1" applyAlignment="1" applyProtection="1">
      <alignment horizontal="center" vertical="center" wrapText="1"/>
    </xf>
    <xf numFmtId="0" fontId="38" fillId="0" borderId="6" xfId="15" applyFont="1" applyFill="1" applyBorder="1" applyAlignment="1" applyProtection="1">
      <alignment horizontal="center" vertical="center"/>
    </xf>
    <xf numFmtId="0" fontId="38" fillId="0" borderId="6" xfId="15" applyFont="1" applyFill="1" applyBorder="1" applyAlignment="1" applyProtection="1">
      <alignment horizontal="center"/>
    </xf>
    <xf numFmtId="0" fontId="26" fillId="14" borderId="6" xfId="0" applyFont="1" applyFill="1" applyBorder="1" applyAlignment="1" applyProtection="1">
      <alignment horizontal="center"/>
    </xf>
    <xf numFmtId="0" fontId="26" fillId="0" borderId="6" xfId="0" applyFont="1" applyFill="1" applyBorder="1" applyAlignment="1" applyProtection="1">
      <alignment horizontal="center"/>
    </xf>
    <xf numFmtId="0" fontId="26" fillId="0" borderId="6" xfId="0" applyFont="1" applyFill="1" applyBorder="1" applyAlignment="1" applyProtection="1">
      <alignment horizontal="center" vertical="center"/>
    </xf>
    <xf numFmtId="44" fontId="31" fillId="0" borderId="6" xfId="0" applyNumberFormat="1" applyFont="1" applyFill="1" applyBorder="1" applyAlignment="1" applyProtection="1">
      <alignment vertical="center"/>
    </xf>
    <xf numFmtId="0" fontId="26" fillId="14" borderId="6" xfId="0" applyFont="1" applyFill="1" applyBorder="1" applyAlignment="1" applyProtection="1">
      <alignment horizontal="center" vertical="center"/>
    </xf>
    <xf numFmtId="44" fontId="26" fillId="2" borderId="6" xfId="0" applyNumberFormat="1" applyFont="1" applyFill="1" applyBorder="1" applyAlignment="1">
      <alignment horizontal="center" vertical="center"/>
    </xf>
    <xf numFmtId="0" fontId="26" fillId="15" borderId="6" xfId="0" applyFont="1" applyFill="1" applyBorder="1" applyAlignment="1" applyProtection="1">
      <alignment horizontal="center" vertical="center"/>
    </xf>
    <xf numFmtId="10" fontId="25" fillId="15" borderId="6" xfId="0" applyNumberFormat="1" applyFont="1" applyFill="1" applyBorder="1" applyAlignment="1">
      <alignment horizontal="center" vertical="center"/>
    </xf>
    <xf numFmtId="44" fontId="31" fillId="0" borderId="6" xfId="0" applyNumberFormat="1" applyFont="1" applyFill="1" applyBorder="1" applyAlignment="1">
      <alignment horizontal="center" vertical="center"/>
    </xf>
    <xf numFmtId="0" fontId="26" fillId="15" borderId="6" xfId="0" applyFont="1" applyFill="1" applyBorder="1" applyAlignment="1">
      <alignment vertical="center"/>
    </xf>
    <xf numFmtId="10" fontId="11" fillId="0" borderId="6" xfId="3" applyNumberFormat="1" applyFont="1" applyBorder="1" applyAlignment="1">
      <alignment horizontal="center" vertical="center"/>
    </xf>
    <xf numFmtId="165" fontId="26" fillId="15" borderId="6" xfId="0" applyNumberFormat="1" applyFont="1" applyFill="1" applyBorder="1" applyAlignment="1">
      <alignment vertical="center"/>
    </xf>
    <xf numFmtId="165" fontId="26" fillId="6" borderId="6" xfId="0" applyNumberFormat="1" applyFont="1" applyFill="1" applyBorder="1" applyAlignment="1" applyProtection="1">
      <alignment vertical="center"/>
    </xf>
    <xf numFmtId="44" fontId="26" fillId="15" borderId="6" xfId="0" applyNumberFormat="1" applyFont="1" applyFill="1" applyBorder="1" applyAlignment="1" applyProtection="1">
      <alignment horizontal="center" vertical="center"/>
    </xf>
    <xf numFmtId="4" fontId="7" fillId="6" borderId="6" xfId="0" applyNumberFormat="1" applyFont="1" applyFill="1" applyBorder="1" applyAlignment="1" applyProtection="1">
      <alignment horizontal="right" vertical="center"/>
    </xf>
    <xf numFmtId="168" fontId="27" fillId="0" borderId="6" xfId="0" applyNumberFormat="1" applyFont="1" applyFill="1" applyBorder="1" applyAlignment="1" applyProtection="1">
      <alignment horizontal="distributed" vertical="distributed" wrapText="1"/>
      <protection locked="0"/>
    </xf>
    <xf numFmtId="44" fontId="19" fillId="0" borderId="6" xfId="0" applyNumberFormat="1" applyFont="1" applyFill="1" applyBorder="1" applyAlignment="1" applyProtection="1">
      <alignment horizontal="right" vertical="center"/>
    </xf>
    <xf numFmtId="44" fontId="38" fillId="0" borderId="6" xfId="0" applyNumberFormat="1" applyFont="1" applyFill="1" applyBorder="1" applyAlignment="1" applyProtection="1">
      <alignment horizontal="right" vertical="center"/>
    </xf>
    <xf numFmtId="44" fontId="31" fillId="0" borderId="6" xfId="0" applyNumberFormat="1" applyFont="1" applyFill="1" applyBorder="1" applyAlignment="1"/>
    <xf numFmtId="44" fontId="31" fillId="0" borderId="6" xfId="0" applyNumberFormat="1" applyFont="1" applyFill="1" applyBorder="1" applyAlignment="1" applyProtection="1">
      <alignment horizontal="right" vertical="center"/>
    </xf>
    <xf numFmtId="44" fontId="19" fillId="0" borderId="6" xfId="0" applyNumberFormat="1" applyFont="1" applyFill="1" applyBorder="1" applyAlignment="1">
      <alignment vertical="center"/>
    </xf>
    <xf numFmtId="0" fontId="26" fillId="0" borderId="6" xfId="0" applyFont="1" applyBorder="1" applyAlignment="1" applyProtection="1">
      <alignment horizontal="center" wrapText="1"/>
    </xf>
    <xf numFmtId="168" fontId="26" fillId="2" borderId="6" xfId="0" applyNumberFormat="1" applyFont="1" applyFill="1" applyBorder="1" applyAlignment="1" applyProtection="1">
      <alignment vertical="center"/>
    </xf>
    <xf numFmtId="168" fontId="31" fillId="0" borderId="6" xfId="0" applyNumberFormat="1" applyFont="1" applyFill="1" applyBorder="1" applyAlignment="1" applyProtection="1">
      <alignment vertical="center"/>
    </xf>
    <xf numFmtId="44" fontId="33" fillId="0" borderId="6" xfId="0" applyNumberFormat="1" applyFont="1" applyFill="1" applyBorder="1" applyAlignment="1" applyProtection="1">
      <alignment vertical="center"/>
      <protection locked="0"/>
    </xf>
    <xf numFmtId="0" fontId="11" fillId="15" borderId="6" xfId="0" applyFont="1" applyFill="1" applyBorder="1" applyAlignment="1" applyProtection="1">
      <alignment horizontal="center" vertical="center"/>
      <protection locked="0"/>
    </xf>
    <xf numFmtId="10" fontId="11" fillId="0" borderId="6" xfId="3" applyNumberFormat="1" applyFont="1" applyBorder="1" applyAlignment="1" applyProtection="1">
      <alignment vertical="center"/>
      <protection locked="0"/>
    </xf>
    <xf numFmtId="0" fontId="29" fillId="0" borderId="0" xfId="0" applyFont="1" applyFill="1"/>
    <xf numFmtId="0" fontId="27" fillId="0" borderId="0" xfId="0" applyFont="1" applyFill="1"/>
    <xf numFmtId="0" fontId="10" fillId="0" borderId="6" xfId="0" applyFont="1" applyFill="1" applyBorder="1" applyAlignment="1" applyProtection="1">
      <alignment horizontal="right" wrapText="1"/>
    </xf>
    <xf numFmtId="164" fontId="38" fillId="0" borderId="6" xfId="0" applyNumberFormat="1" applyFont="1" applyFill="1" applyBorder="1" applyAlignment="1" applyProtection="1">
      <alignment horizontal="right" vertical="center"/>
    </xf>
    <xf numFmtId="0" fontId="44" fillId="4" borderId="6" xfId="0" applyFont="1" applyFill="1" applyBorder="1" applyAlignment="1" applyProtection="1">
      <alignment horizontal="center" vertical="center"/>
    </xf>
    <xf numFmtId="0" fontId="47" fillId="4" borderId="6" xfId="0" applyFont="1" applyFill="1" applyBorder="1" applyAlignment="1" applyProtection="1">
      <alignment horizontal="center" vertical="center"/>
    </xf>
    <xf numFmtId="0" fontId="34" fillId="4" borderId="6" xfId="0" applyFont="1" applyFill="1" applyBorder="1" applyAlignment="1" applyProtection="1">
      <alignment horizontal="center" vertical="center"/>
    </xf>
    <xf numFmtId="0" fontId="47" fillId="4" borderId="6" xfId="0" applyFont="1" applyFill="1" applyBorder="1" applyAlignment="1" applyProtection="1">
      <alignment horizontal="center" vertical="center" wrapText="1"/>
    </xf>
    <xf numFmtId="0" fontId="44" fillId="4" borderId="6" xfId="0" applyFont="1" applyFill="1" applyBorder="1" applyAlignment="1" applyProtection="1">
      <alignment horizontal="center"/>
    </xf>
    <xf numFmtId="1" fontId="38" fillId="0" borderId="6" xfId="0" applyNumberFormat="1" applyFont="1" applyFill="1" applyBorder="1" applyAlignment="1" applyProtection="1">
      <alignment horizontal="right" vertical="center"/>
    </xf>
    <xf numFmtId="0" fontId="68" fillId="0" borderId="0" xfId="0" applyFont="1"/>
    <xf numFmtId="0" fontId="61" fillId="0" borderId="4" xfId="0" applyFont="1" applyBorder="1" applyAlignment="1">
      <alignment horizontal="center" vertical="center" wrapText="1"/>
    </xf>
    <xf numFmtId="0" fontId="68" fillId="0" borderId="0" xfId="0" applyFont="1" applyBorder="1" applyAlignment="1">
      <alignment vertical="center"/>
    </xf>
    <xf numFmtId="173" fontId="27" fillId="0" borderId="0" xfId="2" applyNumberFormat="1" applyFont="1" applyBorder="1" applyAlignment="1">
      <alignment vertical="center"/>
    </xf>
    <xf numFmtId="173" fontId="27" fillId="0" borderId="5" xfId="2" applyNumberFormat="1" applyFont="1" applyBorder="1" applyAlignment="1">
      <alignment vertical="center"/>
    </xf>
    <xf numFmtId="173" fontId="61" fillId="15" borderId="6" xfId="2" applyNumberFormat="1" applyFont="1" applyFill="1" applyBorder="1" applyAlignment="1">
      <alignment horizontal="center" vertical="center"/>
    </xf>
    <xf numFmtId="173" fontId="62" fillId="0" borderId="6" xfId="2" applyNumberFormat="1" applyFont="1" applyBorder="1" applyAlignment="1">
      <alignment vertical="center"/>
    </xf>
    <xf numFmtId="0" fontId="61" fillId="0" borderId="6" xfId="0" applyFont="1" applyBorder="1" applyAlignment="1">
      <alignment horizontal="center" vertical="center"/>
    </xf>
    <xf numFmtId="173" fontId="61" fillId="15" borderId="6" xfId="2" applyNumberFormat="1" applyFont="1" applyFill="1" applyBorder="1" applyAlignment="1">
      <alignment horizontal="right" vertical="center"/>
    </xf>
    <xf numFmtId="1" fontId="62" fillId="0" borderId="6" xfId="2" applyNumberFormat="1" applyFont="1" applyBorder="1" applyAlignment="1">
      <alignment vertical="center"/>
    </xf>
    <xf numFmtId="173" fontId="61" fillId="15" borderId="6" xfId="2" applyNumberFormat="1" applyFont="1" applyFill="1" applyBorder="1" applyAlignment="1">
      <alignment vertical="center"/>
    </xf>
    <xf numFmtId="0" fontId="68" fillId="0" borderId="0" xfId="0" applyFont="1" applyBorder="1" applyAlignment="1">
      <alignment horizontal="center" vertical="center" wrapText="1"/>
    </xf>
    <xf numFmtId="173" fontId="27" fillId="0" borderId="0" xfId="2" applyNumberFormat="1" applyFont="1" applyBorder="1" applyAlignment="1">
      <alignment horizontal="center" vertical="center"/>
    </xf>
    <xf numFmtId="0" fontId="68" fillId="0" borderId="0" xfId="0" applyFont="1" applyBorder="1" applyAlignment="1">
      <alignment horizontal="center" vertical="center"/>
    </xf>
    <xf numFmtId="0" fontId="62" fillId="0" borderId="0" xfId="0" applyFont="1"/>
    <xf numFmtId="0" fontId="0" fillId="0" borderId="0" xfId="0" applyFill="1"/>
    <xf numFmtId="0" fontId="20" fillId="0" borderId="6" xfId="0" applyFont="1" applyBorder="1"/>
    <xf numFmtId="0" fontId="20" fillId="12" borderId="6" xfId="0" applyFont="1" applyFill="1" applyBorder="1" applyAlignment="1">
      <alignment horizontal="right"/>
    </xf>
    <xf numFmtId="10" fontId="19" fillId="0" borderId="0" xfId="3" applyNumberFormat="1" applyFont="1" applyBorder="1" applyProtection="1">
      <protection locked="0"/>
    </xf>
    <xf numFmtId="0" fontId="10" fillId="0" borderId="6" xfId="0" applyFont="1" applyBorder="1" applyAlignment="1">
      <alignment horizontal="right" wrapText="1"/>
    </xf>
    <xf numFmtId="0" fontId="26" fillId="0" borderId="6" xfId="0" applyFont="1" applyBorder="1" applyAlignment="1">
      <alignment horizontal="center" wrapText="1"/>
    </xf>
    <xf numFmtId="164" fontId="38" fillId="0" borderId="6" xfId="0" applyNumberFormat="1" applyFont="1" applyBorder="1" applyAlignment="1">
      <alignment horizontal="right" vertical="center"/>
    </xf>
    <xf numFmtId="0" fontId="39" fillId="0" borderId="6" xfId="0" applyFont="1" applyBorder="1" applyAlignment="1">
      <alignment horizontal="center" wrapText="1"/>
    </xf>
    <xf numFmtId="1" fontId="38" fillId="0" borderId="6" xfId="0" applyNumberFormat="1" applyFont="1" applyBorder="1" applyAlignment="1">
      <alignment horizontal="right" vertical="center"/>
    </xf>
    <xf numFmtId="0" fontId="44" fillId="4" borderId="6" xfId="0" applyFont="1" applyFill="1" applyBorder="1" applyAlignment="1">
      <alignment horizontal="center" vertical="center"/>
    </xf>
    <xf numFmtId="0" fontId="28" fillId="0" borderId="6" xfId="0" applyFont="1" applyBorder="1" applyAlignment="1">
      <alignment horizontal="center"/>
    </xf>
    <xf numFmtId="168" fontId="27" fillId="0" borderId="6" xfId="0" applyNumberFormat="1" applyFont="1" applyBorder="1" applyAlignment="1" applyProtection="1">
      <alignment horizontal="distributed" vertical="distributed" wrapText="1"/>
      <protection locked="0"/>
    </xf>
    <xf numFmtId="168" fontId="20" fillId="5" borderId="6" xfId="0" applyNumberFormat="1" applyFont="1" applyFill="1" applyBorder="1" applyAlignment="1">
      <alignment vertical="center"/>
    </xf>
    <xf numFmtId="0" fontId="20" fillId="0" borderId="6" xfId="0" applyFont="1" applyBorder="1" applyAlignment="1">
      <alignment horizontal="center" vertical="center"/>
    </xf>
    <xf numFmtId="168" fontId="20" fillId="0" borderId="6" xfId="0" applyNumberFormat="1" applyFont="1" applyBorder="1" applyAlignment="1">
      <alignment vertical="center"/>
    </xf>
    <xf numFmtId="168" fontId="26" fillId="2" borderId="6" xfId="0" applyNumberFormat="1" applyFont="1" applyFill="1" applyBorder="1" applyAlignment="1">
      <alignment vertical="center"/>
    </xf>
    <xf numFmtId="173" fontId="26" fillId="2" borderId="6" xfId="0" applyNumberFormat="1" applyFont="1" applyFill="1" applyBorder="1" applyAlignment="1">
      <alignment vertical="center"/>
    </xf>
    <xf numFmtId="0" fontId="20" fillId="14" borderId="6" xfId="0" applyFont="1" applyFill="1" applyBorder="1" applyAlignment="1">
      <alignment horizontal="center" vertical="center"/>
    </xf>
    <xf numFmtId="0" fontId="47" fillId="4" borderId="6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10" fontId="19" fillId="0" borderId="0" xfId="0" applyNumberFormat="1" applyFont="1" applyProtection="1">
      <protection locked="0"/>
    </xf>
    <xf numFmtId="0" fontId="48" fillId="4" borderId="6" xfId="0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/>
    </xf>
    <xf numFmtId="0" fontId="20" fillId="17" borderId="6" xfId="0" applyFont="1" applyFill="1" applyBorder="1" applyAlignment="1">
      <alignment vertical="center"/>
    </xf>
    <xf numFmtId="0" fontId="26" fillId="0" borderId="6" xfId="0" applyFont="1" applyBorder="1" applyAlignment="1">
      <alignment horizontal="center" vertical="center"/>
    </xf>
    <xf numFmtId="44" fontId="20" fillId="16" borderId="6" xfId="0" applyNumberFormat="1" applyFont="1" applyFill="1" applyBorder="1" applyAlignment="1">
      <alignment horizontal="distributed" vertical="center"/>
    </xf>
    <xf numFmtId="0" fontId="34" fillId="4" borderId="6" xfId="0" applyFont="1" applyFill="1" applyBorder="1" applyAlignment="1">
      <alignment horizontal="center"/>
    </xf>
    <xf numFmtId="44" fontId="31" fillId="0" borderId="6" xfId="0" applyNumberFormat="1" applyFont="1" applyBorder="1" applyAlignment="1">
      <alignment vertical="center"/>
    </xf>
    <xf numFmtId="168" fontId="19" fillId="0" borderId="0" xfId="0" applyNumberFormat="1" applyFont="1" applyProtection="1">
      <protection locked="0"/>
    </xf>
    <xf numFmtId="0" fontId="36" fillId="0" borderId="0" xfId="0" applyFont="1" applyAlignment="1">
      <alignment horizontal="center" vertical="center"/>
    </xf>
    <xf numFmtId="165" fontId="6" fillId="0" borderId="6" xfId="0" applyNumberFormat="1" applyFont="1" applyBorder="1" applyAlignment="1">
      <alignment horizontal="center" vertical="center"/>
    </xf>
    <xf numFmtId="165" fontId="6" fillId="15" borderId="6" xfId="0" applyNumberFormat="1" applyFont="1" applyFill="1" applyBorder="1" applyAlignment="1">
      <alignment horizontal="center" vertical="center"/>
    </xf>
    <xf numFmtId="165" fontId="6" fillId="2" borderId="6" xfId="0" applyNumberFormat="1" applyFont="1" applyFill="1" applyBorder="1" applyAlignment="1">
      <alignment horizontal="center" vertical="center"/>
    </xf>
    <xf numFmtId="0" fontId="20" fillId="13" borderId="6" xfId="0" applyFont="1" applyFill="1" applyBorder="1" applyAlignment="1">
      <alignment horizontal="center" vertical="center"/>
    </xf>
    <xf numFmtId="44" fontId="19" fillId="0" borderId="6" xfId="0" applyNumberFormat="1" applyFont="1" applyBorder="1" applyAlignment="1">
      <alignment horizontal="right" vertical="center"/>
    </xf>
    <xf numFmtId="0" fontId="37" fillId="0" borderId="0" xfId="0" applyFont="1" applyAlignment="1" applyProtection="1">
      <alignment horizontal="center" vertical="center"/>
      <protection locked="0"/>
    </xf>
    <xf numFmtId="44" fontId="38" fillId="0" borderId="6" xfId="0" applyNumberFormat="1" applyFont="1" applyBorder="1" applyAlignment="1">
      <alignment horizontal="right" vertical="center"/>
    </xf>
    <xf numFmtId="0" fontId="31" fillId="0" borderId="0" xfId="0" applyFont="1"/>
    <xf numFmtId="0" fontId="31" fillId="0" borderId="0" xfId="0" applyFont="1" applyProtection="1">
      <protection locked="0"/>
    </xf>
    <xf numFmtId="165" fontId="20" fillId="15" borderId="6" xfId="0" applyNumberFormat="1" applyFont="1" applyFill="1" applyBorder="1" applyAlignment="1">
      <alignment horizontal="right" vertical="center"/>
    </xf>
    <xf numFmtId="44" fontId="26" fillId="6" borderId="6" xfId="0" applyNumberFormat="1" applyFont="1" applyFill="1" applyBorder="1"/>
    <xf numFmtId="0" fontId="26" fillId="14" borderId="6" xfId="0" applyFont="1" applyFill="1" applyBorder="1" applyAlignment="1">
      <alignment horizontal="center"/>
    </xf>
    <xf numFmtId="0" fontId="26" fillId="0" borderId="6" xfId="0" applyFont="1" applyBorder="1" applyAlignment="1">
      <alignment horizontal="center"/>
    </xf>
    <xf numFmtId="44" fontId="31" fillId="0" borderId="6" xfId="0" applyNumberFormat="1" applyFont="1" applyBorder="1"/>
    <xf numFmtId="44" fontId="31" fillId="0" borderId="6" xfId="0" applyNumberFormat="1" applyFont="1" applyBorder="1" applyAlignment="1">
      <alignment horizontal="right" vertical="center"/>
    </xf>
    <xf numFmtId="0" fontId="26" fillId="14" borderId="6" xfId="0" applyFont="1" applyFill="1" applyBorder="1" applyAlignment="1">
      <alignment horizontal="center" vertical="center"/>
    </xf>
    <xf numFmtId="44" fontId="31" fillId="0" borderId="6" xfId="0" applyNumberFormat="1" applyFont="1" applyBorder="1" applyAlignment="1">
      <alignment horizontal="center" vertical="center"/>
    </xf>
    <xf numFmtId="0" fontId="26" fillId="15" borderId="6" xfId="0" applyFont="1" applyFill="1" applyBorder="1" applyAlignment="1">
      <alignment horizontal="center" vertical="center"/>
    </xf>
    <xf numFmtId="165" fontId="26" fillId="6" borderId="6" xfId="0" applyNumberFormat="1" applyFont="1" applyFill="1" applyBorder="1" applyAlignment="1">
      <alignment vertical="center"/>
    </xf>
    <xf numFmtId="0" fontId="34" fillId="4" borderId="6" xfId="0" applyFont="1" applyFill="1" applyBorder="1" applyAlignment="1">
      <alignment horizontal="center" vertical="center"/>
    </xf>
    <xf numFmtId="44" fontId="26" fillId="15" borderId="6" xfId="0" applyNumberFormat="1" applyFont="1" applyFill="1" applyBorder="1" applyAlignment="1">
      <alignment horizontal="center" vertical="center"/>
    </xf>
    <xf numFmtId="4" fontId="7" fillId="6" borderId="6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center" vertical="center"/>
    </xf>
    <xf numFmtId="165" fontId="6" fillId="0" borderId="6" xfId="0" applyNumberFormat="1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 wrapText="1"/>
    </xf>
    <xf numFmtId="10" fontId="25" fillId="23" borderId="6" xfId="0" applyNumberFormat="1" applyFont="1" applyFill="1" applyBorder="1" applyAlignment="1">
      <alignment horizontal="center" vertical="center"/>
    </xf>
    <xf numFmtId="10" fontId="11" fillId="23" borderId="6" xfId="3" applyNumberFormat="1" applyFont="1" applyFill="1" applyBorder="1" applyAlignment="1">
      <alignment horizontal="center" vertical="center"/>
    </xf>
    <xf numFmtId="0" fontId="10" fillId="0" borderId="6" xfId="15" applyFont="1" applyFill="1" applyBorder="1" applyAlignment="1" applyProtection="1">
      <alignment horizontal="justify" vertical="center" wrapText="1"/>
    </xf>
    <xf numFmtId="0" fontId="10" fillId="0" borderId="6" xfId="15" applyFont="1" applyFill="1" applyBorder="1" applyAlignment="1" applyProtection="1">
      <alignment horizontal="justify" vertical="center"/>
    </xf>
    <xf numFmtId="0" fontId="56" fillId="0" borderId="6" xfId="15" applyFont="1" applyFill="1" applyBorder="1" applyAlignment="1" applyProtection="1">
      <alignment horizontal="left" wrapText="1"/>
    </xf>
    <xf numFmtId="0" fontId="56" fillId="0" borderId="6" xfId="15" applyFont="1" applyFill="1" applyBorder="1" applyProtection="1"/>
    <xf numFmtId="0" fontId="56" fillId="0" borderId="6" xfId="15" applyFont="1" applyFill="1" applyBorder="1" applyAlignment="1" applyProtection="1">
      <alignment horizontal="justify" vertical="center" wrapText="1"/>
    </xf>
    <xf numFmtId="0" fontId="56" fillId="0" borderId="6" xfId="15" applyFont="1" applyFill="1" applyBorder="1" applyAlignment="1" applyProtection="1">
      <alignment vertical="center" wrapText="1"/>
    </xf>
    <xf numFmtId="0" fontId="56" fillId="0" borderId="6" xfId="15" applyFont="1" applyFill="1" applyBorder="1" applyAlignment="1" applyProtection="1">
      <alignment horizontal="left" vertical="center" wrapText="1" readingOrder="1"/>
    </xf>
    <xf numFmtId="0" fontId="56" fillId="0" borderId="6" xfId="15" applyFont="1" applyFill="1" applyBorder="1" applyAlignment="1" applyProtection="1">
      <alignment wrapText="1"/>
    </xf>
    <xf numFmtId="0" fontId="20" fillId="0" borderId="6" xfId="0" applyFont="1" applyBorder="1" applyAlignment="1">
      <alignment horizontal="left"/>
    </xf>
    <xf numFmtId="0" fontId="20" fillId="7" borderId="6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28" fillId="0" borderId="6" xfId="0" applyFont="1" applyBorder="1" applyAlignment="1">
      <alignment horizontal="center" vertical="center"/>
    </xf>
    <xf numFmtId="0" fontId="20" fillId="9" borderId="6" xfId="0" applyFont="1" applyFill="1" applyBorder="1" applyAlignment="1">
      <alignment horizontal="center"/>
    </xf>
    <xf numFmtId="0" fontId="6" fillId="15" borderId="6" xfId="0" applyFont="1" applyFill="1" applyBorder="1" applyAlignment="1">
      <alignment horizontal="center" vertical="center"/>
    </xf>
    <xf numFmtId="0" fontId="26" fillId="2" borderId="6" xfId="0" applyFont="1" applyFill="1" applyBorder="1" applyAlignment="1">
      <alignment horizontal="center"/>
    </xf>
    <xf numFmtId="0" fontId="26" fillId="2" borderId="6" xfId="0" applyFont="1" applyFill="1" applyBorder="1" applyAlignment="1">
      <alignment horizontal="center" vertical="center"/>
    </xf>
    <xf numFmtId="0" fontId="6" fillId="15" borderId="6" xfId="0" applyFont="1" applyFill="1" applyBorder="1" applyAlignment="1" applyProtection="1">
      <alignment horizontal="center" vertical="center" wrapText="1"/>
    </xf>
    <xf numFmtId="0" fontId="20" fillId="17" borderId="6" xfId="0" applyFont="1" applyFill="1" applyBorder="1" applyAlignment="1" applyProtection="1">
      <alignment horizontal="center"/>
    </xf>
    <xf numFmtId="0" fontId="28" fillId="0" borderId="6" xfId="0" applyFont="1" applyFill="1" applyBorder="1" applyAlignment="1" applyProtection="1">
      <alignment horizontal="center" vertical="center"/>
    </xf>
    <xf numFmtId="0" fontId="19" fillId="0" borderId="6" xfId="0" applyFont="1" applyFill="1" applyBorder="1" applyAlignment="1" applyProtection="1">
      <alignment horizontal="left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27" fillId="15" borderId="3" xfId="0" applyFont="1" applyFill="1" applyBorder="1" applyAlignment="1">
      <alignment horizontal="center" vertical="center"/>
    </xf>
    <xf numFmtId="9" fontId="27" fillId="0" borderId="3" xfId="0" applyNumberFormat="1" applyFont="1" applyBorder="1" applyAlignment="1">
      <alignment horizontal="center" vertical="center"/>
    </xf>
    <xf numFmtId="0" fontId="11" fillId="15" borderId="3" xfId="0" applyFont="1" applyFill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20" fillId="0" borderId="6" xfId="0" applyFont="1" applyBorder="1" applyProtection="1"/>
    <xf numFmtId="0" fontId="20" fillId="12" borderId="6" xfId="0" applyFont="1" applyFill="1" applyBorder="1" applyAlignment="1" applyProtection="1">
      <alignment horizontal="right"/>
    </xf>
    <xf numFmtId="0" fontId="20" fillId="0" borderId="6" xfId="0" applyFont="1" applyBorder="1" applyAlignment="1" applyProtection="1">
      <alignment horizontal="left"/>
    </xf>
    <xf numFmtId="0" fontId="20" fillId="0" borderId="6" xfId="0" applyFont="1" applyBorder="1" applyAlignment="1" applyProtection="1">
      <alignment horizontal="right"/>
    </xf>
    <xf numFmtId="0" fontId="20" fillId="0" borderId="6" xfId="0" applyFont="1" applyBorder="1" applyAlignment="1" applyProtection="1">
      <alignment horizontal="center"/>
    </xf>
    <xf numFmtId="0" fontId="20" fillId="0" borderId="6" xfId="0" applyFont="1" applyBorder="1" applyAlignment="1" applyProtection="1">
      <alignment horizontal="center" vertical="center"/>
    </xf>
    <xf numFmtId="1" fontId="9" fillId="23" borderId="6" xfId="0" applyNumberFormat="1" applyFont="1" applyFill="1" applyBorder="1" applyAlignment="1" applyProtection="1">
      <alignment horizontal="center" vertical="center"/>
      <protection locked="0"/>
    </xf>
    <xf numFmtId="0" fontId="25" fillId="0" borderId="6" xfId="0" applyFont="1" applyFill="1" applyBorder="1" applyAlignment="1" applyProtection="1">
      <alignment horizontal="center" vertical="center" wrapText="1"/>
      <protection locked="0"/>
    </xf>
    <xf numFmtId="0" fontId="39" fillId="0" borderId="6" xfId="0" applyFont="1" applyFill="1" applyBorder="1" applyAlignment="1" applyProtection="1">
      <alignment horizontal="right" vertical="center" wrapText="1"/>
      <protection locked="0"/>
    </xf>
    <xf numFmtId="8" fontId="39" fillId="0" borderId="6" xfId="1" applyNumberFormat="1" applyFont="1" applyFill="1" applyBorder="1" applyAlignment="1" applyProtection="1">
      <alignment horizontal="right" vertical="center"/>
      <protection locked="0"/>
    </xf>
    <xf numFmtId="0" fontId="38" fillId="0" borderId="6" xfId="0" applyFont="1" applyFill="1" applyBorder="1" applyAlignment="1" applyProtection="1">
      <alignment horizontal="right" vertical="center"/>
      <protection locked="0"/>
    </xf>
    <xf numFmtId="0" fontId="44" fillId="0" borderId="6" xfId="0" applyFont="1" applyBorder="1" applyAlignment="1" applyProtection="1">
      <alignment horizontal="center" vertical="center"/>
    </xf>
    <xf numFmtId="0" fontId="46" fillId="0" borderId="6" xfId="0" applyFont="1" applyBorder="1" applyAlignment="1" applyProtection="1">
      <alignment horizontal="left" vertical="center"/>
    </xf>
    <xf numFmtId="0" fontId="41" fillId="0" borderId="6" xfId="0" applyFont="1" applyBorder="1" applyAlignment="1" applyProtection="1">
      <alignment horizontal="left" vertical="center"/>
    </xf>
    <xf numFmtId="0" fontId="20" fillId="16" borderId="6" xfId="0" applyFont="1" applyFill="1" applyBorder="1" applyAlignment="1" applyProtection="1">
      <alignment horizontal="center"/>
    </xf>
    <xf numFmtId="168" fontId="27" fillId="0" borderId="6" xfId="0" applyNumberFormat="1" applyFont="1" applyFill="1" applyBorder="1" applyAlignment="1" applyProtection="1">
      <alignment horizontal="distributed" vertical="distributed" wrapText="1"/>
    </xf>
    <xf numFmtId="0" fontId="28" fillId="0" borderId="6" xfId="0" applyFont="1" applyBorder="1" applyAlignment="1" applyProtection="1">
      <alignment horizontal="center" vertical="center"/>
    </xf>
    <xf numFmtId="0" fontId="26" fillId="0" borderId="6" xfId="0" applyFont="1" applyFill="1" applyBorder="1" applyAlignment="1" applyProtection="1">
      <alignment horizontal="right" vertical="center"/>
    </xf>
    <xf numFmtId="168" fontId="26" fillId="0" borderId="6" xfId="0" applyNumberFormat="1" applyFont="1" applyFill="1" applyBorder="1" applyAlignment="1" applyProtection="1">
      <alignment vertical="center"/>
    </xf>
    <xf numFmtId="0" fontId="44" fillId="0" borderId="6" xfId="0" applyFont="1" applyFill="1" applyBorder="1" applyAlignment="1" applyProtection="1">
      <alignment horizontal="center" vertical="center"/>
    </xf>
    <xf numFmtId="0" fontId="45" fillId="0" borderId="6" xfId="0" applyFont="1" applyFill="1" applyBorder="1" applyAlignment="1" applyProtection="1">
      <alignment horizontal="left" vertical="center"/>
    </xf>
    <xf numFmtId="0" fontId="20" fillId="0" borderId="6" xfId="0" applyFont="1" applyFill="1" applyBorder="1" applyAlignment="1" applyProtection="1">
      <alignment horizontal="left" vertical="center"/>
    </xf>
    <xf numFmtId="0" fontId="20" fillId="0" borderId="6" xfId="0" applyFont="1" applyFill="1" applyBorder="1" applyAlignment="1" applyProtection="1">
      <alignment horizontal="center"/>
    </xf>
    <xf numFmtId="168" fontId="20" fillId="0" borderId="6" xfId="0" applyNumberFormat="1" applyFont="1" applyFill="1" applyBorder="1" applyAlignment="1" applyProtection="1">
      <alignment horizontal="distributed" vertical="center"/>
    </xf>
    <xf numFmtId="44" fontId="27" fillId="0" borderId="6" xfId="0" applyNumberFormat="1" applyFont="1" applyFill="1" applyBorder="1" applyAlignment="1">
      <alignment horizontal="right" vertical="center"/>
    </xf>
    <xf numFmtId="44" fontId="28" fillId="15" borderId="6" xfId="0" applyNumberFormat="1" applyFont="1" applyFill="1" applyBorder="1" applyAlignment="1">
      <alignment horizontal="right" vertical="center"/>
    </xf>
    <xf numFmtId="0" fontId="47" fillId="0" borderId="6" xfId="0" applyFont="1" applyFill="1" applyBorder="1" applyAlignment="1" applyProtection="1">
      <alignment horizontal="center" vertical="center"/>
    </xf>
    <xf numFmtId="0" fontId="43" fillId="0" borderId="6" xfId="0" applyFont="1" applyFill="1" applyBorder="1" applyAlignment="1" applyProtection="1">
      <alignment horizontal="left" vertical="center" wrapText="1"/>
    </xf>
    <xf numFmtId="0" fontId="20" fillId="0" borderId="6" xfId="0" applyFont="1" applyFill="1" applyBorder="1" applyAlignment="1" applyProtection="1">
      <alignment horizontal="center" vertical="center" wrapText="1"/>
    </xf>
    <xf numFmtId="0" fontId="19" fillId="0" borderId="6" xfId="0" applyFont="1" applyFill="1" applyBorder="1" applyAlignment="1">
      <alignment horizontal="center" vertical="center"/>
    </xf>
    <xf numFmtId="0" fontId="20" fillId="4" borderId="6" xfId="0" applyFont="1" applyFill="1" applyBorder="1" applyAlignment="1" applyProtection="1">
      <alignment horizontal="center" vertical="center"/>
    </xf>
    <xf numFmtId="0" fontId="26" fillId="4" borderId="6" xfId="0" applyFont="1" applyFill="1" applyBorder="1" applyAlignment="1">
      <alignment horizontal="center"/>
    </xf>
    <xf numFmtId="44" fontId="27" fillId="0" borderId="6" xfId="0" applyNumberFormat="1" applyFont="1" applyFill="1" applyBorder="1" applyAlignment="1" applyProtection="1">
      <alignment horizontal="right" vertical="center"/>
    </xf>
    <xf numFmtId="44" fontId="20" fillId="15" borderId="6" xfId="0" applyNumberFormat="1" applyFont="1" applyFill="1" applyBorder="1" applyAlignment="1" applyProtection="1">
      <alignment vertical="center"/>
    </xf>
    <xf numFmtId="0" fontId="48" fillId="0" borderId="6" xfId="0" applyFont="1" applyFill="1" applyBorder="1" applyAlignment="1" applyProtection="1">
      <alignment horizontal="center" vertical="center" wrapText="1"/>
    </xf>
    <xf numFmtId="0" fontId="42" fillId="0" borderId="6" xfId="0" applyFont="1" applyFill="1" applyBorder="1" applyAlignment="1" applyProtection="1">
      <alignment horizontal="left" vertical="center" wrapText="1"/>
    </xf>
    <xf numFmtId="0" fontId="26" fillId="10" borderId="6" xfId="0" applyFont="1" applyFill="1" applyBorder="1" applyAlignment="1">
      <alignment horizontal="center"/>
    </xf>
    <xf numFmtId="44" fontId="33" fillId="0" borderId="6" xfId="0" applyNumberFormat="1" applyFont="1" applyFill="1" applyBorder="1" applyAlignment="1" applyProtection="1">
      <alignment horizontal="right" vertical="center"/>
      <protection locked="0"/>
    </xf>
    <xf numFmtId="0" fontId="34" fillId="0" borderId="6" xfId="0" applyFont="1" applyBorder="1" applyAlignment="1" applyProtection="1">
      <alignment horizontal="center"/>
    </xf>
    <xf numFmtId="0" fontId="49" fillId="0" borderId="6" xfId="0" applyFont="1" applyBorder="1" applyAlignment="1" applyProtection="1">
      <alignment horizontal="left"/>
    </xf>
    <xf numFmtId="0" fontId="19" fillId="0" borderId="6" xfId="0" applyFont="1" applyBorder="1" applyProtection="1"/>
    <xf numFmtId="0" fontId="23" fillId="0" borderId="6" xfId="0" applyFont="1" applyBorder="1" applyAlignment="1" applyProtection="1">
      <alignment horizontal="left"/>
    </xf>
    <xf numFmtId="0" fontId="20" fillId="0" borderId="6" xfId="0" applyFont="1" applyFill="1" applyBorder="1" applyAlignment="1" applyProtection="1">
      <alignment horizontal="left" vertical="center" wrapText="1"/>
    </xf>
    <xf numFmtId="0" fontId="26" fillId="17" borderId="6" xfId="0" applyFont="1" applyFill="1" applyBorder="1" applyAlignment="1" applyProtection="1">
      <alignment horizontal="center" vertical="center"/>
    </xf>
    <xf numFmtId="165" fontId="5" fillId="0" borderId="6" xfId="2" applyNumberFormat="1" applyFont="1" applyFill="1" applyBorder="1" applyProtection="1"/>
    <xf numFmtId="0" fontId="26" fillId="0" borderId="6" xfId="0" applyFont="1" applyFill="1" applyBorder="1" applyAlignment="1" applyProtection="1">
      <alignment vertical="center"/>
    </xf>
    <xf numFmtId="0" fontId="31" fillId="0" borderId="6" xfId="0" applyFont="1" applyFill="1" applyBorder="1" applyAlignment="1">
      <alignment vertical="center"/>
    </xf>
    <xf numFmtId="0" fontId="20" fillId="0" borderId="6" xfId="0" applyFont="1" applyFill="1" applyBorder="1" applyAlignment="1" applyProtection="1">
      <alignment horizontal="center" vertical="center"/>
    </xf>
    <xf numFmtId="0" fontId="31" fillId="17" borderId="6" xfId="0" applyFont="1" applyFill="1" applyBorder="1" applyAlignment="1" applyProtection="1">
      <alignment horizontal="center"/>
    </xf>
    <xf numFmtId="168" fontId="26" fillId="15" borderId="6" xfId="0" applyNumberFormat="1" applyFont="1" applyFill="1" applyBorder="1" applyAlignment="1" applyProtection="1">
      <alignment horizontal="center" vertical="center"/>
    </xf>
    <xf numFmtId="168" fontId="19" fillId="0" borderId="6" xfId="0" applyNumberFormat="1" applyFont="1" applyFill="1" applyBorder="1" applyAlignment="1" applyProtection="1">
      <alignment horizontal="distributed" vertical="center"/>
    </xf>
    <xf numFmtId="168" fontId="35" fillId="0" borderId="6" xfId="0" applyNumberFormat="1" applyFont="1" applyFill="1" applyBorder="1" applyAlignment="1" applyProtection="1">
      <alignment horizontal="distributed" vertical="center"/>
    </xf>
    <xf numFmtId="44" fontId="31" fillId="0" borderId="6" xfId="0" applyNumberFormat="1" applyFont="1" applyFill="1" applyBorder="1" applyAlignment="1" applyProtection="1">
      <alignment vertical="center" wrapText="1"/>
    </xf>
    <xf numFmtId="0" fontId="19" fillId="0" borderId="6" xfId="0" applyFont="1" applyFill="1" applyBorder="1" applyProtection="1"/>
    <xf numFmtId="0" fontId="6" fillId="0" borderId="6" xfId="0" applyFont="1" applyFill="1" applyBorder="1" applyAlignment="1" applyProtection="1">
      <alignment horizontal="center" vertical="center"/>
    </xf>
    <xf numFmtId="0" fontId="39" fillId="0" borderId="6" xfId="0" applyFont="1" applyBorder="1" applyAlignment="1" applyProtection="1">
      <alignment horizontal="center" vertical="center"/>
    </xf>
    <xf numFmtId="44" fontId="20" fillId="0" borderId="6" xfId="0" applyNumberFormat="1" applyFont="1" applyFill="1" applyBorder="1" applyAlignment="1" applyProtection="1">
      <alignment horizontal="right" vertical="center"/>
    </xf>
    <xf numFmtId="0" fontId="31" fillId="0" borderId="6" xfId="0" applyFont="1" applyFill="1" applyBorder="1" applyAlignment="1" applyProtection="1">
      <alignment horizontal="center"/>
    </xf>
    <xf numFmtId="0" fontId="26" fillId="0" borderId="6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44" fontId="19" fillId="0" borderId="6" xfId="0" applyNumberFormat="1" applyFont="1" applyFill="1" applyBorder="1" applyAlignment="1">
      <alignment horizontal="right"/>
    </xf>
    <xf numFmtId="0" fontId="58" fillId="4" borderId="6" xfId="0" applyFont="1" applyFill="1" applyBorder="1" applyAlignment="1" applyProtection="1">
      <alignment horizontal="left"/>
    </xf>
    <xf numFmtId="0" fontId="20" fillId="4" borderId="6" xfId="0" applyFont="1" applyFill="1" applyBorder="1" applyAlignment="1" applyProtection="1">
      <alignment horizontal="right" vertical="center"/>
    </xf>
    <xf numFmtId="165" fontId="26" fillId="4" borderId="6" xfId="0" applyNumberFormat="1" applyFont="1" applyFill="1" applyBorder="1" applyAlignment="1" applyProtection="1">
      <alignment vertical="center"/>
    </xf>
    <xf numFmtId="0" fontId="58" fillId="4" borderId="6" xfId="0" applyFont="1" applyFill="1" applyBorder="1" applyAlignment="1" applyProtection="1">
      <alignment horizontal="left" vertical="center"/>
    </xf>
    <xf numFmtId="0" fontId="59" fillId="0" borderId="6" xfId="0" applyFont="1" applyBorder="1" applyAlignment="1" applyProtection="1">
      <alignment horizontal="center" vertical="center"/>
    </xf>
    <xf numFmtId="0" fontId="58" fillId="0" borderId="6" xfId="0" applyFont="1" applyBorder="1" applyAlignment="1" applyProtection="1">
      <alignment horizontal="center" vertical="center" wrapText="1"/>
    </xf>
    <xf numFmtId="0" fontId="58" fillId="0" borderId="6" xfId="0" applyFont="1" applyBorder="1" applyAlignment="1" applyProtection="1">
      <alignment horizontal="center" vertical="center"/>
    </xf>
    <xf numFmtId="0" fontId="58" fillId="0" borderId="6" xfId="0" applyFont="1" applyBorder="1" applyAlignment="1" applyProtection="1">
      <alignment horizontal="left"/>
    </xf>
    <xf numFmtId="0" fontId="20" fillId="0" borderId="6" xfId="0" applyFont="1" applyFill="1" applyBorder="1" applyAlignment="1" applyProtection="1">
      <alignment horizontal="right" vertical="center"/>
    </xf>
    <xf numFmtId="165" fontId="26" fillId="0" borderId="6" xfId="0" applyNumberFormat="1" applyFont="1" applyFill="1" applyBorder="1" applyAlignment="1" applyProtection="1">
      <alignment vertical="center"/>
    </xf>
    <xf numFmtId="0" fontId="19" fillId="0" borderId="6" xfId="0" applyFont="1" applyFill="1" applyBorder="1" applyAlignment="1">
      <alignment vertical="center"/>
    </xf>
    <xf numFmtId="0" fontId="24" fillId="0" borderId="6" xfId="0" applyFont="1" applyFill="1" applyBorder="1" applyAlignment="1">
      <alignment horizontal="center"/>
    </xf>
    <xf numFmtId="44" fontId="31" fillId="15" borderId="6" xfId="0" applyNumberFormat="1" applyFont="1" applyFill="1" applyBorder="1" applyAlignment="1" applyProtection="1">
      <alignment horizontal="right" vertical="center"/>
    </xf>
    <xf numFmtId="0" fontId="20" fillId="0" borderId="6" xfId="0" applyFont="1" applyBorder="1" applyAlignment="1">
      <alignment horizontal="right"/>
    </xf>
    <xf numFmtId="0" fontId="20" fillId="0" borderId="6" xfId="0" applyFont="1" applyBorder="1" applyAlignment="1">
      <alignment horizontal="center"/>
    </xf>
    <xf numFmtId="0" fontId="25" fillId="0" borderId="6" xfId="0" applyFont="1" applyBorder="1" applyAlignment="1" applyProtection="1">
      <alignment horizontal="center" vertical="center" wrapText="1"/>
      <protection locked="0"/>
    </xf>
    <xf numFmtId="0" fontId="39" fillId="0" borderId="6" xfId="0" applyFont="1" applyBorder="1" applyAlignment="1" applyProtection="1">
      <alignment horizontal="right" vertical="center" wrapText="1"/>
      <protection locked="0"/>
    </xf>
    <xf numFmtId="8" fontId="39" fillId="0" borderId="6" xfId="1" applyNumberFormat="1" applyFont="1" applyBorder="1" applyAlignment="1" applyProtection="1">
      <alignment horizontal="right" vertical="center"/>
      <protection locked="0"/>
    </xf>
    <xf numFmtId="0" fontId="38" fillId="0" borderId="6" xfId="0" applyFont="1" applyBorder="1" applyAlignment="1" applyProtection="1">
      <alignment horizontal="right" vertical="center"/>
      <protection locked="0"/>
    </xf>
    <xf numFmtId="0" fontId="44" fillId="0" borderId="6" xfId="0" applyFont="1" applyBorder="1" applyAlignment="1">
      <alignment horizontal="center" vertical="center"/>
    </xf>
    <xf numFmtId="0" fontId="46" fillId="0" borderId="6" xfId="0" applyFont="1" applyBorder="1" applyAlignment="1">
      <alignment horizontal="left" vertical="center"/>
    </xf>
    <xf numFmtId="0" fontId="41" fillId="0" borderId="6" xfId="0" applyFont="1" applyBorder="1" applyAlignment="1">
      <alignment horizontal="left" vertical="center"/>
    </xf>
    <xf numFmtId="168" fontId="27" fillId="0" borderId="6" xfId="0" applyNumberFormat="1" applyFont="1" applyFill="1" applyBorder="1" applyAlignment="1">
      <alignment horizontal="distributed" vertical="distributed" wrapText="1"/>
    </xf>
    <xf numFmtId="168" fontId="27" fillId="0" borderId="6" xfId="0" applyNumberFormat="1" applyFont="1" applyBorder="1" applyAlignment="1">
      <alignment horizontal="distributed" vertical="distributed" wrapText="1"/>
    </xf>
    <xf numFmtId="0" fontId="26" fillId="0" borderId="6" xfId="0" applyFont="1" applyBorder="1" applyAlignment="1">
      <alignment horizontal="right" vertical="center"/>
    </xf>
    <xf numFmtId="168" fontId="26" fillId="0" borderId="6" xfId="0" applyNumberFormat="1" applyFont="1" applyBorder="1" applyAlignment="1">
      <alignment vertical="center"/>
    </xf>
    <xf numFmtId="0" fontId="45" fillId="0" borderId="6" xfId="0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168" fontId="20" fillId="0" borderId="6" xfId="0" applyNumberFormat="1" applyFont="1" applyBorder="1" applyAlignment="1">
      <alignment horizontal="distributed" vertical="center"/>
    </xf>
    <xf numFmtId="44" fontId="27" fillId="0" borderId="6" xfId="0" applyNumberFormat="1" applyFont="1" applyBorder="1" applyAlignment="1">
      <alignment horizontal="right" vertical="center"/>
    </xf>
    <xf numFmtId="0" fontId="47" fillId="0" borderId="6" xfId="0" applyFont="1" applyBorder="1" applyAlignment="1">
      <alignment horizontal="center" vertical="center"/>
    </xf>
    <xf numFmtId="0" fontId="43" fillId="0" borderId="6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44" fontId="20" fillId="15" borderId="6" xfId="0" applyNumberFormat="1" applyFont="1" applyFill="1" applyBorder="1" applyAlignment="1">
      <alignment vertical="center"/>
    </xf>
    <xf numFmtId="0" fontId="48" fillId="0" borderId="6" xfId="0" applyFont="1" applyBorder="1" applyAlignment="1">
      <alignment horizontal="center" vertical="center" wrapText="1"/>
    </xf>
    <xf numFmtId="0" fontId="42" fillId="0" borderId="6" xfId="0" applyFont="1" applyBorder="1" applyAlignment="1">
      <alignment horizontal="left" vertical="center" wrapText="1"/>
    </xf>
    <xf numFmtId="0" fontId="26" fillId="15" borderId="6" xfId="0" applyFont="1" applyFill="1" applyBorder="1" applyAlignment="1">
      <alignment horizontal="center"/>
    </xf>
    <xf numFmtId="44" fontId="33" fillId="0" borderId="6" xfId="0" applyNumberFormat="1" applyFont="1" applyBorder="1" applyAlignment="1" applyProtection="1">
      <alignment horizontal="right" vertical="center"/>
      <protection locked="0"/>
    </xf>
    <xf numFmtId="0" fontId="34" fillId="0" borderId="6" xfId="0" applyFont="1" applyBorder="1" applyAlignment="1">
      <alignment horizontal="center"/>
    </xf>
    <xf numFmtId="0" fontId="49" fillId="0" borderId="6" xfId="0" applyFont="1" applyBorder="1" applyAlignment="1">
      <alignment horizontal="left"/>
    </xf>
    <xf numFmtId="0" fontId="19" fillId="0" borderId="6" xfId="0" applyFont="1" applyBorder="1"/>
    <xf numFmtId="0" fontId="23" fillId="0" borderId="6" xfId="0" applyFont="1" applyBorder="1" applyAlignment="1">
      <alignment horizontal="left"/>
    </xf>
    <xf numFmtId="0" fontId="20" fillId="0" borderId="6" xfId="0" applyFont="1" applyBorder="1" applyAlignment="1">
      <alignment horizontal="left" vertical="center" wrapText="1"/>
    </xf>
    <xf numFmtId="0" fontId="26" fillId="17" borderId="6" xfId="0" applyFont="1" applyFill="1" applyBorder="1" applyAlignment="1">
      <alignment horizontal="center" vertical="center"/>
    </xf>
    <xf numFmtId="165" fontId="5" fillId="0" borderId="6" xfId="2" applyNumberFormat="1" applyFont="1" applyBorder="1" applyProtection="1"/>
    <xf numFmtId="0" fontId="26" fillId="0" borderId="6" xfId="0" applyFont="1" applyBorder="1" applyAlignment="1">
      <alignment vertical="center"/>
    </xf>
    <xf numFmtId="0" fontId="31" fillId="0" borderId="6" xfId="0" applyFont="1" applyBorder="1" applyAlignment="1">
      <alignment vertical="center"/>
    </xf>
    <xf numFmtId="0" fontId="26" fillId="17" borderId="6" xfId="0" applyFont="1" applyFill="1" applyBorder="1" applyAlignment="1">
      <alignment horizontal="center"/>
    </xf>
    <xf numFmtId="168" fontId="26" fillId="15" borderId="6" xfId="0" applyNumberFormat="1" applyFont="1" applyFill="1" applyBorder="1" applyAlignment="1">
      <alignment horizontal="center" vertical="center"/>
    </xf>
    <xf numFmtId="168" fontId="19" fillId="0" borderId="6" xfId="0" applyNumberFormat="1" applyFont="1" applyBorder="1" applyAlignment="1">
      <alignment horizontal="distributed" vertical="center"/>
    </xf>
    <xf numFmtId="168" fontId="35" fillId="0" borderId="6" xfId="0" applyNumberFormat="1" applyFont="1" applyBorder="1" applyAlignment="1">
      <alignment horizontal="distributed" vertical="center"/>
    </xf>
    <xf numFmtId="44" fontId="31" fillId="0" borderId="6" xfId="0" applyNumberFormat="1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44" fontId="20" fillId="0" borderId="6" xfId="0" applyNumberFormat="1" applyFont="1" applyBorder="1" applyAlignment="1">
      <alignment horizontal="right" vertical="center"/>
    </xf>
    <xf numFmtId="0" fontId="31" fillId="0" borderId="6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44" fontId="19" fillId="0" borderId="6" xfId="0" applyNumberFormat="1" applyFont="1" applyBorder="1" applyAlignment="1">
      <alignment horizontal="right"/>
    </xf>
    <xf numFmtId="0" fontId="58" fillId="4" borderId="6" xfId="0" applyFont="1" applyFill="1" applyBorder="1" applyAlignment="1">
      <alignment horizontal="left"/>
    </xf>
    <xf numFmtId="0" fontId="20" fillId="4" borderId="6" xfId="0" applyFont="1" applyFill="1" applyBorder="1" applyAlignment="1">
      <alignment horizontal="right" vertical="center"/>
    </xf>
    <xf numFmtId="165" fontId="26" fillId="4" borderId="6" xfId="0" applyNumberFormat="1" applyFont="1" applyFill="1" applyBorder="1" applyAlignment="1">
      <alignment vertical="center"/>
    </xf>
    <xf numFmtId="0" fontId="58" fillId="4" borderId="6" xfId="0" applyFont="1" applyFill="1" applyBorder="1" applyAlignment="1">
      <alignment horizontal="left" vertical="center"/>
    </xf>
    <xf numFmtId="0" fontId="59" fillId="0" borderId="6" xfId="0" applyFont="1" applyBorder="1" applyAlignment="1">
      <alignment horizontal="center" vertical="center"/>
    </xf>
    <xf numFmtId="0" fontId="58" fillId="0" borderId="6" xfId="0" applyFont="1" applyBorder="1" applyAlignment="1">
      <alignment horizontal="center" vertical="center" wrapText="1"/>
    </xf>
    <xf numFmtId="0" fontId="58" fillId="0" borderId="6" xfId="0" applyFont="1" applyBorder="1" applyAlignment="1">
      <alignment horizontal="center" vertical="center"/>
    </xf>
    <xf numFmtId="0" fontId="58" fillId="0" borderId="6" xfId="0" applyFont="1" applyBorder="1" applyAlignment="1">
      <alignment horizontal="left"/>
    </xf>
    <xf numFmtId="0" fontId="20" fillId="0" borderId="6" xfId="0" applyFont="1" applyBorder="1" applyAlignment="1">
      <alignment horizontal="right" vertical="center"/>
    </xf>
    <xf numFmtId="165" fontId="26" fillId="0" borderId="6" xfId="0" applyNumberFormat="1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24" fillId="0" borderId="6" xfId="0" applyFont="1" applyBorder="1" applyAlignment="1">
      <alignment horizontal="center"/>
    </xf>
    <xf numFmtId="44" fontId="31" fillId="15" borderId="6" xfId="0" applyNumberFormat="1" applyFont="1" applyFill="1" applyBorder="1" applyAlignment="1">
      <alignment horizontal="right" vertical="center"/>
    </xf>
    <xf numFmtId="176" fontId="62" fillId="0" borderId="6" xfId="2" applyNumberFormat="1" applyFont="1" applyBorder="1" applyAlignment="1">
      <alignment vertical="center"/>
    </xf>
    <xf numFmtId="176" fontId="62" fillId="15" borderId="6" xfId="2" applyNumberFormat="1" applyFont="1" applyFill="1" applyBorder="1" applyAlignment="1">
      <alignment vertical="center"/>
    </xf>
    <xf numFmtId="173" fontId="19" fillId="0" borderId="6" xfId="0" applyNumberFormat="1" applyFont="1" applyBorder="1" applyAlignment="1">
      <alignment vertical="center"/>
    </xf>
    <xf numFmtId="173" fontId="31" fillId="0" borderId="6" xfId="0" applyNumberFormat="1" applyFont="1" applyBorder="1" applyAlignment="1">
      <alignment vertical="center"/>
    </xf>
    <xf numFmtId="173" fontId="31" fillId="0" borderId="6" xfId="0" applyNumberFormat="1" applyFont="1" applyBorder="1" applyAlignment="1">
      <alignment horizontal="right" vertical="center"/>
    </xf>
    <xf numFmtId="0" fontId="20" fillId="15" borderId="6" xfId="0" applyFont="1" applyFill="1" applyBorder="1" applyAlignment="1">
      <alignment horizontal="right" vertical="center"/>
    </xf>
    <xf numFmtId="0" fontId="20" fillId="0" borderId="6" xfId="0" applyFont="1" applyBorder="1" applyAlignment="1">
      <alignment horizontal="left" vertical="center"/>
    </xf>
    <xf numFmtId="0" fontId="7" fillId="6" borderId="6" xfId="0" applyFont="1" applyFill="1" applyBorder="1" applyAlignment="1">
      <alignment horizontal="center" vertical="center"/>
    </xf>
    <xf numFmtId="0" fontId="20" fillId="17" borderId="6" xfId="0" applyFont="1" applyFill="1" applyBorder="1" applyAlignment="1">
      <alignment horizontal="center"/>
    </xf>
    <xf numFmtId="0" fontId="59" fillId="4" borderId="6" xfId="0" applyFont="1" applyFill="1" applyBorder="1" applyAlignment="1">
      <alignment horizontal="center" vertical="center"/>
    </xf>
    <xf numFmtId="0" fontId="58" fillId="4" borderId="6" xfId="0" applyFont="1" applyFill="1" applyBorder="1" applyAlignment="1">
      <alignment horizontal="center" vertical="center" wrapText="1"/>
    </xf>
    <xf numFmtId="0" fontId="58" fillId="4" borderId="6" xfId="0" applyFont="1" applyFill="1" applyBorder="1" applyAlignment="1">
      <alignment horizontal="center" vertical="center"/>
    </xf>
    <xf numFmtId="0" fontId="60" fillId="6" borderId="6" xfId="0" applyFont="1" applyFill="1" applyBorder="1" applyAlignment="1">
      <alignment horizontal="center"/>
    </xf>
    <xf numFmtId="0" fontId="31" fillId="0" borderId="6" xfId="0" applyFont="1" applyBorder="1" applyAlignment="1">
      <alignment horizontal="left" vertical="center"/>
    </xf>
    <xf numFmtId="0" fontId="19" fillId="0" borderId="6" xfId="0" quotePrefix="1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20" fillId="6" borderId="6" xfId="0" applyFont="1" applyFill="1" applyBorder="1" applyAlignment="1">
      <alignment horizontal="right" vertical="center"/>
    </xf>
    <xf numFmtId="0" fontId="57" fillId="4" borderId="6" xfId="0" applyFont="1" applyFill="1" applyBorder="1" applyAlignment="1">
      <alignment horizontal="left"/>
    </xf>
    <xf numFmtId="0" fontId="26" fillId="15" borderId="6" xfId="0" applyFont="1" applyFill="1" applyBorder="1" applyAlignment="1">
      <alignment horizontal="left" vertical="center"/>
    </xf>
    <xf numFmtId="0" fontId="11" fillId="15" borderId="3" xfId="0" applyFont="1" applyFill="1" applyBorder="1" applyAlignment="1" applyProtection="1">
      <alignment horizontal="center"/>
      <protection locked="0"/>
    </xf>
    <xf numFmtId="0" fontId="11" fillId="15" borderId="6" xfId="0" applyFont="1" applyFill="1" applyBorder="1" applyAlignment="1" applyProtection="1">
      <alignment horizontal="center"/>
      <protection locked="0"/>
    </xf>
    <xf numFmtId="0" fontId="26" fillId="0" borderId="6" xfId="0" applyFont="1" applyBorder="1" applyAlignment="1">
      <alignment horizontal="center" vertical="center"/>
    </xf>
    <xf numFmtId="0" fontId="26" fillId="2" borderId="6" xfId="0" applyFont="1" applyFill="1" applyBorder="1" applyAlignment="1">
      <alignment horizontal="center" vertical="center"/>
    </xf>
    <xf numFmtId="0" fontId="31" fillId="0" borderId="6" xfId="0" applyFont="1" applyBorder="1" applyAlignment="1">
      <alignment horizontal="left" vertical="center" wrapText="1"/>
    </xf>
    <xf numFmtId="0" fontId="26" fillId="2" borderId="6" xfId="0" applyFont="1" applyFill="1" applyBorder="1" applyAlignment="1">
      <alignment horizontal="center"/>
    </xf>
    <xf numFmtId="0" fontId="31" fillId="0" borderId="6" xfId="0" applyFont="1" applyBorder="1" applyAlignment="1">
      <alignment horizontal="left"/>
    </xf>
    <xf numFmtId="0" fontId="6" fillId="13" borderId="6" xfId="0" applyFont="1" applyFill="1" applyBorder="1" applyAlignment="1">
      <alignment horizontal="center" vertical="center"/>
    </xf>
    <xf numFmtId="0" fontId="20" fillId="14" borderId="6" xfId="0" applyFont="1" applyFill="1" applyBorder="1" applyAlignment="1">
      <alignment horizontal="center" vertical="center"/>
    </xf>
    <xf numFmtId="0" fontId="26" fillId="6" borderId="6" xfId="0" applyFont="1" applyFill="1" applyBorder="1" applyAlignment="1">
      <alignment horizontal="right" vertical="center"/>
    </xf>
    <xf numFmtId="0" fontId="45" fillId="4" borderId="6" xfId="0" applyFont="1" applyFill="1" applyBorder="1" applyAlignment="1">
      <alignment horizontal="left" vertical="center" wrapText="1"/>
    </xf>
    <xf numFmtId="0" fontId="38" fillId="0" borderId="6" xfId="0" applyFont="1" applyBorder="1" applyAlignment="1">
      <alignment horizontal="left" vertical="center"/>
    </xf>
    <xf numFmtId="0" fontId="20" fillId="16" borderId="6" xfId="0" applyFont="1" applyFill="1" applyBorder="1" applyAlignment="1">
      <alignment horizontal="right"/>
    </xf>
    <xf numFmtId="0" fontId="20" fillId="13" borderId="6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left" vertical="center" wrapText="1"/>
    </xf>
    <xf numFmtId="0" fontId="20" fillId="5" borderId="6" xfId="0" applyFont="1" applyFill="1" applyBorder="1" applyAlignment="1">
      <alignment horizontal="right"/>
    </xf>
    <xf numFmtId="0" fontId="20" fillId="13" borderId="6" xfId="0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6" fillId="15" borderId="6" xfId="0" applyFont="1" applyFill="1" applyBorder="1" applyAlignment="1">
      <alignment horizontal="center"/>
    </xf>
    <xf numFmtId="0" fontId="26" fillId="2" borderId="6" xfId="0" applyFont="1" applyFill="1" applyBorder="1" applyAlignment="1">
      <alignment horizontal="right" vertical="center"/>
    </xf>
    <xf numFmtId="0" fontId="26" fillId="15" borderId="6" xfId="0" applyFont="1" applyFill="1" applyBorder="1" applyAlignment="1">
      <alignment horizontal="right" vertical="center"/>
    </xf>
    <xf numFmtId="0" fontId="49" fillId="4" borderId="6" xfId="0" applyFont="1" applyFill="1" applyBorder="1" applyAlignment="1">
      <alignment horizontal="left"/>
    </xf>
    <xf numFmtId="0" fontId="26" fillId="0" borderId="6" xfId="0" applyFont="1" applyBorder="1" applyAlignment="1">
      <alignment horizontal="left" vertical="center"/>
    </xf>
    <xf numFmtId="0" fontId="32" fillId="0" borderId="6" xfId="0" applyFont="1" applyBorder="1" applyAlignment="1" applyProtection="1">
      <alignment horizontal="right" vertical="center"/>
      <protection locked="0"/>
    </xf>
    <xf numFmtId="0" fontId="19" fillId="0" borderId="6" xfId="0" applyFont="1" applyBorder="1" applyAlignment="1">
      <alignment horizontal="right" vertical="center"/>
    </xf>
    <xf numFmtId="9" fontId="32" fillId="0" borderId="6" xfId="0" applyNumberFormat="1" applyFont="1" applyBorder="1" applyAlignment="1" applyProtection="1">
      <alignment horizontal="right" vertical="center"/>
      <protection locked="0"/>
    </xf>
    <xf numFmtId="9" fontId="19" fillId="0" borderId="6" xfId="0" applyNumberFormat="1" applyFont="1" applyBorder="1" applyAlignment="1">
      <alignment horizontal="right" vertical="center"/>
    </xf>
    <xf numFmtId="0" fontId="26" fillId="15" borderId="6" xfId="0" applyFont="1" applyFill="1" applyBorder="1" applyAlignment="1">
      <alignment horizontal="center" vertical="center"/>
    </xf>
    <xf numFmtId="0" fontId="31" fillId="0" borderId="6" xfId="0" applyFont="1" applyBorder="1" applyAlignment="1">
      <alignment horizontal="center" vertical="center" wrapText="1"/>
    </xf>
    <xf numFmtId="174" fontId="32" fillId="0" borderId="6" xfId="1" applyNumberFormat="1" applyFont="1" applyBorder="1" applyAlignment="1" applyProtection="1">
      <alignment horizontal="right" vertical="center"/>
      <protection locked="0"/>
    </xf>
    <xf numFmtId="174" fontId="19" fillId="0" borderId="6" xfId="0" applyNumberFormat="1" applyFont="1" applyBorder="1" applyAlignment="1">
      <alignment horizontal="right" vertical="center"/>
    </xf>
    <xf numFmtId="44" fontId="31" fillId="0" borderId="6" xfId="0" applyNumberFormat="1" applyFont="1" applyBorder="1" applyAlignment="1">
      <alignment horizontal="center" vertical="center"/>
    </xf>
    <xf numFmtId="9" fontId="26" fillId="0" borderId="6" xfId="0" applyNumberFormat="1" applyFont="1" applyBorder="1" applyAlignment="1">
      <alignment horizontal="right" vertical="center"/>
    </xf>
    <xf numFmtId="0" fontId="28" fillId="6" borderId="6" xfId="0" applyFont="1" applyFill="1" applyBorder="1" applyAlignment="1">
      <alignment horizontal="center" wrapText="1"/>
    </xf>
    <xf numFmtId="0" fontId="26" fillId="15" borderId="6" xfId="0" applyFont="1" applyFill="1" applyBorder="1" applyAlignment="1">
      <alignment horizontal="center" vertical="center" wrapText="1"/>
    </xf>
    <xf numFmtId="174" fontId="2" fillId="23" borderId="6" xfId="2" applyNumberFormat="1" applyFill="1" applyBorder="1" applyAlignment="1" applyProtection="1">
      <alignment vertical="center"/>
    </xf>
    <xf numFmtId="174" fontId="2" fillId="23" borderId="6" xfId="2" applyNumberFormat="1" applyFill="1" applyBorder="1" applyAlignment="1">
      <alignment vertical="center"/>
    </xf>
    <xf numFmtId="0" fontId="27" fillId="0" borderId="6" xfId="0" applyFont="1" applyBorder="1" applyAlignment="1">
      <alignment horizontal="left" vertical="center"/>
    </xf>
    <xf numFmtId="10" fontId="27" fillId="0" borderId="6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28" fillId="15" borderId="6" xfId="0" applyFont="1" applyFill="1" applyBorder="1" applyAlignment="1">
      <alignment horizontal="right" vertical="center" wrapText="1"/>
    </xf>
    <xf numFmtId="0" fontId="28" fillId="15" borderId="6" xfId="0" applyFont="1" applyFill="1" applyBorder="1" applyAlignment="1">
      <alignment horizontal="right" vertical="center"/>
    </xf>
    <xf numFmtId="10" fontId="20" fillId="15" borderId="6" xfId="0" applyNumberFormat="1" applyFont="1" applyFill="1" applyBorder="1" applyAlignment="1">
      <alignment horizontal="center" vertical="center"/>
    </xf>
    <xf numFmtId="0" fontId="19" fillId="15" borderId="6" xfId="0" applyFont="1" applyFill="1" applyBorder="1" applyAlignment="1">
      <alignment horizontal="center" vertical="center"/>
    </xf>
    <xf numFmtId="0" fontId="42" fillId="4" borderId="6" xfId="0" applyFont="1" applyFill="1" applyBorder="1" applyAlignment="1">
      <alignment horizontal="left" vertical="center" wrapText="1"/>
    </xf>
    <xf numFmtId="0" fontId="42" fillId="4" borderId="6" xfId="0" applyFont="1" applyFill="1" applyBorder="1" applyAlignment="1">
      <alignment horizontal="left" vertical="center"/>
    </xf>
    <xf numFmtId="0" fontId="20" fillId="2" borderId="6" xfId="0" applyFont="1" applyFill="1" applyBorder="1" applyAlignment="1">
      <alignment horizontal="center" wrapText="1"/>
    </xf>
    <xf numFmtId="0" fontId="20" fillId="4" borderId="6" xfId="0" applyFont="1" applyFill="1" applyBorder="1" applyAlignment="1">
      <alignment horizontal="center" vertical="center" wrapText="1"/>
    </xf>
    <xf numFmtId="0" fontId="26" fillId="4" borderId="6" xfId="0" applyFont="1" applyFill="1" applyBorder="1" applyAlignment="1">
      <alignment horizontal="center"/>
    </xf>
    <xf numFmtId="0" fontId="19" fillId="4" borderId="6" xfId="0" applyFont="1" applyFill="1" applyBorder="1"/>
    <xf numFmtId="0" fontId="6" fillId="13" borderId="6" xfId="0" applyFont="1" applyFill="1" applyBorder="1" applyAlignment="1">
      <alignment horizontal="center"/>
    </xf>
    <xf numFmtId="0" fontId="20" fillId="14" borderId="6" xfId="0" applyFont="1" applyFill="1" applyBorder="1" applyAlignment="1">
      <alignment horizontal="center" vertical="center" wrapText="1"/>
    </xf>
    <xf numFmtId="0" fontId="43" fillId="4" borderId="6" xfId="0" applyFont="1" applyFill="1" applyBorder="1" applyAlignment="1">
      <alignment horizontal="left" vertical="center" wrapText="1"/>
    </xf>
    <xf numFmtId="0" fontId="20" fillId="5" borderId="6" xfId="0" applyFont="1" applyFill="1" applyBorder="1" applyAlignment="1">
      <alignment horizontal="right" vertical="center"/>
    </xf>
    <xf numFmtId="0" fontId="31" fillId="0" borderId="6" xfId="0" applyFont="1" applyFill="1" applyBorder="1" applyAlignment="1">
      <alignment horizontal="left" vertical="center" wrapText="1"/>
    </xf>
    <xf numFmtId="0" fontId="45" fillId="4" borderId="6" xfId="0" applyFont="1" applyFill="1" applyBorder="1" applyAlignment="1">
      <alignment horizontal="left" vertical="center"/>
    </xf>
    <xf numFmtId="0" fontId="27" fillId="0" borderId="6" xfId="0" applyFont="1" applyFill="1" applyBorder="1" applyAlignment="1">
      <alignment horizontal="left" vertical="center" wrapText="1"/>
    </xf>
    <xf numFmtId="0" fontId="28" fillId="0" borderId="6" xfId="0" applyFont="1" applyBorder="1" applyAlignment="1">
      <alignment horizontal="left" wrapText="1"/>
    </xf>
    <xf numFmtId="0" fontId="27" fillId="0" borderId="6" xfId="0" applyFont="1" applyBorder="1" applyAlignment="1">
      <alignment horizontal="left" wrapText="1"/>
    </xf>
    <xf numFmtId="0" fontId="27" fillId="0" borderId="6" xfId="0" applyFont="1" applyBorder="1" applyAlignment="1">
      <alignment horizontal="left"/>
    </xf>
    <xf numFmtId="9" fontId="28" fillId="0" borderId="6" xfId="0" applyNumberFormat="1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38" fillId="0" borderId="6" xfId="0" applyFont="1" applyBorder="1" applyAlignment="1">
      <alignment horizontal="left" wrapText="1"/>
    </xf>
    <xf numFmtId="0" fontId="46" fillId="4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center"/>
    </xf>
    <xf numFmtId="0" fontId="20" fillId="9" borderId="6" xfId="0" applyFont="1" applyFill="1" applyBorder="1" applyAlignment="1">
      <alignment horizontal="center"/>
    </xf>
    <xf numFmtId="0" fontId="31" fillId="0" borderId="6" xfId="0" applyFont="1" applyBorder="1" applyAlignment="1">
      <alignment horizontal="left" wrapText="1"/>
    </xf>
    <xf numFmtId="0" fontId="19" fillId="0" borderId="6" xfId="0" applyFont="1" applyFill="1" applyBorder="1" applyAlignment="1">
      <alignment horizontal="left" vertical="center"/>
    </xf>
    <xf numFmtId="0" fontId="20" fillId="0" borderId="6" xfId="0" applyFont="1" applyBorder="1" applyAlignment="1">
      <alignment horizontal="center"/>
    </xf>
    <xf numFmtId="0" fontId="20" fillId="7" borderId="6" xfId="0" applyFont="1" applyFill="1" applyBorder="1" applyAlignment="1">
      <alignment horizontal="center"/>
    </xf>
    <xf numFmtId="0" fontId="19" fillId="0" borderId="6" xfId="0" applyFont="1" applyBorder="1" applyAlignment="1">
      <alignment horizontal="left"/>
    </xf>
    <xf numFmtId="0" fontId="19" fillId="12" borderId="6" xfId="0" applyFont="1" applyFill="1" applyBorder="1" applyAlignment="1">
      <alignment horizontal="left" vertical="center"/>
    </xf>
    <xf numFmtId="0" fontId="19" fillId="12" borderId="6" xfId="0" applyFont="1" applyFill="1" applyBorder="1" applyAlignment="1">
      <alignment horizontal="left"/>
    </xf>
    <xf numFmtId="0" fontId="20" fillId="21" borderId="6" xfId="0" applyFont="1" applyFill="1" applyBorder="1" applyAlignment="1">
      <alignment horizontal="center"/>
    </xf>
    <xf numFmtId="0" fontId="20" fillId="22" borderId="6" xfId="0" applyFont="1" applyFill="1" applyBorder="1" applyAlignment="1">
      <alignment horizontal="center"/>
    </xf>
    <xf numFmtId="0" fontId="19" fillId="22" borderId="6" xfId="0" applyFont="1" applyFill="1" applyBorder="1" applyAlignment="1">
      <alignment horizontal="center"/>
    </xf>
    <xf numFmtId="0" fontId="31" fillId="0" borderId="6" xfId="0" applyFont="1" applyBorder="1" applyAlignment="1">
      <alignment horizontal="center" vertical="center"/>
    </xf>
    <xf numFmtId="0" fontId="31" fillId="12" borderId="6" xfId="0" applyFont="1" applyFill="1" applyBorder="1" applyAlignment="1">
      <alignment horizontal="center" vertical="center"/>
    </xf>
    <xf numFmtId="0" fontId="31" fillId="23" borderId="6" xfId="0" applyFont="1" applyFill="1" applyBorder="1" applyAlignment="1">
      <alignment horizontal="center" vertical="center"/>
    </xf>
    <xf numFmtId="0" fontId="30" fillId="0" borderId="6" xfId="0" applyFont="1" applyBorder="1" applyAlignment="1">
      <alignment horizontal="left"/>
    </xf>
    <xf numFmtId="0" fontId="40" fillId="0" borderId="6" xfId="0" applyFont="1" applyBorder="1" applyAlignment="1" applyProtection="1">
      <alignment horizontal="center" vertical="center"/>
      <protection locked="0"/>
    </xf>
    <xf numFmtId="0" fontId="30" fillId="12" borderId="6" xfId="0" applyFont="1" applyFill="1" applyBorder="1" applyAlignment="1">
      <alignment horizontal="left" vertical="center" wrapText="1"/>
    </xf>
    <xf numFmtId="0" fontId="30" fillId="12" borderId="6" xfId="0" applyFont="1" applyFill="1" applyBorder="1" applyAlignment="1">
      <alignment horizontal="left" vertical="center"/>
    </xf>
    <xf numFmtId="0" fontId="40" fillId="12" borderId="6" xfId="0" applyFont="1" applyFill="1" applyBorder="1" applyAlignment="1" applyProtection="1">
      <alignment horizontal="center" vertical="center" wrapText="1"/>
      <protection locked="0"/>
    </xf>
    <xf numFmtId="0" fontId="30" fillId="12" borderId="6" xfId="0" applyFont="1" applyFill="1" applyBorder="1" applyAlignment="1">
      <alignment vertical="center"/>
    </xf>
    <xf numFmtId="0" fontId="20" fillId="0" borderId="6" xfId="0" applyFont="1" applyBorder="1" applyAlignment="1">
      <alignment horizontal="left"/>
    </xf>
    <xf numFmtId="0" fontId="22" fillId="11" borderId="6" xfId="0" applyFont="1" applyFill="1" applyBorder="1" applyAlignment="1" applyProtection="1">
      <alignment horizontal="center"/>
      <protection locked="0"/>
    </xf>
    <xf numFmtId="0" fontId="22" fillId="23" borderId="6" xfId="0" applyFont="1" applyFill="1" applyBorder="1" applyAlignment="1" applyProtection="1">
      <alignment horizontal="center" wrapText="1"/>
      <protection locked="0"/>
    </xf>
    <xf numFmtId="0" fontId="20" fillId="3" borderId="6" xfId="0" applyFont="1" applyFill="1" applyBorder="1" applyAlignment="1">
      <alignment horizontal="center"/>
    </xf>
    <xf numFmtId="0" fontId="21" fillId="3" borderId="6" xfId="0" applyFont="1" applyFill="1" applyBorder="1" applyAlignment="1" applyProtection="1">
      <alignment horizontal="center"/>
      <protection locked="0"/>
    </xf>
    <xf numFmtId="49" fontId="22" fillId="3" borderId="6" xfId="0" applyNumberFormat="1" applyFont="1" applyFill="1" applyBorder="1" applyAlignment="1">
      <alignment horizontal="center"/>
    </xf>
    <xf numFmtId="166" fontId="17" fillId="12" borderId="6" xfId="0" applyNumberFormat="1" applyFont="1" applyFill="1" applyBorder="1" applyAlignment="1" applyProtection="1">
      <alignment horizontal="center"/>
      <protection locked="0"/>
    </xf>
    <xf numFmtId="0" fontId="20" fillId="8" borderId="6" xfId="0" applyFont="1" applyFill="1" applyBorder="1" applyAlignment="1">
      <alignment horizontal="center"/>
    </xf>
    <xf numFmtId="0" fontId="20" fillId="20" borderId="6" xfId="0" applyFont="1" applyFill="1" applyBorder="1" applyAlignment="1">
      <alignment horizontal="center"/>
    </xf>
    <xf numFmtId="22" fontId="19" fillId="11" borderId="6" xfId="0" applyNumberFormat="1" applyFont="1" applyFill="1" applyBorder="1" applyAlignment="1">
      <alignment horizontal="center"/>
    </xf>
    <xf numFmtId="0" fontId="19" fillId="11" borderId="6" xfId="0" applyFont="1" applyFill="1" applyBorder="1" applyAlignment="1">
      <alignment horizontal="center"/>
    </xf>
    <xf numFmtId="49" fontId="22" fillId="3" borderId="6" xfId="0" applyNumberFormat="1" applyFont="1" applyFill="1" applyBorder="1" applyAlignment="1" applyProtection="1">
      <alignment horizontal="center"/>
    </xf>
    <xf numFmtId="17" fontId="22" fillId="3" borderId="6" xfId="0" applyNumberFormat="1" applyFont="1" applyFill="1" applyBorder="1" applyAlignment="1" applyProtection="1">
      <alignment horizontal="center"/>
    </xf>
    <xf numFmtId="0" fontId="20" fillId="3" borderId="6" xfId="0" applyFont="1" applyFill="1" applyBorder="1" applyAlignment="1" applyProtection="1">
      <alignment horizontal="center"/>
    </xf>
    <xf numFmtId="0" fontId="20" fillId="7" borderId="6" xfId="0" applyFont="1" applyFill="1" applyBorder="1" applyAlignment="1" applyProtection="1">
      <alignment horizontal="center"/>
    </xf>
    <xf numFmtId="0" fontId="20" fillId="8" borderId="6" xfId="0" applyFont="1" applyFill="1" applyBorder="1" applyAlignment="1" applyProtection="1">
      <alignment horizontal="center"/>
    </xf>
    <xf numFmtId="0" fontId="20" fillId="0" borderId="6" xfId="0" applyFont="1" applyBorder="1" applyAlignment="1" applyProtection="1">
      <alignment horizontal="left"/>
    </xf>
    <xf numFmtId="0" fontId="61" fillId="0" borderId="6" xfId="0" applyFont="1" applyFill="1" applyBorder="1" applyAlignment="1" applyProtection="1">
      <alignment horizontal="left" wrapText="1"/>
    </xf>
    <xf numFmtId="0" fontId="30" fillId="0" borderId="6" xfId="0" applyFont="1" applyBorder="1" applyAlignment="1" applyProtection="1">
      <alignment horizontal="left"/>
    </xf>
    <xf numFmtId="0" fontId="30" fillId="12" borderId="6" xfId="0" applyFont="1" applyFill="1" applyBorder="1" applyAlignment="1" applyProtection="1">
      <alignment horizontal="left" vertical="center" wrapText="1"/>
    </xf>
    <xf numFmtId="0" fontId="30" fillId="12" borderId="6" xfId="0" applyFont="1" applyFill="1" applyBorder="1" applyAlignment="1" applyProtection="1">
      <alignment horizontal="left" vertical="center"/>
    </xf>
    <xf numFmtId="0" fontId="40" fillId="12" borderId="6" xfId="0" applyNumberFormat="1" applyFont="1" applyFill="1" applyBorder="1" applyAlignment="1" applyProtection="1">
      <alignment horizontal="center" vertical="center" wrapText="1"/>
      <protection locked="0"/>
    </xf>
    <xf numFmtId="0" fontId="30" fillId="12" borderId="6" xfId="0" applyNumberFormat="1" applyFont="1" applyFill="1" applyBorder="1" applyAlignment="1">
      <alignment vertical="center"/>
    </xf>
    <xf numFmtId="0" fontId="19" fillId="12" borderId="6" xfId="0" applyFont="1" applyFill="1" applyBorder="1" applyAlignment="1" applyProtection="1">
      <alignment horizontal="left"/>
    </xf>
    <xf numFmtId="0" fontId="20" fillId="0" borderId="6" xfId="0" applyFont="1" applyBorder="1" applyAlignment="1" applyProtection="1">
      <alignment horizontal="center"/>
    </xf>
    <xf numFmtId="0" fontId="19" fillId="0" borderId="6" xfId="0" applyFont="1" applyBorder="1" applyAlignment="1" applyProtection="1">
      <alignment horizontal="left"/>
    </xf>
    <xf numFmtId="22" fontId="19" fillId="11" borderId="6" xfId="0" applyNumberFormat="1" applyFont="1" applyFill="1" applyBorder="1" applyAlignment="1" applyProtection="1">
      <alignment horizontal="center"/>
    </xf>
    <xf numFmtId="0" fontId="19" fillId="11" borderId="6" xfId="0" applyFont="1" applyFill="1" applyBorder="1" applyAlignment="1" applyProtection="1">
      <alignment horizontal="center"/>
    </xf>
    <xf numFmtId="0" fontId="19" fillId="0" borderId="6" xfId="0" applyFont="1" applyFill="1" applyBorder="1" applyAlignment="1" applyProtection="1">
      <alignment horizontal="left" vertical="center"/>
    </xf>
    <xf numFmtId="0" fontId="31" fillId="0" borderId="6" xfId="0" applyFont="1" applyFill="1" applyBorder="1" applyAlignment="1" applyProtection="1">
      <alignment horizontal="left" wrapText="1"/>
    </xf>
    <xf numFmtId="0" fontId="6" fillId="13" borderId="6" xfId="0" applyFont="1" applyFill="1" applyBorder="1" applyAlignment="1" applyProtection="1">
      <alignment horizontal="center"/>
    </xf>
    <xf numFmtId="0" fontId="19" fillId="0" borderId="6" xfId="0" applyFont="1" applyBorder="1" applyAlignment="1" applyProtection="1">
      <alignment horizontal="center" vertical="center"/>
    </xf>
    <xf numFmtId="0" fontId="19" fillId="0" borderId="6" xfId="0" applyFont="1" applyFill="1" applyBorder="1" applyAlignment="1">
      <alignment horizontal="left"/>
    </xf>
    <xf numFmtId="0" fontId="20" fillId="21" borderId="6" xfId="0" applyFont="1" applyFill="1" applyBorder="1" applyAlignment="1" applyProtection="1">
      <alignment horizontal="center"/>
    </xf>
    <xf numFmtId="0" fontId="20" fillId="22" borderId="6" xfId="0" applyFont="1" applyFill="1" applyBorder="1" applyAlignment="1" applyProtection="1">
      <alignment horizontal="center"/>
    </xf>
    <xf numFmtId="0" fontId="19" fillId="22" borderId="6" xfId="0" applyFont="1" applyFill="1" applyBorder="1" applyAlignment="1" applyProtection="1">
      <alignment horizontal="center"/>
    </xf>
    <xf numFmtId="0" fontId="31" fillId="0" borderId="6" xfId="0" applyFont="1" applyBorder="1" applyAlignment="1" applyProtection="1">
      <alignment horizontal="center" vertical="center" wrapText="1"/>
    </xf>
    <xf numFmtId="0" fontId="31" fillId="12" borderId="6" xfId="0" applyFont="1" applyFill="1" applyBorder="1" applyAlignment="1" applyProtection="1">
      <alignment horizontal="center" vertical="center"/>
    </xf>
    <xf numFmtId="0" fontId="46" fillId="4" borderId="6" xfId="0" applyFont="1" applyFill="1" applyBorder="1" applyAlignment="1" applyProtection="1">
      <alignment horizontal="left" vertical="center"/>
    </xf>
    <xf numFmtId="0" fontId="6" fillId="6" borderId="6" xfId="0" applyFont="1" applyFill="1" applyBorder="1" applyAlignment="1" applyProtection="1">
      <alignment horizontal="center"/>
    </xf>
    <xf numFmtId="0" fontId="20" fillId="17" borderId="6" xfId="0" applyFont="1" applyFill="1" applyBorder="1" applyAlignment="1" applyProtection="1">
      <alignment horizontal="center"/>
    </xf>
    <xf numFmtId="0" fontId="28" fillId="0" borderId="6" xfId="0" applyFont="1" applyFill="1" applyBorder="1" applyAlignment="1" applyProtection="1">
      <alignment horizontal="left" wrapText="1"/>
    </xf>
    <xf numFmtId="0" fontId="27" fillId="0" borderId="6" xfId="0" applyFont="1" applyFill="1" applyBorder="1" applyAlignment="1" applyProtection="1">
      <alignment horizontal="left" wrapText="1"/>
    </xf>
    <xf numFmtId="0" fontId="38" fillId="0" borderId="6" xfId="0" applyFont="1" applyFill="1" applyBorder="1" applyAlignment="1" applyProtection="1">
      <alignment horizontal="left" wrapText="1"/>
    </xf>
    <xf numFmtId="0" fontId="62" fillId="0" borderId="6" xfId="0" applyFont="1" applyFill="1" applyBorder="1" applyAlignment="1" applyProtection="1">
      <alignment horizontal="left" vertical="center" wrapText="1"/>
    </xf>
    <xf numFmtId="0" fontId="61" fillId="0" borderId="6" xfId="0" applyFont="1" applyFill="1" applyBorder="1" applyAlignment="1" applyProtection="1">
      <alignment horizontal="left" vertical="center" wrapText="1"/>
    </xf>
    <xf numFmtId="0" fontId="20" fillId="14" borderId="6" xfId="0" applyFont="1" applyFill="1" applyBorder="1" applyAlignment="1" applyProtection="1">
      <alignment horizontal="center" vertical="center" wrapText="1"/>
    </xf>
    <xf numFmtId="0" fontId="28" fillId="15" borderId="6" xfId="0" applyFont="1" applyFill="1" applyBorder="1" applyAlignment="1" applyProtection="1">
      <alignment horizontal="right" vertical="center"/>
    </xf>
    <xf numFmtId="0" fontId="43" fillId="4" borderId="6" xfId="0" applyFont="1" applyFill="1" applyBorder="1" applyAlignment="1" applyProtection="1">
      <alignment horizontal="left" vertical="center" wrapText="1"/>
    </xf>
    <xf numFmtId="9" fontId="28" fillId="0" borderId="6" xfId="0" applyNumberFormat="1" applyFont="1" applyFill="1" applyBorder="1" applyAlignment="1" applyProtection="1">
      <alignment horizontal="center" vertical="center"/>
    </xf>
    <xf numFmtId="0" fontId="28" fillId="0" borderId="6" xfId="0" applyFont="1" applyFill="1" applyBorder="1" applyAlignment="1" applyProtection="1">
      <alignment horizontal="center" vertical="center"/>
    </xf>
    <xf numFmtId="0" fontId="27" fillId="0" borderId="6" xfId="0" applyFont="1" applyBorder="1" applyAlignment="1" applyProtection="1">
      <alignment horizontal="left"/>
    </xf>
    <xf numFmtId="0" fontId="20" fillId="5" borderId="6" xfId="0" applyFont="1" applyFill="1" applyBorder="1" applyAlignment="1" applyProtection="1">
      <alignment horizontal="right" vertical="center"/>
    </xf>
    <xf numFmtId="0" fontId="45" fillId="4" borderId="6" xfId="0" applyFont="1" applyFill="1" applyBorder="1" applyAlignment="1" applyProtection="1">
      <alignment horizontal="left" vertical="center"/>
    </xf>
    <xf numFmtId="0" fontId="31" fillId="0" borderId="6" xfId="0" applyFont="1" applyFill="1" applyBorder="1" applyAlignment="1" applyProtection="1">
      <alignment horizontal="left" vertical="center" wrapText="1"/>
    </xf>
    <xf numFmtId="0" fontId="26" fillId="2" borderId="6" xfId="0" applyFont="1" applyFill="1" applyBorder="1" applyAlignment="1" applyProtection="1">
      <alignment horizontal="right" vertical="center"/>
    </xf>
    <xf numFmtId="10" fontId="27" fillId="0" borderId="6" xfId="0" applyNumberFormat="1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20" fillId="2" borderId="6" xfId="0" applyFont="1" applyFill="1" applyBorder="1" applyAlignment="1" applyProtection="1">
      <alignment horizontal="center" vertical="center" wrapText="1"/>
    </xf>
    <xf numFmtId="0" fontId="20" fillId="4" borderId="6" xfId="0" applyFont="1" applyFill="1" applyBorder="1" applyAlignment="1" applyProtection="1">
      <alignment horizontal="center" vertical="center" wrapText="1"/>
    </xf>
    <xf numFmtId="0" fontId="19" fillId="4" borderId="6" xfId="0" applyFont="1" applyFill="1" applyBorder="1" applyAlignment="1"/>
    <xf numFmtId="0" fontId="26" fillId="0" borderId="6" xfId="0" applyFont="1" applyBorder="1" applyAlignment="1" applyProtection="1">
      <alignment horizontal="center" vertical="center"/>
    </xf>
    <xf numFmtId="165" fontId="2" fillId="23" borderId="6" xfId="2" applyNumberFormat="1" applyFill="1" applyBorder="1" applyAlignment="1" applyProtection="1">
      <alignment horizontal="right" vertical="center"/>
    </xf>
    <xf numFmtId="165" fontId="2" fillId="23" borderId="6" xfId="2" applyNumberFormat="1" applyFill="1" applyBorder="1" applyAlignment="1">
      <alignment horizontal="right" vertical="center"/>
    </xf>
    <xf numFmtId="44" fontId="31" fillId="0" borderId="6" xfId="0" applyNumberFormat="1" applyFont="1" applyFill="1" applyBorder="1" applyAlignment="1" applyProtection="1">
      <alignment horizontal="center" vertical="center"/>
    </xf>
    <xf numFmtId="0" fontId="28" fillId="15" borderId="6" xfId="0" applyFont="1" applyFill="1" applyBorder="1" applyAlignment="1" applyProtection="1">
      <alignment horizontal="right" vertical="center" wrapText="1"/>
    </xf>
    <xf numFmtId="10" fontId="20" fillId="15" borderId="6" xfId="0" applyNumberFormat="1" applyFont="1" applyFill="1" applyBorder="1" applyAlignment="1" applyProtection="1">
      <alignment horizontal="center" vertical="center"/>
    </xf>
    <xf numFmtId="0" fontId="32" fillId="0" borderId="6" xfId="0" applyFont="1" applyFill="1" applyBorder="1" applyAlignment="1" applyProtection="1">
      <alignment horizontal="right" vertical="center"/>
      <protection locked="0"/>
    </xf>
    <xf numFmtId="0" fontId="19" fillId="0" borderId="6" xfId="0" applyFont="1" applyFill="1" applyBorder="1" applyAlignment="1">
      <alignment horizontal="right" vertical="center"/>
    </xf>
    <xf numFmtId="0" fontId="32" fillId="0" borderId="6" xfId="0" applyNumberFormat="1" applyFont="1" applyFill="1" applyBorder="1" applyAlignment="1" applyProtection="1">
      <alignment horizontal="right" vertical="center"/>
      <protection locked="0"/>
    </xf>
    <xf numFmtId="0" fontId="19" fillId="0" borderId="6" xfId="0" applyNumberFormat="1" applyFont="1" applyFill="1" applyBorder="1" applyAlignment="1">
      <alignment horizontal="right" vertical="center"/>
    </xf>
    <xf numFmtId="9" fontId="32" fillId="0" borderId="6" xfId="0" applyNumberFormat="1" applyFont="1" applyFill="1" applyBorder="1" applyAlignment="1" applyProtection="1">
      <alignment horizontal="right" vertical="center"/>
      <protection locked="0"/>
    </xf>
    <xf numFmtId="9" fontId="19" fillId="0" borderId="6" xfId="0" applyNumberFormat="1" applyFont="1" applyFill="1" applyBorder="1" applyAlignment="1">
      <alignment horizontal="right" vertical="center"/>
    </xf>
    <xf numFmtId="0" fontId="26" fillId="10" borderId="6" xfId="0" applyFont="1" applyFill="1" applyBorder="1" applyAlignment="1">
      <alignment horizontal="center" vertical="center" wrapText="1"/>
    </xf>
    <xf numFmtId="165" fontId="32" fillId="0" borderId="6" xfId="1" applyNumberFormat="1" applyFont="1" applyFill="1" applyBorder="1" applyAlignment="1" applyProtection="1">
      <alignment horizontal="right" vertical="center"/>
      <protection locked="0"/>
    </xf>
    <xf numFmtId="165" fontId="19" fillId="0" borderId="6" xfId="0" applyNumberFormat="1" applyFont="1" applyFill="1" applyBorder="1" applyAlignment="1">
      <alignment horizontal="right" vertical="center"/>
    </xf>
    <xf numFmtId="9" fontId="26" fillId="0" borderId="6" xfId="0" applyNumberFormat="1" applyFont="1" applyFill="1" applyBorder="1" applyAlignment="1" applyProtection="1">
      <alignment horizontal="right" vertical="center"/>
    </xf>
    <xf numFmtId="0" fontId="45" fillId="4" borderId="6" xfId="0" applyFont="1" applyFill="1" applyBorder="1" applyAlignment="1" applyProtection="1">
      <alignment horizontal="left"/>
    </xf>
    <xf numFmtId="0" fontId="20" fillId="14" borderId="6" xfId="0" applyFont="1" applyFill="1" applyBorder="1" applyAlignment="1" applyProtection="1">
      <alignment horizontal="center" vertical="center"/>
    </xf>
    <xf numFmtId="0" fontId="31" fillId="0" borderId="6" xfId="0" applyFont="1" applyBorder="1" applyAlignment="1" applyProtection="1">
      <alignment horizontal="left" vertical="center" wrapText="1"/>
    </xf>
    <xf numFmtId="0" fontId="31" fillId="0" borderId="6" xfId="0" applyFont="1" applyBorder="1" applyAlignment="1" applyProtection="1">
      <alignment horizontal="left" vertical="center"/>
    </xf>
    <xf numFmtId="0" fontId="26" fillId="0" borderId="6" xfId="0" applyFont="1" applyBorder="1" applyAlignment="1" applyProtection="1">
      <alignment horizontal="left" vertical="center"/>
    </xf>
    <xf numFmtId="0" fontId="26" fillId="15" borderId="6" xfId="0" applyFont="1" applyFill="1" applyBorder="1" applyAlignment="1" applyProtection="1">
      <alignment horizontal="right" vertical="center"/>
    </xf>
    <xf numFmtId="0" fontId="20" fillId="5" borderId="6" xfId="0" applyFont="1" applyFill="1" applyBorder="1" applyAlignment="1" applyProtection="1">
      <alignment horizontal="right"/>
    </xf>
    <xf numFmtId="0" fontId="20" fillId="13" borderId="6" xfId="0" applyFont="1" applyFill="1" applyBorder="1" applyAlignment="1" applyProtection="1">
      <alignment horizontal="center" vertical="center"/>
    </xf>
    <xf numFmtId="0" fontId="19" fillId="0" borderId="6" xfId="0" applyFont="1" applyBorder="1" applyAlignment="1" applyProtection="1">
      <alignment horizontal="left" vertical="center"/>
    </xf>
    <xf numFmtId="0" fontId="19" fillId="0" borderId="6" xfId="0" applyFont="1" applyBorder="1" applyAlignment="1" applyProtection="1">
      <alignment horizontal="left" vertical="center" wrapText="1"/>
    </xf>
    <xf numFmtId="0" fontId="38" fillId="0" borderId="6" xfId="0" applyFont="1" applyBorder="1" applyAlignment="1" applyProtection="1">
      <alignment horizontal="left" vertical="center"/>
    </xf>
    <xf numFmtId="0" fontId="20" fillId="16" borderId="6" xfId="0" applyFont="1" applyFill="1" applyBorder="1" applyAlignment="1" applyProtection="1">
      <alignment horizontal="right"/>
    </xf>
    <xf numFmtId="0" fontId="20" fillId="13" borderId="6" xfId="0" applyFont="1" applyFill="1" applyBorder="1" applyAlignment="1" applyProtection="1">
      <alignment horizontal="center" vertical="center" wrapText="1"/>
    </xf>
    <xf numFmtId="0" fontId="26" fillId="0" borderId="6" xfId="0" applyFont="1" applyBorder="1" applyAlignment="1" applyProtection="1">
      <alignment horizontal="left" vertical="center" wrapText="1"/>
    </xf>
    <xf numFmtId="0" fontId="6" fillId="13" borderId="6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/>
    </xf>
    <xf numFmtId="0" fontId="31" fillId="0" borderId="6" xfId="0" applyFont="1" applyFill="1" applyBorder="1" applyAlignment="1" applyProtection="1">
      <alignment horizontal="left" vertical="center"/>
    </xf>
    <xf numFmtId="0" fontId="26" fillId="6" borderId="6" xfId="0" applyFont="1" applyFill="1" applyBorder="1" applyAlignment="1" applyProtection="1">
      <alignment horizontal="right" vertical="center"/>
    </xf>
    <xf numFmtId="0" fontId="6" fillId="15" borderId="6" xfId="0" applyFont="1" applyFill="1" applyBorder="1" applyAlignment="1" applyProtection="1">
      <alignment horizontal="center" vertical="center" wrapText="1"/>
    </xf>
    <xf numFmtId="0" fontId="7" fillId="6" borderId="6" xfId="0" applyFont="1" applyFill="1" applyBorder="1" applyAlignment="1" applyProtection="1">
      <alignment horizontal="center" vertical="center"/>
    </xf>
    <xf numFmtId="0" fontId="60" fillId="6" borderId="6" xfId="0" applyFont="1" applyFill="1" applyBorder="1" applyAlignment="1" applyProtection="1">
      <alignment horizontal="center"/>
    </xf>
    <xf numFmtId="0" fontId="20" fillId="0" borderId="6" xfId="0" applyFont="1" applyFill="1" applyBorder="1" applyAlignment="1" applyProtection="1">
      <alignment horizontal="left" vertical="center"/>
    </xf>
    <xf numFmtId="0" fontId="31" fillId="0" borderId="6" xfId="0" applyFont="1" applyFill="1" applyBorder="1" applyAlignment="1">
      <alignment horizontal="left" vertical="center"/>
    </xf>
    <xf numFmtId="0" fontId="20" fillId="6" borderId="6" xfId="0" applyFont="1" applyFill="1" applyBorder="1" applyAlignment="1" applyProtection="1">
      <alignment horizontal="right" vertical="center"/>
    </xf>
    <xf numFmtId="0" fontId="57" fillId="4" borderId="6" xfId="0" applyFont="1" applyFill="1" applyBorder="1" applyAlignment="1" applyProtection="1">
      <alignment horizontal="left"/>
    </xf>
    <xf numFmtId="0" fontId="59" fillId="4" borderId="6" xfId="0" applyFont="1" applyFill="1" applyBorder="1" applyAlignment="1" applyProtection="1">
      <alignment horizontal="center" vertical="center"/>
    </xf>
    <xf numFmtId="0" fontId="58" fillId="4" borderId="6" xfId="0" applyFont="1" applyFill="1" applyBorder="1" applyAlignment="1" applyProtection="1">
      <alignment horizontal="center" vertical="center" wrapText="1"/>
    </xf>
    <xf numFmtId="0" fontId="58" fillId="4" borderId="6" xfId="0" applyFont="1" applyFill="1" applyBorder="1" applyAlignment="1" applyProtection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left"/>
    </xf>
    <xf numFmtId="0" fontId="45" fillId="4" borderId="6" xfId="0" applyFont="1" applyFill="1" applyBorder="1" applyAlignment="1" applyProtection="1">
      <alignment horizontal="left" vertical="center" wrapText="1"/>
    </xf>
    <xf numFmtId="0" fontId="20" fillId="15" borderId="6" xfId="0" applyFont="1" applyFill="1" applyBorder="1" applyAlignment="1" applyProtection="1">
      <alignment horizontal="right" vertical="center"/>
    </xf>
    <xf numFmtId="0" fontId="18" fillId="0" borderId="6" xfId="15" applyNumberFormat="1" applyFont="1" applyFill="1" applyBorder="1" applyAlignment="1" applyProtection="1">
      <alignment horizontal="center" vertical="center"/>
    </xf>
    <xf numFmtId="0" fontId="11" fillId="19" borderId="6" xfId="15" applyFont="1" applyFill="1" applyBorder="1" applyAlignment="1" applyProtection="1">
      <alignment horizontal="right" vertical="center"/>
    </xf>
    <xf numFmtId="0" fontId="54" fillId="0" borderId="6" xfId="15" applyFont="1" applyBorder="1" applyAlignment="1">
      <alignment horizontal="left" vertical="center"/>
    </xf>
    <xf numFmtId="0" fontId="11" fillId="0" borderId="6" xfId="15" applyFont="1" applyBorder="1" applyAlignment="1" applyProtection="1">
      <alignment horizontal="center" vertical="center" wrapText="1"/>
    </xf>
    <xf numFmtId="0" fontId="0" fillId="0" borderId="6" xfId="15" applyFont="1" applyBorder="1" applyAlignment="1" applyProtection="1">
      <alignment horizontal="center" vertical="center"/>
    </xf>
    <xf numFmtId="0" fontId="51" fillId="19" borderId="6" xfId="15" applyFont="1" applyFill="1" applyBorder="1" applyAlignment="1" applyProtection="1">
      <alignment horizontal="center" vertical="center"/>
    </xf>
    <xf numFmtId="0" fontId="11" fillId="0" borderId="6" xfId="15" applyFont="1" applyFill="1" applyBorder="1" applyAlignment="1" applyProtection="1">
      <alignment horizontal="center" vertical="center"/>
    </xf>
    <xf numFmtId="0" fontId="11" fillId="0" borderId="6" xfId="15" applyFont="1" applyFill="1" applyBorder="1" applyAlignment="1" applyProtection="1">
      <alignment horizontal="center" vertical="center" wrapText="1"/>
    </xf>
    <xf numFmtId="0" fontId="11" fillId="0" borderId="6" xfId="15" applyFont="1" applyBorder="1" applyAlignment="1" applyProtection="1">
      <alignment horizontal="center" vertical="center"/>
    </xf>
    <xf numFmtId="0" fontId="55" fillId="19" borderId="6" xfId="15" applyFont="1" applyFill="1" applyBorder="1" applyAlignment="1" applyProtection="1">
      <alignment horizontal="center"/>
    </xf>
    <xf numFmtId="0" fontId="11" fillId="18" borderId="6" xfId="15" applyFont="1" applyFill="1" applyBorder="1" applyAlignment="1" applyProtection="1">
      <alignment horizontal="right" vertical="center"/>
    </xf>
    <xf numFmtId="0" fontId="50" fillId="0" borderId="6" xfId="15" applyFont="1" applyFill="1" applyBorder="1" applyAlignment="1" applyProtection="1">
      <alignment horizontal="center" vertical="center"/>
    </xf>
    <xf numFmtId="0" fontId="52" fillId="6" borderId="6" xfId="15" applyFont="1" applyFill="1" applyBorder="1" applyAlignment="1" applyProtection="1">
      <alignment horizontal="center"/>
    </xf>
    <xf numFmtId="0" fontId="52" fillId="2" borderId="6" xfId="15" applyFont="1" applyFill="1" applyBorder="1" applyAlignment="1" applyProtection="1">
      <alignment horizontal="center" wrapText="1"/>
    </xf>
    <xf numFmtId="0" fontId="61" fillId="0" borderId="7" xfId="0" applyFont="1" applyBorder="1" applyAlignment="1">
      <alignment horizontal="center" vertical="center" wrapText="1"/>
    </xf>
    <xf numFmtId="0" fontId="61" fillId="0" borderId="8" xfId="0" applyFont="1" applyBorder="1" applyAlignment="1">
      <alignment horizontal="center" vertical="center" wrapText="1"/>
    </xf>
    <xf numFmtId="0" fontId="61" fillId="0" borderId="9" xfId="0" applyFont="1" applyBorder="1" applyAlignment="1">
      <alignment horizontal="center" vertical="center" wrapText="1"/>
    </xf>
    <xf numFmtId="0" fontId="61" fillId="0" borderId="10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61" fillId="0" borderId="11" xfId="0" applyFont="1" applyBorder="1" applyAlignment="1">
      <alignment horizontal="center" vertical="center" wrapText="1"/>
    </xf>
    <xf numFmtId="0" fontId="61" fillId="0" borderId="12" xfId="0" applyFont="1" applyBorder="1" applyAlignment="1">
      <alignment horizontal="center" vertical="center"/>
    </xf>
    <xf numFmtId="0" fontId="61" fillId="0" borderId="13" xfId="0" applyFont="1" applyBorder="1" applyAlignment="1">
      <alignment horizontal="center" vertical="center"/>
    </xf>
    <xf numFmtId="0" fontId="61" fillId="0" borderId="2" xfId="0" applyFont="1" applyBorder="1" applyAlignment="1">
      <alignment horizontal="center"/>
    </xf>
    <xf numFmtId="0" fontId="61" fillId="0" borderId="14" xfId="0" applyFont="1" applyBorder="1" applyAlignment="1">
      <alignment horizontal="center"/>
    </xf>
    <xf numFmtId="0" fontId="61" fillId="0" borderId="3" xfId="0" applyFont="1" applyBorder="1" applyAlignment="1">
      <alignment horizontal="center"/>
    </xf>
    <xf numFmtId="0" fontId="61" fillId="15" borderId="6" xfId="0" applyFont="1" applyFill="1" applyBorder="1" applyAlignment="1">
      <alignment horizontal="center" vertical="center"/>
    </xf>
    <xf numFmtId="173" fontId="27" fillId="0" borderId="2" xfId="2" applyNumberFormat="1" applyFont="1" applyBorder="1" applyAlignment="1">
      <alignment horizontal="center" vertical="center"/>
    </xf>
    <xf numFmtId="173" fontId="27" fillId="0" borderId="3" xfId="2" applyNumberFormat="1" applyFont="1" applyBorder="1" applyAlignment="1">
      <alignment horizontal="center" vertical="center"/>
    </xf>
    <xf numFmtId="0" fontId="62" fillId="0" borderId="2" xfId="0" applyFont="1" applyBorder="1" applyAlignment="1">
      <alignment horizontal="center" vertical="center"/>
    </xf>
    <xf numFmtId="0" fontId="62" fillId="0" borderId="3" xfId="0" applyFont="1" applyBorder="1" applyAlignment="1">
      <alignment horizontal="center" vertical="center"/>
    </xf>
    <xf numFmtId="0" fontId="61" fillId="0" borderId="6" xfId="0" applyFont="1" applyBorder="1" applyAlignment="1">
      <alignment horizontal="center" vertical="center"/>
    </xf>
    <xf numFmtId="0" fontId="62" fillId="0" borderId="2" xfId="0" applyFont="1" applyBorder="1" applyAlignment="1">
      <alignment horizontal="center" vertical="center" wrapText="1"/>
    </xf>
    <xf numFmtId="0" fontId="62" fillId="0" borderId="3" xfId="0" applyFont="1" applyBorder="1" applyAlignment="1">
      <alignment horizontal="center" vertical="center" wrapText="1"/>
    </xf>
    <xf numFmtId="173" fontId="62" fillId="0" borderId="6" xfId="2" applyNumberFormat="1" applyFont="1" applyBorder="1" applyAlignment="1">
      <alignment horizontal="center" vertical="center"/>
    </xf>
    <xf numFmtId="0" fontId="62" fillId="0" borderId="6" xfId="0" applyFont="1" applyBorder="1" applyAlignment="1">
      <alignment horizontal="center" vertical="center"/>
    </xf>
    <xf numFmtId="0" fontId="67" fillId="15" borderId="6" xfId="0" applyFont="1" applyFill="1" applyBorder="1" applyAlignment="1">
      <alignment horizontal="center" vertical="center"/>
    </xf>
    <xf numFmtId="173" fontId="61" fillId="15" borderId="6" xfId="2" applyNumberFormat="1" applyFont="1" applyFill="1" applyBorder="1" applyAlignment="1">
      <alignment horizontal="center" vertical="center"/>
    </xf>
    <xf numFmtId="0" fontId="61" fillId="6" borderId="6" xfId="0" applyFont="1" applyFill="1" applyBorder="1" applyAlignment="1">
      <alignment horizontal="center" vertical="center"/>
    </xf>
    <xf numFmtId="0" fontId="61" fillId="3" borderId="6" xfId="0" applyFont="1" applyFill="1" applyBorder="1" applyAlignment="1">
      <alignment horizontal="center"/>
    </xf>
    <xf numFmtId="0" fontId="61" fillId="6" borderId="6" xfId="0" applyFont="1" applyFill="1" applyBorder="1" applyAlignment="1">
      <alignment horizontal="center"/>
    </xf>
    <xf numFmtId="0" fontId="61" fillId="2" borderId="4" xfId="0" applyFont="1" applyFill="1" applyBorder="1" applyAlignment="1">
      <alignment horizontal="center" vertical="center" wrapText="1"/>
    </xf>
    <xf numFmtId="0" fontId="62" fillId="15" borderId="2" xfId="0" applyFont="1" applyFill="1" applyBorder="1" applyAlignment="1">
      <alignment horizontal="center" vertical="center" wrapText="1"/>
    </xf>
    <xf numFmtId="0" fontId="62" fillId="15" borderId="14" xfId="0" applyFont="1" applyFill="1" applyBorder="1" applyAlignment="1">
      <alignment horizontal="center" vertical="center" wrapText="1"/>
    </xf>
    <xf numFmtId="0" fontId="62" fillId="15" borderId="3" xfId="0" applyFont="1" applyFill="1" applyBorder="1" applyAlignment="1">
      <alignment horizontal="center" vertical="center" wrapText="1"/>
    </xf>
    <xf numFmtId="0" fontId="62" fillId="0" borderId="1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62" fillId="0" borderId="0" xfId="0" applyFont="1" applyAlignment="1">
      <alignment horizontal="left" vertical="center" wrapText="1"/>
    </xf>
    <xf numFmtId="0" fontId="62" fillId="0" borderId="0" xfId="0" applyFont="1" applyAlignment="1">
      <alignment horizontal="left" wrapText="1"/>
    </xf>
    <xf numFmtId="0" fontId="62" fillId="0" borderId="0" xfId="0" applyFont="1" applyAlignment="1">
      <alignment horizontal="left"/>
    </xf>
    <xf numFmtId="0" fontId="61" fillId="0" borderId="0" xfId="0" applyFont="1" applyAlignment="1">
      <alignment horizontal="center"/>
    </xf>
    <xf numFmtId="0" fontId="62" fillId="0" borderId="0" xfId="0" applyFont="1" applyAlignment="1">
      <alignment horizontal="center"/>
    </xf>
    <xf numFmtId="0" fontId="61" fillId="0" borderId="0" xfId="0" applyFont="1" applyAlignment="1">
      <alignment horizontal="left"/>
    </xf>
    <xf numFmtId="0" fontId="61" fillId="15" borderId="7" xfId="0" applyFont="1" applyFill="1" applyBorder="1" applyAlignment="1">
      <alignment horizontal="center" vertical="center" wrapText="1"/>
    </xf>
    <xf numFmtId="0" fontId="61" fillId="15" borderId="8" xfId="0" applyFont="1" applyFill="1" applyBorder="1" applyAlignment="1">
      <alignment horizontal="center" vertical="center" wrapText="1"/>
    </xf>
    <xf numFmtId="0" fontId="61" fillId="15" borderId="9" xfId="0" applyFont="1" applyFill="1" applyBorder="1" applyAlignment="1">
      <alignment horizontal="center" vertical="center" wrapText="1"/>
    </xf>
    <xf numFmtId="0" fontId="61" fillId="15" borderId="10" xfId="0" applyFont="1" applyFill="1" applyBorder="1" applyAlignment="1">
      <alignment horizontal="center" vertical="center" wrapText="1"/>
    </xf>
    <xf numFmtId="0" fontId="61" fillId="15" borderId="1" xfId="0" applyFont="1" applyFill="1" applyBorder="1" applyAlignment="1">
      <alignment horizontal="center" vertical="center" wrapText="1"/>
    </xf>
    <xf numFmtId="0" fontId="61" fillId="15" borderId="11" xfId="0" applyFont="1" applyFill="1" applyBorder="1" applyAlignment="1">
      <alignment horizontal="center" vertical="center" wrapText="1"/>
    </xf>
    <xf numFmtId="0" fontId="11" fillId="19" borderId="6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52" fillId="19" borderId="6" xfId="0" applyFont="1" applyFill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left" vertical="center" wrapText="1"/>
    </xf>
    <xf numFmtId="0" fontId="11" fillId="19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wrapText="1"/>
    </xf>
    <xf numFmtId="0" fontId="0" fillId="0" borderId="6" xfId="0" applyFill="1" applyBorder="1" applyAlignment="1">
      <alignment vertical="center" wrapText="1"/>
    </xf>
  </cellXfs>
  <cellStyles count="17">
    <cellStyle name="Excel Built-in Comma" xfId="6" xr:uid="{00000000-0005-0000-0000-000000000000}"/>
    <cellStyle name="Excel Built-in Currency" xfId="7" xr:uid="{00000000-0005-0000-0000-000001000000}"/>
    <cellStyle name="Excel Built-in Normal" xfId="8" xr:uid="{00000000-0005-0000-0000-000002000000}"/>
    <cellStyle name="Excel Built-in Percent" xfId="9" xr:uid="{00000000-0005-0000-0000-000003000000}"/>
    <cellStyle name="Heading" xfId="10" xr:uid="{00000000-0005-0000-0000-000004000000}"/>
    <cellStyle name="Heading1" xfId="11" xr:uid="{00000000-0005-0000-0000-000005000000}"/>
    <cellStyle name="Moeda" xfId="2" builtinId="4"/>
    <cellStyle name="Moeda 3" xfId="16" xr:uid="{00000000-0005-0000-0000-000007000000}"/>
    <cellStyle name="Normal" xfId="0" builtinId="0"/>
    <cellStyle name="Normal 2" xfId="5" xr:uid="{00000000-0005-0000-0000-000009000000}"/>
    <cellStyle name="Normal 3" xfId="15" xr:uid="{00000000-0005-0000-0000-00000A000000}"/>
    <cellStyle name="Normal 5" xfId="4" xr:uid="{00000000-0005-0000-0000-00000B000000}"/>
    <cellStyle name="Normal 5 2" xfId="12" xr:uid="{00000000-0005-0000-0000-00000C000000}"/>
    <cellStyle name="Porcentagem" xfId="3" builtinId="5"/>
    <cellStyle name="Result" xfId="13" xr:uid="{00000000-0005-0000-0000-00000E000000}"/>
    <cellStyle name="Result2" xfId="14" xr:uid="{00000000-0005-0000-0000-00000F000000}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50805247-0993-428D-B9B4-6A59A8ADA8E8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B86E4ABF-91F3-4A52-AF59-B09C19A69805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DEBB4F11-19DC-40A2-9F0A-692E79F161C8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8BABB8E7-925B-42F4-91BF-A7A7F734567E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587FD3FB-151E-4818-ADD2-15100306CE99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534BE857-3112-4DD0-9DAD-93EEF2F3056B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83B19334-3C66-4398-AD19-B9D8DA41AA4A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55965</xdr:colOff>
      <xdr:row>7</xdr:row>
      <xdr:rowOff>25395</xdr:rowOff>
    </xdr:from>
    <xdr:to>
      <xdr:col>4</xdr:col>
      <xdr:colOff>621810</xdr:colOff>
      <xdr:row>7</xdr:row>
      <xdr:rowOff>148875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475AD79C-B679-4307-8B74-A14034E8FA02}"/>
            </a:ext>
          </a:extLst>
        </xdr:cNvPr>
        <xdr:cNvSpPr/>
      </xdr:nvSpPr>
      <xdr:spPr>
        <a:xfrm>
          <a:off x="5218515" y="115887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36916</xdr:colOff>
      <xdr:row>6</xdr:row>
      <xdr:rowOff>180975</xdr:rowOff>
    </xdr:from>
    <xdr:to>
      <xdr:col>4</xdr:col>
      <xdr:colOff>657226</xdr:colOff>
      <xdr:row>7</xdr:row>
      <xdr:rowOff>190499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 flipV="1">
          <a:off x="5008966" y="1333500"/>
          <a:ext cx="620310" cy="200024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7"/>
  <sheetViews>
    <sheetView topLeftCell="A124" zoomScaleNormal="100" workbookViewId="0">
      <selection activeCell="H164" sqref="H164"/>
    </sheetView>
  </sheetViews>
  <sheetFormatPr defaultRowHeight="15"/>
  <cols>
    <col min="1" max="1" width="17.5703125" customWidth="1"/>
    <col min="2" max="2" width="19.7109375" customWidth="1"/>
    <col min="3" max="3" width="25.5703125" customWidth="1"/>
    <col min="4" max="4" width="16.42578125" customWidth="1"/>
    <col min="5" max="5" width="13.85546875" customWidth="1"/>
    <col min="6" max="6" width="19.85546875" customWidth="1"/>
    <col min="7" max="7" width="24.5703125" customWidth="1"/>
    <col min="8" max="8" width="11.85546875" customWidth="1"/>
    <col min="9" max="9" width="10.42578125" customWidth="1"/>
  </cols>
  <sheetData>
    <row r="1" spans="1:9">
      <c r="A1" s="464" t="s">
        <v>36</v>
      </c>
      <c r="B1" s="464"/>
      <c r="C1" s="464"/>
      <c r="D1" s="464"/>
      <c r="E1" s="464"/>
      <c r="F1" s="464"/>
      <c r="G1" s="464"/>
      <c r="H1" s="3"/>
      <c r="I1" s="3"/>
    </row>
    <row r="2" spans="1:9">
      <c r="A2" s="445" t="s">
        <v>0</v>
      </c>
      <c r="B2" s="445"/>
      <c r="C2" s="445"/>
      <c r="D2" s="445"/>
      <c r="E2" s="445"/>
      <c r="F2" s="445"/>
      <c r="G2" s="445"/>
      <c r="H2" s="3"/>
      <c r="I2" s="3"/>
    </row>
    <row r="3" spans="1:9">
      <c r="A3" s="136" t="s">
        <v>1</v>
      </c>
      <c r="B3" s="465" t="s">
        <v>357</v>
      </c>
      <c r="C3" s="465"/>
      <c r="D3" s="465"/>
      <c r="E3" s="137" t="s">
        <v>2</v>
      </c>
      <c r="F3" s="466" t="s">
        <v>358</v>
      </c>
      <c r="G3" s="466"/>
      <c r="H3" s="3"/>
      <c r="I3" s="3"/>
    </row>
    <row r="4" spans="1:9">
      <c r="A4" s="136" t="s">
        <v>3</v>
      </c>
      <c r="B4" s="467">
        <f ca="1">NOW()</f>
        <v>44357.388847337963</v>
      </c>
      <c r="C4" s="467"/>
      <c r="D4" s="467"/>
      <c r="E4" s="467"/>
      <c r="F4" s="467"/>
      <c r="G4" s="467"/>
      <c r="H4" s="3"/>
      <c r="I4" s="3"/>
    </row>
    <row r="5" spans="1:9">
      <c r="A5" s="468" t="s">
        <v>4</v>
      </c>
      <c r="B5" s="468"/>
      <c r="C5" s="468"/>
      <c r="D5" s="468"/>
      <c r="E5" s="468"/>
      <c r="F5" s="468"/>
      <c r="G5" s="468"/>
      <c r="H5" s="7"/>
      <c r="I5" s="3"/>
    </row>
    <row r="6" spans="1:9">
      <c r="A6" s="461" t="s">
        <v>5</v>
      </c>
      <c r="B6" s="461"/>
      <c r="C6" s="462" t="s">
        <v>263</v>
      </c>
      <c r="D6" s="462"/>
      <c r="E6" s="462"/>
      <c r="F6" s="462"/>
      <c r="G6" s="462"/>
      <c r="H6" s="5"/>
      <c r="I6" s="3"/>
    </row>
    <row r="7" spans="1:9">
      <c r="A7" s="461" t="s">
        <v>6</v>
      </c>
      <c r="B7" s="461"/>
      <c r="C7" s="462" t="s">
        <v>264</v>
      </c>
      <c r="D7" s="462"/>
      <c r="E7" s="462"/>
      <c r="F7" s="462"/>
      <c r="G7" s="462"/>
      <c r="H7" s="138"/>
      <c r="I7" s="3"/>
    </row>
    <row r="8" spans="1:9">
      <c r="A8" s="461" t="s">
        <v>265</v>
      </c>
      <c r="B8" s="461"/>
      <c r="C8" s="461"/>
      <c r="D8" s="200"/>
      <c r="E8" s="463">
        <v>1</v>
      </c>
      <c r="F8" s="463"/>
      <c r="G8" s="295" t="str">
        <f>IF(E8=1,"Lucro Real",IF(E8=2,"Lucro Presumido",IF(E8=3,"SIMPLES-Anexo III",IF(E8=4,"SIMPLES-Anexo IV","RT Inválido"))))</f>
        <v>Lucro Real</v>
      </c>
      <c r="H8" s="138"/>
      <c r="I8" s="3"/>
    </row>
    <row r="9" spans="1:9">
      <c r="A9" s="469" t="s">
        <v>7</v>
      </c>
      <c r="B9" s="469"/>
      <c r="C9" s="469"/>
      <c r="D9" s="469"/>
      <c r="E9" s="469"/>
      <c r="F9" s="469"/>
      <c r="G9" s="469"/>
      <c r="H9" s="138"/>
      <c r="I9" s="3"/>
    </row>
    <row r="10" spans="1:9">
      <c r="A10" s="296" t="s">
        <v>8</v>
      </c>
      <c r="B10" s="446" t="s">
        <v>9</v>
      </c>
      <c r="C10" s="446"/>
      <c r="D10" s="446"/>
      <c r="E10" s="470">
        <f ca="1">NOW()</f>
        <v>44357.388847337963</v>
      </c>
      <c r="F10" s="471"/>
      <c r="G10" s="471"/>
      <c r="H10" s="138"/>
      <c r="I10" s="3"/>
    </row>
    <row r="11" spans="1:9">
      <c r="A11" s="296" t="s">
        <v>10</v>
      </c>
      <c r="B11" s="455" t="s">
        <v>11</v>
      </c>
      <c r="C11" s="455"/>
      <c r="D11" s="455"/>
      <c r="E11" s="456" t="s">
        <v>258</v>
      </c>
      <c r="F11" s="456"/>
      <c r="G11" s="456"/>
      <c r="H11" s="3"/>
      <c r="I11" s="3"/>
    </row>
    <row r="12" spans="1:9" ht="28.5" customHeight="1">
      <c r="A12" s="148" t="s">
        <v>12</v>
      </c>
      <c r="B12" s="457" t="s">
        <v>68</v>
      </c>
      <c r="C12" s="458"/>
      <c r="D12" s="458"/>
      <c r="E12" s="458"/>
      <c r="F12" s="459" t="s">
        <v>257</v>
      </c>
      <c r="G12" s="460"/>
      <c r="H12" s="3"/>
      <c r="I12" s="3"/>
    </row>
    <row r="13" spans="1:9">
      <c r="A13" s="296" t="s">
        <v>13</v>
      </c>
      <c r="B13" s="448" t="s">
        <v>14</v>
      </c>
      <c r="C13" s="448"/>
      <c r="D13" s="448"/>
      <c r="E13" s="448"/>
      <c r="F13" s="448"/>
      <c r="G13" s="227">
        <v>30</v>
      </c>
      <c r="H13" s="3"/>
      <c r="I13" s="3"/>
    </row>
    <row r="14" spans="1:9">
      <c r="A14" s="449" t="s">
        <v>286</v>
      </c>
      <c r="B14" s="449"/>
      <c r="C14" s="449"/>
      <c r="D14" s="449"/>
      <c r="E14" s="449"/>
      <c r="F14" s="449"/>
      <c r="G14" s="449"/>
      <c r="H14" s="3"/>
      <c r="I14" s="3"/>
    </row>
    <row r="15" spans="1:9">
      <c r="A15" s="450" t="s">
        <v>287</v>
      </c>
      <c r="B15" s="450"/>
      <c r="C15" s="450"/>
      <c r="D15" s="451" t="s">
        <v>288</v>
      </c>
      <c r="E15" s="451"/>
      <c r="F15" s="451" t="s">
        <v>289</v>
      </c>
      <c r="G15" s="451"/>
      <c r="H15" s="3"/>
      <c r="I15" s="3"/>
    </row>
    <row r="16" spans="1:9">
      <c r="A16" s="452" t="s">
        <v>340</v>
      </c>
      <c r="B16" s="452"/>
      <c r="C16" s="452"/>
      <c r="D16" s="453" t="s">
        <v>290</v>
      </c>
      <c r="E16" s="453"/>
      <c r="F16" s="454">
        <v>1</v>
      </c>
      <c r="G16" s="454"/>
      <c r="H16" s="3"/>
      <c r="I16" s="3"/>
    </row>
    <row r="17" spans="1:9">
      <c r="A17" s="452"/>
      <c r="B17" s="452"/>
      <c r="C17" s="452"/>
      <c r="D17" s="453"/>
      <c r="E17" s="453"/>
      <c r="F17" s="454"/>
      <c r="G17" s="454"/>
      <c r="H17" s="3"/>
      <c r="I17" s="3"/>
    </row>
    <row r="18" spans="1:9">
      <c r="A18" s="444"/>
      <c r="B18" s="444"/>
      <c r="C18" s="444"/>
      <c r="D18" s="444"/>
      <c r="E18" s="444"/>
      <c r="F18" s="444"/>
      <c r="G18" s="444"/>
      <c r="H18" s="3"/>
      <c r="I18" s="7"/>
    </row>
    <row r="19" spans="1:9" ht="15.75">
      <c r="A19" s="426" t="s">
        <v>300</v>
      </c>
      <c r="B19" s="426"/>
      <c r="C19" s="426"/>
      <c r="D19" s="426"/>
      <c r="E19" s="426"/>
      <c r="F19" s="426"/>
      <c r="G19" s="426"/>
      <c r="H19" s="3"/>
      <c r="I19" s="7"/>
    </row>
    <row r="20" spans="1:9">
      <c r="A20" s="445" t="s">
        <v>299</v>
      </c>
      <c r="B20" s="445"/>
      <c r="C20" s="445"/>
      <c r="D20" s="445"/>
      <c r="E20" s="445"/>
      <c r="F20" s="445"/>
      <c r="G20" s="445"/>
      <c r="H20" s="3"/>
      <c r="I20" s="7"/>
    </row>
    <row r="21" spans="1:9">
      <c r="A21" s="415" t="s">
        <v>301</v>
      </c>
      <c r="B21" s="415"/>
      <c r="C21" s="415"/>
      <c r="D21" s="415"/>
      <c r="E21" s="415"/>
      <c r="F21" s="415"/>
      <c r="G21" s="415"/>
      <c r="H21" s="3"/>
      <c r="I21" s="7"/>
    </row>
    <row r="22" spans="1:9" ht="69.75" customHeight="1">
      <c r="A22" s="159">
        <v>1</v>
      </c>
      <c r="B22" s="370" t="s">
        <v>268</v>
      </c>
      <c r="C22" s="370"/>
      <c r="D22" s="370"/>
      <c r="E22" s="370"/>
      <c r="F22" s="446"/>
      <c r="G22" s="297" t="s">
        <v>342</v>
      </c>
      <c r="H22" s="3"/>
      <c r="I22" s="7"/>
    </row>
    <row r="23" spans="1:9">
      <c r="A23" s="159">
        <v>2</v>
      </c>
      <c r="B23" s="447" t="s">
        <v>53</v>
      </c>
      <c r="C23" s="447"/>
      <c r="D23" s="447"/>
      <c r="E23" s="447"/>
      <c r="F23" s="448"/>
      <c r="G23" s="298" t="s">
        <v>67</v>
      </c>
      <c r="H23" s="3"/>
      <c r="I23" s="7"/>
    </row>
    <row r="24" spans="1:9">
      <c r="A24" s="159">
        <v>3</v>
      </c>
      <c r="B24" s="443" t="s">
        <v>334</v>
      </c>
      <c r="C24" s="443"/>
      <c r="D24" s="443"/>
      <c r="E24" s="443"/>
      <c r="F24" s="443"/>
      <c r="G24" s="299">
        <v>1500.4</v>
      </c>
      <c r="H24" s="3"/>
      <c r="I24" s="8"/>
    </row>
    <row r="25" spans="1:9">
      <c r="A25" s="159">
        <v>4</v>
      </c>
      <c r="B25" s="370" t="s">
        <v>15</v>
      </c>
      <c r="C25" s="370"/>
      <c r="D25" s="370"/>
      <c r="E25" s="370"/>
      <c r="F25" s="370"/>
      <c r="G25" s="139" t="s">
        <v>71</v>
      </c>
      <c r="H25" s="3"/>
      <c r="I25" s="7"/>
    </row>
    <row r="26" spans="1:9">
      <c r="A26" s="159">
        <v>5</v>
      </c>
      <c r="B26" s="370" t="s">
        <v>16</v>
      </c>
      <c r="C26" s="370"/>
      <c r="D26" s="370"/>
      <c r="E26" s="370"/>
      <c r="F26" s="370"/>
      <c r="G26" s="300" t="s">
        <v>72</v>
      </c>
      <c r="H26" s="3"/>
      <c r="I26" s="7"/>
    </row>
    <row r="27" spans="1:9">
      <c r="A27" s="140">
        <v>6</v>
      </c>
      <c r="B27" s="442" t="s">
        <v>76</v>
      </c>
      <c r="C27" s="442"/>
      <c r="D27" s="442"/>
      <c r="E27" s="442"/>
      <c r="F27" s="442"/>
      <c r="G27" s="141">
        <f>G24/220</f>
        <v>6.82</v>
      </c>
      <c r="H27" s="3"/>
      <c r="I27" s="7"/>
    </row>
    <row r="28" spans="1:9">
      <c r="A28" s="140">
        <v>7</v>
      </c>
      <c r="B28" s="442" t="s">
        <v>134</v>
      </c>
      <c r="C28" s="442"/>
      <c r="D28" s="442"/>
      <c r="E28" s="442"/>
      <c r="F28" s="442"/>
      <c r="G28" s="141">
        <f>SUM(G27+G29)</f>
        <v>8.870000000000001</v>
      </c>
      <c r="H28" s="3"/>
      <c r="I28" s="7"/>
    </row>
    <row r="29" spans="1:9">
      <c r="A29" s="140">
        <v>8</v>
      </c>
      <c r="B29" s="442" t="s">
        <v>135</v>
      </c>
      <c r="C29" s="442"/>
      <c r="D29" s="442"/>
      <c r="E29" s="442"/>
      <c r="F29" s="442"/>
      <c r="G29" s="141">
        <f>ROUND(G27*0.3,2)</f>
        <v>2.0499999999999998</v>
      </c>
      <c r="H29" s="3"/>
      <c r="I29" s="7"/>
    </row>
    <row r="30" spans="1:9">
      <c r="A30" s="140">
        <v>9</v>
      </c>
      <c r="B30" s="442" t="s">
        <v>138</v>
      </c>
      <c r="C30" s="442"/>
      <c r="D30" s="442"/>
      <c r="E30" s="442"/>
      <c r="F30" s="442"/>
      <c r="G30" s="141">
        <f>G24*0.3</f>
        <v>450.12</v>
      </c>
      <c r="H30" s="3"/>
      <c r="I30" s="7"/>
    </row>
    <row r="31" spans="1:9">
      <c r="A31" s="142">
        <v>10</v>
      </c>
      <c r="B31" s="438" t="s">
        <v>69</v>
      </c>
      <c r="C31" s="438"/>
      <c r="D31" s="438"/>
      <c r="E31" s="438"/>
      <c r="F31" s="438"/>
      <c r="G31" s="141">
        <f>ROUND(G27*1.5,2)</f>
        <v>10.23</v>
      </c>
      <c r="H31" s="3"/>
      <c r="I31" s="7"/>
    </row>
    <row r="32" spans="1:9">
      <c r="A32" s="142">
        <v>11</v>
      </c>
      <c r="B32" s="438" t="s">
        <v>136</v>
      </c>
      <c r="C32" s="438"/>
      <c r="D32" s="438"/>
      <c r="E32" s="438"/>
      <c r="F32" s="438"/>
      <c r="G32" s="141">
        <f>ROUND(1.3*G27*1.5,2)</f>
        <v>13.3</v>
      </c>
      <c r="H32" s="3"/>
      <c r="I32" s="7"/>
    </row>
    <row r="33" spans="1:9">
      <c r="A33" s="142">
        <v>12</v>
      </c>
      <c r="B33" s="438" t="s">
        <v>241</v>
      </c>
      <c r="C33" s="438"/>
      <c r="D33" s="438"/>
      <c r="E33" s="438"/>
      <c r="F33" s="438"/>
      <c r="G33" s="141">
        <f>ROUND(G27*0.2,2)</f>
        <v>1.36</v>
      </c>
      <c r="H33" s="3"/>
      <c r="I33" s="7"/>
    </row>
    <row r="34" spans="1:9">
      <c r="A34" s="142">
        <v>13</v>
      </c>
      <c r="B34" s="438" t="s">
        <v>137</v>
      </c>
      <c r="C34" s="438"/>
      <c r="D34" s="438"/>
      <c r="E34" s="438"/>
      <c r="F34" s="438"/>
      <c r="G34" s="141">
        <f>ROUND(1.3*G27*0.2,2)</f>
        <v>1.77</v>
      </c>
      <c r="H34" s="3"/>
      <c r="I34" s="7"/>
    </row>
    <row r="35" spans="1:9">
      <c r="A35" s="142">
        <v>14</v>
      </c>
      <c r="B35" s="438" t="s">
        <v>139</v>
      </c>
      <c r="C35" s="438"/>
      <c r="D35" s="438"/>
      <c r="E35" s="438"/>
      <c r="F35" s="438"/>
      <c r="G35" s="141">
        <f>ROUND(G27/6,2)</f>
        <v>1.1399999999999999</v>
      </c>
      <c r="H35" s="3"/>
      <c r="I35" s="7"/>
    </row>
    <row r="36" spans="1:9">
      <c r="A36" s="142">
        <v>15</v>
      </c>
      <c r="B36" s="438" t="s">
        <v>70</v>
      </c>
      <c r="C36" s="438"/>
      <c r="D36" s="438"/>
      <c r="E36" s="438"/>
      <c r="F36" s="438"/>
      <c r="G36" s="143">
        <v>2</v>
      </c>
      <c r="H36" s="3"/>
      <c r="I36" s="7"/>
    </row>
    <row r="37" spans="1:9">
      <c r="A37" s="144" t="s">
        <v>73</v>
      </c>
      <c r="B37" s="439" t="s">
        <v>304</v>
      </c>
      <c r="C37" s="439"/>
      <c r="D37" s="439"/>
      <c r="E37" s="439"/>
      <c r="F37" s="439"/>
      <c r="G37" s="439"/>
      <c r="H37" s="3"/>
      <c r="I37" s="7"/>
    </row>
    <row r="38" spans="1:9">
      <c r="A38" s="144" t="s">
        <v>74</v>
      </c>
      <c r="B38" s="439" t="s">
        <v>303</v>
      </c>
      <c r="C38" s="439"/>
      <c r="D38" s="439"/>
      <c r="E38" s="439"/>
      <c r="F38" s="439"/>
      <c r="G38" s="439"/>
      <c r="H38" s="3"/>
      <c r="I38" s="7"/>
    </row>
    <row r="39" spans="1:9">
      <c r="A39" s="301"/>
      <c r="B39" s="302"/>
      <c r="C39" s="302"/>
      <c r="D39" s="302"/>
      <c r="E39" s="302"/>
      <c r="F39" s="302"/>
      <c r="G39" s="302"/>
      <c r="H39" s="3"/>
      <c r="I39" s="7"/>
    </row>
    <row r="40" spans="1:9">
      <c r="A40" s="148"/>
      <c r="B40" s="303"/>
      <c r="C40" s="303"/>
      <c r="D40" s="303"/>
      <c r="E40" s="303"/>
      <c r="F40" s="303"/>
      <c r="G40" s="303"/>
      <c r="H40" s="3"/>
      <c r="I40" s="7"/>
    </row>
    <row r="41" spans="1:9" ht="15.75">
      <c r="A41" s="440" t="s">
        <v>75</v>
      </c>
      <c r="B41" s="440"/>
      <c r="C41" s="440"/>
      <c r="D41" s="440"/>
      <c r="E41" s="440"/>
      <c r="F41" s="440"/>
      <c r="G41" s="440"/>
      <c r="H41" s="3"/>
      <c r="I41" s="7"/>
    </row>
    <row r="42" spans="1:9">
      <c r="A42" s="205">
        <v>1</v>
      </c>
      <c r="B42" s="441" t="s">
        <v>17</v>
      </c>
      <c r="C42" s="441"/>
      <c r="D42" s="441"/>
      <c r="E42" s="441" t="s">
        <v>20</v>
      </c>
      <c r="F42" s="441"/>
      <c r="G42" s="201" t="s">
        <v>18</v>
      </c>
      <c r="H42" s="3"/>
      <c r="I42" s="7"/>
    </row>
    <row r="43" spans="1:9" ht="25.5" customHeight="1">
      <c r="A43" s="204" t="s">
        <v>8</v>
      </c>
      <c r="B43" s="432" t="s">
        <v>371</v>
      </c>
      <c r="C43" s="432"/>
      <c r="D43" s="432"/>
      <c r="E43" s="432"/>
      <c r="F43" s="432"/>
      <c r="G43" s="304">
        <f>G24*G36</f>
        <v>3000.8</v>
      </c>
      <c r="H43" s="11"/>
      <c r="I43" s="12"/>
    </row>
    <row r="44" spans="1:9" ht="30" customHeight="1">
      <c r="A44" s="204" t="s">
        <v>10</v>
      </c>
      <c r="B44" s="433" t="s">
        <v>77</v>
      </c>
      <c r="C44" s="434"/>
      <c r="D44" s="434"/>
      <c r="E44" s="434"/>
      <c r="F44" s="434"/>
      <c r="G44" s="305">
        <f>ROUND($G$35*G36*15,2)</f>
        <v>34.200000000000003</v>
      </c>
      <c r="H44" s="10"/>
      <c r="I44" s="9"/>
    </row>
    <row r="45" spans="1:9">
      <c r="A45" s="145" t="s">
        <v>12</v>
      </c>
      <c r="B45" s="435" t="s">
        <v>273</v>
      </c>
      <c r="C45" s="435"/>
      <c r="D45" s="435"/>
      <c r="E45" s="435"/>
      <c r="F45" s="435"/>
      <c r="G45" s="305">
        <f>ROUND((G44)*0.2,2)</f>
        <v>6.84</v>
      </c>
      <c r="H45" s="10"/>
      <c r="I45" s="9"/>
    </row>
    <row r="46" spans="1:9" ht="27.75" customHeight="1">
      <c r="A46" s="204" t="s">
        <v>13</v>
      </c>
      <c r="B46" s="434" t="s">
        <v>246</v>
      </c>
      <c r="C46" s="434"/>
      <c r="D46" s="434"/>
      <c r="E46" s="436">
        <v>0.3</v>
      </c>
      <c r="F46" s="437"/>
      <c r="G46" s="146">
        <f>ROUND(E46*SUM(G43:G45),2)</f>
        <v>912.55</v>
      </c>
      <c r="H46" s="10"/>
      <c r="I46" s="9"/>
    </row>
    <row r="47" spans="1:9">
      <c r="A47" s="145" t="s">
        <v>22</v>
      </c>
      <c r="B47" s="435" t="s">
        <v>78</v>
      </c>
      <c r="C47" s="435"/>
      <c r="D47" s="435"/>
      <c r="E47" s="435"/>
      <c r="F47" s="435"/>
      <c r="G47" s="146">
        <v>0</v>
      </c>
      <c r="H47" s="10"/>
      <c r="I47" s="9"/>
    </row>
    <row r="48" spans="1:9">
      <c r="A48" s="429" t="s">
        <v>249</v>
      </c>
      <c r="B48" s="429"/>
      <c r="C48" s="429"/>
      <c r="D48" s="429"/>
      <c r="E48" s="429"/>
      <c r="F48" s="429"/>
      <c r="G48" s="147">
        <f>SUM(G43:G47)</f>
        <v>3954.3900000000003</v>
      </c>
      <c r="H48" s="3"/>
      <c r="I48" s="7"/>
    </row>
    <row r="49" spans="1:9">
      <c r="A49" s="148" t="s">
        <v>23</v>
      </c>
      <c r="B49" s="430" t="s">
        <v>321</v>
      </c>
      <c r="C49" s="430"/>
      <c r="D49" s="430"/>
      <c r="E49" s="430"/>
      <c r="F49" s="430"/>
      <c r="G49" s="149">
        <f>ROUND(G31*15*G36*0.5,2)</f>
        <v>153.44999999999999</v>
      </c>
      <c r="H49" s="3"/>
      <c r="I49" s="7"/>
    </row>
    <row r="50" spans="1:9">
      <c r="A50" s="395" t="s">
        <v>250</v>
      </c>
      <c r="B50" s="395"/>
      <c r="C50" s="395"/>
      <c r="D50" s="395"/>
      <c r="E50" s="395"/>
      <c r="F50" s="395"/>
      <c r="G50" s="150">
        <f>SUM(G49)</f>
        <v>153.44999999999999</v>
      </c>
      <c r="H50" s="3"/>
      <c r="I50" s="7"/>
    </row>
    <row r="51" spans="1:9">
      <c r="A51" s="306"/>
      <c r="B51" s="306"/>
      <c r="C51" s="306"/>
      <c r="D51" s="306"/>
      <c r="E51" s="306"/>
      <c r="F51" s="306"/>
      <c r="G51" s="307"/>
      <c r="H51" s="3"/>
      <c r="I51" s="7"/>
    </row>
    <row r="52" spans="1:9">
      <c r="A52" s="395" t="s">
        <v>245</v>
      </c>
      <c r="B52" s="395"/>
      <c r="C52" s="395"/>
      <c r="D52" s="395"/>
      <c r="E52" s="395"/>
      <c r="F52" s="395"/>
      <c r="G52" s="151">
        <f>G48+G50</f>
        <v>4107.84</v>
      </c>
      <c r="H52" s="3"/>
      <c r="I52" s="7"/>
    </row>
    <row r="53" spans="1:9">
      <c r="A53" s="144" t="s">
        <v>79</v>
      </c>
      <c r="B53" s="431" t="s">
        <v>312</v>
      </c>
      <c r="C53" s="431"/>
      <c r="D53" s="431"/>
      <c r="E53" s="431"/>
      <c r="F53" s="431"/>
      <c r="G53" s="431"/>
      <c r="H53" s="3"/>
      <c r="I53" s="7"/>
    </row>
    <row r="54" spans="1:9">
      <c r="A54" s="144" t="s">
        <v>82</v>
      </c>
      <c r="B54" s="431" t="s">
        <v>311</v>
      </c>
      <c r="C54" s="431"/>
      <c r="D54" s="431"/>
      <c r="E54" s="431"/>
      <c r="F54" s="431"/>
      <c r="G54" s="431"/>
      <c r="H54" s="3"/>
      <c r="I54" s="7"/>
    </row>
    <row r="55" spans="1:9">
      <c r="A55" s="301"/>
      <c r="B55" s="308"/>
      <c r="C55" s="308"/>
      <c r="D55" s="308"/>
      <c r="E55" s="308"/>
      <c r="F55" s="308"/>
      <c r="G55" s="308"/>
      <c r="H55" s="3"/>
      <c r="I55" s="7"/>
    </row>
    <row r="56" spans="1:9">
      <c r="A56" s="309"/>
      <c r="B56" s="309"/>
      <c r="C56" s="309"/>
      <c r="D56" s="296"/>
      <c r="E56" s="296"/>
      <c r="F56" s="296"/>
      <c r="G56" s="310"/>
      <c r="H56" s="3"/>
      <c r="I56" s="7"/>
    </row>
    <row r="57" spans="1:9" ht="15.75">
      <c r="A57" s="426" t="s">
        <v>80</v>
      </c>
      <c r="B57" s="426"/>
      <c r="C57" s="426"/>
      <c r="D57" s="426"/>
      <c r="E57" s="426"/>
      <c r="F57" s="426"/>
      <c r="G57" s="426"/>
      <c r="H57" s="3"/>
      <c r="I57" s="7"/>
    </row>
    <row r="58" spans="1:9">
      <c r="A58" s="152" t="s">
        <v>37</v>
      </c>
      <c r="B58" s="427" t="s">
        <v>365</v>
      </c>
      <c r="C58" s="427"/>
      <c r="D58" s="427"/>
      <c r="E58" s="427"/>
      <c r="F58" s="427"/>
      <c r="G58" s="207" t="s">
        <v>18</v>
      </c>
      <c r="H58" s="3"/>
      <c r="I58" s="7"/>
    </row>
    <row r="59" spans="1:9">
      <c r="A59" s="204" t="s">
        <v>8</v>
      </c>
      <c r="B59" s="413" t="s">
        <v>305</v>
      </c>
      <c r="C59" s="413"/>
      <c r="D59" s="413"/>
      <c r="E59" s="413"/>
      <c r="F59" s="413"/>
      <c r="G59" s="311">
        <f>ROUND(G48/12,2)</f>
        <v>329.53</v>
      </c>
      <c r="H59" s="16"/>
      <c r="I59" s="15"/>
    </row>
    <row r="60" spans="1:9">
      <c r="A60" s="204" t="s">
        <v>10</v>
      </c>
      <c r="B60" s="413" t="s">
        <v>366</v>
      </c>
      <c r="C60" s="413"/>
      <c r="D60" s="413"/>
      <c r="E60" s="413"/>
      <c r="F60" s="413"/>
      <c r="G60" s="311">
        <f>ROUND((G48/3)/12,2)</f>
        <v>109.84</v>
      </c>
      <c r="H60" s="16"/>
      <c r="I60" s="15"/>
    </row>
    <row r="61" spans="1:9">
      <c r="A61" s="417" t="s">
        <v>81</v>
      </c>
      <c r="B61" s="417"/>
      <c r="C61" s="417"/>
      <c r="D61" s="417"/>
      <c r="E61" s="417"/>
      <c r="F61" s="417"/>
      <c r="G61" s="246">
        <f>SUM(G59:G60)</f>
        <v>439.37</v>
      </c>
      <c r="H61" s="16"/>
      <c r="I61" s="15"/>
    </row>
    <row r="62" spans="1:9" ht="28.5" customHeight="1">
      <c r="A62" s="153" t="s">
        <v>83</v>
      </c>
      <c r="B62" s="428" t="s">
        <v>367</v>
      </c>
      <c r="C62" s="428"/>
      <c r="D62" s="428"/>
      <c r="E62" s="428"/>
      <c r="F62" s="428"/>
      <c r="G62" s="428"/>
      <c r="H62" s="16"/>
      <c r="I62" s="15"/>
    </row>
    <row r="63" spans="1:9">
      <c r="A63" s="312"/>
      <c r="B63" s="313"/>
      <c r="C63" s="313"/>
      <c r="D63" s="313"/>
      <c r="E63" s="313"/>
      <c r="F63" s="313"/>
      <c r="G63" s="313"/>
      <c r="H63" s="16"/>
      <c r="I63" s="15"/>
    </row>
    <row r="64" spans="1:9">
      <c r="A64" s="296"/>
      <c r="B64" s="296"/>
      <c r="C64" s="296"/>
      <c r="D64" s="314"/>
      <c r="E64" s="315"/>
      <c r="F64" s="315"/>
      <c r="G64" s="315"/>
      <c r="H64" s="3"/>
      <c r="I64" s="7"/>
    </row>
    <row r="65" spans="1:9">
      <c r="A65" s="154" t="s">
        <v>38</v>
      </c>
      <c r="B65" s="422" t="s">
        <v>247</v>
      </c>
      <c r="C65" s="422"/>
      <c r="D65" s="422"/>
      <c r="E65" s="422"/>
      <c r="F65" s="422"/>
      <c r="G65" s="422"/>
      <c r="H65" s="3"/>
      <c r="I65" s="7"/>
    </row>
    <row r="66" spans="1:9">
      <c r="A66" s="316"/>
      <c r="B66" s="423" t="s">
        <v>85</v>
      </c>
      <c r="C66" s="423"/>
      <c r="D66" s="423"/>
      <c r="E66" s="424" t="s">
        <v>20</v>
      </c>
      <c r="F66" s="425"/>
      <c r="G66" s="252" t="s">
        <v>18</v>
      </c>
      <c r="H66" s="3"/>
      <c r="I66" s="7"/>
    </row>
    <row r="67" spans="1:9">
      <c r="A67" s="204" t="s">
        <v>8</v>
      </c>
      <c r="B67" s="413" t="s">
        <v>28</v>
      </c>
      <c r="C67" s="413"/>
      <c r="D67" s="413"/>
      <c r="E67" s="414">
        <v>0.2</v>
      </c>
      <c r="F67" s="415"/>
      <c r="G67" s="311">
        <f>ROUND((G48+G61)*E67,2)</f>
        <v>878.75</v>
      </c>
      <c r="H67" s="16"/>
      <c r="I67" s="15"/>
    </row>
    <row r="68" spans="1:9">
      <c r="A68" s="204" t="s">
        <v>10</v>
      </c>
      <c r="B68" s="413" t="s">
        <v>39</v>
      </c>
      <c r="C68" s="413"/>
      <c r="D68" s="413"/>
      <c r="E68" s="414">
        <v>2.5000000000000001E-2</v>
      </c>
      <c r="F68" s="415"/>
      <c r="G68" s="311">
        <f>ROUND((G48+G61)*E68,2)</f>
        <v>109.84</v>
      </c>
      <c r="H68" s="16"/>
      <c r="I68" s="15"/>
    </row>
    <row r="69" spans="1:9">
      <c r="A69" s="204" t="s">
        <v>12</v>
      </c>
      <c r="B69" s="413" t="s">
        <v>92</v>
      </c>
      <c r="C69" s="413"/>
      <c r="D69" s="413"/>
      <c r="E69" s="414">
        <f>ROUND((H70*I70),6)</f>
        <v>0.03</v>
      </c>
      <c r="F69" s="415"/>
      <c r="G69" s="311">
        <f>ROUND((G48+G61)*E69,2)</f>
        <v>131.81</v>
      </c>
      <c r="H69" s="217" t="s">
        <v>86</v>
      </c>
      <c r="I69" s="39" t="s">
        <v>87</v>
      </c>
    </row>
    <row r="70" spans="1:9">
      <c r="A70" s="204" t="s">
        <v>13</v>
      </c>
      <c r="B70" s="413" t="s">
        <v>40</v>
      </c>
      <c r="C70" s="413"/>
      <c r="D70" s="413"/>
      <c r="E70" s="414">
        <v>1.4999999999999999E-2</v>
      </c>
      <c r="F70" s="415"/>
      <c r="G70" s="311">
        <f>ROUND((G48+G61)*E70,2)</f>
        <v>65.91</v>
      </c>
      <c r="H70" s="218">
        <v>0.03</v>
      </c>
      <c r="I70" s="41">
        <v>1</v>
      </c>
    </row>
    <row r="71" spans="1:9">
      <c r="A71" s="204" t="s">
        <v>22</v>
      </c>
      <c r="B71" s="413" t="s">
        <v>41</v>
      </c>
      <c r="C71" s="413"/>
      <c r="D71" s="413"/>
      <c r="E71" s="414">
        <v>0.01</v>
      </c>
      <c r="F71" s="415"/>
      <c r="G71" s="311">
        <f>ROUND((G48+G61)*E71,2)</f>
        <v>43.94</v>
      </c>
      <c r="H71" s="16"/>
      <c r="I71" s="15"/>
    </row>
    <row r="72" spans="1:9">
      <c r="A72" s="204" t="s">
        <v>23</v>
      </c>
      <c r="B72" s="413" t="s">
        <v>29</v>
      </c>
      <c r="C72" s="413"/>
      <c r="D72" s="413"/>
      <c r="E72" s="414">
        <v>6.0000000000000001E-3</v>
      </c>
      <c r="F72" s="415"/>
      <c r="G72" s="311">
        <f>ROUND((G48+G61)*E72,2)</f>
        <v>26.36</v>
      </c>
      <c r="H72" s="16"/>
      <c r="I72" s="15"/>
    </row>
    <row r="73" spans="1:9">
      <c r="A73" s="204" t="s">
        <v>24</v>
      </c>
      <c r="B73" s="413" t="s">
        <v>42</v>
      </c>
      <c r="C73" s="413"/>
      <c r="D73" s="413"/>
      <c r="E73" s="414">
        <v>2E-3</v>
      </c>
      <c r="F73" s="415"/>
      <c r="G73" s="311">
        <f>ROUND((G48+G61)*E73,2)</f>
        <v>8.7899999999999991</v>
      </c>
      <c r="H73" s="16"/>
      <c r="I73" s="15"/>
    </row>
    <row r="74" spans="1:9">
      <c r="A74" s="204" t="s">
        <v>25</v>
      </c>
      <c r="B74" s="413" t="s">
        <v>43</v>
      </c>
      <c r="C74" s="413"/>
      <c r="D74" s="413"/>
      <c r="E74" s="414">
        <v>0.08</v>
      </c>
      <c r="F74" s="415"/>
      <c r="G74" s="311">
        <f>ROUND((G48+G61)*E74,2)</f>
        <v>351.5</v>
      </c>
      <c r="H74" s="16"/>
      <c r="I74" s="15"/>
    </row>
    <row r="75" spans="1:9">
      <c r="A75" s="416" t="s">
        <v>88</v>
      </c>
      <c r="B75" s="417"/>
      <c r="C75" s="417"/>
      <c r="D75" s="417"/>
      <c r="E75" s="418">
        <f>SUM(E67:F74)</f>
        <v>0.36800000000000005</v>
      </c>
      <c r="F75" s="419"/>
      <c r="G75" s="317">
        <f>SUM(G67:G74)</f>
        <v>1616.9</v>
      </c>
      <c r="H75" s="3"/>
      <c r="I75" s="155"/>
    </row>
    <row r="76" spans="1:9">
      <c r="A76" s="156" t="s">
        <v>84</v>
      </c>
      <c r="B76" s="420" t="s">
        <v>306</v>
      </c>
      <c r="C76" s="420"/>
      <c r="D76" s="420"/>
      <c r="E76" s="420"/>
      <c r="F76" s="420"/>
      <c r="G76" s="420"/>
      <c r="H76" s="3"/>
      <c r="I76" s="155"/>
    </row>
    <row r="77" spans="1:9">
      <c r="A77" s="156" t="s">
        <v>89</v>
      </c>
      <c r="B77" s="421" t="s">
        <v>307</v>
      </c>
      <c r="C77" s="421"/>
      <c r="D77" s="421"/>
      <c r="E77" s="421"/>
      <c r="F77" s="421"/>
      <c r="G77" s="421"/>
      <c r="H77" s="3"/>
      <c r="I77" s="155"/>
    </row>
    <row r="78" spans="1:9">
      <c r="A78" s="318"/>
      <c r="B78" s="319"/>
      <c r="C78" s="319"/>
      <c r="D78" s="319"/>
      <c r="E78" s="319"/>
      <c r="F78" s="319"/>
      <c r="G78" s="319"/>
      <c r="H78" s="3"/>
      <c r="I78" s="155"/>
    </row>
    <row r="79" spans="1:9">
      <c r="A79" s="318"/>
      <c r="B79" s="319"/>
      <c r="C79" s="319"/>
      <c r="D79" s="319"/>
      <c r="E79" s="319"/>
      <c r="F79" s="319"/>
      <c r="G79" s="319"/>
      <c r="H79" s="3"/>
      <c r="I79" s="155"/>
    </row>
    <row r="80" spans="1:9">
      <c r="A80" s="157" t="s">
        <v>44</v>
      </c>
      <c r="B80" s="409" t="s">
        <v>95</v>
      </c>
      <c r="C80" s="409"/>
      <c r="D80" s="409"/>
      <c r="E80" s="409"/>
      <c r="F80" s="409"/>
      <c r="G80" s="409"/>
      <c r="H80" s="3"/>
      <c r="I80" s="7"/>
    </row>
    <row r="81" spans="1:9">
      <c r="A81" s="158"/>
      <c r="B81" s="410" t="s">
        <v>95</v>
      </c>
      <c r="C81" s="410"/>
      <c r="D81" s="410"/>
      <c r="E81" s="410"/>
      <c r="F81" s="410"/>
      <c r="G81" s="320" t="s">
        <v>18</v>
      </c>
      <c r="H81" s="3"/>
      <c r="I81" s="7"/>
    </row>
    <row r="82" spans="1:9" ht="26.25" customHeight="1">
      <c r="A82" s="376" t="s">
        <v>8</v>
      </c>
      <c r="B82" s="404" t="s">
        <v>96</v>
      </c>
      <c r="C82" s="378" t="s">
        <v>97</v>
      </c>
      <c r="D82" s="378"/>
      <c r="E82" s="411">
        <v>3.5</v>
      </c>
      <c r="F82" s="412"/>
      <c r="G82" s="407">
        <f>IF(ROUND((E82*E84*E83)-(G43*E85),2)&lt;0,0,ROUND((E82*E84*E83)-(G43*E85),2))</f>
        <v>29.95</v>
      </c>
      <c r="H82" s="22"/>
      <c r="I82" s="21"/>
    </row>
    <row r="83" spans="1:9" ht="26.25" customHeight="1">
      <c r="A83" s="376"/>
      <c r="B83" s="404"/>
      <c r="C83" s="378" t="s">
        <v>98</v>
      </c>
      <c r="D83" s="378"/>
      <c r="E83" s="399">
        <v>2</v>
      </c>
      <c r="F83" s="400"/>
      <c r="G83" s="407"/>
      <c r="H83" s="22"/>
      <c r="I83" s="21"/>
    </row>
    <row r="84" spans="1:9" ht="30" customHeight="1">
      <c r="A84" s="376"/>
      <c r="B84" s="404"/>
      <c r="C84" s="378" t="s">
        <v>99</v>
      </c>
      <c r="D84" s="378"/>
      <c r="E84" s="399">
        <v>30</v>
      </c>
      <c r="F84" s="400"/>
      <c r="G84" s="407"/>
      <c r="H84" s="23"/>
      <c r="I84" s="24"/>
    </row>
    <row r="85" spans="1:9" ht="31.5" customHeight="1">
      <c r="A85" s="376"/>
      <c r="B85" s="404"/>
      <c r="C85" s="378" t="s">
        <v>101</v>
      </c>
      <c r="D85" s="378"/>
      <c r="E85" s="401">
        <v>0.06</v>
      </c>
      <c r="F85" s="402"/>
      <c r="G85" s="407"/>
      <c r="H85" s="22"/>
      <c r="I85" s="24"/>
    </row>
    <row r="86" spans="1:9" ht="30" customHeight="1">
      <c r="A86" s="376" t="s">
        <v>10</v>
      </c>
      <c r="B86" s="404" t="s">
        <v>322</v>
      </c>
      <c r="C86" s="378" t="s">
        <v>100</v>
      </c>
      <c r="D86" s="378"/>
      <c r="E86" s="405">
        <v>20</v>
      </c>
      <c r="F86" s="406"/>
      <c r="G86" s="407">
        <f>ROUND((E86*E87)-((E86*E87)*E88),2)</f>
        <v>480</v>
      </c>
      <c r="H86" s="22"/>
      <c r="I86" s="21"/>
    </row>
    <row r="87" spans="1:9" ht="32.25" customHeight="1">
      <c r="A87" s="376"/>
      <c r="B87" s="404"/>
      <c r="C87" s="378" t="s">
        <v>102</v>
      </c>
      <c r="D87" s="378"/>
      <c r="E87" s="399">
        <v>30</v>
      </c>
      <c r="F87" s="400"/>
      <c r="G87" s="407"/>
      <c r="H87" s="22"/>
      <c r="I87" s="21"/>
    </row>
    <row r="88" spans="1:9" ht="39" customHeight="1">
      <c r="A88" s="376"/>
      <c r="B88" s="404"/>
      <c r="C88" s="378" t="s">
        <v>103</v>
      </c>
      <c r="D88" s="378"/>
      <c r="E88" s="408">
        <v>0.2</v>
      </c>
      <c r="F88" s="408"/>
      <c r="G88" s="407"/>
      <c r="H88" s="22"/>
      <c r="I88" s="21"/>
    </row>
    <row r="89" spans="1:9">
      <c r="A89" s="159" t="s">
        <v>12</v>
      </c>
      <c r="B89" s="398" t="s">
        <v>26</v>
      </c>
      <c r="C89" s="398"/>
      <c r="D89" s="398"/>
      <c r="E89" s="398"/>
      <c r="F89" s="398"/>
      <c r="G89" s="321">
        <v>0</v>
      </c>
      <c r="H89" s="22"/>
      <c r="I89" s="21"/>
    </row>
    <row r="90" spans="1:9">
      <c r="A90" s="159" t="s">
        <v>13</v>
      </c>
      <c r="B90" s="368" t="s">
        <v>104</v>
      </c>
      <c r="C90" s="368"/>
      <c r="D90" s="368"/>
      <c r="E90" s="368"/>
      <c r="F90" s="368"/>
      <c r="G90" s="321">
        <f>ROUND((G48)*26*0.00023,2)</f>
        <v>23.65</v>
      </c>
      <c r="H90" s="22"/>
      <c r="I90" s="21"/>
    </row>
    <row r="91" spans="1:9">
      <c r="A91" s="159" t="s">
        <v>22</v>
      </c>
      <c r="B91" s="368" t="s">
        <v>105</v>
      </c>
      <c r="C91" s="368"/>
      <c r="D91" s="368"/>
      <c r="E91" s="368"/>
      <c r="F91" s="368"/>
      <c r="G91" s="44">
        <f>ROUND(((($G$43))*0.0052066)/12,2)</f>
        <v>1.3</v>
      </c>
      <c r="H91" s="22"/>
      <c r="I91" s="21"/>
    </row>
    <row r="92" spans="1:9">
      <c r="A92" s="159" t="s">
        <v>23</v>
      </c>
      <c r="B92" s="368" t="s">
        <v>106</v>
      </c>
      <c r="C92" s="368"/>
      <c r="D92" s="368"/>
      <c r="E92" s="368"/>
      <c r="F92" s="368"/>
      <c r="G92" s="44">
        <v>0</v>
      </c>
      <c r="H92" s="22"/>
      <c r="I92" s="21"/>
    </row>
    <row r="93" spans="1:9">
      <c r="A93" s="396" t="s">
        <v>107</v>
      </c>
      <c r="B93" s="396"/>
      <c r="C93" s="396"/>
      <c r="D93" s="396"/>
      <c r="E93" s="396"/>
      <c r="F93" s="396"/>
      <c r="G93" s="160">
        <f>SUM(G82:G92)</f>
        <v>534.9</v>
      </c>
      <c r="H93" s="3"/>
      <c r="I93" s="7"/>
    </row>
    <row r="94" spans="1:9">
      <c r="A94" s="161" t="s">
        <v>91</v>
      </c>
      <c r="B94" s="397" t="s">
        <v>57</v>
      </c>
      <c r="C94" s="397"/>
      <c r="D94" s="397"/>
      <c r="E94" s="397"/>
      <c r="F94" s="397"/>
      <c r="G94" s="397"/>
      <c r="H94" s="3"/>
      <c r="I94" s="7"/>
    </row>
    <row r="95" spans="1:9">
      <c r="A95" s="161" t="s">
        <v>94</v>
      </c>
      <c r="B95" s="397" t="s">
        <v>110</v>
      </c>
      <c r="C95" s="397"/>
      <c r="D95" s="397"/>
      <c r="E95" s="397"/>
      <c r="F95" s="397"/>
      <c r="G95" s="397"/>
      <c r="H95" s="3"/>
      <c r="I95" s="7"/>
    </row>
    <row r="96" spans="1:9">
      <c r="A96" s="322"/>
      <c r="B96" s="323"/>
      <c r="C96" s="323"/>
      <c r="D96" s="323"/>
      <c r="E96" s="323"/>
      <c r="F96" s="323"/>
      <c r="G96" s="323"/>
      <c r="H96" s="3"/>
      <c r="I96" s="7"/>
    </row>
    <row r="97" spans="1:9">
      <c r="A97" s="324"/>
      <c r="B97" s="325"/>
      <c r="C97" s="325"/>
      <c r="D97" s="326"/>
      <c r="E97" s="203"/>
      <c r="F97" s="203"/>
      <c r="G97" s="203"/>
      <c r="H97" s="3"/>
      <c r="I97" s="7"/>
    </row>
    <row r="98" spans="1:9">
      <c r="A98" s="382" t="s">
        <v>111</v>
      </c>
      <c r="B98" s="382"/>
      <c r="C98" s="382"/>
      <c r="D98" s="382"/>
      <c r="E98" s="382"/>
      <c r="F98" s="382"/>
      <c r="G98" s="382"/>
      <c r="H98" s="3"/>
      <c r="I98" s="7"/>
    </row>
    <row r="99" spans="1:9">
      <c r="A99" s="327" t="s">
        <v>112</v>
      </c>
      <c r="B99" s="403" t="s">
        <v>308</v>
      </c>
      <c r="C99" s="403"/>
      <c r="D99" s="403"/>
      <c r="E99" s="403"/>
      <c r="F99" s="403"/>
      <c r="G99" s="185" t="s">
        <v>18</v>
      </c>
      <c r="H99" s="22"/>
      <c r="I99" s="21"/>
    </row>
    <row r="100" spans="1:9">
      <c r="A100" s="159" t="s">
        <v>37</v>
      </c>
      <c r="B100" s="378" t="s">
        <v>368</v>
      </c>
      <c r="C100" s="378"/>
      <c r="D100" s="378"/>
      <c r="E100" s="378"/>
      <c r="F100" s="378"/>
      <c r="G100" s="179">
        <f>G61</f>
        <v>439.37</v>
      </c>
      <c r="H100" s="22"/>
      <c r="I100" s="21"/>
    </row>
    <row r="101" spans="1:9">
      <c r="A101" s="159" t="s">
        <v>38</v>
      </c>
      <c r="B101" s="378" t="s">
        <v>113</v>
      </c>
      <c r="C101" s="378"/>
      <c r="D101" s="378"/>
      <c r="E101" s="378"/>
      <c r="F101" s="378"/>
      <c r="G101" s="179">
        <f>G75</f>
        <v>1616.9</v>
      </c>
      <c r="H101" s="22"/>
      <c r="I101" s="21"/>
    </row>
    <row r="102" spans="1:9">
      <c r="A102" s="159" t="s">
        <v>44</v>
      </c>
      <c r="B102" s="368" t="s">
        <v>114</v>
      </c>
      <c r="C102" s="368"/>
      <c r="D102" s="368"/>
      <c r="E102" s="368"/>
      <c r="F102" s="368"/>
      <c r="G102" s="162">
        <f>G93</f>
        <v>534.9</v>
      </c>
      <c r="H102" s="27"/>
      <c r="I102" s="26"/>
    </row>
    <row r="103" spans="1:9">
      <c r="A103" s="395" t="s">
        <v>116</v>
      </c>
      <c r="B103" s="395"/>
      <c r="C103" s="395"/>
      <c r="D103" s="395"/>
      <c r="E103" s="395"/>
      <c r="F103" s="395"/>
      <c r="G103" s="46">
        <f>SUM(G100:G102)</f>
        <v>2591.17</v>
      </c>
      <c r="H103" s="27"/>
      <c r="I103" s="26"/>
    </row>
    <row r="104" spans="1:9">
      <c r="A104" s="306"/>
      <c r="B104" s="306"/>
      <c r="C104" s="306"/>
      <c r="D104" s="306"/>
      <c r="E104" s="306"/>
      <c r="F104" s="306"/>
      <c r="G104" s="328"/>
      <c r="H104" s="27"/>
      <c r="I104" s="26"/>
    </row>
    <row r="105" spans="1:9">
      <c r="A105" s="329"/>
      <c r="B105" s="330"/>
      <c r="C105" s="330"/>
      <c r="D105" s="148"/>
      <c r="E105" s="148"/>
      <c r="F105" s="148"/>
      <c r="G105" s="148"/>
      <c r="H105" s="27"/>
      <c r="I105" s="26"/>
    </row>
    <row r="106" spans="1:9" ht="15.75">
      <c r="A106" s="381" t="s">
        <v>117</v>
      </c>
      <c r="B106" s="381"/>
      <c r="C106" s="381"/>
      <c r="D106" s="381"/>
      <c r="E106" s="381"/>
      <c r="F106" s="381"/>
      <c r="G106" s="381"/>
      <c r="H106" s="3"/>
      <c r="I106" s="7"/>
    </row>
    <row r="107" spans="1:9">
      <c r="A107" s="331"/>
      <c r="B107" s="394" t="s">
        <v>118</v>
      </c>
      <c r="C107" s="394"/>
      <c r="D107" s="394"/>
      <c r="E107" s="394"/>
      <c r="F107" s="394"/>
      <c r="G107" s="332" t="s">
        <v>18</v>
      </c>
      <c r="H107" s="3"/>
      <c r="I107" s="7"/>
    </row>
    <row r="108" spans="1:9">
      <c r="A108" s="148" t="s">
        <v>8</v>
      </c>
      <c r="B108" s="368" t="s">
        <v>330</v>
      </c>
      <c r="C108" s="370"/>
      <c r="D108" s="370"/>
      <c r="E108" s="370"/>
      <c r="F108" s="370"/>
      <c r="G108" s="333">
        <f>ROUND(((G48/12)+($G$59/12)+($G$60/12))*(33/30)*0.05,2)</f>
        <v>20.14</v>
      </c>
      <c r="H108" s="3"/>
      <c r="I108" s="7"/>
    </row>
    <row r="109" spans="1:9">
      <c r="A109" s="148" t="s">
        <v>10</v>
      </c>
      <c r="B109" s="370" t="s">
        <v>32</v>
      </c>
      <c r="C109" s="370"/>
      <c r="D109" s="370"/>
      <c r="E109" s="370"/>
      <c r="F109" s="370"/>
      <c r="G109" s="333">
        <f>ROUND($E$74*G108,2)</f>
        <v>1.61</v>
      </c>
      <c r="H109" s="3"/>
      <c r="I109" s="7"/>
    </row>
    <row r="110" spans="1:9">
      <c r="A110" s="148" t="s">
        <v>12</v>
      </c>
      <c r="B110" s="370" t="s">
        <v>119</v>
      </c>
      <c r="C110" s="370"/>
      <c r="D110" s="370"/>
      <c r="E110" s="370"/>
      <c r="F110" s="370"/>
      <c r="G110" s="333">
        <f>ROUND((0.08*0.4*SUM(G48+$G$59+$G$60)*0.05),2)</f>
        <v>7.03</v>
      </c>
      <c r="H110" s="163"/>
      <c r="I110" s="7"/>
    </row>
    <row r="111" spans="1:9">
      <c r="A111" s="148" t="s">
        <v>13</v>
      </c>
      <c r="B111" s="370" t="s">
        <v>331</v>
      </c>
      <c r="C111" s="370"/>
      <c r="D111" s="370"/>
      <c r="E111" s="370"/>
      <c r="F111" s="370"/>
      <c r="G111" s="334">
        <f>ROUND(((7/33)/$G$13)*G48*1,2)</f>
        <v>27.96</v>
      </c>
      <c r="H111" s="3"/>
      <c r="I111" s="7"/>
    </row>
    <row r="112" spans="1:9">
      <c r="A112" s="148" t="s">
        <v>22</v>
      </c>
      <c r="B112" s="370" t="s">
        <v>121</v>
      </c>
      <c r="C112" s="370"/>
      <c r="D112" s="370"/>
      <c r="E112" s="370"/>
      <c r="F112" s="370"/>
      <c r="G112" s="333">
        <f>ROUND($E$75*G111,2)</f>
        <v>10.29</v>
      </c>
      <c r="H112" s="3"/>
      <c r="I112" s="7"/>
    </row>
    <row r="113" spans="1:9">
      <c r="A113" s="148" t="s">
        <v>23</v>
      </c>
      <c r="B113" s="370" t="s">
        <v>120</v>
      </c>
      <c r="C113" s="370"/>
      <c r="D113" s="370"/>
      <c r="E113" s="370"/>
      <c r="F113" s="370"/>
      <c r="G113" s="335">
        <f>ROUND((0.08*0.4*SUM(G48+$G$59+$G$60)*1),2)</f>
        <v>140.6</v>
      </c>
      <c r="H113" s="27"/>
      <c r="I113" s="26"/>
    </row>
    <row r="114" spans="1:9">
      <c r="A114" s="383" t="s">
        <v>122</v>
      </c>
      <c r="B114" s="383"/>
      <c r="C114" s="383"/>
      <c r="D114" s="383"/>
      <c r="E114" s="383"/>
      <c r="F114" s="383"/>
      <c r="G114" s="47">
        <f>SUM(G108:G113)</f>
        <v>207.63</v>
      </c>
      <c r="H114" s="3"/>
      <c r="I114" s="7"/>
    </row>
    <row r="115" spans="1:9">
      <c r="A115" s="306"/>
      <c r="B115" s="306"/>
      <c r="C115" s="306"/>
      <c r="D115" s="306"/>
      <c r="E115" s="306"/>
      <c r="F115" s="306"/>
      <c r="G115" s="328"/>
      <c r="H115" s="3"/>
      <c r="I115" s="7"/>
    </row>
    <row r="116" spans="1:9">
      <c r="A116" s="324"/>
      <c r="B116" s="324"/>
      <c r="C116" s="324"/>
      <c r="D116" s="148"/>
      <c r="E116" s="148"/>
      <c r="F116" s="148"/>
      <c r="G116" s="148"/>
      <c r="H116" s="3"/>
      <c r="I116" s="7"/>
    </row>
    <row r="117" spans="1:9" ht="15.75">
      <c r="A117" s="381" t="s">
        <v>309</v>
      </c>
      <c r="B117" s="381"/>
      <c r="C117" s="381"/>
      <c r="D117" s="381"/>
      <c r="E117" s="381"/>
      <c r="F117" s="381"/>
      <c r="G117" s="381"/>
      <c r="H117" s="164"/>
      <c r="I117" s="7"/>
    </row>
    <row r="118" spans="1:9" ht="15.75">
      <c r="A118" s="392" t="s">
        <v>124</v>
      </c>
      <c r="B118" s="392"/>
      <c r="C118" s="392"/>
      <c r="D118" s="392"/>
      <c r="E118" s="392"/>
      <c r="F118" s="392"/>
      <c r="G118" s="392"/>
      <c r="H118" s="164"/>
      <c r="I118" s="7"/>
    </row>
    <row r="119" spans="1:9" ht="31.5">
      <c r="A119" s="189" t="s">
        <v>335</v>
      </c>
      <c r="B119" s="187">
        <f>G48</f>
        <v>3954.3900000000003</v>
      </c>
      <c r="C119" s="189" t="s">
        <v>314</v>
      </c>
      <c r="D119" s="188">
        <f>G103-G82-G86</f>
        <v>2081.2200000000003</v>
      </c>
      <c r="E119" s="206" t="s">
        <v>123</v>
      </c>
      <c r="F119" s="165">
        <f>G114</f>
        <v>207.63</v>
      </c>
      <c r="G119" s="166">
        <f>B119+D119+F119</f>
        <v>6243.2400000000007</v>
      </c>
      <c r="H119" s="164"/>
      <c r="I119" s="7"/>
    </row>
    <row r="120" spans="1:9" ht="15.75">
      <c r="A120" s="393" t="s">
        <v>125</v>
      </c>
      <c r="B120" s="393"/>
      <c r="C120" s="393"/>
      <c r="D120" s="393"/>
      <c r="E120" s="393" t="s">
        <v>126</v>
      </c>
      <c r="F120" s="393"/>
      <c r="G120" s="167">
        <f>ROUND(G119/30,2)</f>
        <v>208.11</v>
      </c>
      <c r="H120" s="164"/>
      <c r="I120" s="7"/>
    </row>
    <row r="121" spans="1:9" ht="15.75">
      <c r="A121" s="336"/>
      <c r="B121" s="336"/>
      <c r="C121" s="336"/>
      <c r="D121" s="336"/>
      <c r="E121" s="336"/>
      <c r="F121" s="336"/>
      <c r="G121" s="336"/>
      <c r="H121" s="164"/>
      <c r="I121" s="7"/>
    </row>
    <row r="122" spans="1:9">
      <c r="A122" s="168" t="s">
        <v>27</v>
      </c>
      <c r="B122" s="387" t="s">
        <v>143</v>
      </c>
      <c r="C122" s="387"/>
      <c r="D122" s="387"/>
      <c r="E122" s="387"/>
      <c r="F122" s="387"/>
      <c r="G122" s="55" t="s">
        <v>18</v>
      </c>
      <c r="H122" s="3"/>
      <c r="I122" s="7"/>
    </row>
    <row r="123" spans="1:9">
      <c r="A123" s="148" t="s">
        <v>8</v>
      </c>
      <c r="B123" s="368" t="s">
        <v>127</v>
      </c>
      <c r="C123" s="370"/>
      <c r="D123" s="370"/>
      <c r="E123" s="370"/>
      <c r="F123" s="370"/>
      <c r="G123" s="169">
        <f>ROUND($G$119/12,2)</f>
        <v>520.27</v>
      </c>
      <c r="H123" s="3"/>
      <c r="I123" s="7"/>
    </row>
    <row r="124" spans="1:9">
      <c r="A124" s="148" t="s">
        <v>10</v>
      </c>
      <c r="B124" s="368" t="s">
        <v>319</v>
      </c>
      <c r="C124" s="370"/>
      <c r="D124" s="370"/>
      <c r="E124" s="370"/>
      <c r="F124" s="370"/>
      <c r="G124" s="169">
        <f>ROUND((2.59/30)/12*($G$119),2)</f>
        <v>44.92</v>
      </c>
      <c r="H124" s="170"/>
      <c r="I124" s="7"/>
    </row>
    <row r="125" spans="1:9">
      <c r="A125" s="148" t="s">
        <v>12</v>
      </c>
      <c r="B125" s="368" t="s">
        <v>129</v>
      </c>
      <c r="C125" s="370"/>
      <c r="D125" s="370"/>
      <c r="E125" s="370"/>
      <c r="F125" s="370"/>
      <c r="G125" s="169">
        <f>ROUND((5/30)/12*0.015*($G$119),2)</f>
        <v>1.3</v>
      </c>
      <c r="H125" s="3"/>
      <c r="I125" s="7"/>
    </row>
    <row r="126" spans="1:9">
      <c r="A126" s="148" t="s">
        <v>13</v>
      </c>
      <c r="B126" s="368" t="s">
        <v>128</v>
      </c>
      <c r="C126" s="370"/>
      <c r="D126" s="370"/>
      <c r="E126" s="370"/>
      <c r="F126" s="370"/>
      <c r="G126" s="169">
        <f>ROUND(((15/30)/12)*0.0078*($G$119),2)</f>
        <v>2.0299999999999998</v>
      </c>
      <c r="H126" s="170"/>
      <c r="I126" s="7"/>
    </row>
    <row r="127" spans="1:9">
      <c r="A127" s="148" t="s">
        <v>22</v>
      </c>
      <c r="B127" s="368" t="s">
        <v>130</v>
      </c>
      <c r="C127" s="370"/>
      <c r="D127" s="370"/>
      <c r="E127" s="370"/>
      <c r="F127" s="370"/>
      <c r="G127" s="171">
        <f>ROUND((((G48+G48/3)/12+(G75+G93+G114))*4/12)*0.02,2)</f>
        <v>18.66</v>
      </c>
      <c r="H127" s="172"/>
      <c r="I127" s="173"/>
    </row>
    <row r="128" spans="1:9">
      <c r="A128" s="337" t="s">
        <v>23</v>
      </c>
      <c r="B128" s="385" t="s">
        <v>131</v>
      </c>
      <c r="C128" s="385"/>
      <c r="D128" s="385"/>
      <c r="E128" s="385"/>
      <c r="F128" s="385"/>
      <c r="G128" s="171">
        <f>ROUND(((3/30)/12)*($G$119),2)</f>
        <v>52.03</v>
      </c>
      <c r="H128" s="172"/>
      <c r="I128" s="173"/>
    </row>
    <row r="129" spans="1:9">
      <c r="A129" s="386" t="s">
        <v>132</v>
      </c>
      <c r="B129" s="386"/>
      <c r="C129" s="386"/>
      <c r="D129" s="386"/>
      <c r="E129" s="386"/>
      <c r="F129" s="386"/>
      <c r="G129" s="174">
        <f>SUM(G123:G128)</f>
        <v>639.20999999999981</v>
      </c>
      <c r="H129" s="3"/>
      <c r="I129" s="7"/>
    </row>
    <row r="130" spans="1:9">
      <c r="A130" s="296"/>
      <c r="B130" s="296"/>
      <c r="C130" s="296"/>
      <c r="D130" s="314"/>
      <c r="E130" s="315"/>
      <c r="F130" s="315"/>
      <c r="G130" s="315"/>
      <c r="H130" s="164"/>
      <c r="I130" s="7"/>
    </row>
    <row r="131" spans="1:9">
      <c r="A131" s="168" t="s">
        <v>30</v>
      </c>
      <c r="B131" s="387" t="s">
        <v>133</v>
      </c>
      <c r="C131" s="387"/>
      <c r="D131" s="387"/>
      <c r="E131" s="387"/>
      <c r="F131" s="387"/>
      <c r="G131" s="55" t="s">
        <v>18</v>
      </c>
      <c r="H131" s="3"/>
      <c r="I131" s="7"/>
    </row>
    <row r="132" spans="1:9">
      <c r="A132" s="148" t="s">
        <v>8</v>
      </c>
      <c r="B132" s="388" t="s">
        <v>256</v>
      </c>
      <c r="C132" s="389"/>
      <c r="D132" s="389"/>
      <c r="E132" s="389"/>
      <c r="F132" s="389"/>
      <c r="G132" s="338">
        <v>0</v>
      </c>
      <c r="H132" s="3"/>
      <c r="I132" s="7"/>
    </row>
    <row r="133" spans="1:9">
      <c r="A133" s="390" t="s">
        <v>310</v>
      </c>
      <c r="B133" s="390"/>
      <c r="C133" s="390"/>
      <c r="D133" s="390"/>
      <c r="E133" s="390"/>
      <c r="F133" s="390"/>
      <c r="G133" s="56">
        <f>SUM(G132:G132)</f>
        <v>0</v>
      </c>
      <c r="H133" s="3"/>
      <c r="I133" s="7"/>
    </row>
    <row r="134" spans="1:9">
      <c r="A134" s="339"/>
      <c r="B134" s="177"/>
      <c r="C134" s="340"/>
      <c r="D134" s="326"/>
      <c r="E134" s="326"/>
      <c r="F134" s="326"/>
      <c r="G134" s="326"/>
      <c r="H134" s="3"/>
      <c r="I134" s="7"/>
    </row>
    <row r="135" spans="1:9">
      <c r="A135" s="391" t="s">
        <v>141</v>
      </c>
      <c r="B135" s="391"/>
      <c r="C135" s="391"/>
      <c r="D135" s="391"/>
      <c r="E135" s="391"/>
      <c r="F135" s="391"/>
      <c r="G135" s="391"/>
      <c r="H135" s="27"/>
      <c r="I135" s="26"/>
    </row>
    <row r="136" spans="1:9">
      <c r="A136" s="152" t="s">
        <v>142</v>
      </c>
      <c r="B136" s="382" t="s">
        <v>118</v>
      </c>
      <c r="C136" s="382"/>
      <c r="D136" s="382"/>
      <c r="E136" s="382"/>
      <c r="F136" s="382"/>
      <c r="G136" s="208" t="s">
        <v>18</v>
      </c>
      <c r="H136" s="27"/>
      <c r="I136" s="26"/>
    </row>
    <row r="137" spans="1:9">
      <c r="A137" s="339" t="s">
        <v>27</v>
      </c>
      <c r="B137" s="380" t="s">
        <v>143</v>
      </c>
      <c r="C137" s="380"/>
      <c r="D137" s="380"/>
      <c r="E137" s="380"/>
      <c r="F137" s="380"/>
      <c r="G137" s="341">
        <f>G129</f>
        <v>639.20999999999981</v>
      </c>
      <c r="H137" s="3"/>
      <c r="I137" s="7"/>
    </row>
    <row r="138" spans="1:9">
      <c r="A138" s="339" t="s">
        <v>30</v>
      </c>
      <c r="B138" s="380" t="s">
        <v>133</v>
      </c>
      <c r="C138" s="380"/>
      <c r="D138" s="380"/>
      <c r="E138" s="380"/>
      <c r="F138" s="380"/>
      <c r="G138" s="162">
        <f>G133</f>
        <v>0</v>
      </c>
      <c r="H138" s="27"/>
      <c r="I138" s="26"/>
    </row>
    <row r="139" spans="1:9">
      <c r="A139" s="383" t="s">
        <v>144</v>
      </c>
      <c r="B139" s="383"/>
      <c r="C139" s="383"/>
      <c r="D139" s="383"/>
      <c r="E139" s="383"/>
      <c r="F139" s="383"/>
      <c r="G139" s="175">
        <f>SUM(G137:G138)</f>
        <v>639.20999999999981</v>
      </c>
      <c r="H139" s="3"/>
      <c r="I139" s="7"/>
    </row>
    <row r="140" spans="1:9" ht="31.5" customHeight="1">
      <c r="A140" s="144" t="s">
        <v>108</v>
      </c>
      <c r="B140" s="384" t="s">
        <v>253</v>
      </c>
      <c r="C140" s="384"/>
      <c r="D140" s="384"/>
      <c r="E140" s="384"/>
      <c r="F140" s="384"/>
      <c r="G140" s="384"/>
      <c r="H140" s="3"/>
      <c r="I140" s="7"/>
    </row>
    <row r="141" spans="1:9">
      <c r="A141" s="324"/>
      <c r="B141" s="324"/>
      <c r="C141" s="324"/>
      <c r="D141" s="314"/>
      <c r="E141" s="315"/>
      <c r="F141" s="315"/>
      <c r="G141" s="315"/>
      <c r="H141" s="164"/>
      <c r="I141" s="7"/>
    </row>
    <row r="142" spans="1:9" ht="15.75">
      <c r="A142" s="381" t="s">
        <v>185</v>
      </c>
      <c r="B142" s="381"/>
      <c r="C142" s="381"/>
      <c r="D142" s="381"/>
      <c r="E142" s="381"/>
      <c r="F142" s="381"/>
      <c r="G142" s="381"/>
      <c r="H142" s="3"/>
      <c r="I142" s="7"/>
    </row>
    <row r="143" spans="1:9">
      <c r="A143" s="176"/>
      <c r="B143" s="379" t="s">
        <v>118</v>
      </c>
      <c r="C143" s="379"/>
      <c r="D143" s="379"/>
      <c r="E143" s="379"/>
      <c r="F143" s="379"/>
      <c r="G143" s="56" t="s">
        <v>18</v>
      </c>
      <c r="H143" s="3"/>
      <c r="I143" s="7"/>
    </row>
    <row r="144" spans="1:9">
      <c r="A144" s="177" t="s">
        <v>8</v>
      </c>
      <c r="B144" s="380" t="s">
        <v>186</v>
      </c>
      <c r="C144" s="380"/>
      <c r="D144" s="380"/>
      <c r="E144" s="380"/>
      <c r="F144" s="380"/>
      <c r="G144" s="178">
        <f>'SR. UNIFORMES E EQUIPAMENTOS'!H13</f>
        <v>124.00533333333334</v>
      </c>
      <c r="H144" s="3"/>
      <c r="I144" s="7"/>
    </row>
    <row r="145" spans="1:9">
      <c r="A145" s="177" t="s">
        <v>10</v>
      </c>
      <c r="B145" s="380" t="s">
        <v>187</v>
      </c>
      <c r="C145" s="380"/>
      <c r="D145" s="380"/>
      <c r="E145" s="380"/>
      <c r="F145" s="380"/>
      <c r="G145" s="179">
        <f>'SR. UNIFORMES E EQUIPAMENTOS'!H24</f>
        <v>6.1016666666666666</v>
      </c>
      <c r="H145" s="3"/>
      <c r="I145" s="7"/>
    </row>
    <row r="146" spans="1:9">
      <c r="A146" s="159" t="s">
        <v>12</v>
      </c>
      <c r="B146" s="368" t="s">
        <v>188</v>
      </c>
      <c r="C146" s="368"/>
      <c r="D146" s="368"/>
      <c r="E146" s="368"/>
      <c r="F146" s="368"/>
      <c r="G146" s="162">
        <v>0</v>
      </c>
      <c r="H146" s="3"/>
      <c r="I146" s="7"/>
    </row>
    <row r="147" spans="1:9">
      <c r="A147" s="371" t="s">
        <v>189</v>
      </c>
      <c r="B147" s="371"/>
      <c r="C147" s="371"/>
      <c r="D147" s="371"/>
      <c r="E147" s="371"/>
      <c r="F147" s="371"/>
      <c r="G147" s="47">
        <f>SUM(G144:G146)</f>
        <v>130.107</v>
      </c>
      <c r="H147" s="3"/>
      <c r="I147" s="7"/>
    </row>
    <row r="148" spans="1:9">
      <c r="A148" s="148"/>
      <c r="B148" s="203"/>
      <c r="C148" s="203"/>
      <c r="D148" s="314"/>
      <c r="E148" s="315"/>
      <c r="F148" s="315"/>
      <c r="G148" s="315"/>
      <c r="H148" s="164"/>
      <c r="I148" s="7"/>
    </row>
    <row r="149" spans="1:9" ht="15.75">
      <c r="A149" s="381" t="s">
        <v>190</v>
      </c>
      <c r="B149" s="381"/>
      <c r="C149" s="381"/>
      <c r="D149" s="381"/>
      <c r="E149" s="381"/>
      <c r="F149" s="381"/>
      <c r="G149" s="381"/>
      <c r="H149" s="164"/>
      <c r="I149" s="26"/>
    </row>
    <row r="150" spans="1:9">
      <c r="A150" s="180"/>
      <c r="B150" s="377" t="s">
        <v>45</v>
      </c>
      <c r="C150" s="377"/>
      <c r="D150" s="377"/>
      <c r="E150" s="377"/>
      <c r="F150" s="88" t="s">
        <v>20</v>
      </c>
      <c r="G150" s="88" t="s">
        <v>18</v>
      </c>
      <c r="H150" s="164"/>
      <c r="I150" s="7"/>
    </row>
    <row r="151" spans="1:9" ht="39" customHeight="1">
      <c r="A151" s="378" t="s">
        <v>191</v>
      </c>
      <c r="B151" s="378"/>
      <c r="C151" s="378"/>
      <c r="D151" s="378"/>
      <c r="E151" s="378"/>
      <c r="F151" s="378"/>
      <c r="G151" s="358">
        <f>SUM(G52+G103+G114+G139+G147)</f>
        <v>7675.9570000000003</v>
      </c>
      <c r="H151" s="164"/>
      <c r="I151" s="7"/>
    </row>
    <row r="152" spans="1:9">
      <c r="A152" s="182" t="s">
        <v>8</v>
      </c>
      <c r="B152" s="373" t="s">
        <v>46</v>
      </c>
      <c r="C152" s="373"/>
      <c r="D152" s="373"/>
      <c r="E152" s="373"/>
      <c r="F152" s="190">
        <v>0.1467</v>
      </c>
      <c r="G152" s="94">
        <f>ROUND(F152*G151,2)</f>
        <v>1126.06</v>
      </c>
      <c r="H152" s="164"/>
      <c r="I152" s="7"/>
    </row>
    <row r="153" spans="1:9" ht="38.25" customHeight="1">
      <c r="A153" s="378" t="s">
        <v>192</v>
      </c>
      <c r="B153" s="378"/>
      <c r="C153" s="378"/>
      <c r="D153" s="378"/>
      <c r="E153" s="378"/>
      <c r="F153" s="378"/>
      <c r="G153" s="357">
        <f>SUM(G52+G103+G114+G139+G147+G152)</f>
        <v>8802.0169999999998</v>
      </c>
      <c r="H153" s="164"/>
      <c r="I153" s="26"/>
    </row>
    <row r="154" spans="1:9">
      <c r="A154" s="182" t="s">
        <v>10</v>
      </c>
      <c r="B154" s="373" t="s">
        <v>47</v>
      </c>
      <c r="C154" s="373"/>
      <c r="D154" s="373"/>
      <c r="E154" s="373"/>
      <c r="F154" s="190">
        <v>0.13400000000000001</v>
      </c>
      <c r="G154" s="92">
        <f>ROUND(F154*G153,2)</f>
        <v>1179.47</v>
      </c>
      <c r="H154" s="164"/>
      <c r="I154" s="26"/>
    </row>
    <row r="155" spans="1:9" ht="39" customHeight="1">
      <c r="A155" s="378" t="s">
        <v>193</v>
      </c>
      <c r="B155" s="378"/>
      <c r="C155" s="378"/>
      <c r="D155" s="378"/>
      <c r="E155" s="378"/>
      <c r="F155" s="378"/>
      <c r="G155" s="358">
        <f>SUM(G52+G103+G114+G139+G147+G152+G154)</f>
        <v>9981.4869999999992</v>
      </c>
      <c r="H155" s="164"/>
      <c r="I155" s="26"/>
    </row>
    <row r="156" spans="1:9">
      <c r="A156" s="182" t="s">
        <v>12</v>
      </c>
      <c r="B156" s="373" t="s">
        <v>48</v>
      </c>
      <c r="C156" s="373"/>
      <c r="D156" s="373"/>
      <c r="E156" s="373"/>
      <c r="F156" s="90">
        <f>SUM(F157:F160)</f>
        <v>0.1225</v>
      </c>
      <c r="G156" s="185">
        <f>SUM(G157:G160)</f>
        <v>1393.43</v>
      </c>
      <c r="H156" s="374" t="s">
        <v>259</v>
      </c>
      <c r="I156" s="375"/>
    </row>
    <row r="157" spans="1:9">
      <c r="A157" s="376" t="s">
        <v>196</v>
      </c>
      <c r="B157" s="368" t="s">
        <v>199</v>
      </c>
      <c r="C157" s="368"/>
      <c r="D157" s="370" t="s">
        <v>34</v>
      </c>
      <c r="E157" s="370"/>
      <c r="F157" s="93">
        <f>IF(E8=1,0.0165,IF(E8=2,0.0065,IF(E8=3,I159,IF(E8=4,I159,¨RT Indefinido¨))))</f>
        <v>1.6500000000000001E-2</v>
      </c>
      <c r="G157" s="181">
        <f>ROUND(($G$155/(1-$F$156))*F157,2)</f>
        <v>187.69</v>
      </c>
      <c r="H157" s="219" t="s">
        <v>260</v>
      </c>
      <c r="I157" s="108" t="s">
        <v>261</v>
      </c>
    </row>
    <row r="158" spans="1:9">
      <c r="A158" s="376"/>
      <c r="B158" s="368"/>
      <c r="C158" s="368"/>
      <c r="D158" s="370" t="s">
        <v>194</v>
      </c>
      <c r="E158" s="370"/>
      <c r="F158" s="93">
        <f>IF(E8=1,0.076,IF(E8=2,0.03,IF(E8=3,I158,IF(E8=4,I158,¨RT Indefinido¨))))</f>
        <v>7.5999999999999998E-2</v>
      </c>
      <c r="G158" s="181">
        <f>ROUND(($G$155/(1-$F$156))*F158,2)</f>
        <v>864.49</v>
      </c>
      <c r="H158" s="220" t="s">
        <v>194</v>
      </c>
      <c r="I158" s="109">
        <v>0</v>
      </c>
    </row>
    <row r="159" spans="1:9">
      <c r="A159" s="159" t="s">
        <v>197</v>
      </c>
      <c r="B159" s="368" t="s">
        <v>200</v>
      </c>
      <c r="C159" s="368"/>
      <c r="D159" s="369" t="s">
        <v>202</v>
      </c>
      <c r="E159" s="370"/>
      <c r="F159" s="93">
        <v>0</v>
      </c>
      <c r="G159" s="181">
        <v>0</v>
      </c>
      <c r="H159" s="220" t="s">
        <v>34</v>
      </c>
      <c r="I159" s="109">
        <v>0</v>
      </c>
    </row>
    <row r="160" spans="1:9">
      <c r="A160" s="159" t="s">
        <v>198</v>
      </c>
      <c r="B160" s="368" t="s">
        <v>201</v>
      </c>
      <c r="C160" s="368"/>
      <c r="D160" s="370" t="s">
        <v>195</v>
      </c>
      <c r="E160" s="370"/>
      <c r="F160" s="191">
        <v>0.03</v>
      </c>
      <c r="G160" s="162">
        <f>ROUND(($G$155/(1-$F$156))*F160,2)</f>
        <v>341.25</v>
      </c>
      <c r="H160" s="220" t="s">
        <v>262</v>
      </c>
      <c r="I160" s="109">
        <v>0</v>
      </c>
    </row>
    <row r="161" spans="1:9">
      <c r="A161" s="371" t="s">
        <v>203</v>
      </c>
      <c r="B161" s="371"/>
      <c r="C161" s="371"/>
      <c r="D161" s="371"/>
      <c r="E161" s="371"/>
      <c r="F161" s="371"/>
      <c r="G161" s="183">
        <f>SUM(G152+G154+G156)</f>
        <v>3698.96</v>
      </c>
      <c r="H161" s="27"/>
      <c r="I161" s="26"/>
    </row>
    <row r="162" spans="1:9">
      <c r="A162" s="184" t="s">
        <v>109</v>
      </c>
      <c r="B162" s="372" t="s">
        <v>205</v>
      </c>
      <c r="C162" s="372"/>
      <c r="D162" s="372"/>
      <c r="E162" s="372"/>
      <c r="F162" s="372"/>
      <c r="G162" s="372"/>
      <c r="H162" s="27"/>
      <c r="I162" s="26"/>
    </row>
    <row r="163" spans="1:9">
      <c r="A163" s="364" t="s">
        <v>204</v>
      </c>
      <c r="B163" s="365" t="s">
        <v>206</v>
      </c>
      <c r="C163" s="366" t="s">
        <v>207</v>
      </c>
      <c r="D163" s="366"/>
      <c r="E163" s="342"/>
      <c r="F163" s="343"/>
      <c r="G163" s="344"/>
      <c r="H163" s="27"/>
      <c r="I163" s="26"/>
    </row>
    <row r="164" spans="1:9">
      <c r="A164" s="364"/>
      <c r="B164" s="365"/>
      <c r="C164" s="366" t="s">
        <v>208</v>
      </c>
      <c r="D164" s="366"/>
      <c r="E164" s="345" t="s">
        <v>210</v>
      </c>
      <c r="F164" s="343"/>
      <c r="G164" s="344"/>
      <c r="H164" s="27"/>
      <c r="I164" s="26"/>
    </row>
    <row r="165" spans="1:9">
      <c r="A165" s="364"/>
      <c r="B165" s="365"/>
      <c r="C165" s="366" t="s">
        <v>209</v>
      </c>
      <c r="D165" s="366"/>
      <c r="E165" s="342"/>
      <c r="F165" s="343"/>
      <c r="G165" s="344"/>
      <c r="H165" s="27"/>
      <c r="I165" s="26"/>
    </row>
    <row r="166" spans="1:9">
      <c r="A166" s="346"/>
      <c r="B166" s="347"/>
      <c r="C166" s="348"/>
      <c r="D166" s="348"/>
      <c r="E166" s="349"/>
      <c r="F166" s="350"/>
      <c r="G166" s="351"/>
      <c r="H166" s="27"/>
      <c r="I166" s="26"/>
    </row>
    <row r="167" spans="1:9">
      <c r="A167" s="329"/>
      <c r="B167" s="352"/>
      <c r="C167" s="352"/>
      <c r="D167" s="353"/>
      <c r="E167" s="353"/>
      <c r="F167" s="353"/>
      <c r="G167" s="353"/>
      <c r="H167" s="3"/>
      <c r="I167" s="7"/>
    </row>
    <row r="168" spans="1:9">
      <c r="A168" s="367" t="s">
        <v>211</v>
      </c>
      <c r="B168" s="367"/>
      <c r="C168" s="367"/>
      <c r="D168" s="367"/>
      <c r="E168" s="367"/>
      <c r="F168" s="367"/>
      <c r="G168" s="367"/>
      <c r="H168" s="3"/>
      <c r="I168" s="7"/>
    </row>
    <row r="169" spans="1:9">
      <c r="A169" s="363" t="s">
        <v>212</v>
      </c>
      <c r="B169" s="363"/>
      <c r="C169" s="363"/>
      <c r="D169" s="363"/>
      <c r="E169" s="363"/>
      <c r="F169" s="363"/>
      <c r="G169" s="185" t="s">
        <v>18</v>
      </c>
      <c r="H169" s="3"/>
      <c r="I169" s="7"/>
    </row>
    <row r="170" spans="1:9">
      <c r="A170" s="148" t="s">
        <v>8</v>
      </c>
      <c r="B170" s="361" t="s">
        <v>55</v>
      </c>
      <c r="C170" s="361"/>
      <c r="D170" s="361"/>
      <c r="E170" s="361"/>
      <c r="F170" s="361"/>
      <c r="G170" s="359">
        <f>G52</f>
        <v>4107.84</v>
      </c>
      <c r="H170" s="3"/>
      <c r="I170" s="7"/>
    </row>
    <row r="171" spans="1:9">
      <c r="A171" s="148" t="s">
        <v>10</v>
      </c>
      <c r="B171" s="361" t="s">
        <v>213</v>
      </c>
      <c r="C171" s="361"/>
      <c r="D171" s="361"/>
      <c r="E171" s="361"/>
      <c r="F171" s="361"/>
      <c r="G171" s="179">
        <f>G103</f>
        <v>2591.17</v>
      </c>
      <c r="H171" s="3"/>
      <c r="I171" s="7"/>
    </row>
    <row r="172" spans="1:9">
      <c r="A172" s="148" t="s">
        <v>12</v>
      </c>
      <c r="B172" s="361" t="s">
        <v>50</v>
      </c>
      <c r="C172" s="361"/>
      <c r="D172" s="361"/>
      <c r="E172" s="361"/>
      <c r="F172" s="361"/>
      <c r="G172" s="179">
        <f>G114</f>
        <v>207.63</v>
      </c>
      <c r="H172" s="3"/>
      <c r="I172" s="7"/>
    </row>
    <row r="173" spans="1:9">
      <c r="A173" s="148" t="s">
        <v>13</v>
      </c>
      <c r="B173" s="361" t="s">
        <v>51</v>
      </c>
      <c r="C173" s="361"/>
      <c r="D173" s="361"/>
      <c r="E173" s="361"/>
      <c r="F173" s="361"/>
      <c r="G173" s="179">
        <f>G139</f>
        <v>639.20999999999981</v>
      </c>
      <c r="H173" s="27"/>
      <c r="I173" s="26"/>
    </row>
    <row r="174" spans="1:9">
      <c r="A174" s="159" t="s">
        <v>22</v>
      </c>
      <c r="B174" s="361" t="s">
        <v>52</v>
      </c>
      <c r="C174" s="361"/>
      <c r="D174" s="361"/>
      <c r="E174" s="361"/>
      <c r="F174" s="361"/>
      <c r="G174" s="179">
        <f>G147</f>
        <v>130.107</v>
      </c>
      <c r="H174" s="27"/>
      <c r="I174" s="26"/>
    </row>
    <row r="175" spans="1:9">
      <c r="A175" s="360" t="s">
        <v>49</v>
      </c>
      <c r="B175" s="360"/>
      <c r="C175" s="360"/>
      <c r="D175" s="360"/>
      <c r="E175" s="360"/>
      <c r="F175" s="360"/>
      <c r="G175" s="354">
        <f>SUM(G170:G174)</f>
        <v>7675.9570000000003</v>
      </c>
      <c r="H175" s="27"/>
      <c r="I175" s="26"/>
    </row>
    <row r="176" spans="1:9">
      <c r="A176" s="159" t="s">
        <v>23</v>
      </c>
      <c r="B176" s="361" t="s">
        <v>54</v>
      </c>
      <c r="C176" s="361"/>
      <c r="D176" s="361"/>
      <c r="E176" s="361"/>
      <c r="F176" s="361"/>
      <c r="G176" s="179">
        <f>G161</f>
        <v>3698.96</v>
      </c>
      <c r="H176" s="27"/>
      <c r="I176" s="26"/>
    </row>
    <row r="177" spans="1:9" ht="15.75">
      <c r="A177" s="362" t="s">
        <v>214</v>
      </c>
      <c r="B177" s="362"/>
      <c r="C177" s="362"/>
      <c r="D177" s="362"/>
      <c r="E177" s="362"/>
      <c r="F177" s="362"/>
      <c r="G177" s="186">
        <f>SUM(G175:G176)</f>
        <v>11374.917000000001</v>
      </c>
      <c r="H177" s="3"/>
      <c r="I177" s="7"/>
    </row>
  </sheetData>
  <mergeCells count="197">
    <mergeCell ref="A1:G1"/>
    <mergeCell ref="A2:G2"/>
    <mergeCell ref="B3:D3"/>
    <mergeCell ref="F3:G3"/>
    <mergeCell ref="B4:G4"/>
    <mergeCell ref="A5:G5"/>
    <mergeCell ref="A9:G9"/>
    <mergeCell ref="B10:D10"/>
    <mergeCell ref="E10:G10"/>
    <mergeCell ref="B11:D11"/>
    <mergeCell ref="E11:G11"/>
    <mergeCell ref="B12:E12"/>
    <mergeCell ref="F12:G12"/>
    <mergeCell ref="A6:B6"/>
    <mergeCell ref="C6:G6"/>
    <mergeCell ref="A7:B7"/>
    <mergeCell ref="C7:G7"/>
    <mergeCell ref="A8:C8"/>
    <mergeCell ref="E8:F8"/>
    <mergeCell ref="A18:G18"/>
    <mergeCell ref="A19:G19"/>
    <mergeCell ref="A20:G20"/>
    <mergeCell ref="A21:G21"/>
    <mergeCell ref="B22:F22"/>
    <mergeCell ref="B23:F23"/>
    <mergeCell ref="B13:F13"/>
    <mergeCell ref="A14:G14"/>
    <mergeCell ref="A15:C15"/>
    <mergeCell ref="D15:E15"/>
    <mergeCell ref="F15:G15"/>
    <mergeCell ref="A16:C17"/>
    <mergeCell ref="D16:E17"/>
    <mergeCell ref="F16:G17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43:F43"/>
    <mergeCell ref="B44:F44"/>
    <mergeCell ref="B45:F45"/>
    <mergeCell ref="B46:D46"/>
    <mergeCell ref="E46:F46"/>
    <mergeCell ref="B47:F47"/>
    <mergeCell ref="B36:F36"/>
    <mergeCell ref="B37:G37"/>
    <mergeCell ref="B38:G38"/>
    <mergeCell ref="A41:G41"/>
    <mergeCell ref="B42:D42"/>
    <mergeCell ref="E42:F42"/>
    <mergeCell ref="A57:G57"/>
    <mergeCell ref="B58:F58"/>
    <mergeCell ref="B59:F59"/>
    <mergeCell ref="B60:F60"/>
    <mergeCell ref="A61:F61"/>
    <mergeCell ref="B62:G62"/>
    <mergeCell ref="A48:F48"/>
    <mergeCell ref="B49:F49"/>
    <mergeCell ref="A50:F50"/>
    <mergeCell ref="A52:F52"/>
    <mergeCell ref="B53:G53"/>
    <mergeCell ref="B54:G54"/>
    <mergeCell ref="B68:D68"/>
    <mergeCell ref="E68:F68"/>
    <mergeCell ref="B69:D69"/>
    <mergeCell ref="E69:F69"/>
    <mergeCell ref="B70:D70"/>
    <mergeCell ref="E70:F70"/>
    <mergeCell ref="B65:G65"/>
    <mergeCell ref="B66:D66"/>
    <mergeCell ref="E66:F66"/>
    <mergeCell ref="B67:D67"/>
    <mergeCell ref="E67:F67"/>
    <mergeCell ref="B74:D74"/>
    <mergeCell ref="E74:F74"/>
    <mergeCell ref="A75:D75"/>
    <mergeCell ref="E75:F75"/>
    <mergeCell ref="B76:G76"/>
    <mergeCell ref="B77:G77"/>
    <mergeCell ref="B71:D71"/>
    <mergeCell ref="E71:F71"/>
    <mergeCell ref="B72:D72"/>
    <mergeCell ref="E72:F72"/>
    <mergeCell ref="B73:D73"/>
    <mergeCell ref="E73:F73"/>
    <mergeCell ref="B80:G80"/>
    <mergeCell ref="B81:F81"/>
    <mergeCell ref="A82:A85"/>
    <mergeCell ref="B82:B85"/>
    <mergeCell ref="C82:D82"/>
    <mergeCell ref="E82:F82"/>
    <mergeCell ref="G82:G85"/>
    <mergeCell ref="C83:D83"/>
    <mergeCell ref="E83:F83"/>
    <mergeCell ref="C84:D84"/>
    <mergeCell ref="B89:F89"/>
    <mergeCell ref="E84:F84"/>
    <mergeCell ref="C85:D85"/>
    <mergeCell ref="E85:F85"/>
    <mergeCell ref="A98:G98"/>
    <mergeCell ref="B99:F99"/>
    <mergeCell ref="B100:F100"/>
    <mergeCell ref="B101:F101"/>
    <mergeCell ref="B102:F102"/>
    <mergeCell ref="A86:A88"/>
    <mergeCell ref="B86:B88"/>
    <mergeCell ref="C86:D86"/>
    <mergeCell ref="E86:F86"/>
    <mergeCell ref="G86:G88"/>
    <mergeCell ref="C87:D87"/>
    <mergeCell ref="E87:F87"/>
    <mergeCell ref="C88:D88"/>
    <mergeCell ref="E88:F88"/>
    <mergeCell ref="A103:F103"/>
    <mergeCell ref="B90:F90"/>
    <mergeCell ref="B91:F91"/>
    <mergeCell ref="B92:F92"/>
    <mergeCell ref="A93:F93"/>
    <mergeCell ref="B94:G94"/>
    <mergeCell ref="B95:G95"/>
    <mergeCell ref="B112:F112"/>
    <mergeCell ref="B113:F113"/>
    <mergeCell ref="A114:F114"/>
    <mergeCell ref="A117:G117"/>
    <mergeCell ref="A118:G118"/>
    <mergeCell ref="A120:D120"/>
    <mergeCell ref="E120:F120"/>
    <mergeCell ref="A106:G106"/>
    <mergeCell ref="B107:F107"/>
    <mergeCell ref="B108:F108"/>
    <mergeCell ref="B109:F109"/>
    <mergeCell ref="B110:F110"/>
    <mergeCell ref="B111:F111"/>
    <mergeCell ref="B128:F128"/>
    <mergeCell ref="A129:F129"/>
    <mergeCell ref="B131:F131"/>
    <mergeCell ref="B132:F132"/>
    <mergeCell ref="A133:F133"/>
    <mergeCell ref="A135:G135"/>
    <mergeCell ref="B122:F122"/>
    <mergeCell ref="B123:F123"/>
    <mergeCell ref="B124:F124"/>
    <mergeCell ref="B125:F125"/>
    <mergeCell ref="B126:F126"/>
    <mergeCell ref="B127:F127"/>
    <mergeCell ref="B143:F143"/>
    <mergeCell ref="B144:F144"/>
    <mergeCell ref="B145:F145"/>
    <mergeCell ref="B146:F146"/>
    <mergeCell ref="A147:F147"/>
    <mergeCell ref="A149:G149"/>
    <mergeCell ref="B136:F136"/>
    <mergeCell ref="B137:F137"/>
    <mergeCell ref="B138:F138"/>
    <mergeCell ref="A139:F139"/>
    <mergeCell ref="B140:G140"/>
    <mergeCell ref="A142:G142"/>
    <mergeCell ref="B156:E156"/>
    <mergeCell ref="H156:I156"/>
    <mergeCell ref="A157:A158"/>
    <mergeCell ref="B157:C158"/>
    <mergeCell ref="D157:E157"/>
    <mergeCell ref="D158:E158"/>
    <mergeCell ref="B150:E150"/>
    <mergeCell ref="A151:F151"/>
    <mergeCell ref="B152:E152"/>
    <mergeCell ref="A153:F153"/>
    <mergeCell ref="B154:E154"/>
    <mergeCell ref="A155:F155"/>
    <mergeCell ref="A163:A165"/>
    <mergeCell ref="B163:B165"/>
    <mergeCell ref="C163:D163"/>
    <mergeCell ref="C164:D164"/>
    <mergeCell ref="C165:D165"/>
    <mergeCell ref="A168:G168"/>
    <mergeCell ref="B159:C159"/>
    <mergeCell ref="D159:E159"/>
    <mergeCell ref="B160:C160"/>
    <mergeCell ref="D160:E160"/>
    <mergeCell ref="A161:F161"/>
    <mergeCell ref="B162:G162"/>
    <mergeCell ref="A175:F175"/>
    <mergeCell ref="B176:F176"/>
    <mergeCell ref="A177:F177"/>
    <mergeCell ref="A169:F169"/>
    <mergeCell ref="B170:F170"/>
    <mergeCell ref="B171:F171"/>
    <mergeCell ref="B172:F172"/>
    <mergeCell ref="B173:F173"/>
    <mergeCell ref="B174:F174"/>
  </mergeCells>
  <pageMargins left="0.51181102362204722" right="0.51181102362204722" top="0.78740157480314965" bottom="0.78740157480314965" header="0.31496062992125984" footer="0.31496062992125984"/>
  <pageSetup paperSize="9" scale="67" orientation="portrait" r:id="rId1"/>
  <headerFooter>
    <oddFooter>&amp;C&amp;A
&amp;F&amp;R&amp;P de &amp;N</oddFooter>
  </headerFooter>
  <rowBreaks count="2" manualBreakCount="2">
    <brk id="64" max="6" man="1"/>
    <brk id="130" max="6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9"/>
  <sheetViews>
    <sheetView topLeftCell="A22" zoomScaleNormal="100" workbookViewId="0">
      <selection activeCell="G44" sqref="G44"/>
    </sheetView>
  </sheetViews>
  <sheetFormatPr defaultRowHeight="15"/>
  <cols>
    <col min="1" max="1" width="17.5703125" customWidth="1"/>
    <col min="2" max="2" width="16.85546875" customWidth="1"/>
    <col min="3" max="3" width="21.85546875" customWidth="1"/>
    <col min="4" max="4" width="20.5703125" customWidth="1"/>
    <col min="5" max="5" width="12.5703125" customWidth="1"/>
    <col min="6" max="6" width="24.85546875" customWidth="1"/>
    <col min="7" max="7" width="19.5703125" customWidth="1"/>
    <col min="8" max="8" width="13" customWidth="1"/>
    <col min="9" max="9" width="12.7109375" customWidth="1"/>
  </cols>
  <sheetData>
    <row r="1" spans="1:10">
      <c r="A1" s="474" t="s">
        <v>36</v>
      </c>
      <c r="B1" s="474"/>
      <c r="C1" s="474"/>
      <c r="D1" s="474"/>
      <c r="E1" s="474"/>
      <c r="F1" s="474"/>
      <c r="G1" s="474"/>
      <c r="H1" s="3"/>
      <c r="I1" s="3"/>
    </row>
    <row r="2" spans="1:10">
      <c r="A2" s="475" t="s">
        <v>0</v>
      </c>
      <c r="B2" s="475"/>
      <c r="C2" s="475"/>
      <c r="D2" s="475"/>
      <c r="E2" s="475"/>
      <c r="F2" s="475"/>
      <c r="G2" s="475"/>
      <c r="H2" s="3"/>
      <c r="I2" s="28"/>
    </row>
    <row r="3" spans="1:10">
      <c r="A3" s="221" t="s">
        <v>1</v>
      </c>
      <c r="B3" s="465" t="str">
        <f>'SR. DIURNO DESARMADO 12X36'!B3:D3</f>
        <v>23242.002232/2020-15</v>
      </c>
      <c r="C3" s="465"/>
      <c r="D3" s="465"/>
      <c r="E3" s="222" t="s">
        <v>2</v>
      </c>
      <c r="F3" s="472" t="str">
        <f>'SR. DIURNO DESARMADO 12X36'!F3:G3</f>
        <v>02/2021</v>
      </c>
      <c r="G3" s="473"/>
      <c r="H3" s="3"/>
      <c r="I3" s="3"/>
    </row>
    <row r="4" spans="1:10">
      <c r="A4" s="221" t="s">
        <v>3</v>
      </c>
      <c r="B4" s="467">
        <f ca="1">NOW()</f>
        <v>44357.388847337963</v>
      </c>
      <c r="C4" s="467"/>
      <c r="D4" s="467"/>
      <c r="E4" s="467"/>
      <c r="F4" s="467"/>
      <c r="G4" s="467"/>
      <c r="H4" s="3"/>
      <c r="I4" s="3"/>
    </row>
    <row r="5" spans="1:10">
      <c r="A5" s="476" t="s">
        <v>4</v>
      </c>
      <c r="B5" s="476"/>
      <c r="C5" s="476"/>
      <c r="D5" s="476"/>
      <c r="E5" s="476"/>
      <c r="F5" s="476"/>
      <c r="G5" s="476"/>
      <c r="H5" s="4"/>
      <c r="I5" s="3"/>
    </row>
    <row r="6" spans="1:10">
      <c r="A6" s="477" t="s">
        <v>5</v>
      </c>
      <c r="B6" s="477"/>
      <c r="C6" s="462" t="s">
        <v>263</v>
      </c>
      <c r="D6" s="462"/>
      <c r="E6" s="462"/>
      <c r="F6" s="462"/>
      <c r="G6" s="462"/>
      <c r="H6" s="5"/>
      <c r="I6" s="3"/>
    </row>
    <row r="7" spans="1:10">
      <c r="A7" s="477" t="s">
        <v>6</v>
      </c>
      <c r="B7" s="477"/>
      <c r="C7" s="462" t="s">
        <v>264</v>
      </c>
      <c r="D7" s="462"/>
      <c r="E7" s="462"/>
      <c r="F7" s="462"/>
      <c r="G7" s="462"/>
      <c r="H7" s="6"/>
      <c r="I7" s="3"/>
    </row>
    <row r="8" spans="1:10">
      <c r="A8" s="477" t="s">
        <v>265</v>
      </c>
      <c r="B8" s="477"/>
      <c r="C8" s="477"/>
      <c r="D8" s="223"/>
      <c r="E8" s="463">
        <v>1</v>
      </c>
      <c r="F8" s="463"/>
      <c r="G8" s="224" t="str">
        <f>IF(E8=1,"Lucro Real",IF(E8=2,"Lucro Presumido",IF(E8=3,"SIMPLES-Anexo III",IF(E8=4,"SIMPLES-Anexo IV","RT Inválido"))))</f>
        <v>Lucro Real</v>
      </c>
      <c r="H8" s="6"/>
      <c r="I8" s="3"/>
    </row>
    <row r="9" spans="1:10">
      <c r="A9" s="476" t="s">
        <v>7</v>
      </c>
      <c r="B9" s="476"/>
      <c r="C9" s="476"/>
      <c r="D9" s="476"/>
      <c r="E9" s="476"/>
      <c r="F9" s="476"/>
      <c r="G9" s="476"/>
      <c r="H9" s="6"/>
      <c r="I9" s="3"/>
    </row>
    <row r="10" spans="1:10">
      <c r="A10" s="225" t="s">
        <v>8</v>
      </c>
      <c r="B10" s="486" t="s">
        <v>9</v>
      </c>
      <c r="C10" s="486"/>
      <c r="D10" s="486"/>
      <c r="E10" s="487">
        <f ca="1">NOW()</f>
        <v>44357.388847337963</v>
      </c>
      <c r="F10" s="488"/>
      <c r="G10" s="488"/>
      <c r="H10" s="6"/>
      <c r="I10" s="3"/>
    </row>
    <row r="11" spans="1:10">
      <c r="A11" s="225" t="s">
        <v>10</v>
      </c>
      <c r="B11" s="479" t="s">
        <v>11</v>
      </c>
      <c r="C11" s="479"/>
      <c r="D11" s="479"/>
      <c r="E11" s="456" t="s">
        <v>258</v>
      </c>
      <c r="F11" s="456"/>
      <c r="G11" s="456"/>
      <c r="H11" s="3"/>
      <c r="I11" s="3"/>
    </row>
    <row r="12" spans="1:10">
      <c r="A12" s="226" t="s">
        <v>12</v>
      </c>
      <c r="B12" s="480" t="s">
        <v>266</v>
      </c>
      <c r="C12" s="481"/>
      <c r="D12" s="481"/>
      <c r="E12" s="481"/>
      <c r="F12" s="482" t="s">
        <v>257</v>
      </c>
      <c r="G12" s="483"/>
      <c r="H12" s="3"/>
      <c r="I12" s="3"/>
    </row>
    <row r="13" spans="1:10">
      <c r="A13" s="225" t="s">
        <v>13</v>
      </c>
      <c r="B13" s="484" t="s">
        <v>14</v>
      </c>
      <c r="C13" s="484"/>
      <c r="D13" s="484"/>
      <c r="E13" s="484"/>
      <c r="F13" s="448"/>
      <c r="G13" s="227">
        <v>30</v>
      </c>
      <c r="H13" s="28"/>
      <c r="I13" s="28"/>
      <c r="J13" s="135"/>
    </row>
    <row r="14" spans="1:10">
      <c r="A14" s="494" t="s">
        <v>286</v>
      </c>
      <c r="B14" s="494"/>
      <c r="C14" s="494"/>
      <c r="D14" s="494"/>
      <c r="E14" s="494"/>
      <c r="F14" s="494"/>
      <c r="G14" s="494"/>
      <c r="H14" s="28"/>
      <c r="I14" s="28"/>
      <c r="J14" s="135"/>
    </row>
    <row r="15" spans="1:10">
      <c r="A15" s="495" t="s">
        <v>287</v>
      </c>
      <c r="B15" s="495"/>
      <c r="C15" s="495"/>
      <c r="D15" s="496" t="s">
        <v>288</v>
      </c>
      <c r="E15" s="496"/>
      <c r="F15" s="496" t="s">
        <v>289</v>
      </c>
      <c r="G15" s="496"/>
      <c r="H15" s="28"/>
      <c r="I15" s="28"/>
      <c r="J15" s="135"/>
    </row>
    <row r="16" spans="1:10">
      <c r="A16" s="497" t="s">
        <v>341</v>
      </c>
      <c r="B16" s="497"/>
      <c r="C16" s="497"/>
      <c r="D16" s="498" t="s">
        <v>290</v>
      </c>
      <c r="E16" s="498"/>
      <c r="F16" s="454">
        <v>1</v>
      </c>
      <c r="G16" s="454"/>
      <c r="H16" s="28"/>
      <c r="I16" s="28"/>
      <c r="J16" s="135"/>
    </row>
    <row r="17" spans="1:9">
      <c r="A17" s="497"/>
      <c r="B17" s="497"/>
      <c r="C17" s="497"/>
      <c r="D17" s="498"/>
      <c r="E17" s="498"/>
      <c r="F17" s="454"/>
      <c r="G17" s="454"/>
      <c r="H17" s="3"/>
      <c r="I17" s="3"/>
    </row>
    <row r="18" spans="1:9">
      <c r="A18" s="485"/>
      <c r="B18" s="485"/>
      <c r="C18" s="485"/>
      <c r="D18" s="485"/>
      <c r="E18" s="485"/>
      <c r="F18" s="485"/>
      <c r="G18" s="485"/>
      <c r="H18" s="3"/>
      <c r="I18" s="7"/>
    </row>
    <row r="19" spans="1:9" ht="15.75">
      <c r="A19" s="491" t="s">
        <v>300</v>
      </c>
      <c r="B19" s="491"/>
      <c r="C19" s="491"/>
      <c r="D19" s="491"/>
      <c r="E19" s="491"/>
      <c r="F19" s="491"/>
      <c r="G19" s="491"/>
      <c r="H19" s="3"/>
      <c r="I19" s="7"/>
    </row>
    <row r="20" spans="1:9">
      <c r="A20" s="475" t="s">
        <v>299</v>
      </c>
      <c r="B20" s="475"/>
      <c r="C20" s="475"/>
      <c r="D20" s="475"/>
      <c r="E20" s="475"/>
      <c r="F20" s="475"/>
      <c r="G20" s="475"/>
      <c r="H20" s="3"/>
      <c r="I20" s="7"/>
    </row>
    <row r="21" spans="1:9">
      <c r="A21" s="492" t="s">
        <v>301</v>
      </c>
      <c r="B21" s="492"/>
      <c r="C21" s="492"/>
      <c r="D21" s="492"/>
      <c r="E21" s="492"/>
      <c r="F21" s="492"/>
      <c r="G21" s="492"/>
      <c r="H21" s="3"/>
      <c r="I21" s="7"/>
    </row>
    <row r="22" spans="1:9" ht="86.25" customHeight="1">
      <c r="A22" s="43">
        <v>1</v>
      </c>
      <c r="B22" s="489" t="s">
        <v>267</v>
      </c>
      <c r="C22" s="489"/>
      <c r="D22" s="489"/>
      <c r="E22" s="489"/>
      <c r="F22" s="493"/>
      <c r="G22" s="228" t="s">
        <v>343</v>
      </c>
      <c r="H22" s="3"/>
      <c r="I22" s="7"/>
    </row>
    <row r="23" spans="1:9">
      <c r="A23" s="43">
        <v>2</v>
      </c>
      <c r="B23" s="489" t="s">
        <v>53</v>
      </c>
      <c r="C23" s="489"/>
      <c r="D23" s="489"/>
      <c r="E23" s="489"/>
      <c r="F23" s="493"/>
      <c r="G23" s="229" t="s">
        <v>67</v>
      </c>
      <c r="H23" s="3"/>
      <c r="I23" s="7"/>
    </row>
    <row r="24" spans="1:9">
      <c r="A24" s="43">
        <v>3</v>
      </c>
      <c r="B24" s="489" t="s">
        <v>58</v>
      </c>
      <c r="C24" s="489"/>
      <c r="D24" s="489"/>
      <c r="E24" s="489"/>
      <c r="F24" s="489"/>
      <c r="G24" s="230">
        <v>1500.4</v>
      </c>
      <c r="H24" s="3"/>
      <c r="I24" s="8"/>
    </row>
    <row r="25" spans="1:9">
      <c r="A25" s="43">
        <v>4</v>
      </c>
      <c r="B25" s="489" t="s">
        <v>15</v>
      </c>
      <c r="C25" s="489"/>
      <c r="D25" s="489"/>
      <c r="E25" s="489"/>
      <c r="F25" s="443"/>
      <c r="G25" s="112" t="s">
        <v>71</v>
      </c>
      <c r="H25" s="3"/>
      <c r="I25" s="7"/>
    </row>
    <row r="26" spans="1:9">
      <c r="A26" s="43">
        <v>5</v>
      </c>
      <c r="B26" s="489" t="s">
        <v>16</v>
      </c>
      <c r="C26" s="489"/>
      <c r="D26" s="489"/>
      <c r="E26" s="489"/>
      <c r="F26" s="443"/>
      <c r="G26" s="231" t="s">
        <v>72</v>
      </c>
      <c r="H26" s="3"/>
      <c r="I26" s="7"/>
    </row>
    <row r="27" spans="1:9">
      <c r="A27" s="104">
        <v>6</v>
      </c>
      <c r="B27" s="490" t="s">
        <v>76</v>
      </c>
      <c r="C27" s="490"/>
      <c r="D27" s="490"/>
      <c r="E27" s="490"/>
      <c r="F27" s="490"/>
      <c r="G27" s="113">
        <f>G24/220</f>
        <v>6.82</v>
      </c>
      <c r="H27" s="3"/>
      <c r="I27" s="7"/>
    </row>
    <row r="28" spans="1:9">
      <c r="A28" s="104">
        <v>7</v>
      </c>
      <c r="B28" s="490" t="s">
        <v>134</v>
      </c>
      <c r="C28" s="490"/>
      <c r="D28" s="490"/>
      <c r="E28" s="490"/>
      <c r="F28" s="490"/>
      <c r="G28" s="113">
        <f>SUM(G27+G29)</f>
        <v>8.870000000000001</v>
      </c>
      <c r="H28" s="3"/>
      <c r="I28" s="7"/>
    </row>
    <row r="29" spans="1:9">
      <c r="A29" s="104">
        <v>8</v>
      </c>
      <c r="B29" s="490" t="s">
        <v>135</v>
      </c>
      <c r="C29" s="490"/>
      <c r="D29" s="490"/>
      <c r="E29" s="490"/>
      <c r="F29" s="490"/>
      <c r="G29" s="113">
        <f>ROUND(G27*0.3,2)</f>
        <v>2.0499999999999998</v>
      </c>
      <c r="H29" s="3"/>
      <c r="I29" s="7"/>
    </row>
    <row r="30" spans="1:9">
      <c r="A30" s="104">
        <v>9</v>
      </c>
      <c r="B30" s="490" t="s">
        <v>138</v>
      </c>
      <c r="C30" s="490"/>
      <c r="D30" s="490"/>
      <c r="E30" s="490"/>
      <c r="F30" s="490"/>
      <c r="G30" s="113">
        <f>G24*0.3</f>
        <v>450.12</v>
      </c>
      <c r="H30" s="3"/>
      <c r="I30" s="7"/>
    </row>
    <row r="31" spans="1:9">
      <c r="A31" s="34">
        <v>10</v>
      </c>
      <c r="B31" s="504" t="s">
        <v>69</v>
      </c>
      <c r="C31" s="504"/>
      <c r="D31" s="504"/>
      <c r="E31" s="504"/>
      <c r="F31" s="504"/>
      <c r="G31" s="113">
        <f>ROUND(G27*1.5,2)</f>
        <v>10.23</v>
      </c>
      <c r="H31" s="3"/>
      <c r="I31" s="7"/>
    </row>
    <row r="32" spans="1:9">
      <c r="A32" s="34">
        <v>11</v>
      </c>
      <c r="B32" s="504" t="s">
        <v>136</v>
      </c>
      <c r="C32" s="504"/>
      <c r="D32" s="504"/>
      <c r="E32" s="504"/>
      <c r="F32" s="504"/>
      <c r="G32" s="113">
        <f>ROUND(1.3*G27*1.5,2)</f>
        <v>13.3</v>
      </c>
      <c r="H32" s="3"/>
      <c r="I32" s="7"/>
    </row>
    <row r="33" spans="1:9" ht="15" customHeight="1">
      <c r="A33" s="34">
        <v>12</v>
      </c>
      <c r="B33" s="504" t="s">
        <v>241</v>
      </c>
      <c r="C33" s="504"/>
      <c r="D33" s="504"/>
      <c r="E33" s="504"/>
      <c r="F33" s="504"/>
      <c r="G33" s="113">
        <f>ROUND(G27*0.2,2)</f>
        <v>1.36</v>
      </c>
      <c r="H33" s="3"/>
      <c r="I33" s="7"/>
    </row>
    <row r="34" spans="1:9">
      <c r="A34" s="34">
        <v>13</v>
      </c>
      <c r="B34" s="504" t="s">
        <v>137</v>
      </c>
      <c r="C34" s="504"/>
      <c r="D34" s="504"/>
      <c r="E34" s="504"/>
      <c r="F34" s="504"/>
      <c r="G34" s="113">
        <f>ROUND(1.3*G27*0.2,2)</f>
        <v>1.77</v>
      </c>
      <c r="H34" s="3"/>
      <c r="I34" s="7"/>
    </row>
    <row r="35" spans="1:9">
      <c r="A35" s="34">
        <v>14</v>
      </c>
      <c r="B35" s="504" t="s">
        <v>139</v>
      </c>
      <c r="C35" s="504"/>
      <c r="D35" s="504"/>
      <c r="E35" s="504"/>
      <c r="F35" s="504"/>
      <c r="G35" s="113">
        <f>ROUND(G27/6,2)</f>
        <v>1.1399999999999999</v>
      </c>
      <c r="H35" s="3"/>
      <c r="I35" s="7"/>
    </row>
    <row r="36" spans="1:9">
      <c r="A36" s="34">
        <v>15</v>
      </c>
      <c r="B36" s="504" t="s">
        <v>70</v>
      </c>
      <c r="C36" s="504"/>
      <c r="D36" s="504"/>
      <c r="E36" s="504"/>
      <c r="F36" s="504"/>
      <c r="G36" s="119">
        <v>2</v>
      </c>
      <c r="H36" s="3"/>
      <c r="I36" s="7"/>
    </row>
    <row r="37" spans="1:9">
      <c r="A37" s="114" t="s">
        <v>73</v>
      </c>
      <c r="B37" s="499" t="s">
        <v>302</v>
      </c>
      <c r="C37" s="499"/>
      <c r="D37" s="499"/>
      <c r="E37" s="499"/>
      <c r="F37" s="499"/>
      <c r="G37" s="499"/>
      <c r="H37" s="3"/>
      <c r="I37" s="7"/>
    </row>
    <row r="38" spans="1:9">
      <c r="A38" s="114" t="s">
        <v>74</v>
      </c>
      <c r="B38" s="499" t="s">
        <v>303</v>
      </c>
      <c r="C38" s="499"/>
      <c r="D38" s="499"/>
      <c r="E38" s="499"/>
      <c r="F38" s="499"/>
      <c r="G38" s="499"/>
      <c r="H38" s="3"/>
      <c r="I38" s="7"/>
    </row>
    <row r="39" spans="1:9" ht="15" customHeight="1">
      <c r="A39" s="232"/>
      <c r="B39" s="233"/>
      <c r="C39" s="233"/>
      <c r="D39" s="233"/>
      <c r="E39" s="233"/>
      <c r="F39" s="233"/>
      <c r="G39" s="233"/>
      <c r="H39" s="3"/>
      <c r="I39" s="7"/>
    </row>
    <row r="40" spans="1:9">
      <c r="A40" s="226"/>
      <c r="B40" s="234"/>
      <c r="C40" s="234"/>
      <c r="D40" s="234"/>
      <c r="E40" s="234"/>
      <c r="F40" s="234"/>
      <c r="G40" s="234"/>
      <c r="H40" s="3"/>
      <c r="I40" s="7"/>
    </row>
    <row r="41" spans="1:9" ht="15.75">
      <c r="A41" s="500" t="s">
        <v>75</v>
      </c>
      <c r="B41" s="500"/>
      <c r="C41" s="500"/>
      <c r="D41" s="500"/>
      <c r="E41" s="500"/>
      <c r="F41" s="500"/>
      <c r="G41" s="500"/>
      <c r="H41" s="3"/>
      <c r="I41" s="7"/>
    </row>
    <row r="42" spans="1:9">
      <c r="A42" s="210">
        <v>1</v>
      </c>
      <c r="B42" s="501" t="s">
        <v>17</v>
      </c>
      <c r="C42" s="501"/>
      <c r="D42" s="501"/>
      <c r="E42" s="501" t="s">
        <v>20</v>
      </c>
      <c r="F42" s="501"/>
      <c r="G42" s="235" t="s">
        <v>18</v>
      </c>
      <c r="H42" s="3"/>
      <c r="I42" s="7"/>
    </row>
    <row r="43" spans="1:9" ht="34.5" customHeight="1">
      <c r="A43" s="58" t="s">
        <v>8</v>
      </c>
      <c r="B43" s="432" t="s">
        <v>372</v>
      </c>
      <c r="C43" s="432"/>
      <c r="D43" s="432"/>
      <c r="E43" s="432"/>
      <c r="F43" s="432"/>
      <c r="G43" s="236">
        <f>G24*G36</f>
        <v>3000.8</v>
      </c>
      <c r="H43" s="110"/>
      <c r="I43" s="12"/>
    </row>
    <row r="44" spans="1:9" ht="27.75" customHeight="1">
      <c r="A44" s="237" t="s">
        <v>10</v>
      </c>
      <c r="B44" s="478" t="s">
        <v>242</v>
      </c>
      <c r="C44" s="478"/>
      <c r="D44" s="478"/>
      <c r="E44" s="478"/>
      <c r="F44" s="478"/>
      <c r="G44" s="236">
        <f>ROUND(G33*8*15*G36,2)</f>
        <v>326.39999999999998</v>
      </c>
      <c r="H44" s="11"/>
      <c r="I44" s="12"/>
    </row>
    <row r="45" spans="1:9" ht="41.25" customHeight="1">
      <c r="A45" s="237" t="s">
        <v>12</v>
      </c>
      <c r="B45" s="505" t="s">
        <v>244</v>
      </c>
      <c r="C45" s="506"/>
      <c r="D45" s="506"/>
      <c r="E45" s="506"/>
      <c r="F45" s="506"/>
      <c r="G45" s="236">
        <f>ROUND(G31*4.33*G36,2)</f>
        <v>88.59</v>
      </c>
      <c r="H45" s="11"/>
      <c r="I45" s="12"/>
    </row>
    <row r="46" spans="1:9" ht="27" customHeight="1">
      <c r="A46" s="237" t="s">
        <v>13</v>
      </c>
      <c r="B46" s="502" t="s">
        <v>77</v>
      </c>
      <c r="C46" s="503"/>
      <c r="D46" s="503"/>
      <c r="E46" s="503"/>
      <c r="F46" s="503"/>
      <c r="G46" s="236">
        <f>ROUND($G$35*G36*15,2)</f>
        <v>34.200000000000003</v>
      </c>
      <c r="H46" s="10"/>
      <c r="I46" s="9"/>
    </row>
    <row r="47" spans="1:9" ht="30" customHeight="1">
      <c r="A47" s="237" t="s">
        <v>22</v>
      </c>
      <c r="B47" s="503" t="s">
        <v>275</v>
      </c>
      <c r="C47" s="503"/>
      <c r="D47" s="503"/>
      <c r="E47" s="503"/>
      <c r="F47" s="503"/>
      <c r="G47" s="236">
        <f>ROUND(SUM(G44:G46)*0.2,2)</f>
        <v>89.84</v>
      </c>
      <c r="H47" s="10"/>
      <c r="I47" s="9"/>
    </row>
    <row r="48" spans="1:9" ht="30" customHeight="1">
      <c r="A48" s="237" t="s">
        <v>23</v>
      </c>
      <c r="B48" s="503" t="s">
        <v>246</v>
      </c>
      <c r="C48" s="503"/>
      <c r="D48" s="503"/>
      <c r="E48" s="510">
        <v>0.3</v>
      </c>
      <c r="F48" s="511"/>
      <c r="G48" s="98">
        <f>ROUND(E48*SUM(G43:G47),2)</f>
        <v>1061.95</v>
      </c>
      <c r="H48" s="10"/>
      <c r="I48" s="9"/>
    </row>
    <row r="49" spans="1:9">
      <c r="A49" s="58" t="s">
        <v>24</v>
      </c>
      <c r="B49" s="512" t="s">
        <v>78</v>
      </c>
      <c r="C49" s="512"/>
      <c r="D49" s="512"/>
      <c r="E49" s="512"/>
      <c r="F49" s="512"/>
      <c r="G49" s="98">
        <v>0</v>
      </c>
      <c r="H49" s="111"/>
      <c r="I49" s="9"/>
    </row>
    <row r="50" spans="1:9">
      <c r="A50" s="513" t="s">
        <v>249</v>
      </c>
      <c r="B50" s="513"/>
      <c r="C50" s="513"/>
      <c r="D50" s="513"/>
      <c r="E50" s="513"/>
      <c r="F50" s="513"/>
      <c r="G50" s="35">
        <f>SUM(G43:G49)</f>
        <v>4601.7800000000007</v>
      </c>
      <c r="H50" s="14"/>
      <c r="I50" s="13"/>
    </row>
    <row r="51" spans="1:9">
      <c r="A51" s="85" t="s">
        <v>25</v>
      </c>
      <c r="B51" s="515" t="s">
        <v>321</v>
      </c>
      <c r="C51" s="515"/>
      <c r="D51" s="515"/>
      <c r="E51" s="515"/>
      <c r="F51" s="515"/>
      <c r="G51" s="106">
        <f>ROUND(G31*15*G36*0.5,2)</f>
        <v>153.44999999999999</v>
      </c>
      <c r="H51" s="14"/>
      <c r="I51" s="13"/>
    </row>
    <row r="52" spans="1:9">
      <c r="A52" s="516" t="s">
        <v>250</v>
      </c>
      <c r="B52" s="516"/>
      <c r="C52" s="516"/>
      <c r="D52" s="516"/>
      <c r="E52" s="516"/>
      <c r="F52" s="516"/>
      <c r="G52" s="105">
        <f>G51</f>
        <v>153.44999999999999</v>
      </c>
      <c r="H52" s="14"/>
      <c r="I52" s="13"/>
    </row>
    <row r="53" spans="1:9">
      <c r="A53" s="238"/>
      <c r="B53" s="238"/>
      <c r="C53" s="238"/>
      <c r="D53" s="238"/>
      <c r="E53" s="238"/>
      <c r="F53" s="238"/>
      <c r="G53" s="239"/>
      <c r="H53" s="14"/>
      <c r="I53" s="13"/>
    </row>
    <row r="54" spans="1:9">
      <c r="A54" s="516" t="s">
        <v>245</v>
      </c>
      <c r="B54" s="516"/>
      <c r="C54" s="516"/>
      <c r="D54" s="516"/>
      <c r="E54" s="516"/>
      <c r="F54" s="516"/>
      <c r="G54" s="105">
        <f>G50+G52</f>
        <v>4755.2300000000005</v>
      </c>
      <c r="H54" s="14"/>
      <c r="I54" s="13"/>
    </row>
    <row r="55" spans="1:9">
      <c r="A55" s="114" t="s">
        <v>79</v>
      </c>
      <c r="B55" s="514" t="s">
        <v>312</v>
      </c>
      <c r="C55" s="514"/>
      <c r="D55" s="514"/>
      <c r="E55" s="514"/>
      <c r="F55" s="514"/>
      <c r="G55" s="514"/>
      <c r="H55" s="14"/>
      <c r="I55" s="13"/>
    </row>
    <row r="56" spans="1:9">
      <c r="A56" s="114" t="s">
        <v>82</v>
      </c>
      <c r="B56" s="514" t="s">
        <v>311</v>
      </c>
      <c r="C56" s="514"/>
      <c r="D56" s="514"/>
      <c r="E56" s="514"/>
      <c r="F56" s="514"/>
      <c r="G56" s="514"/>
      <c r="H56" s="14"/>
      <c r="I56" s="13"/>
    </row>
    <row r="57" spans="1:9">
      <c r="A57" s="240"/>
      <c r="B57" s="241"/>
      <c r="C57" s="241"/>
      <c r="D57" s="241"/>
      <c r="E57" s="241"/>
      <c r="F57" s="241"/>
      <c r="G57" s="241"/>
      <c r="H57" s="14"/>
      <c r="I57" s="13"/>
    </row>
    <row r="58" spans="1:9">
      <c r="A58" s="242"/>
      <c r="B58" s="242"/>
      <c r="C58" s="242"/>
      <c r="D58" s="243"/>
      <c r="E58" s="243"/>
      <c r="F58" s="243"/>
      <c r="G58" s="244"/>
      <c r="H58" s="14"/>
      <c r="I58" s="13"/>
    </row>
    <row r="59" spans="1:9" ht="15.75">
      <c r="A59" s="491" t="s">
        <v>80</v>
      </c>
      <c r="B59" s="491"/>
      <c r="C59" s="491"/>
      <c r="D59" s="491"/>
      <c r="E59" s="491"/>
      <c r="F59" s="491"/>
      <c r="G59" s="491"/>
      <c r="H59" s="3"/>
      <c r="I59" s="7"/>
    </row>
    <row r="60" spans="1:9">
      <c r="A60" s="37" t="s">
        <v>37</v>
      </c>
      <c r="B60" s="507" t="s">
        <v>365</v>
      </c>
      <c r="C60" s="507"/>
      <c r="D60" s="507"/>
      <c r="E60" s="507"/>
      <c r="F60" s="507"/>
      <c r="G60" s="207" t="s">
        <v>18</v>
      </c>
      <c r="H60" s="3"/>
      <c r="I60" s="7"/>
    </row>
    <row r="61" spans="1:9">
      <c r="A61" s="211" t="s">
        <v>8</v>
      </c>
      <c r="B61" s="413" t="s">
        <v>305</v>
      </c>
      <c r="C61" s="413"/>
      <c r="D61" s="413"/>
      <c r="E61" s="413"/>
      <c r="F61" s="413"/>
      <c r="G61" s="245">
        <f>ROUND(G50/12,2)</f>
        <v>383.48</v>
      </c>
      <c r="H61" s="18"/>
      <c r="I61" s="17"/>
    </row>
    <row r="62" spans="1:9">
      <c r="A62" s="211" t="s">
        <v>10</v>
      </c>
      <c r="B62" s="413" t="s">
        <v>366</v>
      </c>
      <c r="C62" s="413"/>
      <c r="D62" s="413"/>
      <c r="E62" s="413"/>
      <c r="F62" s="413"/>
      <c r="G62" s="245">
        <f>ROUND((G50/3)/12,2)</f>
        <v>127.83</v>
      </c>
      <c r="H62" s="18"/>
      <c r="I62" s="17"/>
    </row>
    <row r="63" spans="1:9">
      <c r="A63" s="508" t="s">
        <v>81</v>
      </c>
      <c r="B63" s="508"/>
      <c r="C63" s="508"/>
      <c r="D63" s="508"/>
      <c r="E63" s="508"/>
      <c r="F63" s="508"/>
      <c r="G63" s="246">
        <f>SUM(G61:G62)</f>
        <v>511.31</v>
      </c>
      <c r="H63" s="18"/>
      <c r="I63" s="17"/>
    </row>
    <row r="64" spans="1:9" ht="25.5" customHeight="1">
      <c r="A64" s="115" t="s">
        <v>83</v>
      </c>
      <c r="B64" s="509" t="s">
        <v>369</v>
      </c>
      <c r="C64" s="509"/>
      <c r="D64" s="509"/>
      <c r="E64" s="509"/>
      <c r="F64" s="509"/>
      <c r="G64" s="509"/>
      <c r="H64" s="18"/>
      <c r="I64" s="17"/>
    </row>
    <row r="65" spans="1:9">
      <c r="A65" s="247"/>
      <c r="B65" s="248"/>
      <c r="C65" s="248"/>
      <c r="D65" s="248"/>
      <c r="E65" s="248"/>
      <c r="F65" s="248"/>
      <c r="G65" s="248"/>
      <c r="H65" s="18"/>
      <c r="I65" s="17"/>
    </row>
    <row r="66" spans="1:9">
      <c r="A66" s="243"/>
      <c r="B66" s="243"/>
      <c r="C66" s="243"/>
      <c r="D66" s="249"/>
      <c r="E66" s="250"/>
      <c r="F66" s="250"/>
      <c r="G66" s="250"/>
      <c r="H66" s="3"/>
      <c r="I66" s="7"/>
    </row>
    <row r="67" spans="1:9" ht="34.5" customHeight="1">
      <c r="A67" s="38" t="s">
        <v>38</v>
      </c>
      <c r="B67" s="519" t="s">
        <v>248</v>
      </c>
      <c r="C67" s="519"/>
      <c r="D67" s="519"/>
      <c r="E67" s="519"/>
      <c r="F67" s="519"/>
      <c r="G67" s="519"/>
      <c r="H67" s="3"/>
      <c r="I67" s="7"/>
    </row>
    <row r="68" spans="1:9">
      <c r="A68" s="251"/>
      <c r="B68" s="520" t="s">
        <v>85</v>
      </c>
      <c r="C68" s="520"/>
      <c r="D68" s="520"/>
      <c r="E68" s="424" t="s">
        <v>20</v>
      </c>
      <c r="F68" s="521"/>
      <c r="G68" s="252" t="s">
        <v>18</v>
      </c>
      <c r="H68" s="3"/>
      <c r="I68" s="7"/>
    </row>
    <row r="69" spans="1:9">
      <c r="A69" s="211" t="s">
        <v>8</v>
      </c>
      <c r="B69" s="413" t="s">
        <v>28</v>
      </c>
      <c r="C69" s="413"/>
      <c r="D69" s="413"/>
      <c r="E69" s="517">
        <v>0.2</v>
      </c>
      <c r="F69" s="518"/>
      <c r="G69" s="253">
        <f>ROUND((G50+G63)*E69,2)</f>
        <v>1022.62</v>
      </c>
      <c r="H69" s="16"/>
      <c r="I69" s="15"/>
    </row>
    <row r="70" spans="1:9">
      <c r="A70" s="211" t="s">
        <v>10</v>
      </c>
      <c r="B70" s="413" t="s">
        <v>39</v>
      </c>
      <c r="C70" s="413"/>
      <c r="D70" s="413"/>
      <c r="E70" s="414">
        <v>2.5000000000000001E-2</v>
      </c>
      <c r="F70" s="415"/>
      <c r="G70" s="253">
        <f>ROUND((G50+G63)*E70,2)</f>
        <v>127.83</v>
      </c>
      <c r="H70" s="16"/>
      <c r="I70" s="15"/>
    </row>
    <row r="71" spans="1:9">
      <c r="A71" s="211" t="s">
        <v>12</v>
      </c>
      <c r="B71" s="413" t="s">
        <v>92</v>
      </c>
      <c r="C71" s="413"/>
      <c r="D71" s="413"/>
      <c r="E71" s="517">
        <f>ROUND((H72*I72),6)</f>
        <v>0.03</v>
      </c>
      <c r="F71" s="518"/>
      <c r="G71" s="253">
        <f>ROUND((G50+G63)*E71,2)</f>
        <v>153.38999999999999</v>
      </c>
      <c r="H71" s="217" t="s">
        <v>86</v>
      </c>
      <c r="I71" s="39" t="s">
        <v>87</v>
      </c>
    </row>
    <row r="72" spans="1:9">
      <c r="A72" s="211" t="s">
        <v>13</v>
      </c>
      <c r="B72" s="413" t="s">
        <v>40</v>
      </c>
      <c r="C72" s="413"/>
      <c r="D72" s="413"/>
      <c r="E72" s="414">
        <v>1.4999999999999999E-2</v>
      </c>
      <c r="F72" s="415"/>
      <c r="G72" s="253">
        <f>ROUND((G50+G63)*E72,2)</f>
        <v>76.7</v>
      </c>
      <c r="H72" s="218">
        <v>0.03</v>
      </c>
      <c r="I72" s="41">
        <v>1</v>
      </c>
    </row>
    <row r="73" spans="1:9">
      <c r="A73" s="211" t="s">
        <v>22</v>
      </c>
      <c r="B73" s="413" t="s">
        <v>41</v>
      </c>
      <c r="C73" s="413"/>
      <c r="D73" s="413"/>
      <c r="E73" s="414">
        <v>0.01</v>
      </c>
      <c r="F73" s="415"/>
      <c r="G73" s="253">
        <f>ROUND((G50+G63)*E73,2)</f>
        <v>51.13</v>
      </c>
      <c r="H73" s="16"/>
      <c r="I73" s="15"/>
    </row>
    <row r="74" spans="1:9">
      <c r="A74" s="211" t="s">
        <v>23</v>
      </c>
      <c r="B74" s="413" t="s">
        <v>29</v>
      </c>
      <c r="C74" s="413"/>
      <c r="D74" s="413"/>
      <c r="E74" s="414">
        <v>6.0000000000000001E-3</v>
      </c>
      <c r="F74" s="415"/>
      <c r="G74" s="253">
        <f>ROUND((G50+G63)*E74,2)</f>
        <v>30.68</v>
      </c>
      <c r="H74" s="16"/>
      <c r="I74" s="15"/>
    </row>
    <row r="75" spans="1:9">
      <c r="A75" s="211" t="s">
        <v>24</v>
      </c>
      <c r="B75" s="413" t="s">
        <v>42</v>
      </c>
      <c r="C75" s="413"/>
      <c r="D75" s="413"/>
      <c r="E75" s="414">
        <v>2E-3</v>
      </c>
      <c r="F75" s="415"/>
      <c r="G75" s="253">
        <f>ROUND((G50+G63)*E75,2)</f>
        <v>10.23</v>
      </c>
      <c r="H75" s="16"/>
      <c r="I75" s="15"/>
    </row>
    <row r="76" spans="1:9">
      <c r="A76" s="211" t="s">
        <v>25</v>
      </c>
      <c r="B76" s="413" t="s">
        <v>43</v>
      </c>
      <c r="C76" s="413"/>
      <c r="D76" s="413"/>
      <c r="E76" s="414">
        <v>0.08</v>
      </c>
      <c r="F76" s="415"/>
      <c r="G76" s="253">
        <f>ROUND((G50+G63)*E76,2)</f>
        <v>409.05</v>
      </c>
      <c r="H76" s="16"/>
      <c r="I76" s="15"/>
    </row>
    <row r="77" spans="1:9">
      <c r="A77" s="526" t="s">
        <v>88</v>
      </c>
      <c r="B77" s="508"/>
      <c r="C77" s="508"/>
      <c r="D77" s="508"/>
      <c r="E77" s="527">
        <f>SUM(E69:F76)</f>
        <v>0.36800000000000005</v>
      </c>
      <c r="F77" s="419"/>
      <c r="G77" s="254">
        <f>SUM(G69:G76)</f>
        <v>1881.6300000000003</v>
      </c>
      <c r="H77" s="14"/>
      <c r="I77" s="40"/>
    </row>
    <row r="78" spans="1:9">
      <c r="A78" s="117" t="s">
        <v>84</v>
      </c>
      <c r="B78" s="509" t="s">
        <v>90</v>
      </c>
      <c r="C78" s="509"/>
      <c r="D78" s="509"/>
      <c r="E78" s="509"/>
      <c r="F78" s="509"/>
      <c r="G78" s="509"/>
      <c r="H78" s="14"/>
      <c r="I78" s="40"/>
    </row>
    <row r="79" spans="1:9">
      <c r="A79" s="117" t="s">
        <v>89</v>
      </c>
      <c r="B79" s="509" t="s">
        <v>93</v>
      </c>
      <c r="C79" s="509"/>
      <c r="D79" s="509"/>
      <c r="E79" s="509"/>
      <c r="F79" s="509"/>
      <c r="G79" s="509"/>
      <c r="H79" s="14"/>
      <c r="I79" s="40"/>
    </row>
    <row r="80" spans="1:9">
      <c r="A80" s="255"/>
      <c r="B80" s="256"/>
      <c r="C80" s="256"/>
      <c r="D80" s="256"/>
      <c r="E80" s="256"/>
      <c r="F80" s="256"/>
      <c r="G80" s="256"/>
      <c r="H80" s="14"/>
      <c r="I80" s="40"/>
    </row>
    <row r="81" spans="1:9">
      <c r="A81" s="255"/>
      <c r="B81" s="256"/>
      <c r="C81" s="256"/>
      <c r="D81" s="256"/>
      <c r="E81" s="256"/>
      <c r="F81" s="256"/>
      <c r="G81" s="256"/>
      <c r="H81" s="14"/>
      <c r="I81" s="40"/>
    </row>
    <row r="82" spans="1:9">
      <c r="A82" s="42" t="s">
        <v>44</v>
      </c>
      <c r="B82" s="409" t="s">
        <v>95</v>
      </c>
      <c r="C82" s="409"/>
      <c r="D82" s="409"/>
      <c r="E82" s="409"/>
      <c r="F82" s="409"/>
      <c r="G82" s="409"/>
      <c r="H82" s="3"/>
      <c r="I82" s="7"/>
    </row>
    <row r="83" spans="1:9">
      <c r="A83" s="36"/>
      <c r="B83" s="534" t="s">
        <v>95</v>
      </c>
      <c r="C83" s="534"/>
      <c r="D83" s="534"/>
      <c r="E83" s="534"/>
      <c r="F83" s="534"/>
      <c r="G83" s="257" t="s">
        <v>18</v>
      </c>
      <c r="H83" s="3"/>
      <c r="I83" s="7"/>
    </row>
    <row r="84" spans="1:9" ht="43.5" customHeight="1">
      <c r="A84" s="522" t="s">
        <v>8</v>
      </c>
      <c r="B84" s="497" t="s">
        <v>96</v>
      </c>
      <c r="C84" s="515" t="s">
        <v>97</v>
      </c>
      <c r="D84" s="515"/>
      <c r="E84" s="523">
        <v>3.5</v>
      </c>
      <c r="F84" s="524"/>
      <c r="G84" s="525">
        <f>IF(ROUND((E84*E86*E85)-(G43*E87),2)&lt;0,0,ROUND((E84*E86*E85)-(G43*E87),2))</f>
        <v>29.95</v>
      </c>
      <c r="H84" s="22"/>
      <c r="I84" s="21"/>
    </row>
    <row r="85" spans="1:9" ht="33.75" customHeight="1">
      <c r="A85" s="522"/>
      <c r="B85" s="497"/>
      <c r="C85" s="515" t="s">
        <v>98</v>
      </c>
      <c r="D85" s="515"/>
      <c r="E85" s="528">
        <v>2</v>
      </c>
      <c r="F85" s="529"/>
      <c r="G85" s="525"/>
      <c r="H85" s="22"/>
      <c r="I85" s="21"/>
    </row>
    <row r="86" spans="1:9" ht="31.5" customHeight="1">
      <c r="A86" s="522"/>
      <c r="B86" s="497"/>
      <c r="C86" s="515" t="s">
        <v>99</v>
      </c>
      <c r="D86" s="515"/>
      <c r="E86" s="530">
        <v>30</v>
      </c>
      <c r="F86" s="531"/>
      <c r="G86" s="525"/>
      <c r="H86" s="23"/>
      <c r="I86" s="24"/>
    </row>
    <row r="87" spans="1:9" ht="39" customHeight="1">
      <c r="A87" s="522"/>
      <c r="B87" s="497"/>
      <c r="C87" s="515" t="s">
        <v>101</v>
      </c>
      <c r="D87" s="515"/>
      <c r="E87" s="532">
        <v>0.06</v>
      </c>
      <c r="F87" s="533"/>
      <c r="G87" s="525"/>
      <c r="H87" s="22"/>
      <c r="I87" s="24"/>
    </row>
    <row r="88" spans="1:9" ht="33.75" customHeight="1">
      <c r="A88" s="522" t="s">
        <v>10</v>
      </c>
      <c r="B88" s="497" t="s">
        <v>322</v>
      </c>
      <c r="C88" s="515" t="s">
        <v>100</v>
      </c>
      <c r="D88" s="515"/>
      <c r="E88" s="535">
        <v>20</v>
      </c>
      <c r="F88" s="536"/>
      <c r="G88" s="525">
        <f>ROUND((E88*E89)-((E88*E89)*E90),2)</f>
        <v>480</v>
      </c>
      <c r="H88" s="22"/>
      <c r="I88" s="21"/>
    </row>
    <row r="89" spans="1:9" ht="32.25" customHeight="1">
      <c r="A89" s="522"/>
      <c r="B89" s="497"/>
      <c r="C89" s="515" t="s">
        <v>102</v>
      </c>
      <c r="D89" s="515"/>
      <c r="E89" s="530">
        <v>30</v>
      </c>
      <c r="F89" s="531"/>
      <c r="G89" s="525"/>
      <c r="H89" s="22"/>
      <c r="I89" s="21"/>
    </row>
    <row r="90" spans="1:9" ht="54" customHeight="1">
      <c r="A90" s="522"/>
      <c r="B90" s="497"/>
      <c r="C90" s="515" t="s">
        <v>103</v>
      </c>
      <c r="D90" s="515"/>
      <c r="E90" s="537">
        <v>0.2</v>
      </c>
      <c r="F90" s="537"/>
      <c r="G90" s="525"/>
      <c r="H90" s="22"/>
      <c r="I90" s="21"/>
    </row>
    <row r="91" spans="1:9">
      <c r="A91" s="43" t="s">
        <v>12</v>
      </c>
      <c r="B91" s="542" t="s">
        <v>26</v>
      </c>
      <c r="C91" s="542"/>
      <c r="D91" s="542"/>
      <c r="E91" s="542"/>
      <c r="F91" s="542"/>
      <c r="G91" s="258">
        <v>0</v>
      </c>
      <c r="H91" s="22"/>
      <c r="I91" s="21"/>
    </row>
    <row r="92" spans="1:9">
      <c r="A92" s="43" t="s">
        <v>13</v>
      </c>
      <c r="B92" s="541" t="s">
        <v>104</v>
      </c>
      <c r="C92" s="541"/>
      <c r="D92" s="541"/>
      <c r="E92" s="541"/>
      <c r="F92" s="541"/>
      <c r="G92" s="258">
        <f>ROUND((G50)*26*0.00023,2)</f>
        <v>27.52</v>
      </c>
      <c r="H92" s="22"/>
      <c r="I92" s="21"/>
    </row>
    <row r="93" spans="1:9">
      <c r="A93" s="43" t="s">
        <v>22</v>
      </c>
      <c r="B93" s="541" t="s">
        <v>105</v>
      </c>
      <c r="C93" s="541"/>
      <c r="D93" s="541"/>
      <c r="E93" s="541"/>
      <c r="F93" s="541"/>
      <c r="G93" s="107">
        <f>ROUND(((($G$43))*0.0052066)/12,2)</f>
        <v>1.3</v>
      </c>
      <c r="H93" s="22"/>
      <c r="I93" s="21"/>
    </row>
    <row r="94" spans="1:9">
      <c r="A94" s="43" t="s">
        <v>23</v>
      </c>
      <c r="B94" s="541" t="s">
        <v>106</v>
      </c>
      <c r="C94" s="541"/>
      <c r="D94" s="541"/>
      <c r="E94" s="541"/>
      <c r="F94" s="541"/>
      <c r="G94" s="44">
        <v>0</v>
      </c>
      <c r="H94" s="22"/>
      <c r="I94" s="21"/>
    </row>
    <row r="95" spans="1:9">
      <c r="A95" s="543" t="s">
        <v>107</v>
      </c>
      <c r="B95" s="543"/>
      <c r="C95" s="543"/>
      <c r="D95" s="543"/>
      <c r="E95" s="543"/>
      <c r="F95" s="543"/>
      <c r="G95" s="45">
        <f>SUM(G84:G94)</f>
        <v>538.77</v>
      </c>
      <c r="H95" s="3"/>
      <c r="I95" s="7"/>
    </row>
    <row r="96" spans="1:9">
      <c r="A96" s="118" t="s">
        <v>91</v>
      </c>
      <c r="B96" s="538" t="s">
        <v>57</v>
      </c>
      <c r="C96" s="538"/>
      <c r="D96" s="538"/>
      <c r="E96" s="538"/>
      <c r="F96" s="538"/>
      <c r="G96" s="538"/>
      <c r="H96" s="25"/>
      <c r="I96" s="7"/>
    </row>
    <row r="97" spans="1:9">
      <c r="A97" s="118" t="s">
        <v>94</v>
      </c>
      <c r="B97" s="538" t="s">
        <v>110</v>
      </c>
      <c r="C97" s="538"/>
      <c r="D97" s="538"/>
      <c r="E97" s="538"/>
      <c r="F97" s="538"/>
      <c r="G97" s="538"/>
      <c r="H97" s="25"/>
      <c r="I97" s="7"/>
    </row>
    <row r="98" spans="1:9">
      <c r="A98" s="259"/>
      <c r="B98" s="260"/>
      <c r="C98" s="260"/>
      <c r="D98" s="260"/>
      <c r="E98" s="260"/>
      <c r="F98" s="260"/>
      <c r="G98" s="260"/>
      <c r="H98" s="25"/>
      <c r="I98" s="7"/>
    </row>
    <row r="99" spans="1:9">
      <c r="A99" s="261"/>
      <c r="B99" s="262"/>
      <c r="C99" s="262"/>
      <c r="D99" s="263"/>
      <c r="E99" s="202"/>
      <c r="F99" s="202"/>
      <c r="G99" s="202"/>
      <c r="H99" s="3"/>
      <c r="I99" s="7"/>
    </row>
    <row r="100" spans="1:9">
      <c r="A100" s="539" t="s">
        <v>111</v>
      </c>
      <c r="B100" s="539"/>
      <c r="C100" s="539"/>
      <c r="D100" s="539"/>
      <c r="E100" s="539"/>
      <c r="F100" s="539"/>
      <c r="G100" s="539"/>
      <c r="H100" s="3"/>
      <c r="I100" s="7"/>
    </row>
    <row r="101" spans="1:9">
      <c r="A101" s="264" t="s">
        <v>112</v>
      </c>
      <c r="B101" s="403" t="s">
        <v>308</v>
      </c>
      <c r="C101" s="403"/>
      <c r="D101" s="403"/>
      <c r="E101" s="403"/>
      <c r="F101" s="403"/>
      <c r="G101" s="96" t="s">
        <v>18</v>
      </c>
      <c r="H101" s="22"/>
      <c r="I101" s="21"/>
    </row>
    <row r="102" spans="1:9">
      <c r="A102" s="43" t="s">
        <v>37</v>
      </c>
      <c r="B102" s="540" t="s">
        <v>370</v>
      </c>
      <c r="C102" s="540"/>
      <c r="D102" s="540"/>
      <c r="E102" s="540"/>
      <c r="F102" s="540"/>
      <c r="G102" s="102">
        <f>G63</f>
        <v>511.31</v>
      </c>
      <c r="H102" s="22"/>
      <c r="I102" s="21"/>
    </row>
    <row r="103" spans="1:9" ht="29.25" customHeight="1">
      <c r="A103" s="43" t="s">
        <v>38</v>
      </c>
      <c r="B103" s="540" t="s">
        <v>113</v>
      </c>
      <c r="C103" s="540"/>
      <c r="D103" s="540"/>
      <c r="E103" s="540"/>
      <c r="F103" s="540"/>
      <c r="G103" s="102">
        <f>G77</f>
        <v>1881.6300000000003</v>
      </c>
      <c r="H103" s="22"/>
      <c r="I103" s="21"/>
    </row>
    <row r="104" spans="1:9">
      <c r="A104" s="43" t="s">
        <v>44</v>
      </c>
      <c r="B104" s="541" t="s">
        <v>114</v>
      </c>
      <c r="C104" s="541"/>
      <c r="D104" s="541"/>
      <c r="E104" s="541"/>
      <c r="F104" s="541"/>
      <c r="G104" s="86">
        <f>G95</f>
        <v>538.77</v>
      </c>
      <c r="H104" s="27"/>
      <c r="I104" s="26"/>
    </row>
    <row r="105" spans="1:9">
      <c r="A105" s="516" t="s">
        <v>116</v>
      </c>
      <c r="B105" s="516"/>
      <c r="C105" s="516"/>
      <c r="D105" s="516"/>
      <c r="E105" s="516"/>
      <c r="F105" s="516"/>
      <c r="G105" s="46">
        <f>SUM(G102:G104)</f>
        <v>2931.7100000000005</v>
      </c>
      <c r="H105" s="20"/>
      <c r="I105" s="19"/>
    </row>
    <row r="106" spans="1:9">
      <c r="A106" s="238"/>
      <c r="B106" s="238"/>
      <c r="C106" s="238"/>
      <c r="D106" s="238"/>
      <c r="E106" s="238"/>
      <c r="F106" s="238"/>
      <c r="G106" s="265"/>
      <c r="H106" s="20"/>
      <c r="I106" s="19"/>
    </row>
    <row r="107" spans="1:9">
      <c r="A107" s="266"/>
      <c r="B107" s="267"/>
      <c r="C107" s="267"/>
      <c r="D107" s="268"/>
      <c r="E107" s="268"/>
      <c r="F107" s="268"/>
      <c r="G107" s="268"/>
      <c r="H107" s="20"/>
      <c r="I107" s="19"/>
    </row>
    <row r="108" spans="1:9" ht="15.75">
      <c r="A108" s="552" t="s">
        <v>117</v>
      </c>
      <c r="B108" s="552"/>
      <c r="C108" s="552"/>
      <c r="D108" s="552"/>
      <c r="E108" s="552"/>
      <c r="F108" s="552"/>
      <c r="G108" s="552"/>
      <c r="H108" s="28"/>
      <c r="I108" s="7"/>
    </row>
    <row r="109" spans="1:9">
      <c r="A109" s="269"/>
      <c r="B109" s="394" t="s">
        <v>118</v>
      </c>
      <c r="C109" s="394"/>
      <c r="D109" s="394"/>
      <c r="E109" s="394"/>
      <c r="F109" s="394"/>
      <c r="G109" s="270" t="s">
        <v>18</v>
      </c>
      <c r="H109" s="28"/>
      <c r="I109" s="7"/>
    </row>
    <row r="110" spans="1:9" ht="30.75" customHeight="1">
      <c r="A110" s="226" t="s">
        <v>8</v>
      </c>
      <c r="B110" s="540" t="s">
        <v>332</v>
      </c>
      <c r="C110" s="547"/>
      <c r="D110" s="547"/>
      <c r="E110" s="547"/>
      <c r="F110" s="547"/>
      <c r="G110" s="271">
        <f>ROUND(((G50/12)+($G$61/12)+($G$62/12))*(33/30)*0.05,2)</f>
        <v>23.43</v>
      </c>
      <c r="H110" s="28"/>
      <c r="I110" s="7"/>
    </row>
    <row r="111" spans="1:9">
      <c r="A111" s="226" t="s">
        <v>10</v>
      </c>
      <c r="B111" s="546" t="s">
        <v>32</v>
      </c>
      <c r="C111" s="546"/>
      <c r="D111" s="546"/>
      <c r="E111" s="546"/>
      <c r="F111" s="546"/>
      <c r="G111" s="271">
        <f>ROUND($E$76*G110,2)</f>
        <v>1.87</v>
      </c>
      <c r="H111" s="28"/>
      <c r="I111" s="7"/>
    </row>
    <row r="112" spans="1:9" ht="28.5" customHeight="1">
      <c r="A112" s="226" t="s">
        <v>12</v>
      </c>
      <c r="B112" s="540" t="s">
        <v>251</v>
      </c>
      <c r="C112" s="547"/>
      <c r="D112" s="547"/>
      <c r="E112" s="547"/>
      <c r="F112" s="547"/>
      <c r="G112" s="271">
        <f>ROUND((0.08*0.4*SUM(G50+$G$61+$G$62)*0.05),2)</f>
        <v>8.18</v>
      </c>
      <c r="H112" s="29"/>
      <c r="I112" s="7"/>
    </row>
    <row r="113" spans="1:9">
      <c r="A113" s="226" t="s">
        <v>13</v>
      </c>
      <c r="B113" s="541" t="s">
        <v>333</v>
      </c>
      <c r="C113" s="546"/>
      <c r="D113" s="546"/>
      <c r="E113" s="546"/>
      <c r="F113" s="546"/>
      <c r="G113" s="272">
        <f>ROUND(((7/33)/$G$13)*G50*1,2)</f>
        <v>32.54</v>
      </c>
      <c r="H113" s="28"/>
      <c r="I113" s="7"/>
    </row>
    <row r="114" spans="1:9">
      <c r="A114" s="226" t="s">
        <v>22</v>
      </c>
      <c r="B114" s="546" t="s">
        <v>121</v>
      </c>
      <c r="C114" s="546"/>
      <c r="D114" s="546"/>
      <c r="E114" s="546"/>
      <c r="F114" s="546"/>
      <c r="G114" s="271">
        <f>ROUND($E$77*G113,2)</f>
        <v>11.97</v>
      </c>
      <c r="H114" s="28"/>
      <c r="I114" s="7"/>
    </row>
    <row r="115" spans="1:9" ht="30" customHeight="1">
      <c r="A115" s="226" t="s">
        <v>23</v>
      </c>
      <c r="B115" s="540" t="s">
        <v>252</v>
      </c>
      <c r="C115" s="547"/>
      <c r="D115" s="547"/>
      <c r="E115" s="547"/>
      <c r="F115" s="547"/>
      <c r="G115" s="273">
        <f>ROUND((0.08*0.4*SUM(G50+$G$61+$G$62)*1),2)</f>
        <v>163.62</v>
      </c>
      <c r="H115" s="20"/>
      <c r="I115" s="19"/>
    </row>
    <row r="116" spans="1:9">
      <c r="A116" s="555" t="s">
        <v>313</v>
      </c>
      <c r="B116" s="555"/>
      <c r="C116" s="555"/>
      <c r="D116" s="555"/>
      <c r="E116" s="555"/>
      <c r="F116" s="555"/>
      <c r="G116" s="47">
        <f>SUM(G110:G115)</f>
        <v>241.61</v>
      </c>
      <c r="H116" s="28"/>
      <c r="I116" s="30"/>
    </row>
    <row r="117" spans="1:9">
      <c r="A117" s="238"/>
      <c r="B117" s="238"/>
      <c r="C117" s="238"/>
      <c r="D117" s="238"/>
      <c r="E117" s="238"/>
      <c r="F117" s="238"/>
      <c r="G117" s="265"/>
      <c r="H117" s="28"/>
      <c r="I117" s="30"/>
    </row>
    <row r="118" spans="1:9">
      <c r="A118" s="274"/>
      <c r="B118" s="274"/>
      <c r="C118" s="274"/>
      <c r="D118" s="268"/>
      <c r="E118" s="268"/>
      <c r="F118" s="268"/>
      <c r="G118" s="268"/>
      <c r="H118" s="28"/>
      <c r="I118" s="30"/>
    </row>
    <row r="119" spans="1:9" ht="15.75">
      <c r="A119" s="552" t="s">
        <v>309</v>
      </c>
      <c r="B119" s="552"/>
      <c r="C119" s="552"/>
      <c r="D119" s="552"/>
      <c r="E119" s="552"/>
      <c r="F119" s="552"/>
      <c r="G119" s="552"/>
      <c r="H119" s="33"/>
      <c r="I119" s="13"/>
    </row>
    <row r="120" spans="1:9" ht="33.75" customHeight="1">
      <c r="A120" s="556" t="s">
        <v>254</v>
      </c>
      <c r="B120" s="556"/>
      <c r="C120" s="556"/>
      <c r="D120" s="556"/>
      <c r="E120" s="556"/>
      <c r="F120" s="556"/>
      <c r="G120" s="556"/>
      <c r="H120" s="33"/>
      <c r="I120" s="13"/>
    </row>
    <row r="121" spans="1:9" ht="31.5">
      <c r="A121" s="209" t="s">
        <v>255</v>
      </c>
      <c r="B121" s="48">
        <f>G50</f>
        <v>4601.7800000000007</v>
      </c>
      <c r="C121" s="209" t="s">
        <v>314</v>
      </c>
      <c r="D121" s="49">
        <f>G105-G84-G88</f>
        <v>2421.7600000000007</v>
      </c>
      <c r="E121" s="59" t="s">
        <v>123</v>
      </c>
      <c r="F121" s="49">
        <f>G116</f>
        <v>241.61</v>
      </c>
      <c r="G121" s="50">
        <f>B121+D121+F121</f>
        <v>7265.1500000000005</v>
      </c>
      <c r="H121" s="33"/>
      <c r="I121" s="13"/>
    </row>
    <row r="122" spans="1:9" ht="15.75">
      <c r="A122" s="553" t="s">
        <v>125</v>
      </c>
      <c r="B122" s="553"/>
      <c r="C122" s="553"/>
      <c r="D122" s="553"/>
      <c r="E122" s="553" t="s">
        <v>126</v>
      </c>
      <c r="F122" s="553"/>
      <c r="G122" s="51">
        <f>ROUND(G121/30,2)</f>
        <v>242.17</v>
      </c>
      <c r="H122" s="33"/>
      <c r="I122" s="13"/>
    </row>
    <row r="123" spans="1:9" ht="15.75">
      <c r="A123" s="275"/>
      <c r="B123" s="275"/>
      <c r="C123" s="275"/>
      <c r="D123" s="275"/>
      <c r="E123" s="275"/>
      <c r="F123" s="275"/>
      <c r="G123" s="275"/>
      <c r="H123" s="33"/>
      <c r="I123" s="13"/>
    </row>
    <row r="124" spans="1:9">
      <c r="A124" s="52" t="s">
        <v>27</v>
      </c>
      <c r="B124" s="550" t="s">
        <v>143</v>
      </c>
      <c r="C124" s="550"/>
      <c r="D124" s="550"/>
      <c r="E124" s="550"/>
      <c r="F124" s="550"/>
      <c r="G124" s="55" t="s">
        <v>18</v>
      </c>
      <c r="H124" s="14"/>
      <c r="I124" s="13"/>
    </row>
    <row r="125" spans="1:9">
      <c r="A125" s="226" t="s">
        <v>8</v>
      </c>
      <c r="B125" s="541" t="s">
        <v>127</v>
      </c>
      <c r="C125" s="546"/>
      <c r="D125" s="546"/>
      <c r="E125" s="546"/>
      <c r="F125" s="546"/>
      <c r="G125" s="99">
        <f>ROUND($G$121/12,2)</f>
        <v>605.42999999999995</v>
      </c>
      <c r="H125" s="14"/>
      <c r="I125" s="13"/>
    </row>
    <row r="126" spans="1:9">
      <c r="A126" s="226" t="s">
        <v>10</v>
      </c>
      <c r="B126" s="554" t="s">
        <v>319</v>
      </c>
      <c r="C126" s="489"/>
      <c r="D126" s="489"/>
      <c r="E126" s="489"/>
      <c r="F126" s="489"/>
      <c r="G126" s="99">
        <f>ROUND((2.59/30)/12*($G$121),2)</f>
        <v>52.27</v>
      </c>
      <c r="H126" s="54"/>
      <c r="I126" s="13"/>
    </row>
    <row r="127" spans="1:9">
      <c r="A127" s="226" t="s">
        <v>12</v>
      </c>
      <c r="B127" s="541" t="s">
        <v>129</v>
      </c>
      <c r="C127" s="546"/>
      <c r="D127" s="546"/>
      <c r="E127" s="546"/>
      <c r="F127" s="546"/>
      <c r="G127" s="99">
        <f>ROUND((5/30)/12*0.015*($G$121),2)</f>
        <v>1.51</v>
      </c>
      <c r="H127" s="14"/>
      <c r="I127" s="13"/>
    </row>
    <row r="128" spans="1:9">
      <c r="A128" s="226" t="s">
        <v>13</v>
      </c>
      <c r="B128" s="541" t="s">
        <v>128</v>
      </c>
      <c r="C128" s="546"/>
      <c r="D128" s="546"/>
      <c r="E128" s="546"/>
      <c r="F128" s="546"/>
      <c r="G128" s="99">
        <f>ROUND(((15/30)/12)*0.0078*($G$121),2)</f>
        <v>2.36</v>
      </c>
      <c r="H128" s="54"/>
      <c r="I128" s="13"/>
    </row>
    <row r="129" spans="1:9" ht="32.25" customHeight="1">
      <c r="A129" s="226" t="s">
        <v>22</v>
      </c>
      <c r="B129" s="540" t="s">
        <v>130</v>
      </c>
      <c r="C129" s="547"/>
      <c r="D129" s="547"/>
      <c r="E129" s="547"/>
      <c r="F129" s="547"/>
      <c r="G129" s="100">
        <f>ROUND((((G50+G50/3)/12+(G77+G95+G116))*4/12)*0.02,2)</f>
        <v>21.16</v>
      </c>
      <c r="H129" s="32"/>
      <c r="I129" s="31"/>
    </row>
    <row r="130" spans="1:9">
      <c r="A130" s="276" t="s">
        <v>23</v>
      </c>
      <c r="B130" s="548" t="s">
        <v>131</v>
      </c>
      <c r="C130" s="548"/>
      <c r="D130" s="548"/>
      <c r="E130" s="548"/>
      <c r="F130" s="548"/>
      <c r="G130" s="100">
        <f>ROUND(((3/30)/12)*($G$121),2)</f>
        <v>60.54</v>
      </c>
      <c r="H130" s="32"/>
      <c r="I130" s="31"/>
    </row>
    <row r="131" spans="1:9">
      <c r="A131" s="549" t="s">
        <v>132</v>
      </c>
      <c r="B131" s="549"/>
      <c r="C131" s="549"/>
      <c r="D131" s="549"/>
      <c r="E131" s="549"/>
      <c r="F131" s="549"/>
      <c r="G131" s="53">
        <f>SUM(G125:G130)</f>
        <v>743.26999999999987</v>
      </c>
      <c r="H131" s="28"/>
      <c r="I131" s="30"/>
    </row>
    <row r="132" spans="1:9">
      <c r="A132" s="243"/>
      <c r="B132" s="243"/>
      <c r="C132" s="243"/>
      <c r="D132" s="249"/>
      <c r="E132" s="250"/>
      <c r="F132" s="250"/>
      <c r="G132" s="250"/>
      <c r="H132" s="33"/>
      <c r="I132" s="30"/>
    </row>
    <row r="133" spans="1:9">
      <c r="A133" s="52" t="s">
        <v>30</v>
      </c>
      <c r="B133" s="550" t="s">
        <v>133</v>
      </c>
      <c r="C133" s="550"/>
      <c r="D133" s="550"/>
      <c r="E133" s="550"/>
      <c r="F133" s="550"/>
      <c r="G133" s="55" t="s">
        <v>18</v>
      </c>
      <c r="H133" s="3"/>
      <c r="I133" s="7"/>
    </row>
    <row r="134" spans="1:9">
      <c r="A134" s="226" t="s">
        <v>8</v>
      </c>
      <c r="B134" s="551" t="s">
        <v>256</v>
      </c>
      <c r="C134" s="547"/>
      <c r="D134" s="547"/>
      <c r="E134" s="547"/>
      <c r="F134" s="547"/>
      <c r="G134" s="277">
        <v>0</v>
      </c>
      <c r="H134" s="3"/>
      <c r="I134" s="7"/>
    </row>
    <row r="135" spans="1:9">
      <c r="A135" s="544" t="s">
        <v>140</v>
      </c>
      <c r="B135" s="544"/>
      <c r="C135" s="544"/>
      <c r="D135" s="544"/>
      <c r="E135" s="544"/>
      <c r="F135" s="544"/>
      <c r="G135" s="56">
        <f>SUM(G134:G134)</f>
        <v>0</v>
      </c>
      <c r="H135" s="3"/>
      <c r="I135" s="7"/>
    </row>
    <row r="136" spans="1:9">
      <c r="A136" s="278"/>
      <c r="B136" s="279"/>
      <c r="C136" s="280"/>
      <c r="D136" s="263"/>
      <c r="E136" s="263"/>
      <c r="F136" s="263"/>
      <c r="G136" s="263"/>
      <c r="H136" s="3"/>
      <c r="I136" s="7"/>
    </row>
    <row r="137" spans="1:9">
      <c r="A137" s="545" t="s">
        <v>141</v>
      </c>
      <c r="B137" s="545"/>
      <c r="C137" s="545"/>
      <c r="D137" s="545"/>
      <c r="E137" s="545"/>
      <c r="F137" s="545"/>
      <c r="G137" s="545"/>
      <c r="H137" s="27"/>
      <c r="I137" s="26"/>
    </row>
    <row r="138" spans="1:9">
      <c r="A138" s="37" t="s">
        <v>142</v>
      </c>
      <c r="B138" s="539" t="s">
        <v>118</v>
      </c>
      <c r="C138" s="539"/>
      <c r="D138" s="539"/>
      <c r="E138" s="539"/>
      <c r="F138" s="539"/>
      <c r="G138" s="208" t="s">
        <v>18</v>
      </c>
      <c r="H138" s="27"/>
      <c r="I138" s="26"/>
    </row>
    <row r="139" spans="1:9">
      <c r="A139" s="278" t="s">
        <v>27</v>
      </c>
      <c r="B139" s="567" t="s">
        <v>143</v>
      </c>
      <c r="C139" s="567"/>
      <c r="D139" s="567"/>
      <c r="E139" s="567"/>
      <c r="F139" s="567"/>
      <c r="G139" s="281">
        <f>G131</f>
        <v>743.26999999999987</v>
      </c>
      <c r="H139" s="3"/>
      <c r="I139" s="7"/>
    </row>
    <row r="140" spans="1:9">
      <c r="A140" s="278" t="s">
        <v>30</v>
      </c>
      <c r="B140" s="567" t="s">
        <v>133</v>
      </c>
      <c r="C140" s="567"/>
      <c r="D140" s="567"/>
      <c r="E140" s="567"/>
      <c r="F140" s="567"/>
      <c r="G140" s="86">
        <f>G135</f>
        <v>0</v>
      </c>
      <c r="H140" s="20"/>
      <c r="I140" s="19"/>
    </row>
    <row r="141" spans="1:9">
      <c r="A141" s="555" t="s">
        <v>144</v>
      </c>
      <c r="B141" s="555"/>
      <c r="C141" s="555"/>
      <c r="D141" s="555"/>
      <c r="E141" s="555"/>
      <c r="F141" s="555"/>
      <c r="G141" s="57">
        <f>SUM(G139:G140)</f>
        <v>743.26999999999987</v>
      </c>
      <c r="H141" s="3"/>
      <c r="I141" s="7"/>
    </row>
    <row r="142" spans="1:9" ht="30" customHeight="1">
      <c r="A142" s="114" t="s">
        <v>108</v>
      </c>
      <c r="B142" s="568" t="s">
        <v>253</v>
      </c>
      <c r="C142" s="568"/>
      <c r="D142" s="568"/>
      <c r="E142" s="568"/>
      <c r="F142" s="568"/>
      <c r="G142" s="568"/>
      <c r="H142" s="3"/>
      <c r="I142" s="7"/>
    </row>
    <row r="143" spans="1:9">
      <c r="A143" s="261"/>
      <c r="B143" s="261"/>
      <c r="C143" s="261"/>
      <c r="D143" s="249"/>
      <c r="E143" s="250"/>
      <c r="F143" s="250"/>
      <c r="G143" s="250"/>
      <c r="H143" s="33"/>
      <c r="I143" s="30"/>
    </row>
    <row r="144" spans="1:9" ht="15.75">
      <c r="A144" s="552" t="s">
        <v>185</v>
      </c>
      <c r="B144" s="552"/>
      <c r="C144" s="552"/>
      <c r="D144" s="552"/>
      <c r="E144" s="552"/>
      <c r="F144" s="552"/>
      <c r="G144" s="552"/>
      <c r="H144" s="3"/>
      <c r="I144" s="7"/>
    </row>
    <row r="145" spans="1:9">
      <c r="A145" s="83"/>
      <c r="B145" s="379" t="s">
        <v>118</v>
      </c>
      <c r="C145" s="379"/>
      <c r="D145" s="379"/>
      <c r="E145" s="379"/>
      <c r="F145" s="379"/>
      <c r="G145" s="56" t="s">
        <v>18</v>
      </c>
      <c r="H145" s="3"/>
      <c r="I145" s="7"/>
    </row>
    <row r="146" spans="1:9">
      <c r="A146" s="84" t="s">
        <v>8</v>
      </c>
      <c r="B146" s="567" t="s">
        <v>186</v>
      </c>
      <c r="C146" s="567"/>
      <c r="D146" s="567"/>
      <c r="E146" s="567"/>
      <c r="F146" s="567"/>
      <c r="G146" s="101">
        <f>'SR. UNIFORMES E EQUIPAMENTOS'!H13</f>
        <v>124.00533333333334</v>
      </c>
      <c r="H146" s="3"/>
      <c r="I146" s="7"/>
    </row>
    <row r="147" spans="1:9">
      <c r="A147" s="84" t="s">
        <v>10</v>
      </c>
      <c r="B147" s="567" t="s">
        <v>187</v>
      </c>
      <c r="C147" s="567"/>
      <c r="D147" s="567"/>
      <c r="E147" s="567"/>
      <c r="F147" s="567"/>
      <c r="G147" s="102">
        <f>'SR. UNIFORMES E EQUIPAMENTOS'!H42</f>
        <v>257.2766666666667</v>
      </c>
      <c r="H147" s="3"/>
      <c r="I147" s="7"/>
    </row>
    <row r="148" spans="1:9">
      <c r="A148" s="85" t="s">
        <v>12</v>
      </c>
      <c r="B148" s="554" t="s">
        <v>188</v>
      </c>
      <c r="C148" s="554"/>
      <c r="D148" s="554"/>
      <c r="E148" s="554"/>
      <c r="F148" s="554"/>
      <c r="G148" s="86">
        <v>0</v>
      </c>
      <c r="H148" s="3"/>
      <c r="I148" s="7"/>
    </row>
    <row r="149" spans="1:9">
      <c r="A149" s="561" t="s">
        <v>189</v>
      </c>
      <c r="B149" s="561"/>
      <c r="C149" s="561"/>
      <c r="D149" s="561"/>
      <c r="E149" s="561"/>
      <c r="F149" s="561"/>
      <c r="G149" s="47">
        <f>SUM(G146:G148)</f>
        <v>381.28200000000004</v>
      </c>
      <c r="H149" s="25"/>
      <c r="I149" s="7"/>
    </row>
    <row r="150" spans="1:9">
      <c r="A150" s="268"/>
      <c r="B150" s="212"/>
      <c r="C150" s="212"/>
      <c r="D150" s="249"/>
      <c r="E150" s="250"/>
      <c r="F150" s="250"/>
      <c r="G150" s="250"/>
      <c r="H150" s="33"/>
      <c r="I150" s="30"/>
    </row>
    <row r="151" spans="1:9" ht="15.75">
      <c r="A151" s="552" t="s">
        <v>190</v>
      </c>
      <c r="B151" s="552"/>
      <c r="C151" s="552"/>
      <c r="D151" s="552"/>
      <c r="E151" s="552"/>
      <c r="F151" s="552"/>
      <c r="G151" s="552"/>
      <c r="H151" s="33"/>
      <c r="I151" s="19"/>
    </row>
    <row r="152" spans="1:9">
      <c r="A152" s="87"/>
      <c r="B152" s="377" t="s">
        <v>45</v>
      </c>
      <c r="C152" s="377"/>
      <c r="D152" s="377"/>
      <c r="E152" s="377"/>
      <c r="F152" s="88" t="s">
        <v>20</v>
      </c>
      <c r="G152" s="88" t="s">
        <v>18</v>
      </c>
      <c r="H152" s="33"/>
      <c r="I152" s="7"/>
    </row>
    <row r="153" spans="1:9" ht="47.25" customHeight="1">
      <c r="A153" s="515" t="s">
        <v>191</v>
      </c>
      <c r="B153" s="515"/>
      <c r="C153" s="515"/>
      <c r="D153" s="515"/>
      <c r="E153" s="515"/>
      <c r="F153" s="515"/>
      <c r="G153" s="91">
        <f>SUM(G54+G105+G116+G141+G149)</f>
        <v>9053.101999999999</v>
      </c>
      <c r="H153" s="33"/>
      <c r="I153" s="7"/>
    </row>
    <row r="154" spans="1:9">
      <c r="A154" s="89" t="s">
        <v>8</v>
      </c>
      <c r="B154" s="373" t="s">
        <v>46</v>
      </c>
      <c r="C154" s="373"/>
      <c r="D154" s="373"/>
      <c r="E154" s="373"/>
      <c r="F154" s="190">
        <v>0.1467</v>
      </c>
      <c r="G154" s="94">
        <f>ROUND(F154*G153,2)</f>
        <v>1328.09</v>
      </c>
      <c r="H154" s="33"/>
      <c r="I154" s="7"/>
    </row>
    <row r="155" spans="1:9" ht="44.25" customHeight="1">
      <c r="A155" s="515" t="s">
        <v>192</v>
      </c>
      <c r="B155" s="515"/>
      <c r="C155" s="515"/>
      <c r="D155" s="515"/>
      <c r="E155" s="515"/>
      <c r="F155" s="515"/>
      <c r="G155" s="103">
        <f>SUM(G54+G105+G116+G141+G149+G154)</f>
        <v>10381.191999999999</v>
      </c>
      <c r="H155" s="33"/>
      <c r="I155" s="19"/>
    </row>
    <row r="156" spans="1:9">
      <c r="A156" s="89" t="s">
        <v>10</v>
      </c>
      <c r="B156" s="373" t="s">
        <v>47</v>
      </c>
      <c r="C156" s="373"/>
      <c r="D156" s="373"/>
      <c r="E156" s="373"/>
      <c r="F156" s="190">
        <v>0.13400000000000001</v>
      </c>
      <c r="G156" s="92">
        <f>ROUND(F156*G155,2)</f>
        <v>1391.08</v>
      </c>
      <c r="H156" s="33"/>
      <c r="I156" s="19"/>
    </row>
    <row r="157" spans="1:9" ht="46.5" customHeight="1">
      <c r="A157" s="515" t="s">
        <v>193</v>
      </c>
      <c r="B157" s="515"/>
      <c r="C157" s="515"/>
      <c r="D157" s="515"/>
      <c r="E157" s="515"/>
      <c r="F157" s="515"/>
      <c r="G157" s="91">
        <f>SUM(G54+G105+G116+G141+G149+G154+G156)</f>
        <v>11772.271999999999</v>
      </c>
      <c r="H157" s="33"/>
      <c r="I157" s="19"/>
    </row>
    <row r="158" spans="1:9">
      <c r="A158" s="89" t="s">
        <v>12</v>
      </c>
      <c r="B158" s="373" t="s">
        <v>48</v>
      </c>
      <c r="C158" s="373"/>
      <c r="D158" s="373"/>
      <c r="E158" s="373"/>
      <c r="F158" s="90">
        <f>SUM(F159:F162)</f>
        <v>0.1225</v>
      </c>
      <c r="G158" s="185">
        <f>SUM(G159:G162)</f>
        <v>1643.42</v>
      </c>
      <c r="H158" s="374" t="s">
        <v>259</v>
      </c>
      <c r="I158" s="375"/>
    </row>
    <row r="159" spans="1:9">
      <c r="A159" s="566" t="s">
        <v>196</v>
      </c>
      <c r="B159" s="560" t="s">
        <v>199</v>
      </c>
      <c r="C159" s="560"/>
      <c r="D159" s="370" t="s">
        <v>34</v>
      </c>
      <c r="E159" s="370"/>
      <c r="F159" s="93">
        <f>IF(E8=1,0.0165,IF(E8=2,0.0065,IF(E8=3,I161,IF(E8=4,I161,¨RT Indefinido¨))))</f>
        <v>1.6500000000000001E-2</v>
      </c>
      <c r="G159" s="91">
        <f>ROUND(($G$157/(1-$F$158))*F159,2)</f>
        <v>221.36</v>
      </c>
      <c r="H159" s="219" t="s">
        <v>260</v>
      </c>
      <c r="I159" s="108" t="s">
        <v>261</v>
      </c>
    </row>
    <row r="160" spans="1:9">
      <c r="A160" s="376"/>
      <c r="B160" s="560"/>
      <c r="C160" s="560"/>
      <c r="D160" s="443" t="s">
        <v>194</v>
      </c>
      <c r="E160" s="443"/>
      <c r="F160" s="93">
        <f>IF(E8=1,0.076,IF(E8=2,0.03,IF(E8=3,I160,IF(E8=4,I160,¨RT Indefinido¨))))</f>
        <v>7.5999999999999998E-2</v>
      </c>
      <c r="G160" s="91">
        <f>ROUND(($G$157/(1-$F$158))*F160,2)</f>
        <v>1019.59</v>
      </c>
      <c r="H160" s="220" t="s">
        <v>194</v>
      </c>
      <c r="I160" s="109">
        <v>0</v>
      </c>
    </row>
    <row r="161" spans="1:9">
      <c r="A161" s="85" t="s">
        <v>197</v>
      </c>
      <c r="B161" s="560" t="s">
        <v>200</v>
      </c>
      <c r="C161" s="560"/>
      <c r="D161" s="369" t="s">
        <v>202</v>
      </c>
      <c r="E161" s="370"/>
      <c r="F161" s="93">
        <v>0</v>
      </c>
      <c r="G161" s="91">
        <v>0</v>
      </c>
      <c r="H161" s="220" t="s">
        <v>34</v>
      </c>
      <c r="I161" s="109">
        <v>0</v>
      </c>
    </row>
    <row r="162" spans="1:9">
      <c r="A162" s="85" t="s">
        <v>198</v>
      </c>
      <c r="B162" s="560" t="s">
        <v>201</v>
      </c>
      <c r="C162" s="560"/>
      <c r="D162" s="370" t="s">
        <v>195</v>
      </c>
      <c r="E162" s="370"/>
      <c r="F162" s="191">
        <v>0.03</v>
      </c>
      <c r="G162" s="86">
        <f>ROUND(($G$157/(1-$F$158))*F162,2)</f>
        <v>402.47</v>
      </c>
      <c r="H162" s="220" t="s">
        <v>262</v>
      </c>
      <c r="I162" s="109">
        <v>0</v>
      </c>
    </row>
    <row r="163" spans="1:9">
      <c r="A163" s="561" t="s">
        <v>203</v>
      </c>
      <c r="B163" s="561"/>
      <c r="C163" s="561"/>
      <c r="D163" s="561"/>
      <c r="E163" s="561"/>
      <c r="F163" s="561"/>
      <c r="G163" s="95">
        <f>SUM(G154+G156+G158)</f>
        <v>4362.59</v>
      </c>
      <c r="H163" s="20"/>
      <c r="I163" s="19"/>
    </row>
    <row r="164" spans="1:9">
      <c r="A164" s="116" t="s">
        <v>109</v>
      </c>
      <c r="B164" s="562" t="s">
        <v>205</v>
      </c>
      <c r="C164" s="562"/>
      <c r="D164" s="562"/>
      <c r="E164" s="562"/>
      <c r="F164" s="562"/>
      <c r="G164" s="562"/>
      <c r="H164" s="20"/>
      <c r="I164" s="19"/>
    </row>
    <row r="165" spans="1:9">
      <c r="A165" s="563" t="s">
        <v>204</v>
      </c>
      <c r="B165" s="564" t="s">
        <v>206</v>
      </c>
      <c r="C165" s="565" t="s">
        <v>207</v>
      </c>
      <c r="D165" s="565"/>
      <c r="E165" s="282"/>
      <c r="F165" s="283"/>
      <c r="G165" s="284"/>
      <c r="H165" s="20"/>
      <c r="I165" s="19"/>
    </row>
    <row r="166" spans="1:9">
      <c r="A166" s="563"/>
      <c r="B166" s="564"/>
      <c r="C166" s="565" t="s">
        <v>208</v>
      </c>
      <c r="D166" s="565"/>
      <c r="E166" s="285" t="s">
        <v>210</v>
      </c>
      <c r="F166" s="283"/>
      <c r="G166" s="284"/>
      <c r="H166" s="20"/>
      <c r="I166" s="19"/>
    </row>
    <row r="167" spans="1:9">
      <c r="A167" s="563"/>
      <c r="B167" s="564"/>
      <c r="C167" s="565" t="s">
        <v>209</v>
      </c>
      <c r="D167" s="565"/>
      <c r="E167" s="282"/>
      <c r="F167" s="283"/>
      <c r="G167" s="284"/>
      <c r="H167" s="20"/>
      <c r="I167" s="19"/>
    </row>
    <row r="168" spans="1:9">
      <c r="A168" s="286"/>
      <c r="B168" s="287"/>
      <c r="C168" s="288"/>
      <c r="D168" s="288"/>
      <c r="E168" s="289"/>
      <c r="F168" s="290"/>
      <c r="G168" s="291"/>
      <c r="H168" s="20"/>
      <c r="I168" s="19"/>
    </row>
    <row r="169" spans="1:9">
      <c r="A169" s="266"/>
      <c r="B169" s="292"/>
      <c r="C169" s="292"/>
      <c r="D169" s="293"/>
      <c r="E169" s="293"/>
      <c r="F169" s="293"/>
      <c r="G169" s="293"/>
      <c r="H169" s="3"/>
      <c r="I169" s="7"/>
    </row>
    <row r="170" spans="1:9">
      <c r="A170" s="558" t="s">
        <v>211</v>
      </c>
      <c r="B170" s="558"/>
      <c r="C170" s="558"/>
      <c r="D170" s="558"/>
      <c r="E170" s="558"/>
      <c r="F170" s="558"/>
      <c r="G170" s="558"/>
      <c r="H170" s="3"/>
      <c r="I170" s="7"/>
    </row>
    <row r="171" spans="1:9">
      <c r="A171" s="501" t="s">
        <v>212</v>
      </c>
      <c r="B171" s="501"/>
      <c r="C171" s="501"/>
      <c r="D171" s="501"/>
      <c r="E171" s="501"/>
      <c r="F171" s="501"/>
      <c r="G171" s="96" t="s">
        <v>115</v>
      </c>
      <c r="H171" s="3"/>
      <c r="I171" s="7"/>
    </row>
    <row r="172" spans="1:9">
      <c r="A172" s="268" t="s">
        <v>8</v>
      </c>
      <c r="B172" s="559" t="s">
        <v>55</v>
      </c>
      <c r="C172" s="559"/>
      <c r="D172" s="559"/>
      <c r="E172" s="559"/>
      <c r="F172" s="559"/>
      <c r="G172" s="102">
        <f>G54</f>
        <v>4755.2300000000005</v>
      </c>
      <c r="H172" s="3"/>
      <c r="I172" s="7"/>
    </row>
    <row r="173" spans="1:9">
      <c r="A173" s="268" t="s">
        <v>10</v>
      </c>
      <c r="B173" s="559" t="s">
        <v>213</v>
      </c>
      <c r="C173" s="559"/>
      <c r="D173" s="559"/>
      <c r="E173" s="559"/>
      <c r="F173" s="559"/>
      <c r="G173" s="102">
        <f>G105</f>
        <v>2931.7100000000005</v>
      </c>
      <c r="H173" s="3"/>
      <c r="I173" s="7"/>
    </row>
    <row r="174" spans="1:9">
      <c r="A174" s="268" t="s">
        <v>12</v>
      </c>
      <c r="B174" s="559" t="s">
        <v>50</v>
      </c>
      <c r="C174" s="559"/>
      <c r="D174" s="559"/>
      <c r="E174" s="559"/>
      <c r="F174" s="559"/>
      <c r="G174" s="102">
        <f>G116</f>
        <v>241.61</v>
      </c>
      <c r="H174" s="3"/>
      <c r="I174" s="7"/>
    </row>
    <row r="175" spans="1:9">
      <c r="A175" s="268" t="s">
        <v>13</v>
      </c>
      <c r="B175" s="559" t="s">
        <v>51</v>
      </c>
      <c r="C175" s="559"/>
      <c r="D175" s="559"/>
      <c r="E175" s="559"/>
      <c r="F175" s="559"/>
      <c r="G175" s="102">
        <f>G141</f>
        <v>743.26999999999987</v>
      </c>
      <c r="H175" s="20"/>
      <c r="I175" s="19"/>
    </row>
    <row r="176" spans="1:9">
      <c r="A176" s="85" t="s">
        <v>22</v>
      </c>
      <c r="B176" s="559" t="s">
        <v>52</v>
      </c>
      <c r="C176" s="559"/>
      <c r="D176" s="559"/>
      <c r="E176" s="559"/>
      <c r="F176" s="559"/>
      <c r="G176" s="102">
        <f>G149</f>
        <v>381.28200000000004</v>
      </c>
      <c r="H176" s="20"/>
      <c r="I176" s="19"/>
    </row>
    <row r="177" spans="1:9">
      <c r="A177" s="569" t="s">
        <v>49</v>
      </c>
      <c r="B177" s="569"/>
      <c r="C177" s="569"/>
      <c r="D177" s="569"/>
      <c r="E177" s="569"/>
      <c r="F177" s="569"/>
      <c r="G177" s="294">
        <f>SUM(G172:G176)</f>
        <v>9053.101999999999</v>
      </c>
      <c r="H177" s="20"/>
      <c r="I177" s="19"/>
    </row>
    <row r="178" spans="1:9">
      <c r="A178" s="85" t="s">
        <v>23</v>
      </c>
      <c r="B178" s="559" t="s">
        <v>54</v>
      </c>
      <c r="C178" s="559"/>
      <c r="D178" s="559"/>
      <c r="E178" s="559"/>
      <c r="F178" s="559"/>
      <c r="G178" s="102">
        <f>G163</f>
        <v>4362.59</v>
      </c>
      <c r="H178" s="20"/>
      <c r="I178" s="19"/>
    </row>
    <row r="179" spans="1:9" ht="15.75">
      <c r="A179" s="557" t="s">
        <v>315</v>
      </c>
      <c r="B179" s="557"/>
      <c r="C179" s="557"/>
      <c r="D179" s="557"/>
      <c r="E179" s="557"/>
      <c r="F179" s="557"/>
      <c r="G179" s="97">
        <f>SUM(G177:G178)</f>
        <v>13415.691999999999</v>
      </c>
      <c r="H179" s="25"/>
      <c r="I179" s="7"/>
    </row>
  </sheetData>
  <mergeCells count="199">
    <mergeCell ref="B178:F178"/>
    <mergeCell ref="B147:F147"/>
    <mergeCell ref="B148:F148"/>
    <mergeCell ref="A149:F149"/>
    <mergeCell ref="A151:G151"/>
    <mergeCell ref="B138:F138"/>
    <mergeCell ref="B139:F139"/>
    <mergeCell ref="B140:F140"/>
    <mergeCell ref="A141:F141"/>
    <mergeCell ref="B176:F176"/>
    <mergeCell ref="A144:G144"/>
    <mergeCell ref="B145:F145"/>
    <mergeCell ref="B142:G142"/>
    <mergeCell ref="B161:C161"/>
    <mergeCell ref="B146:F146"/>
    <mergeCell ref="A177:F177"/>
    <mergeCell ref="D161:E161"/>
    <mergeCell ref="B152:E152"/>
    <mergeCell ref="A153:F153"/>
    <mergeCell ref="B154:E154"/>
    <mergeCell ref="A155:F155"/>
    <mergeCell ref="B156:E156"/>
    <mergeCell ref="A157:F157"/>
    <mergeCell ref="A119:G119"/>
    <mergeCell ref="A120:G120"/>
    <mergeCell ref="A179:F179"/>
    <mergeCell ref="E8:F8"/>
    <mergeCell ref="A170:G170"/>
    <mergeCell ref="A171:F171"/>
    <mergeCell ref="B172:F172"/>
    <mergeCell ref="B173:F173"/>
    <mergeCell ref="B174:F174"/>
    <mergeCell ref="B175:F175"/>
    <mergeCell ref="B162:C162"/>
    <mergeCell ref="D162:E162"/>
    <mergeCell ref="A163:F163"/>
    <mergeCell ref="B164:G164"/>
    <mergeCell ref="A165:A167"/>
    <mergeCell ref="B165:B167"/>
    <mergeCell ref="C165:D165"/>
    <mergeCell ref="C166:D166"/>
    <mergeCell ref="C167:D167"/>
    <mergeCell ref="B158:E158"/>
    <mergeCell ref="A159:A160"/>
    <mergeCell ref="B159:C160"/>
    <mergeCell ref="D159:E159"/>
    <mergeCell ref="D160:E160"/>
    <mergeCell ref="A135:F135"/>
    <mergeCell ref="A137:G137"/>
    <mergeCell ref="B128:F128"/>
    <mergeCell ref="B129:F129"/>
    <mergeCell ref="B130:F130"/>
    <mergeCell ref="A131:F131"/>
    <mergeCell ref="B133:F133"/>
    <mergeCell ref="B134:F134"/>
    <mergeCell ref="A105:F105"/>
    <mergeCell ref="A108:G108"/>
    <mergeCell ref="B109:F109"/>
    <mergeCell ref="B110:F110"/>
    <mergeCell ref="B111:F111"/>
    <mergeCell ref="B112:F112"/>
    <mergeCell ref="A122:D122"/>
    <mergeCell ref="E122:F122"/>
    <mergeCell ref="B124:F124"/>
    <mergeCell ref="B125:F125"/>
    <mergeCell ref="B126:F126"/>
    <mergeCell ref="B127:F127"/>
    <mergeCell ref="B113:F113"/>
    <mergeCell ref="B114:F114"/>
    <mergeCell ref="B115:F115"/>
    <mergeCell ref="A116:F116"/>
    <mergeCell ref="B97:G97"/>
    <mergeCell ref="A100:G100"/>
    <mergeCell ref="B101:F101"/>
    <mergeCell ref="B102:F102"/>
    <mergeCell ref="B103:F103"/>
    <mergeCell ref="B104:F104"/>
    <mergeCell ref="B91:F91"/>
    <mergeCell ref="B92:F92"/>
    <mergeCell ref="B93:F93"/>
    <mergeCell ref="B94:F94"/>
    <mergeCell ref="A95:F95"/>
    <mergeCell ref="B96:G96"/>
    <mergeCell ref="A88:A90"/>
    <mergeCell ref="B88:B90"/>
    <mergeCell ref="C88:D88"/>
    <mergeCell ref="E88:F88"/>
    <mergeCell ref="G88:G90"/>
    <mergeCell ref="C89:D89"/>
    <mergeCell ref="E89:F89"/>
    <mergeCell ref="C90:D90"/>
    <mergeCell ref="E90:F90"/>
    <mergeCell ref="A84:A87"/>
    <mergeCell ref="B84:B87"/>
    <mergeCell ref="C84:D84"/>
    <mergeCell ref="E84:F84"/>
    <mergeCell ref="G84:G87"/>
    <mergeCell ref="B73:D73"/>
    <mergeCell ref="E73:F73"/>
    <mergeCell ref="E74:F74"/>
    <mergeCell ref="E75:F75"/>
    <mergeCell ref="E76:F76"/>
    <mergeCell ref="A77:D77"/>
    <mergeCell ref="E77:F77"/>
    <mergeCell ref="C85:D85"/>
    <mergeCell ref="E85:F85"/>
    <mergeCell ref="C86:D86"/>
    <mergeCell ref="E86:F86"/>
    <mergeCell ref="C87:D87"/>
    <mergeCell ref="E87:F87"/>
    <mergeCell ref="B78:G78"/>
    <mergeCell ref="B79:G79"/>
    <mergeCell ref="B82:G82"/>
    <mergeCell ref="B83:F83"/>
    <mergeCell ref="B70:D70"/>
    <mergeCell ref="E70:F70"/>
    <mergeCell ref="B71:D71"/>
    <mergeCell ref="E71:F71"/>
    <mergeCell ref="B72:D72"/>
    <mergeCell ref="E72:F72"/>
    <mergeCell ref="B67:G67"/>
    <mergeCell ref="B68:D68"/>
    <mergeCell ref="E68:F68"/>
    <mergeCell ref="B69:D69"/>
    <mergeCell ref="E69:F69"/>
    <mergeCell ref="A59:G59"/>
    <mergeCell ref="B60:F60"/>
    <mergeCell ref="B61:F61"/>
    <mergeCell ref="B62:F62"/>
    <mergeCell ref="A63:F63"/>
    <mergeCell ref="B64:G64"/>
    <mergeCell ref="B47:F47"/>
    <mergeCell ref="B48:D48"/>
    <mergeCell ref="E48:F48"/>
    <mergeCell ref="B49:F49"/>
    <mergeCell ref="A50:F50"/>
    <mergeCell ref="B56:G56"/>
    <mergeCell ref="B51:F51"/>
    <mergeCell ref="A52:F52"/>
    <mergeCell ref="B55:G55"/>
    <mergeCell ref="A54:F54"/>
    <mergeCell ref="B38:G38"/>
    <mergeCell ref="A41:G41"/>
    <mergeCell ref="B42:D42"/>
    <mergeCell ref="E42:F42"/>
    <mergeCell ref="B43:F43"/>
    <mergeCell ref="B46:F46"/>
    <mergeCell ref="B31:F31"/>
    <mergeCell ref="B32:F32"/>
    <mergeCell ref="B34:F34"/>
    <mergeCell ref="B35:F35"/>
    <mergeCell ref="B36:F36"/>
    <mergeCell ref="B37:G37"/>
    <mergeCell ref="B45:F45"/>
    <mergeCell ref="B33:F33"/>
    <mergeCell ref="E10:G10"/>
    <mergeCell ref="B25:F25"/>
    <mergeCell ref="B26:F26"/>
    <mergeCell ref="B27:F27"/>
    <mergeCell ref="B28:F28"/>
    <mergeCell ref="B29:F29"/>
    <mergeCell ref="B30:F30"/>
    <mergeCell ref="A19:G19"/>
    <mergeCell ref="A20:G20"/>
    <mergeCell ref="A21:G21"/>
    <mergeCell ref="B22:F22"/>
    <mergeCell ref="B23:F23"/>
    <mergeCell ref="B24:F24"/>
    <mergeCell ref="A14:G14"/>
    <mergeCell ref="A15:C15"/>
    <mergeCell ref="D15:E15"/>
    <mergeCell ref="F15:G15"/>
    <mergeCell ref="A16:C17"/>
    <mergeCell ref="D16:E17"/>
    <mergeCell ref="F16:G17"/>
    <mergeCell ref="B3:D3"/>
    <mergeCell ref="F3:G3"/>
    <mergeCell ref="B74:D74"/>
    <mergeCell ref="B75:D75"/>
    <mergeCell ref="B76:D76"/>
    <mergeCell ref="H158:I158"/>
    <mergeCell ref="A1:G1"/>
    <mergeCell ref="A2:G2"/>
    <mergeCell ref="B4:G4"/>
    <mergeCell ref="A5:G5"/>
    <mergeCell ref="A6:B6"/>
    <mergeCell ref="C6:G6"/>
    <mergeCell ref="B44:F44"/>
    <mergeCell ref="B11:D11"/>
    <mergeCell ref="E11:G11"/>
    <mergeCell ref="B12:E12"/>
    <mergeCell ref="F12:G12"/>
    <mergeCell ref="B13:F13"/>
    <mergeCell ref="A18:G18"/>
    <mergeCell ref="A7:B7"/>
    <mergeCell ref="C7:G7"/>
    <mergeCell ref="A8:C8"/>
    <mergeCell ref="A9:G9"/>
    <mergeCell ref="B10:D10"/>
  </mergeCells>
  <pageMargins left="0.51181102362204722" right="0.51181102362204722" top="0.78740157480314965" bottom="0.78740157480314965" header="0.31496062992125984" footer="0.31496062992125984"/>
  <pageSetup paperSize="9" scale="67" orientation="portrait" horizontalDpi="300" verticalDpi="300" r:id="rId1"/>
  <headerFooter>
    <oddFooter>&amp;C&amp;A
&amp;F&amp;R&amp;P de &amp;N</oddFooter>
  </headerFooter>
  <rowBreaks count="1" manualBreakCount="1">
    <brk id="63" max="6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3"/>
  <sheetViews>
    <sheetView topLeftCell="A22" zoomScaleNormal="100" workbookViewId="0">
      <selection activeCell="E29" sqref="E29"/>
    </sheetView>
  </sheetViews>
  <sheetFormatPr defaultRowHeight="15"/>
  <cols>
    <col min="1" max="1" width="39.28515625" customWidth="1"/>
    <col min="2" max="2" width="18.28515625" customWidth="1"/>
    <col min="3" max="3" width="15.5703125" customWidth="1"/>
    <col min="4" max="4" width="17.5703125" customWidth="1"/>
    <col min="5" max="6" width="15.140625" customWidth="1"/>
    <col min="7" max="7" width="14.85546875" customWidth="1"/>
    <col min="8" max="8" width="16.140625" customWidth="1"/>
  </cols>
  <sheetData>
    <row r="1" spans="1:8" ht="15.75">
      <c r="A1" s="582" t="s">
        <v>176</v>
      </c>
      <c r="B1" s="582"/>
      <c r="C1" s="582"/>
      <c r="D1" s="582"/>
      <c r="E1" s="582"/>
      <c r="F1" s="582"/>
      <c r="G1" s="582"/>
      <c r="H1" s="582"/>
    </row>
    <row r="2" spans="1:8" ht="16.5">
      <c r="A2" s="583" t="s">
        <v>175</v>
      </c>
      <c r="B2" s="583"/>
      <c r="C2" s="583"/>
      <c r="D2" s="583"/>
      <c r="E2" s="583"/>
      <c r="F2" s="583"/>
      <c r="G2" s="583"/>
      <c r="H2" s="583"/>
    </row>
    <row r="3" spans="1:8">
      <c r="A3" s="576" t="s">
        <v>56</v>
      </c>
      <c r="B3" s="577" t="s">
        <v>145</v>
      </c>
      <c r="C3" s="578" t="s">
        <v>146</v>
      </c>
      <c r="D3" s="578" t="s">
        <v>147</v>
      </c>
      <c r="E3" s="577" t="s">
        <v>148</v>
      </c>
      <c r="F3" s="573" t="s">
        <v>149</v>
      </c>
      <c r="G3" s="573" t="s">
        <v>150</v>
      </c>
      <c r="H3" s="573" t="s">
        <v>151</v>
      </c>
    </row>
    <row r="4" spans="1:8">
      <c r="A4" s="576"/>
      <c r="B4" s="577"/>
      <c r="C4" s="578"/>
      <c r="D4" s="578"/>
      <c r="E4" s="577"/>
      <c r="F4" s="573"/>
      <c r="G4" s="573"/>
      <c r="H4" s="573"/>
    </row>
    <row r="5" spans="1:8">
      <c r="A5" s="192" t="s">
        <v>152</v>
      </c>
      <c r="B5" s="77" t="s">
        <v>184</v>
      </c>
      <c r="C5" s="60" t="s">
        <v>35</v>
      </c>
      <c r="D5" s="61">
        <v>113.2</v>
      </c>
      <c r="E5" s="62">
        <v>30</v>
      </c>
      <c r="F5" s="63">
        <v>5</v>
      </c>
      <c r="G5" s="63">
        <f>F5*2</f>
        <v>10</v>
      </c>
      <c r="H5" s="64">
        <f>D5*G5/E5</f>
        <v>37.733333333333334</v>
      </c>
    </row>
    <row r="6" spans="1:8">
      <c r="A6" s="193" t="s">
        <v>153</v>
      </c>
      <c r="B6" s="77" t="s">
        <v>184</v>
      </c>
      <c r="C6" s="60" t="s">
        <v>154</v>
      </c>
      <c r="D6" s="61">
        <v>90.73</v>
      </c>
      <c r="E6" s="62">
        <v>30</v>
      </c>
      <c r="F6" s="63">
        <v>1</v>
      </c>
      <c r="G6" s="63">
        <f t="shared" ref="G6:G12" si="0">F6*2</f>
        <v>2</v>
      </c>
      <c r="H6" s="64">
        <f t="shared" ref="H6:H12" si="1">D6*G6/E6</f>
        <v>6.0486666666666666</v>
      </c>
    </row>
    <row r="7" spans="1:8">
      <c r="A7" s="192" t="s">
        <v>155</v>
      </c>
      <c r="B7" s="77" t="s">
        <v>184</v>
      </c>
      <c r="C7" s="60" t="s">
        <v>35</v>
      </c>
      <c r="D7" s="61">
        <v>69.930000000000007</v>
      </c>
      <c r="E7" s="62">
        <v>30</v>
      </c>
      <c r="F7" s="63">
        <v>5</v>
      </c>
      <c r="G7" s="63">
        <f t="shared" si="0"/>
        <v>10</v>
      </c>
      <c r="H7" s="64">
        <f t="shared" si="1"/>
        <v>23.310000000000002</v>
      </c>
    </row>
    <row r="8" spans="1:8">
      <c r="A8" s="192" t="s">
        <v>156</v>
      </c>
      <c r="B8" s="77" t="s">
        <v>184</v>
      </c>
      <c r="C8" s="60" t="s">
        <v>35</v>
      </c>
      <c r="D8" s="61">
        <v>89.93</v>
      </c>
      <c r="E8" s="62">
        <v>30</v>
      </c>
      <c r="F8" s="63">
        <v>5</v>
      </c>
      <c r="G8" s="63">
        <f t="shared" si="0"/>
        <v>10</v>
      </c>
      <c r="H8" s="64">
        <f t="shared" si="1"/>
        <v>29.97666666666667</v>
      </c>
    </row>
    <row r="9" spans="1:8">
      <c r="A9" s="193" t="s">
        <v>157</v>
      </c>
      <c r="B9" s="78" t="s">
        <v>184</v>
      </c>
      <c r="C9" s="65" t="s">
        <v>35</v>
      </c>
      <c r="D9" s="61">
        <v>29.97</v>
      </c>
      <c r="E9" s="62">
        <v>30</v>
      </c>
      <c r="F9" s="63">
        <v>2</v>
      </c>
      <c r="G9" s="63">
        <f t="shared" si="0"/>
        <v>4</v>
      </c>
      <c r="H9" s="64">
        <f t="shared" si="1"/>
        <v>3.996</v>
      </c>
    </row>
    <row r="10" spans="1:8">
      <c r="A10" s="192" t="s">
        <v>158</v>
      </c>
      <c r="B10" s="79" t="s">
        <v>184</v>
      </c>
      <c r="C10" s="60" t="s">
        <v>159</v>
      </c>
      <c r="D10" s="61">
        <v>138.03</v>
      </c>
      <c r="E10" s="62">
        <v>30</v>
      </c>
      <c r="F10" s="63">
        <v>2</v>
      </c>
      <c r="G10" s="63">
        <f t="shared" si="0"/>
        <v>4</v>
      </c>
      <c r="H10" s="64">
        <f t="shared" si="1"/>
        <v>18.404</v>
      </c>
    </row>
    <row r="11" spans="1:8">
      <c r="A11" s="192" t="s">
        <v>160</v>
      </c>
      <c r="B11" s="77" t="s">
        <v>184</v>
      </c>
      <c r="C11" s="60" t="s">
        <v>159</v>
      </c>
      <c r="D11" s="61">
        <v>7.38</v>
      </c>
      <c r="E11" s="62">
        <v>30</v>
      </c>
      <c r="F11" s="63">
        <v>5</v>
      </c>
      <c r="G11" s="63">
        <f t="shared" si="0"/>
        <v>10</v>
      </c>
      <c r="H11" s="64">
        <f t="shared" si="1"/>
        <v>2.46</v>
      </c>
    </row>
    <row r="12" spans="1:8">
      <c r="A12" s="192" t="s">
        <v>161</v>
      </c>
      <c r="B12" s="80" t="s">
        <v>184</v>
      </c>
      <c r="C12" s="60" t="s">
        <v>35</v>
      </c>
      <c r="D12" s="66">
        <v>6.23</v>
      </c>
      <c r="E12" s="62">
        <v>30</v>
      </c>
      <c r="F12" s="63">
        <v>5</v>
      </c>
      <c r="G12" s="63">
        <f t="shared" si="0"/>
        <v>10</v>
      </c>
      <c r="H12" s="64">
        <f t="shared" si="1"/>
        <v>2.0766666666666667</v>
      </c>
    </row>
    <row r="13" spans="1:8">
      <c r="A13" s="580" t="s">
        <v>162</v>
      </c>
      <c r="B13" s="580"/>
      <c r="C13" s="580"/>
      <c r="D13" s="580"/>
      <c r="E13" s="580"/>
      <c r="F13" s="580"/>
      <c r="G13" s="580"/>
      <c r="H13" s="67">
        <f>SUM(H5:H12)</f>
        <v>124.00533333333334</v>
      </c>
    </row>
    <row r="14" spans="1:8">
      <c r="A14" s="581"/>
      <c r="B14" s="581"/>
      <c r="C14" s="581"/>
      <c r="D14" s="581"/>
      <c r="E14" s="581"/>
      <c r="F14" s="581"/>
      <c r="G14" s="581"/>
      <c r="H14" s="581"/>
    </row>
    <row r="15" spans="1:8" ht="15.75">
      <c r="A15" s="579" t="s">
        <v>163</v>
      </c>
      <c r="B15" s="579"/>
      <c r="C15" s="579"/>
      <c r="D15" s="579"/>
      <c r="E15" s="579"/>
      <c r="F15" s="579"/>
      <c r="G15" s="579"/>
      <c r="H15" s="579"/>
    </row>
    <row r="16" spans="1:8">
      <c r="A16" s="576" t="s">
        <v>56</v>
      </c>
      <c r="B16" s="577" t="s">
        <v>145</v>
      </c>
      <c r="C16" s="578" t="s">
        <v>146</v>
      </c>
      <c r="D16" s="578" t="s">
        <v>147</v>
      </c>
      <c r="E16" s="577" t="s">
        <v>148</v>
      </c>
      <c r="F16" s="573" t="s">
        <v>150</v>
      </c>
      <c r="G16" s="573"/>
      <c r="H16" s="573" t="s">
        <v>151</v>
      </c>
    </row>
    <row r="17" spans="1:8">
      <c r="A17" s="576"/>
      <c r="B17" s="577"/>
      <c r="C17" s="578"/>
      <c r="D17" s="578"/>
      <c r="E17" s="577"/>
      <c r="F17" s="573"/>
      <c r="G17" s="573"/>
      <c r="H17" s="573"/>
    </row>
    <row r="18" spans="1:8" ht="45">
      <c r="A18" s="194" t="s">
        <v>179</v>
      </c>
      <c r="B18" s="81" t="s">
        <v>184</v>
      </c>
      <c r="C18" s="69" t="s">
        <v>35</v>
      </c>
      <c r="D18" s="74">
        <v>18.07</v>
      </c>
      <c r="E18" s="71">
        <v>30</v>
      </c>
      <c r="F18" s="570">
        <v>1</v>
      </c>
      <c r="G18" s="570"/>
      <c r="H18" s="72">
        <f>D18*F18/E18</f>
        <v>0.60233333333333339</v>
      </c>
    </row>
    <row r="19" spans="1:8">
      <c r="A19" s="195" t="s">
        <v>164</v>
      </c>
      <c r="B19" s="78" t="s">
        <v>184</v>
      </c>
      <c r="C19" s="69" t="s">
        <v>35</v>
      </c>
      <c r="D19" s="70">
        <v>35.14</v>
      </c>
      <c r="E19" s="71">
        <v>30</v>
      </c>
      <c r="F19" s="570">
        <v>1</v>
      </c>
      <c r="G19" s="570"/>
      <c r="H19" s="72">
        <f t="shared" ref="H19:H23" si="2">D19*F19/E19</f>
        <v>1.1713333333333333</v>
      </c>
    </row>
    <row r="20" spans="1:8">
      <c r="A20" s="195" t="s">
        <v>165</v>
      </c>
      <c r="B20" s="78" t="s">
        <v>184</v>
      </c>
      <c r="C20" s="69" t="s">
        <v>35</v>
      </c>
      <c r="D20" s="70">
        <v>26.97</v>
      </c>
      <c r="E20" s="71">
        <v>30</v>
      </c>
      <c r="F20" s="570">
        <v>1</v>
      </c>
      <c r="G20" s="570"/>
      <c r="H20" s="72">
        <f t="shared" si="2"/>
        <v>0.89899999999999991</v>
      </c>
    </row>
    <row r="21" spans="1:8">
      <c r="A21" s="196" t="s">
        <v>166</v>
      </c>
      <c r="B21" s="82" t="s">
        <v>184</v>
      </c>
      <c r="C21" s="69" t="s">
        <v>35</v>
      </c>
      <c r="D21" s="70">
        <v>21.07</v>
      </c>
      <c r="E21" s="71">
        <v>30</v>
      </c>
      <c r="F21" s="570">
        <v>1</v>
      </c>
      <c r="G21" s="570"/>
      <c r="H21" s="72">
        <f t="shared" si="2"/>
        <v>0.70233333333333337</v>
      </c>
    </row>
    <row r="22" spans="1:8">
      <c r="A22" s="197" t="s">
        <v>167</v>
      </c>
      <c r="B22" s="77" t="s">
        <v>184</v>
      </c>
      <c r="C22" s="69" t="s">
        <v>35</v>
      </c>
      <c r="D22" s="70">
        <v>29.2</v>
      </c>
      <c r="E22" s="71">
        <v>30</v>
      </c>
      <c r="F22" s="570">
        <v>1</v>
      </c>
      <c r="G22" s="570"/>
      <c r="H22" s="72">
        <f t="shared" si="2"/>
        <v>0.97333333333333327</v>
      </c>
    </row>
    <row r="23" spans="1:8">
      <c r="A23" s="197" t="s">
        <v>168</v>
      </c>
      <c r="B23" s="77" t="s">
        <v>184</v>
      </c>
      <c r="C23" s="69" t="s">
        <v>159</v>
      </c>
      <c r="D23" s="70">
        <v>52.6</v>
      </c>
      <c r="E23" s="71">
        <v>30</v>
      </c>
      <c r="F23" s="570">
        <v>1</v>
      </c>
      <c r="G23" s="570"/>
      <c r="H23" s="72">
        <f t="shared" si="2"/>
        <v>1.7533333333333334</v>
      </c>
    </row>
    <row r="24" spans="1:8">
      <c r="A24" s="571" t="s">
        <v>162</v>
      </c>
      <c r="B24" s="571"/>
      <c r="C24" s="571"/>
      <c r="D24" s="571"/>
      <c r="E24" s="571"/>
      <c r="F24" s="571"/>
      <c r="G24" s="571"/>
      <c r="H24" s="68">
        <f>SUM(H18:H23)</f>
        <v>6.1016666666666666</v>
      </c>
    </row>
    <row r="25" spans="1:8">
      <c r="A25" s="574"/>
      <c r="B25" s="574"/>
      <c r="C25" s="574"/>
      <c r="D25" s="574"/>
      <c r="E25" s="574"/>
      <c r="F25" s="574"/>
      <c r="G25" s="574"/>
      <c r="H25" s="574"/>
    </row>
    <row r="26" spans="1:8">
      <c r="A26" s="575" t="s">
        <v>169</v>
      </c>
      <c r="B26" s="575"/>
      <c r="C26" s="575"/>
      <c r="D26" s="575"/>
      <c r="E26" s="575"/>
      <c r="F26" s="575"/>
      <c r="G26" s="575"/>
      <c r="H26" s="575"/>
    </row>
    <row r="27" spans="1:8">
      <c r="A27" s="576" t="s">
        <v>56</v>
      </c>
      <c r="B27" s="577" t="s">
        <v>145</v>
      </c>
      <c r="C27" s="578" t="s">
        <v>146</v>
      </c>
      <c r="D27" s="578" t="s">
        <v>147</v>
      </c>
      <c r="E27" s="577" t="s">
        <v>148</v>
      </c>
      <c r="F27" s="573" t="s">
        <v>150</v>
      </c>
      <c r="G27" s="573"/>
      <c r="H27" s="573" t="s">
        <v>151</v>
      </c>
    </row>
    <row r="28" spans="1:8">
      <c r="A28" s="576"/>
      <c r="B28" s="577"/>
      <c r="C28" s="578"/>
      <c r="D28" s="578"/>
      <c r="E28" s="577"/>
      <c r="F28" s="573"/>
      <c r="G28" s="573"/>
      <c r="H28" s="573"/>
    </row>
    <row r="29" spans="1:8" ht="30">
      <c r="A29" s="194" t="s">
        <v>182</v>
      </c>
      <c r="B29" s="81" t="s">
        <v>184</v>
      </c>
      <c r="C29" s="69" t="s">
        <v>35</v>
      </c>
      <c r="D29" s="73">
        <v>4789</v>
      </c>
      <c r="E29" s="71">
        <v>30</v>
      </c>
      <c r="F29" s="570">
        <v>1</v>
      </c>
      <c r="G29" s="570"/>
      <c r="H29" s="75">
        <f>D29*F29/E29</f>
        <v>159.63333333333333</v>
      </c>
    </row>
    <row r="30" spans="1:8" ht="30">
      <c r="A30" s="194" t="s">
        <v>177</v>
      </c>
      <c r="B30" s="81" t="s">
        <v>184</v>
      </c>
      <c r="C30" s="69" t="s">
        <v>35</v>
      </c>
      <c r="D30" s="73">
        <v>36.770000000000003</v>
      </c>
      <c r="E30" s="71">
        <v>30</v>
      </c>
      <c r="F30" s="570">
        <v>1</v>
      </c>
      <c r="G30" s="570"/>
      <c r="H30" s="75">
        <f t="shared" ref="H30:H41" si="3">D30*F30/E30</f>
        <v>1.2256666666666667</v>
      </c>
    </row>
    <row r="31" spans="1:8" ht="30">
      <c r="A31" s="194" t="s">
        <v>181</v>
      </c>
      <c r="B31" s="81" t="s">
        <v>184</v>
      </c>
      <c r="C31" s="76" t="s">
        <v>183</v>
      </c>
      <c r="D31" s="73">
        <v>77.67</v>
      </c>
      <c r="E31" s="71">
        <v>30</v>
      </c>
      <c r="F31" s="570">
        <v>1</v>
      </c>
      <c r="G31" s="570"/>
      <c r="H31" s="75">
        <f t="shared" si="3"/>
        <v>2.589</v>
      </c>
    </row>
    <row r="32" spans="1:8">
      <c r="A32" s="195" t="s">
        <v>180</v>
      </c>
      <c r="B32" s="82" t="s">
        <v>184</v>
      </c>
      <c r="C32" s="69" t="s">
        <v>35</v>
      </c>
      <c r="D32" s="73">
        <v>1052.67</v>
      </c>
      <c r="E32" s="71">
        <v>30</v>
      </c>
      <c r="F32" s="570">
        <v>1</v>
      </c>
      <c r="G32" s="570"/>
      <c r="H32" s="75">
        <f t="shared" si="3"/>
        <v>35.089000000000006</v>
      </c>
    </row>
    <row r="33" spans="1:8">
      <c r="A33" s="195" t="s">
        <v>170</v>
      </c>
      <c r="B33" s="82" t="s">
        <v>184</v>
      </c>
      <c r="C33" s="69" t="s">
        <v>35</v>
      </c>
      <c r="D33" s="73">
        <v>223.88</v>
      </c>
      <c r="E33" s="71">
        <v>30</v>
      </c>
      <c r="F33" s="570">
        <v>2</v>
      </c>
      <c r="G33" s="570"/>
      <c r="H33" s="75">
        <f t="shared" si="3"/>
        <v>14.925333333333333</v>
      </c>
    </row>
    <row r="34" spans="1:8">
      <c r="A34" s="195" t="s">
        <v>164</v>
      </c>
      <c r="B34" s="78" t="s">
        <v>184</v>
      </c>
      <c r="C34" s="69" t="s">
        <v>35</v>
      </c>
      <c r="D34" s="73">
        <v>35.14</v>
      </c>
      <c r="E34" s="71">
        <v>30</v>
      </c>
      <c r="F34" s="570">
        <v>1</v>
      </c>
      <c r="G34" s="570"/>
      <c r="H34" s="75">
        <f t="shared" si="3"/>
        <v>1.1713333333333333</v>
      </c>
    </row>
    <row r="35" spans="1:8">
      <c r="A35" s="195" t="s">
        <v>165</v>
      </c>
      <c r="B35" s="82" t="s">
        <v>184</v>
      </c>
      <c r="C35" s="69" t="s">
        <v>35</v>
      </c>
      <c r="D35" s="73">
        <v>26.97</v>
      </c>
      <c r="E35" s="71">
        <v>30</v>
      </c>
      <c r="F35" s="570">
        <v>1</v>
      </c>
      <c r="G35" s="570"/>
      <c r="H35" s="75">
        <f t="shared" si="3"/>
        <v>0.89899999999999991</v>
      </c>
    </row>
    <row r="36" spans="1:8">
      <c r="A36" s="196" t="s">
        <v>166</v>
      </c>
      <c r="B36" s="82" t="s">
        <v>184</v>
      </c>
      <c r="C36" s="69" t="s">
        <v>35</v>
      </c>
      <c r="D36" s="73">
        <v>21.07</v>
      </c>
      <c r="E36" s="71">
        <v>30</v>
      </c>
      <c r="F36" s="570">
        <v>1</v>
      </c>
      <c r="G36" s="570"/>
      <c r="H36" s="75">
        <f t="shared" si="3"/>
        <v>0.70233333333333337</v>
      </c>
    </row>
    <row r="37" spans="1:8" ht="45">
      <c r="A37" s="194" t="s">
        <v>178</v>
      </c>
      <c r="B37" s="81" t="s">
        <v>184</v>
      </c>
      <c r="C37" s="69" t="s">
        <v>35</v>
      </c>
      <c r="D37" s="73">
        <v>120.5</v>
      </c>
      <c r="E37" s="71">
        <v>30</v>
      </c>
      <c r="F37" s="570">
        <v>1</v>
      </c>
      <c r="G37" s="570"/>
      <c r="H37" s="75">
        <f t="shared" si="3"/>
        <v>4.0166666666666666</v>
      </c>
    </row>
    <row r="38" spans="1:8" ht="45">
      <c r="A38" s="198" t="s">
        <v>171</v>
      </c>
      <c r="B38" s="81" t="s">
        <v>184</v>
      </c>
      <c r="C38" s="69" t="s">
        <v>172</v>
      </c>
      <c r="D38" s="73">
        <v>730</v>
      </c>
      <c r="E38" s="71">
        <v>30</v>
      </c>
      <c r="F38" s="570">
        <v>1</v>
      </c>
      <c r="G38" s="570"/>
      <c r="H38" s="75">
        <f t="shared" si="3"/>
        <v>24.333333333333332</v>
      </c>
    </row>
    <row r="39" spans="1:8" ht="30">
      <c r="A39" s="197" t="s">
        <v>173</v>
      </c>
      <c r="B39" s="80" t="s">
        <v>184</v>
      </c>
      <c r="C39" s="69" t="s">
        <v>35</v>
      </c>
      <c r="D39" s="74">
        <v>298.95</v>
      </c>
      <c r="E39" s="71">
        <v>30</v>
      </c>
      <c r="F39" s="570">
        <v>1</v>
      </c>
      <c r="G39" s="570"/>
      <c r="H39" s="75">
        <f t="shared" si="3"/>
        <v>9.9649999999999999</v>
      </c>
    </row>
    <row r="40" spans="1:8">
      <c r="A40" s="197" t="s">
        <v>167</v>
      </c>
      <c r="B40" s="77" t="s">
        <v>184</v>
      </c>
      <c r="C40" s="69" t="s">
        <v>35</v>
      </c>
      <c r="D40" s="74">
        <v>29.2</v>
      </c>
      <c r="E40" s="71">
        <v>30</v>
      </c>
      <c r="F40" s="570">
        <v>1</v>
      </c>
      <c r="G40" s="570"/>
      <c r="H40" s="75">
        <f t="shared" si="3"/>
        <v>0.97333333333333327</v>
      </c>
    </row>
    <row r="41" spans="1:8">
      <c r="A41" s="199" t="s">
        <v>168</v>
      </c>
      <c r="B41" s="77" t="s">
        <v>184</v>
      </c>
      <c r="C41" s="69" t="s">
        <v>159</v>
      </c>
      <c r="D41" s="74">
        <v>52.6</v>
      </c>
      <c r="E41" s="71">
        <v>30</v>
      </c>
      <c r="F41" s="570">
        <v>1</v>
      </c>
      <c r="G41" s="570"/>
      <c r="H41" s="75">
        <f t="shared" si="3"/>
        <v>1.7533333333333334</v>
      </c>
    </row>
    <row r="42" spans="1:8">
      <c r="A42" s="571" t="s">
        <v>162</v>
      </c>
      <c r="B42" s="571"/>
      <c r="C42" s="571"/>
      <c r="D42" s="571"/>
      <c r="E42" s="571"/>
      <c r="F42" s="571"/>
      <c r="G42" s="571"/>
      <c r="H42" s="47">
        <f>SUM(H29:H41)</f>
        <v>257.2766666666667</v>
      </c>
    </row>
    <row r="43" spans="1:8">
      <c r="A43" s="572" t="s">
        <v>174</v>
      </c>
      <c r="B43" s="572"/>
      <c r="C43" s="572"/>
      <c r="D43" s="572"/>
      <c r="E43" s="572"/>
      <c r="F43" s="572"/>
      <c r="G43" s="572"/>
      <c r="H43" s="572"/>
    </row>
  </sheetData>
  <mergeCells count="51">
    <mergeCell ref="A13:G13"/>
    <mergeCell ref="A14:H14"/>
    <mergeCell ref="A1:H1"/>
    <mergeCell ref="A2:H2"/>
    <mergeCell ref="A3:A4"/>
    <mergeCell ref="B3:B4"/>
    <mergeCell ref="C3:C4"/>
    <mergeCell ref="D3:D4"/>
    <mergeCell ref="E3:E4"/>
    <mergeCell ref="F3:F4"/>
    <mergeCell ref="G3:G4"/>
    <mergeCell ref="H3:H4"/>
    <mergeCell ref="F21:G21"/>
    <mergeCell ref="A15:H15"/>
    <mergeCell ref="A16:A17"/>
    <mergeCell ref="B16:B17"/>
    <mergeCell ref="C16:C17"/>
    <mergeCell ref="D16:D17"/>
    <mergeCell ref="E16:E17"/>
    <mergeCell ref="F16:G17"/>
    <mergeCell ref="H16:H17"/>
    <mergeCell ref="F18:G18"/>
    <mergeCell ref="F19:G19"/>
    <mergeCell ref="F20:G20"/>
    <mergeCell ref="A27:A28"/>
    <mergeCell ref="B27:B28"/>
    <mergeCell ref="C27:C28"/>
    <mergeCell ref="D27:D28"/>
    <mergeCell ref="E27:E28"/>
    <mergeCell ref="F22:G22"/>
    <mergeCell ref="F23:G23"/>
    <mergeCell ref="A24:G24"/>
    <mergeCell ref="A25:H25"/>
    <mergeCell ref="A26:H26"/>
    <mergeCell ref="F38:G38"/>
    <mergeCell ref="F27:G28"/>
    <mergeCell ref="H27:H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9:G39"/>
    <mergeCell ref="F40:G40"/>
    <mergeCell ref="F41:G41"/>
    <mergeCell ref="A42:G42"/>
    <mergeCell ref="A43:H43"/>
  </mergeCells>
  <pageMargins left="0.51181102362204722" right="0.51181102362204722" top="0.78740157480314965" bottom="0.78740157480314965" header="0.31496062992125984" footer="0.31496062992125984"/>
  <pageSetup paperSize="9" scale="60" orientation="portrait" horizontalDpi="300" verticalDpi="300" r:id="rId1"/>
  <headerFooter>
    <oddFooter>&amp;C&amp;A
&amp;F&amp;R&amp;P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</sheetPr>
  <dimension ref="A1:I44"/>
  <sheetViews>
    <sheetView zoomScaleNormal="100" workbookViewId="0">
      <selection activeCell="B16" sqref="B16:D17"/>
    </sheetView>
  </sheetViews>
  <sheetFormatPr defaultRowHeight="12"/>
  <cols>
    <col min="1" max="1" width="13.5703125" style="1" customWidth="1"/>
    <col min="2" max="2" width="13.85546875" style="1" customWidth="1"/>
    <col min="3" max="3" width="23" style="1" customWidth="1"/>
    <col min="4" max="4" width="9.140625" style="1"/>
    <col min="5" max="5" width="12.42578125" style="1" customWidth="1"/>
    <col min="6" max="6" width="9.140625" style="1"/>
    <col min="7" max="7" width="8.85546875" style="1" customWidth="1"/>
    <col min="8" max="8" width="9.140625" style="1"/>
    <col min="9" max="9" width="25.28515625" style="1" customWidth="1"/>
    <col min="10" max="263" width="9.140625" style="1"/>
    <col min="264" max="264" width="12" style="1" customWidth="1"/>
    <col min="265" max="519" width="9.140625" style="1"/>
    <col min="520" max="520" width="12" style="1" customWidth="1"/>
    <col min="521" max="775" width="9.140625" style="1"/>
    <col min="776" max="776" width="12" style="1" customWidth="1"/>
    <col min="777" max="1031" width="9.140625" style="1"/>
    <col min="1032" max="1032" width="12" style="1" customWidth="1"/>
    <col min="1033" max="1287" width="9.140625" style="1"/>
    <col min="1288" max="1288" width="12" style="1" customWidth="1"/>
    <col min="1289" max="1543" width="9.140625" style="1"/>
    <col min="1544" max="1544" width="12" style="1" customWidth="1"/>
    <col min="1545" max="1799" width="9.140625" style="1"/>
    <col min="1800" max="1800" width="12" style="1" customWidth="1"/>
    <col min="1801" max="2055" width="9.140625" style="1"/>
    <col min="2056" max="2056" width="12" style="1" customWidth="1"/>
    <col min="2057" max="2311" width="9.140625" style="1"/>
    <col min="2312" max="2312" width="12" style="1" customWidth="1"/>
    <col min="2313" max="2567" width="9.140625" style="1"/>
    <col min="2568" max="2568" width="12" style="1" customWidth="1"/>
    <col min="2569" max="2823" width="9.140625" style="1"/>
    <col min="2824" max="2824" width="12" style="1" customWidth="1"/>
    <col min="2825" max="3079" width="9.140625" style="1"/>
    <col min="3080" max="3080" width="12" style="1" customWidth="1"/>
    <col min="3081" max="3335" width="9.140625" style="1"/>
    <col min="3336" max="3336" width="12" style="1" customWidth="1"/>
    <col min="3337" max="3591" width="9.140625" style="1"/>
    <col min="3592" max="3592" width="12" style="1" customWidth="1"/>
    <col min="3593" max="3847" width="9.140625" style="1"/>
    <col min="3848" max="3848" width="12" style="1" customWidth="1"/>
    <col min="3849" max="4103" width="9.140625" style="1"/>
    <col min="4104" max="4104" width="12" style="1" customWidth="1"/>
    <col min="4105" max="4359" width="9.140625" style="1"/>
    <col min="4360" max="4360" width="12" style="1" customWidth="1"/>
    <col min="4361" max="4615" width="9.140625" style="1"/>
    <col min="4616" max="4616" width="12" style="1" customWidth="1"/>
    <col min="4617" max="4871" width="9.140625" style="1"/>
    <col min="4872" max="4872" width="12" style="1" customWidth="1"/>
    <col min="4873" max="5127" width="9.140625" style="1"/>
    <col min="5128" max="5128" width="12" style="1" customWidth="1"/>
    <col min="5129" max="5383" width="9.140625" style="1"/>
    <col min="5384" max="5384" width="12" style="1" customWidth="1"/>
    <col min="5385" max="5639" width="9.140625" style="1"/>
    <col min="5640" max="5640" width="12" style="1" customWidth="1"/>
    <col min="5641" max="5895" width="9.140625" style="1"/>
    <col min="5896" max="5896" width="12" style="1" customWidth="1"/>
    <col min="5897" max="6151" width="9.140625" style="1"/>
    <col min="6152" max="6152" width="12" style="1" customWidth="1"/>
    <col min="6153" max="6407" width="9.140625" style="1"/>
    <col min="6408" max="6408" width="12" style="1" customWidth="1"/>
    <col min="6409" max="6663" width="9.140625" style="1"/>
    <col min="6664" max="6664" width="12" style="1" customWidth="1"/>
    <col min="6665" max="6919" width="9.140625" style="1"/>
    <col min="6920" max="6920" width="12" style="1" customWidth="1"/>
    <col min="6921" max="7175" width="9.140625" style="1"/>
    <col min="7176" max="7176" width="12" style="1" customWidth="1"/>
    <col min="7177" max="7431" width="9.140625" style="1"/>
    <col min="7432" max="7432" width="12" style="1" customWidth="1"/>
    <col min="7433" max="7687" width="9.140625" style="1"/>
    <col min="7688" max="7688" width="12" style="1" customWidth="1"/>
    <col min="7689" max="7943" width="9.140625" style="1"/>
    <col min="7944" max="7944" width="12" style="1" customWidth="1"/>
    <col min="7945" max="8199" width="9.140625" style="1"/>
    <col min="8200" max="8200" width="12" style="1" customWidth="1"/>
    <col min="8201" max="8455" width="9.140625" style="1"/>
    <col min="8456" max="8456" width="12" style="1" customWidth="1"/>
    <col min="8457" max="8711" width="9.140625" style="1"/>
    <col min="8712" max="8712" width="12" style="1" customWidth="1"/>
    <col min="8713" max="8967" width="9.140625" style="1"/>
    <col min="8968" max="8968" width="12" style="1" customWidth="1"/>
    <col min="8969" max="9223" width="9.140625" style="1"/>
    <col min="9224" max="9224" width="12" style="1" customWidth="1"/>
    <col min="9225" max="9479" width="9.140625" style="1"/>
    <col min="9480" max="9480" width="12" style="1" customWidth="1"/>
    <col min="9481" max="9735" width="9.140625" style="1"/>
    <col min="9736" max="9736" width="12" style="1" customWidth="1"/>
    <col min="9737" max="9991" width="9.140625" style="1"/>
    <col min="9992" max="9992" width="12" style="1" customWidth="1"/>
    <col min="9993" max="10247" width="9.140625" style="1"/>
    <col min="10248" max="10248" width="12" style="1" customWidth="1"/>
    <col min="10249" max="10503" width="9.140625" style="1"/>
    <col min="10504" max="10504" width="12" style="1" customWidth="1"/>
    <col min="10505" max="10759" width="9.140625" style="1"/>
    <col min="10760" max="10760" width="12" style="1" customWidth="1"/>
    <col min="10761" max="11015" width="9.140625" style="1"/>
    <col min="11016" max="11016" width="12" style="1" customWidth="1"/>
    <col min="11017" max="11271" width="9.140625" style="1"/>
    <col min="11272" max="11272" width="12" style="1" customWidth="1"/>
    <col min="11273" max="11527" width="9.140625" style="1"/>
    <col min="11528" max="11528" width="12" style="1" customWidth="1"/>
    <col min="11529" max="11783" width="9.140625" style="1"/>
    <col min="11784" max="11784" width="12" style="1" customWidth="1"/>
    <col min="11785" max="12039" width="9.140625" style="1"/>
    <col min="12040" max="12040" width="12" style="1" customWidth="1"/>
    <col min="12041" max="12295" width="9.140625" style="1"/>
    <col min="12296" max="12296" width="12" style="1" customWidth="1"/>
    <col min="12297" max="12551" width="9.140625" style="1"/>
    <col min="12552" max="12552" width="12" style="1" customWidth="1"/>
    <col min="12553" max="12807" width="9.140625" style="1"/>
    <col min="12808" max="12808" width="12" style="1" customWidth="1"/>
    <col min="12809" max="13063" width="9.140625" style="1"/>
    <col min="13064" max="13064" width="12" style="1" customWidth="1"/>
    <col min="13065" max="13319" width="9.140625" style="1"/>
    <col min="13320" max="13320" width="12" style="1" customWidth="1"/>
    <col min="13321" max="13575" width="9.140625" style="1"/>
    <col min="13576" max="13576" width="12" style="1" customWidth="1"/>
    <col min="13577" max="13831" width="9.140625" style="1"/>
    <col min="13832" max="13832" width="12" style="1" customWidth="1"/>
    <col min="13833" max="14087" width="9.140625" style="1"/>
    <col min="14088" max="14088" width="12" style="1" customWidth="1"/>
    <col min="14089" max="14343" width="9.140625" style="1"/>
    <col min="14344" max="14344" width="12" style="1" customWidth="1"/>
    <col min="14345" max="14599" width="9.140625" style="1"/>
    <col min="14600" max="14600" width="12" style="1" customWidth="1"/>
    <col min="14601" max="14855" width="9.140625" style="1"/>
    <col min="14856" max="14856" width="12" style="1" customWidth="1"/>
    <col min="14857" max="15111" width="9.140625" style="1"/>
    <col min="15112" max="15112" width="12" style="1" customWidth="1"/>
    <col min="15113" max="15367" width="9.140625" style="1"/>
    <col min="15368" max="15368" width="12" style="1" customWidth="1"/>
    <col min="15369" max="15623" width="9.140625" style="1"/>
    <col min="15624" max="15624" width="12" style="1" customWidth="1"/>
    <col min="15625" max="15879" width="9.140625" style="1"/>
    <col min="15880" max="15880" width="12" style="1" customWidth="1"/>
    <col min="15881" max="16135" width="9.140625" style="1"/>
    <col min="16136" max="16136" width="12" style="1" customWidth="1"/>
    <col min="16137" max="16384" width="9.140625" style="1"/>
  </cols>
  <sheetData>
    <row r="1" spans="1:9" ht="12.75">
      <c r="A1" s="608" t="s">
        <v>59</v>
      </c>
      <c r="B1" s="608"/>
      <c r="C1" s="608"/>
      <c r="D1" s="608"/>
      <c r="E1" s="608"/>
      <c r="F1" s="608"/>
      <c r="G1" s="608"/>
      <c r="H1" s="608"/>
      <c r="I1" s="608"/>
    </row>
    <row r="2" spans="1:9" ht="12.75">
      <c r="A2" s="592"/>
      <c r="B2" s="593"/>
      <c r="C2" s="593"/>
      <c r="D2" s="593"/>
      <c r="E2" s="593"/>
      <c r="F2" s="593"/>
      <c r="G2" s="593"/>
      <c r="H2" s="593"/>
      <c r="I2" s="594"/>
    </row>
    <row r="3" spans="1:9" ht="12.75">
      <c r="A3" s="609" t="s">
        <v>359</v>
      </c>
      <c r="B3" s="609"/>
      <c r="C3" s="609"/>
      <c r="D3" s="609"/>
      <c r="E3" s="609"/>
      <c r="F3" s="609"/>
      <c r="G3" s="609"/>
      <c r="H3" s="609"/>
      <c r="I3" s="609"/>
    </row>
    <row r="4" spans="1:9" ht="12.75">
      <c r="A4" s="120"/>
      <c r="B4" s="120"/>
      <c r="C4" s="120"/>
      <c r="D4" s="120"/>
      <c r="E4" s="120"/>
      <c r="F4" s="120"/>
      <c r="G4" s="120"/>
      <c r="H4" s="120"/>
      <c r="I4" s="120"/>
    </row>
    <row r="5" spans="1:9" ht="44.25" customHeight="1">
      <c r="A5" s="610" t="s">
        <v>282</v>
      </c>
      <c r="B5" s="610"/>
      <c r="C5" s="610"/>
      <c r="D5" s="610" t="s">
        <v>316</v>
      </c>
      <c r="E5" s="610"/>
      <c r="F5" s="610" t="s">
        <v>283</v>
      </c>
      <c r="G5" s="610"/>
      <c r="H5" s="610" t="s">
        <v>317</v>
      </c>
      <c r="I5" s="610"/>
    </row>
    <row r="6" spans="1:9" ht="30.75" customHeight="1">
      <c r="A6" s="121" t="s">
        <v>284</v>
      </c>
      <c r="B6" s="601" t="s">
        <v>344</v>
      </c>
      <c r="C6" s="602"/>
      <c r="D6" s="596">
        <f>'SR. DIURNO DESARMADO 12X36'!G177</f>
        <v>11374.917000000001</v>
      </c>
      <c r="E6" s="597"/>
      <c r="F6" s="598">
        <f>'SR. DIURNO DESARMADO 12X36'!F16</f>
        <v>1</v>
      </c>
      <c r="G6" s="599"/>
      <c r="H6" s="596">
        <f>D6*F6</f>
        <v>11374.917000000001</v>
      </c>
      <c r="I6" s="597"/>
    </row>
    <row r="7" spans="1:9" ht="39" customHeight="1">
      <c r="A7" s="121" t="s">
        <v>285</v>
      </c>
      <c r="B7" s="601" t="s">
        <v>345</v>
      </c>
      <c r="C7" s="602"/>
      <c r="D7" s="596">
        <f>'SR. NOTURNO ARMADO 12x36'!G179</f>
        <v>13415.691999999999</v>
      </c>
      <c r="E7" s="597"/>
      <c r="F7" s="598">
        <f>'SR. NOTURNO ARMADO 12x36'!F16</f>
        <v>1</v>
      </c>
      <c r="G7" s="599"/>
      <c r="H7" s="596">
        <f>D7*F7</f>
        <v>13415.691999999999</v>
      </c>
      <c r="I7" s="597"/>
    </row>
    <row r="8" spans="1:9" ht="12.75">
      <c r="A8" s="595" t="s">
        <v>361</v>
      </c>
      <c r="B8" s="595"/>
      <c r="C8" s="595"/>
      <c r="D8" s="595"/>
      <c r="E8" s="595"/>
      <c r="F8" s="595"/>
      <c r="G8" s="595"/>
      <c r="H8" s="606">
        <f>SUM(H6:H7)</f>
        <v>24790.609</v>
      </c>
      <c r="I8" s="606"/>
    </row>
    <row r="9" spans="1:9" ht="29.25" customHeight="1">
      <c r="A9" s="122"/>
      <c r="B9" s="122"/>
      <c r="C9" s="122"/>
      <c r="D9" s="123"/>
      <c r="E9" s="123"/>
      <c r="F9" s="122"/>
      <c r="G9" s="122"/>
      <c r="H9" s="123"/>
      <c r="I9" s="124"/>
    </row>
    <row r="10" spans="1:9" ht="19.5" customHeight="1">
      <c r="A10" s="607" t="s">
        <v>360</v>
      </c>
      <c r="B10" s="607"/>
      <c r="C10" s="607"/>
      <c r="D10" s="607"/>
      <c r="E10" s="607"/>
      <c r="F10" s="607"/>
      <c r="G10" s="607"/>
      <c r="H10" s="607"/>
      <c r="I10" s="607"/>
    </row>
    <row r="11" spans="1:9" ht="19.5" customHeight="1">
      <c r="A11" s="595" t="s">
        <v>118</v>
      </c>
      <c r="B11" s="595"/>
      <c r="C11" s="595"/>
      <c r="D11" s="595"/>
      <c r="E11" s="595"/>
      <c r="F11" s="595"/>
      <c r="G11" s="595"/>
      <c r="H11" s="595"/>
      <c r="I11" s="125" t="s">
        <v>18</v>
      </c>
    </row>
    <row r="12" spans="1:9" ht="19.5" customHeight="1">
      <c r="A12" s="600" t="s">
        <v>8</v>
      </c>
      <c r="B12" s="604" t="s">
        <v>291</v>
      </c>
      <c r="C12" s="604"/>
      <c r="D12" s="604"/>
      <c r="E12" s="603" t="s">
        <v>292</v>
      </c>
      <c r="F12" s="603"/>
      <c r="G12" s="603"/>
      <c r="H12" s="603"/>
      <c r="I12" s="126">
        <f>H6</f>
        <v>11374.917000000001</v>
      </c>
    </row>
    <row r="13" spans="1:9" ht="19.5" customHeight="1">
      <c r="A13" s="600"/>
      <c r="B13" s="604"/>
      <c r="C13" s="604"/>
      <c r="D13" s="604"/>
      <c r="E13" s="603" t="s">
        <v>293</v>
      </c>
      <c r="F13" s="603"/>
      <c r="G13" s="603"/>
      <c r="H13" s="603"/>
      <c r="I13" s="126">
        <f>H7</f>
        <v>13415.691999999999</v>
      </c>
    </row>
    <row r="14" spans="1:9" ht="20.25" customHeight="1">
      <c r="A14" s="127" t="s">
        <v>10</v>
      </c>
      <c r="B14" s="605" t="s">
        <v>294</v>
      </c>
      <c r="C14" s="605"/>
      <c r="D14" s="605"/>
      <c r="E14" s="605"/>
      <c r="F14" s="605"/>
      <c r="G14" s="605"/>
      <c r="H14" s="605"/>
      <c r="I14" s="128">
        <f>SUM(I12:I13)</f>
        <v>24790.609</v>
      </c>
    </row>
    <row r="15" spans="1:9" ht="20.25" customHeight="1">
      <c r="A15" s="127" t="s">
        <v>12</v>
      </c>
      <c r="B15" s="600" t="s">
        <v>295</v>
      </c>
      <c r="C15" s="600"/>
      <c r="D15" s="600"/>
      <c r="E15" s="600"/>
      <c r="F15" s="600"/>
      <c r="G15" s="600"/>
      <c r="H15" s="600"/>
      <c r="I15" s="129">
        <f>'SR. DIURNO DESARMADO 12X36'!G13</f>
        <v>30</v>
      </c>
    </row>
    <row r="16" spans="1:9" ht="27" customHeight="1">
      <c r="A16" s="590" t="s">
        <v>13</v>
      </c>
      <c r="B16" s="622" t="s">
        <v>362</v>
      </c>
      <c r="C16" s="623"/>
      <c r="D16" s="624"/>
      <c r="E16" s="611" t="s">
        <v>340</v>
      </c>
      <c r="F16" s="612"/>
      <c r="G16" s="612"/>
      <c r="H16" s="613"/>
      <c r="I16" s="356">
        <f>D6*I15</f>
        <v>341247.51</v>
      </c>
    </row>
    <row r="17" spans="1:9" ht="28.5" customHeight="1">
      <c r="A17" s="591"/>
      <c r="B17" s="625"/>
      <c r="C17" s="626"/>
      <c r="D17" s="627"/>
      <c r="E17" s="611" t="s">
        <v>364</v>
      </c>
      <c r="F17" s="612"/>
      <c r="G17" s="612"/>
      <c r="H17" s="613"/>
      <c r="I17" s="356">
        <f>D7*I15</f>
        <v>402470.75999999995</v>
      </c>
    </row>
    <row r="18" spans="1:9" ht="30" customHeight="1">
      <c r="A18" s="590" t="s">
        <v>22</v>
      </c>
      <c r="B18" s="584" t="s">
        <v>363</v>
      </c>
      <c r="C18" s="585"/>
      <c r="D18" s="586"/>
      <c r="E18" s="601" t="s">
        <v>340</v>
      </c>
      <c r="F18" s="614"/>
      <c r="G18" s="614"/>
      <c r="H18" s="602"/>
      <c r="I18" s="355">
        <f>I16*F6</f>
        <v>341247.51</v>
      </c>
    </row>
    <row r="19" spans="1:9" ht="28.5" customHeight="1">
      <c r="A19" s="591"/>
      <c r="B19" s="587"/>
      <c r="C19" s="588"/>
      <c r="D19" s="589"/>
      <c r="E19" s="601" t="s">
        <v>364</v>
      </c>
      <c r="F19" s="614"/>
      <c r="G19" s="614"/>
      <c r="H19" s="602"/>
      <c r="I19" s="355">
        <f>I17*F7</f>
        <v>402470.75999999995</v>
      </c>
    </row>
    <row r="20" spans="1:9" ht="22.5" customHeight="1">
      <c r="A20" s="127" t="s">
        <v>23</v>
      </c>
      <c r="B20" s="605" t="s">
        <v>296</v>
      </c>
      <c r="C20" s="605"/>
      <c r="D20" s="605"/>
      <c r="E20" s="605"/>
      <c r="F20" s="605"/>
      <c r="G20" s="605"/>
      <c r="H20" s="605"/>
      <c r="I20" s="130">
        <f>SUM(I18:I19)</f>
        <v>743718.27</v>
      </c>
    </row>
    <row r="21" spans="1:9" ht="12.75">
      <c r="A21" s="131"/>
      <c r="B21" s="131"/>
      <c r="C21" s="131"/>
      <c r="D21" s="132"/>
      <c r="E21" s="132"/>
      <c r="F21" s="133"/>
      <c r="G21" s="133"/>
      <c r="H21" s="132"/>
      <c r="I21" s="132"/>
    </row>
    <row r="22" spans="1:9" ht="12.75">
      <c r="A22" s="621" t="s">
        <v>60</v>
      </c>
      <c r="B22" s="621"/>
      <c r="C22" s="621"/>
      <c r="D22" s="621"/>
      <c r="E22" s="621"/>
      <c r="F22" s="621"/>
      <c r="G22" s="621"/>
      <c r="H22" s="621"/>
      <c r="I22" s="621"/>
    </row>
    <row r="23" spans="1:9" ht="12.75">
      <c r="A23" s="134"/>
      <c r="B23" s="134"/>
      <c r="C23" s="134"/>
      <c r="D23" s="134"/>
      <c r="E23" s="134"/>
      <c r="F23" s="134"/>
      <c r="G23" s="134"/>
      <c r="H23" s="134"/>
      <c r="I23" s="134"/>
    </row>
    <row r="24" spans="1:9" ht="12.75">
      <c r="A24" s="618" t="s">
        <v>297</v>
      </c>
      <c r="B24" s="618"/>
      <c r="C24" s="618"/>
      <c r="D24" s="618"/>
      <c r="E24" s="618"/>
      <c r="F24" s="618"/>
      <c r="G24" s="618"/>
      <c r="H24" s="618"/>
      <c r="I24" s="618"/>
    </row>
    <row r="25" spans="1:9" ht="12.75">
      <c r="A25" s="134"/>
      <c r="B25" s="134"/>
      <c r="C25" s="134"/>
      <c r="D25" s="134"/>
      <c r="E25" s="134"/>
      <c r="F25" s="134"/>
      <c r="G25" s="134"/>
      <c r="H25" s="134"/>
      <c r="I25" s="134"/>
    </row>
    <row r="26" spans="1:9" ht="32.25" customHeight="1">
      <c r="A26" s="616" t="s">
        <v>61</v>
      </c>
      <c r="B26" s="616"/>
      <c r="C26" s="616"/>
      <c r="D26" s="616"/>
      <c r="E26" s="616"/>
      <c r="F26" s="616"/>
      <c r="G26" s="616"/>
      <c r="H26" s="616"/>
      <c r="I26" s="616"/>
    </row>
    <row r="27" spans="1:9" ht="12.75">
      <c r="A27" s="134"/>
      <c r="B27" s="134"/>
      <c r="C27" s="134"/>
      <c r="D27" s="134"/>
      <c r="E27" s="134"/>
      <c r="F27" s="134"/>
      <c r="G27" s="134"/>
      <c r="H27" s="134"/>
      <c r="I27" s="134"/>
    </row>
    <row r="28" spans="1:9" ht="17.25" customHeight="1">
      <c r="A28" s="617" t="s">
        <v>62</v>
      </c>
      <c r="B28" s="617"/>
      <c r="C28" s="617"/>
      <c r="D28" s="617"/>
      <c r="E28" s="617"/>
      <c r="F28" s="617"/>
      <c r="G28" s="617"/>
      <c r="H28" s="617"/>
      <c r="I28" s="617"/>
    </row>
    <row r="29" spans="1:9" ht="12.75">
      <c r="A29" s="134"/>
      <c r="B29" s="134"/>
      <c r="C29" s="134"/>
      <c r="D29" s="134"/>
      <c r="E29" s="134"/>
      <c r="F29" s="134"/>
      <c r="G29" s="134"/>
      <c r="H29" s="134"/>
      <c r="I29" s="134"/>
    </row>
    <row r="30" spans="1:9" ht="27.75" customHeight="1">
      <c r="A30" s="617" t="s">
        <v>63</v>
      </c>
      <c r="B30" s="617"/>
      <c r="C30" s="617"/>
      <c r="D30" s="617"/>
      <c r="E30" s="617"/>
      <c r="F30" s="617"/>
      <c r="G30" s="617"/>
      <c r="H30" s="617"/>
      <c r="I30" s="617"/>
    </row>
    <row r="31" spans="1:9" ht="12.75">
      <c r="A31" s="134"/>
      <c r="B31" s="134"/>
      <c r="C31" s="134"/>
      <c r="D31" s="134"/>
      <c r="E31" s="134"/>
      <c r="F31" s="134"/>
      <c r="G31" s="134"/>
      <c r="H31" s="134"/>
      <c r="I31" s="134"/>
    </row>
    <row r="32" spans="1:9" ht="16.5" customHeight="1">
      <c r="A32" s="618" t="s">
        <v>64</v>
      </c>
      <c r="B32" s="618"/>
      <c r="C32" s="618"/>
      <c r="D32" s="618"/>
      <c r="E32" s="618"/>
      <c r="F32" s="618"/>
      <c r="G32" s="618"/>
      <c r="H32" s="618"/>
      <c r="I32" s="618"/>
    </row>
    <row r="33" spans="1:9" ht="12.75">
      <c r="A33" s="134"/>
      <c r="B33" s="134"/>
      <c r="C33" s="134"/>
      <c r="D33" s="134"/>
      <c r="E33" s="134"/>
      <c r="F33" s="134"/>
      <c r="G33" s="134"/>
      <c r="H33" s="134"/>
      <c r="I33" s="134"/>
    </row>
    <row r="34" spans="1:9" ht="12.75">
      <c r="A34" s="134" t="s">
        <v>65</v>
      </c>
      <c r="B34" s="134"/>
      <c r="C34" s="134"/>
      <c r="D34" s="134"/>
      <c r="E34" s="134"/>
      <c r="F34" s="134"/>
      <c r="G34" s="134"/>
      <c r="H34" s="134"/>
      <c r="I34" s="134"/>
    </row>
    <row r="35" spans="1:9" ht="12.75">
      <c r="A35" s="134"/>
      <c r="B35" s="134"/>
      <c r="C35" s="134"/>
      <c r="D35" s="134"/>
      <c r="E35" s="134"/>
      <c r="F35" s="134"/>
      <c r="G35" s="134"/>
      <c r="H35" s="134"/>
      <c r="I35" s="134"/>
    </row>
    <row r="36" spans="1:9" ht="12.75">
      <c r="A36" s="619" t="s">
        <v>298</v>
      </c>
      <c r="B36" s="619"/>
      <c r="C36" s="620"/>
      <c r="D36" s="620"/>
      <c r="E36" s="620"/>
      <c r="F36" s="620"/>
      <c r="G36" s="620"/>
      <c r="H36" s="620"/>
      <c r="I36" s="620"/>
    </row>
    <row r="37" spans="1:9">
      <c r="A37" s="2"/>
      <c r="B37" s="2"/>
      <c r="C37" s="2"/>
      <c r="D37" s="2"/>
      <c r="E37" s="2"/>
      <c r="F37" s="2"/>
    </row>
    <row r="39" spans="1:9">
      <c r="A39" s="615" t="s">
        <v>66</v>
      </c>
      <c r="B39" s="615"/>
      <c r="C39" s="615"/>
      <c r="D39" s="615"/>
      <c r="E39" s="615"/>
      <c r="F39" s="615"/>
    </row>
    <row r="40" spans="1:9">
      <c r="A40" s="615"/>
      <c r="B40" s="615"/>
      <c r="C40" s="615"/>
      <c r="D40" s="615"/>
      <c r="E40" s="615"/>
      <c r="F40" s="615"/>
    </row>
    <row r="41" spans="1:9">
      <c r="A41" s="615"/>
      <c r="B41" s="615"/>
      <c r="C41" s="615"/>
      <c r="D41" s="615"/>
      <c r="E41" s="615"/>
      <c r="F41" s="615"/>
    </row>
    <row r="42" spans="1:9">
      <c r="A42" s="615"/>
      <c r="B42" s="615"/>
      <c r="C42" s="615"/>
      <c r="D42" s="615"/>
      <c r="E42" s="615"/>
      <c r="F42" s="615"/>
    </row>
    <row r="43" spans="1:9">
      <c r="A43" s="615"/>
      <c r="B43" s="615"/>
      <c r="C43" s="615"/>
      <c r="D43" s="615"/>
      <c r="E43" s="615"/>
      <c r="F43" s="615"/>
    </row>
    <row r="44" spans="1:9">
      <c r="A44" s="615"/>
      <c r="B44" s="615"/>
      <c r="C44" s="615"/>
      <c r="D44" s="615"/>
      <c r="E44" s="615"/>
      <c r="F44" s="615"/>
    </row>
  </sheetData>
  <mergeCells count="44">
    <mergeCell ref="E16:H16"/>
    <mergeCell ref="E17:H17"/>
    <mergeCell ref="E18:H18"/>
    <mergeCell ref="E19:H19"/>
    <mergeCell ref="A39:F44"/>
    <mergeCell ref="A26:I26"/>
    <mergeCell ref="A28:I28"/>
    <mergeCell ref="A30:I30"/>
    <mergeCell ref="A32:I32"/>
    <mergeCell ref="A36:B36"/>
    <mergeCell ref="C36:G36"/>
    <mergeCell ref="H36:I36"/>
    <mergeCell ref="B20:H20"/>
    <mergeCell ref="A22:I22"/>
    <mergeCell ref="A24:I24"/>
    <mergeCell ref="B16:D17"/>
    <mergeCell ref="H6:I6"/>
    <mergeCell ref="A1:I1"/>
    <mergeCell ref="A3:I3"/>
    <mergeCell ref="A5:C5"/>
    <mergeCell ref="D5:E5"/>
    <mergeCell ref="F5:G5"/>
    <mergeCell ref="H5:I5"/>
    <mergeCell ref="B14:H14"/>
    <mergeCell ref="H7:I7"/>
    <mergeCell ref="A8:G8"/>
    <mergeCell ref="H8:I8"/>
    <mergeCell ref="A10:I10"/>
    <mergeCell ref="B18:D19"/>
    <mergeCell ref="A16:A17"/>
    <mergeCell ref="A18:A19"/>
    <mergeCell ref="A2:I2"/>
    <mergeCell ref="A11:H11"/>
    <mergeCell ref="D7:E7"/>
    <mergeCell ref="F7:G7"/>
    <mergeCell ref="B15:H15"/>
    <mergeCell ref="B6:C6"/>
    <mergeCell ref="B7:C7"/>
    <mergeCell ref="E12:H12"/>
    <mergeCell ref="E13:H13"/>
    <mergeCell ref="B12:D13"/>
    <mergeCell ref="D6:E6"/>
    <mergeCell ref="F6:G6"/>
    <mergeCell ref="A12:A13"/>
  </mergeCells>
  <pageMargins left="0.51181102362204722" right="0.51181102362204722" top="0.78740157480314965" bottom="0.78740157480314965" header="0.31496062992125984" footer="0.31496062992125984"/>
  <pageSetup paperSize="9" scale="74" orientation="portrait" r:id="rId1"/>
  <headerFooter>
    <oddFooter>&amp;C&amp;A
&amp;F&amp;R&amp;P de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1"/>
  <sheetViews>
    <sheetView tabSelected="1" zoomScaleNormal="100" workbookViewId="0">
      <selection activeCell="R14" sqref="R14"/>
    </sheetView>
  </sheetViews>
  <sheetFormatPr defaultRowHeight="15"/>
  <cols>
    <col min="2" max="2" width="44.5703125" customWidth="1"/>
    <col min="10" max="10" width="18.5703125" customWidth="1"/>
  </cols>
  <sheetData>
    <row r="1" spans="1:10" ht="15.75">
      <c r="A1" s="635" t="s">
        <v>215</v>
      </c>
      <c r="B1" s="635"/>
      <c r="C1" s="635"/>
      <c r="D1" s="635"/>
      <c r="E1" s="635"/>
      <c r="F1" s="635"/>
      <c r="G1" s="635"/>
      <c r="H1" s="635"/>
      <c r="I1" s="635"/>
      <c r="J1" s="635"/>
    </row>
    <row r="2" spans="1:10">
      <c r="A2" s="633" t="s">
        <v>348</v>
      </c>
      <c r="B2" s="633"/>
      <c r="C2" s="633"/>
      <c r="D2" s="633"/>
      <c r="E2" s="633"/>
      <c r="F2" s="633"/>
      <c r="G2" s="633"/>
      <c r="H2" s="633"/>
      <c r="I2" s="633"/>
      <c r="J2" s="633"/>
    </row>
    <row r="3" spans="1:10">
      <c r="A3" s="633" t="s">
        <v>349</v>
      </c>
      <c r="B3" s="633"/>
      <c r="C3" s="633"/>
      <c r="D3" s="633"/>
      <c r="E3" s="633"/>
      <c r="F3" s="633"/>
      <c r="G3" s="633"/>
      <c r="H3" s="633"/>
      <c r="I3" s="633"/>
      <c r="J3" s="633"/>
    </row>
    <row r="4" spans="1:10">
      <c r="A4" s="633" t="s">
        <v>350</v>
      </c>
      <c r="B4" s="633"/>
      <c r="C4" s="633"/>
      <c r="D4" s="633"/>
      <c r="E4" s="633"/>
      <c r="F4" s="633"/>
      <c r="G4" s="633"/>
      <c r="H4" s="633"/>
      <c r="I4" s="633"/>
      <c r="J4" s="633"/>
    </row>
    <row r="5" spans="1:10">
      <c r="A5" s="633" t="s">
        <v>351</v>
      </c>
      <c r="B5" s="633"/>
      <c r="C5" s="633"/>
      <c r="D5" s="633"/>
      <c r="E5" s="633"/>
      <c r="F5" s="633"/>
      <c r="G5" s="633"/>
      <c r="H5" s="633"/>
      <c r="I5" s="633"/>
      <c r="J5" s="633"/>
    </row>
    <row r="6" spans="1:10">
      <c r="A6" s="633" t="s">
        <v>216</v>
      </c>
      <c r="B6" s="633"/>
      <c r="C6" s="633"/>
      <c r="D6" s="633"/>
      <c r="E6" s="633"/>
      <c r="F6" s="633"/>
      <c r="G6" s="633"/>
      <c r="H6" s="633"/>
      <c r="I6" s="633"/>
      <c r="J6" s="633"/>
    </row>
    <row r="7" spans="1:10">
      <c r="A7" s="633" t="s">
        <v>352</v>
      </c>
      <c r="B7" s="633"/>
      <c r="C7" s="633"/>
      <c r="D7" s="633"/>
      <c r="E7" s="633"/>
      <c r="F7" s="633"/>
      <c r="G7" s="633"/>
      <c r="H7" s="633"/>
      <c r="I7" s="633"/>
      <c r="J7" s="633"/>
    </row>
    <row r="8" spans="1:10">
      <c r="A8" s="633" t="s">
        <v>353</v>
      </c>
      <c r="B8" s="633"/>
      <c r="C8" s="633"/>
      <c r="D8" s="633"/>
      <c r="E8" s="633"/>
      <c r="F8" s="633"/>
      <c r="G8" s="633"/>
      <c r="H8" s="633"/>
      <c r="I8" s="633"/>
      <c r="J8" s="633"/>
    </row>
    <row r="9" spans="1:10">
      <c r="A9" s="633" t="s">
        <v>354</v>
      </c>
      <c r="B9" s="633"/>
      <c r="C9" s="633"/>
      <c r="D9" s="633"/>
      <c r="E9" s="633"/>
      <c r="F9" s="633"/>
      <c r="G9" s="633"/>
      <c r="H9" s="633"/>
      <c r="I9" s="633"/>
      <c r="J9" s="633"/>
    </row>
    <row r="10" spans="1:10">
      <c r="A10" s="633" t="s">
        <v>355</v>
      </c>
      <c r="B10" s="633"/>
      <c r="C10" s="633"/>
      <c r="D10" s="633"/>
      <c r="E10" s="633"/>
      <c r="F10" s="633"/>
      <c r="G10" s="633"/>
      <c r="H10" s="633"/>
      <c r="I10" s="633"/>
      <c r="J10" s="633"/>
    </row>
    <row r="11" spans="1:10">
      <c r="A11" s="633" t="s">
        <v>356</v>
      </c>
      <c r="B11" s="633"/>
      <c r="C11" s="633"/>
      <c r="D11" s="633"/>
      <c r="E11" s="633"/>
      <c r="F11" s="633"/>
      <c r="G11" s="633"/>
      <c r="H11" s="633"/>
      <c r="I11" s="633"/>
      <c r="J11" s="633"/>
    </row>
    <row r="12" spans="1:10">
      <c r="A12" s="215"/>
      <c r="B12" s="215"/>
      <c r="C12" s="215"/>
      <c r="D12" s="215"/>
      <c r="E12" s="215"/>
      <c r="F12" s="215"/>
      <c r="G12" s="215"/>
      <c r="H12" s="215"/>
      <c r="I12" s="215"/>
      <c r="J12" s="215"/>
    </row>
    <row r="13" spans="1:10" ht="15" customHeight="1">
      <c r="A13" s="629" t="s">
        <v>269</v>
      </c>
      <c r="B13" s="629"/>
      <c r="C13" s="629"/>
      <c r="D13" s="629"/>
      <c r="E13" s="629"/>
      <c r="F13" s="629"/>
      <c r="G13" s="629"/>
      <c r="H13" s="629"/>
      <c r="I13" s="629"/>
      <c r="J13" s="629"/>
    </row>
    <row r="14" spans="1:10" ht="15" customHeight="1">
      <c r="A14" s="630">
        <v>1</v>
      </c>
      <c r="B14" s="631" t="s">
        <v>373</v>
      </c>
      <c r="C14" s="632" t="s">
        <v>336</v>
      </c>
      <c r="D14" s="632"/>
      <c r="E14" s="632"/>
      <c r="F14" s="632"/>
      <c r="G14" s="632"/>
      <c r="H14" s="632"/>
      <c r="I14" s="632"/>
      <c r="J14" s="632"/>
    </row>
    <row r="15" spans="1:10">
      <c r="A15" s="630"/>
      <c r="B15" s="631"/>
      <c r="C15" s="632"/>
      <c r="D15" s="632"/>
      <c r="E15" s="632"/>
      <c r="F15" s="632"/>
      <c r="G15" s="632"/>
      <c r="H15" s="632"/>
      <c r="I15" s="632"/>
      <c r="J15" s="632"/>
    </row>
    <row r="16" spans="1:10">
      <c r="A16" s="634"/>
      <c r="B16" s="634"/>
      <c r="C16" s="634"/>
      <c r="D16" s="634"/>
      <c r="E16" s="634"/>
      <c r="F16" s="634"/>
      <c r="G16" s="634"/>
      <c r="H16" s="634"/>
      <c r="I16" s="634"/>
      <c r="J16" s="634"/>
    </row>
    <row r="17" spans="1:10">
      <c r="A17" s="628" t="s">
        <v>279</v>
      </c>
      <c r="B17" s="628"/>
      <c r="C17" s="628"/>
      <c r="D17" s="628"/>
      <c r="E17" s="628"/>
      <c r="F17" s="628"/>
      <c r="G17" s="628"/>
      <c r="H17" s="628"/>
      <c r="I17" s="628"/>
      <c r="J17" s="628"/>
    </row>
    <row r="18" spans="1:10" ht="93" customHeight="1">
      <c r="A18" s="214">
        <v>1</v>
      </c>
      <c r="B18" s="214" t="s">
        <v>19</v>
      </c>
      <c r="C18" s="636" t="s">
        <v>276</v>
      </c>
      <c r="D18" s="636"/>
      <c r="E18" s="636"/>
      <c r="F18" s="636"/>
      <c r="G18" s="636"/>
      <c r="H18" s="636"/>
      <c r="I18" s="636"/>
      <c r="J18" s="636"/>
    </row>
    <row r="19" spans="1:10" ht="15" customHeight="1">
      <c r="A19" s="630">
        <v>2</v>
      </c>
      <c r="B19" s="634" t="s">
        <v>217</v>
      </c>
      <c r="C19" s="636" t="s">
        <v>272</v>
      </c>
      <c r="D19" s="636"/>
      <c r="E19" s="636"/>
      <c r="F19" s="636"/>
      <c r="G19" s="636"/>
      <c r="H19" s="636"/>
      <c r="I19" s="636"/>
      <c r="J19" s="636"/>
    </row>
    <row r="20" spans="1:10">
      <c r="A20" s="630"/>
      <c r="B20" s="634"/>
      <c r="C20" s="636"/>
      <c r="D20" s="636"/>
      <c r="E20" s="636"/>
      <c r="F20" s="636"/>
      <c r="G20" s="636"/>
      <c r="H20" s="636"/>
      <c r="I20" s="636"/>
      <c r="J20" s="636"/>
    </row>
    <row r="21" spans="1:10">
      <c r="A21" s="630"/>
      <c r="B21" s="634"/>
      <c r="C21" s="636"/>
      <c r="D21" s="636"/>
      <c r="E21" s="636"/>
      <c r="F21" s="636"/>
      <c r="G21" s="636"/>
      <c r="H21" s="636"/>
      <c r="I21" s="636"/>
      <c r="J21" s="636"/>
    </row>
    <row r="22" spans="1:10">
      <c r="A22" s="630"/>
      <c r="B22" s="634"/>
      <c r="C22" s="636"/>
      <c r="D22" s="636"/>
      <c r="E22" s="636"/>
      <c r="F22" s="636"/>
      <c r="G22" s="636"/>
      <c r="H22" s="636"/>
      <c r="I22" s="636"/>
      <c r="J22" s="636"/>
    </row>
    <row r="23" spans="1:10" ht="15" customHeight="1">
      <c r="A23" s="634">
        <v>3</v>
      </c>
      <c r="B23" s="630" t="s">
        <v>218</v>
      </c>
      <c r="C23" s="637" t="s">
        <v>274</v>
      </c>
      <c r="D23" s="637"/>
      <c r="E23" s="637"/>
      <c r="F23" s="637"/>
      <c r="G23" s="637"/>
      <c r="H23" s="637"/>
      <c r="I23" s="637"/>
      <c r="J23" s="637"/>
    </row>
    <row r="24" spans="1:10">
      <c r="A24" s="634"/>
      <c r="B24" s="630"/>
      <c r="C24" s="637"/>
      <c r="D24" s="637"/>
      <c r="E24" s="637"/>
      <c r="F24" s="637"/>
      <c r="G24" s="637"/>
      <c r="H24" s="637"/>
      <c r="I24" s="637"/>
      <c r="J24" s="637"/>
    </row>
    <row r="25" spans="1:10" ht="3" customHeight="1">
      <c r="A25" s="634"/>
      <c r="B25" s="630"/>
      <c r="C25" s="637"/>
      <c r="D25" s="637"/>
      <c r="E25" s="637"/>
      <c r="F25" s="637"/>
      <c r="G25" s="637"/>
      <c r="H25" s="637"/>
      <c r="I25" s="637"/>
      <c r="J25" s="637"/>
    </row>
    <row r="26" spans="1:10" ht="15" hidden="1" customHeight="1">
      <c r="A26" s="634"/>
      <c r="B26" s="630"/>
      <c r="C26" s="637"/>
      <c r="D26" s="637"/>
      <c r="E26" s="637"/>
      <c r="F26" s="637"/>
      <c r="G26" s="637"/>
      <c r="H26" s="637"/>
      <c r="I26" s="637"/>
      <c r="J26" s="637"/>
    </row>
    <row r="27" spans="1:10" ht="15" customHeight="1">
      <c r="A27" s="634">
        <v>4</v>
      </c>
      <c r="B27" s="630" t="s">
        <v>219</v>
      </c>
      <c r="C27" s="637" t="s">
        <v>277</v>
      </c>
      <c r="D27" s="637"/>
      <c r="E27" s="637"/>
      <c r="F27" s="637"/>
      <c r="G27" s="637"/>
      <c r="H27" s="637"/>
      <c r="I27" s="637"/>
      <c r="J27" s="637"/>
    </row>
    <row r="28" spans="1:10">
      <c r="A28" s="634"/>
      <c r="B28" s="630"/>
      <c r="C28" s="637"/>
      <c r="D28" s="637"/>
      <c r="E28" s="637"/>
      <c r="F28" s="637"/>
      <c r="G28" s="637"/>
      <c r="H28" s="637"/>
      <c r="I28" s="637"/>
      <c r="J28" s="637"/>
    </row>
    <row r="29" spans="1:10">
      <c r="A29" s="634"/>
      <c r="B29" s="630"/>
      <c r="C29" s="637"/>
      <c r="D29" s="637"/>
      <c r="E29" s="637"/>
      <c r="F29" s="637"/>
      <c r="G29" s="637"/>
      <c r="H29" s="637"/>
      <c r="I29" s="637"/>
      <c r="J29" s="637"/>
    </row>
    <row r="30" spans="1:10" ht="12.75" customHeight="1">
      <c r="A30" s="634"/>
      <c r="B30" s="630"/>
      <c r="C30" s="637"/>
      <c r="D30" s="637"/>
      <c r="E30" s="637"/>
      <c r="F30" s="637"/>
      <c r="G30" s="637"/>
      <c r="H30" s="637"/>
      <c r="I30" s="637"/>
      <c r="J30" s="637"/>
    </row>
    <row r="31" spans="1:10" ht="15" hidden="1" customHeight="1">
      <c r="A31" s="634"/>
      <c r="B31" s="630"/>
      <c r="C31" s="637"/>
      <c r="D31" s="637"/>
      <c r="E31" s="637"/>
      <c r="F31" s="637"/>
      <c r="G31" s="637"/>
      <c r="H31" s="637"/>
      <c r="I31" s="637"/>
      <c r="J31" s="637"/>
    </row>
    <row r="32" spans="1:10" ht="15" customHeight="1">
      <c r="A32" s="634">
        <v>5</v>
      </c>
      <c r="B32" s="630" t="s">
        <v>220</v>
      </c>
      <c r="C32" s="632" t="s">
        <v>337</v>
      </c>
      <c r="D32" s="632"/>
      <c r="E32" s="632"/>
      <c r="F32" s="632"/>
      <c r="G32" s="632"/>
      <c r="H32" s="632"/>
      <c r="I32" s="632"/>
      <c r="J32" s="632"/>
    </row>
    <row r="33" spans="1:10">
      <c r="A33" s="634"/>
      <c r="B33" s="630"/>
      <c r="C33" s="632"/>
      <c r="D33" s="632"/>
      <c r="E33" s="632"/>
      <c r="F33" s="632"/>
      <c r="G33" s="632"/>
      <c r="H33" s="632"/>
      <c r="I33" s="632"/>
      <c r="J33" s="632"/>
    </row>
    <row r="34" spans="1:10" ht="39.75" customHeight="1">
      <c r="A34" s="634"/>
      <c r="B34" s="630"/>
      <c r="C34" s="632"/>
      <c r="D34" s="632"/>
      <c r="E34" s="632"/>
      <c r="F34" s="632"/>
      <c r="G34" s="632"/>
      <c r="H34" s="632"/>
      <c r="I34" s="632"/>
      <c r="J34" s="632"/>
    </row>
    <row r="35" spans="1:10" ht="15" customHeight="1">
      <c r="A35" s="634">
        <v>6</v>
      </c>
      <c r="B35" s="630" t="s">
        <v>221</v>
      </c>
      <c r="C35" s="636" t="s">
        <v>338</v>
      </c>
      <c r="D35" s="636"/>
      <c r="E35" s="636"/>
      <c r="F35" s="636"/>
      <c r="G35" s="636"/>
      <c r="H35" s="636"/>
      <c r="I35" s="636"/>
      <c r="J35" s="636"/>
    </row>
    <row r="36" spans="1:10">
      <c r="A36" s="634"/>
      <c r="B36" s="630"/>
      <c r="C36" s="636"/>
      <c r="D36" s="636"/>
      <c r="E36" s="636"/>
      <c r="F36" s="636"/>
      <c r="G36" s="636"/>
      <c r="H36" s="636"/>
      <c r="I36" s="636"/>
      <c r="J36" s="636"/>
    </row>
    <row r="37" spans="1:10">
      <c r="A37" s="634"/>
      <c r="B37" s="630"/>
      <c r="C37" s="636"/>
      <c r="D37" s="636"/>
      <c r="E37" s="636"/>
      <c r="F37" s="636"/>
      <c r="G37" s="636"/>
      <c r="H37" s="636"/>
      <c r="I37" s="636"/>
      <c r="J37" s="636"/>
    </row>
    <row r="38" spans="1:10" ht="64.5" customHeight="1">
      <c r="A38" s="634"/>
      <c r="B38" s="630"/>
      <c r="C38" s="636"/>
      <c r="D38" s="636"/>
      <c r="E38" s="636"/>
      <c r="F38" s="636"/>
      <c r="G38" s="636"/>
      <c r="H38" s="636"/>
      <c r="I38" s="636"/>
      <c r="J38" s="636"/>
    </row>
    <row r="39" spans="1:10" ht="15" customHeight="1">
      <c r="A39" s="634">
        <v>7</v>
      </c>
      <c r="B39" s="630" t="s">
        <v>21</v>
      </c>
      <c r="C39" s="632" t="s">
        <v>270</v>
      </c>
      <c r="D39" s="632"/>
      <c r="E39" s="632"/>
      <c r="F39" s="632"/>
      <c r="G39" s="632"/>
      <c r="H39" s="632"/>
      <c r="I39" s="632"/>
      <c r="J39" s="632"/>
    </row>
    <row r="40" spans="1:10">
      <c r="A40" s="634"/>
      <c r="B40" s="630"/>
      <c r="C40" s="632"/>
      <c r="D40" s="632"/>
      <c r="E40" s="632"/>
      <c r="F40" s="632"/>
      <c r="G40" s="632"/>
      <c r="H40" s="632"/>
      <c r="I40" s="632"/>
      <c r="J40" s="632"/>
    </row>
    <row r="41" spans="1:10">
      <c r="A41" s="634"/>
      <c r="B41" s="630"/>
      <c r="C41" s="632"/>
      <c r="D41" s="632"/>
      <c r="E41" s="632"/>
      <c r="F41" s="632"/>
      <c r="G41" s="632"/>
      <c r="H41" s="632"/>
      <c r="I41" s="632"/>
      <c r="J41" s="632"/>
    </row>
    <row r="42" spans="1:10">
      <c r="A42" s="634"/>
      <c r="B42" s="630"/>
      <c r="C42" s="632"/>
      <c r="D42" s="632"/>
      <c r="E42" s="632"/>
      <c r="F42" s="632"/>
      <c r="G42" s="632"/>
      <c r="H42" s="632"/>
      <c r="I42" s="632"/>
      <c r="J42" s="632"/>
    </row>
    <row r="43" spans="1:10">
      <c r="A43" s="634"/>
      <c r="B43" s="630"/>
      <c r="C43" s="632"/>
      <c r="D43" s="632"/>
      <c r="E43" s="632"/>
      <c r="F43" s="632"/>
      <c r="G43" s="632"/>
      <c r="H43" s="632"/>
      <c r="I43" s="632"/>
      <c r="J43" s="632"/>
    </row>
    <row r="44" spans="1:10" ht="25.5" customHeight="1">
      <c r="A44" s="634"/>
      <c r="B44" s="630"/>
      <c r="C44" s="632"/>
      <c r="D44" s="632"/>
      <c r="E44" s="632"/>
      <c r="F44" s="632"/>
      <c r="G44" s="632"/>
      <c r="H44" s="632"/>
      <c r="I44" s="632"/>
      <c r="J44" s="632"/>
    </row>
    <row r="45" spans="1:10" ht="15" customHeight="1">
      <c r="A45" s="630">
        <v>8</v>
      </c>
      <c r="B45" s="630" t="s">
        <v>243</v>
      </c>
      <c r="C45" s="636" t="s">
        <v>271</v>
      </c>
      <c r="D45" s="636"/>
      <c r="E45" s="636"/>
      <c r="F45" s="636"/>
      <c r="G45" s="636"/>
      <c r="H45" s="636"/>
      <c r="I45" s="636"/>
      <c r="J45" s="636"/>
    </row>
    <row r="46" spans="1:10">
      <c r="A46" s="630"/>
      <c r="B46" s="630"/>
      <c r="C46" s="636"/>
      <c r="D46" s="636"/>
      <c r="E46" s="636"/>
      <c r="F46" s="636"/>
      <c r="G46" s="636"/>
      <c r="H46" s="636"/>
      <c r="I46" s="636"/>
      <c r="J46" s="636"/>
    </row>
    <row r="47" spans="1:10">
      <c r="A47" s="630"/>
      <c r="B47" s="630"/>
      <c r="C47" s="636"/>
      <c r="D47" s="636"/>
      <c r="E47" s="636"/>
      <c r="F47" s="636"/>
      <c r="G47" s="636"/>
      <c r="H47" s="636"/>
      <c r="I47" s="636"/>
      <c r="J47" s="636"/>
    </row>
    <row r="48" spans="1:10">
      <c r="A48" s="630"/>
      <c r="B48" s="630"/>
      <c r="C48" s="636"/>
      <c r="D48" s="636"/>
      <c r="E48" s="636"/>
      <c r="F48" s="636"/>
      <c r="G48" s="636"/>
      <c r="H48" s="636"/>
      <c r="I48" s="636"/>
      <c r="J48" s="636"/>
    </row>
    <row r="49" spans="1:10" ht="14.25" customHeight="1">
      <c r="A49" s="630"/>
      <c r="B49" s="630"/>
      <c r="C49" s="636"/>
      <c r="D49" s="636"/>
      <c r="E49" s="636"/>
      <c r="F49" s="636"/>
      <c r="G49" s="636"/>
      <c r="H49" s="636"/>
      <c r="I49" s="636"/>
      <c r="J49" s="636"/>
    </row>
    <row r="50" spans="1:10" ht="3.75" customHeight="1">
      <c r="A50" s="630"/>
      <c r="B50" s="630"/>
      <c r="C50" s="636"/>
      <c r="D50" s="636"/>
      <c r="E50" s="636"/>
      <c r="F50" s="636"/>
      <c r="G50" s="636"/>
      <c r="H50" s="636"/>
      <c r="I50" s="636"/>
      <c r="J50" s="636"/>
    </row>
    <row r="51" spans="1:10" ht="7.5" hidden="1" customHeight="1">
      <c r="A51" s="630"/>
      <c r="B51" s="630"/>
      <c r="C51" s="636"/>
      <c r="D51" s="636"/>
      <c r="E51" s="636"/>
      <c r="F51" s="636"/>
      <c r="G51" s="636"/>
      <c r="H51" s="636"/>
      <c r="I51" s="636"/>
      <c r="J51" s="636"/>
    </row>
    <row r="52" spans="1:10">
      <c r="A52" s="216"/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0">
      <c r="A53" s="628" t="s">
        <v>278</v>
      </c>
      <c r="B53" s="628"/>
      <c r="C53" s="628"/>
      <c r="D53" s="628"/>
      <c r="E53" s="628"/>
      <c r="F53" s="628"/>
      <c r="G53" s="628"/>
      <c r="H53" s="628"/>
      <c r="I53" s="628"/>
      <c r="J53" s="628"/>
    </row>
    <row r="54" spans="1:10" ht="15" customHeight="1">
      <c r="A54" s="634">
        <v>1</v>
      </c>
      <c r="B54" s="630" t="s">
        <v>339</v>
      </c>
      <c r="C54" s="632" t="s">
        <v>281</v>
      </c>
      <c r="D54" s="632"/>
      <c r="E54" s="632"/>
      <c r="F54" s="632"/>
      <c r="G54" s="632"/>
      <c r="H54" s="632"/>
      <c r="I54" s="632"/>
      <c r="J54" s="632"/>
    </row>
    <row r="55" spans="1:10">
      <c r="A55" s="634"/>
      <c r="B55" s="630"/>
      <c r="C55" s="632"/>
      <c r="D55" s="632"/>
      <c r="E55" s="632"/>
      <c r="F55" s="632"/>
      <c r="G55" s="632"/>
      <c r="H55" s="632"/>
      <c r="I55" s="632"/>
      <c r="J55" s="632"/>
    </row>
    <row r="56" spans="1:10">
      <c r="A56" s="634"/>
      <c r="B56" s="630"/>
      <c r="C56" s="632"/>
      <c r="D56" s="632"/>
      <c r="E56" s="632"/>
      <c r="F56" s="632"/>
      <c r="G56" s="632"/>
      <c r="H56" s="632"/>
      <c r="I56" s="632"/>
      <c r="J56" s="632"/>
    </row>
    <row r="57" spans="1:10" ht="15" customHeight="1">
      <c r="A57" s="630">
        <v>3</v>
      </c>
      <c r="B57" s="630" t="s">
        <v>222</v>
      </c>
      <c r="C57" s="632" t="s">
        <v>280</v>
      </c>
      <c r="D57" s="632"/>
      <c r="E57" s="632"/>
      <c r="F57" s="632"/>
      <c r="G57" s="632"/>
      <c r="H57" s="632"/>
      <c r="I57" s="632"/>
      <c r="J57" s="632"/>
    </row>
    <row r="58" spans="1:10">
      <c r="A58" s="630"/>
      <c r="B58" s="630"/>
      <c r="C58" s="632"/>
      <c r="D58" s="632"/>
      <c r="E58" s="632"/>
      <c r="F58" s="632"/>
      <c r="G58" s="632"/>
      <c r="H58" s="632"/>
      <c r="I58" s="632"/>
      <c r="J58" s="632"/>
    </row>
    <row r="59" spans="1:10">
      <c r="A59" s="630"/>
      <c r="B59" s="630"/>
      <c r="C59" s="632"/>
      <c r="D59" s="632"/>
      <c r="E59" s="632"/>
      <c r="F59" s="632"/>
      <c r="G59" s="632"/>
      <c r="H59" s="632"/>
      <c r="I59" s="632"/>
      <c r="J59" s="632"/>
    </row>
    <row r="60" spans="1:10" ht="39.75" customHeight="1">
      <c r="A60" s="630">
        <v>4</v>
      </c>
      <c r="B60" s="630" t="s">
        <v>223</v>
      </c>
      <c r="C60" s="632" t="s">
        <v>323</v>
      </c>
      <c r="D60" s="632"/>
      <c r="E60" s="632"/>
      <c r="F60" s="632"/>
      <c r="G60" s="632"/>
      <c r="H60" s="632"/>
      <c r="I60" s="632"/>
      <c r="J60" s="632"/>
    </row>
    <row r="61" spans="1:10" ht="15" customHeight="1">
      <c r="A61" s="630"/>
      <c r="B61" s="630"/>
      <c r="C61" s="632"/>
      <c r="D61" s="632"/>
      <c r="E61" s="632"/>
      <c r="F61" s="632"/>
      <c r="G61" s="632"/>
      <c r="H61" s="632"/>
      <c r="I61" s="632"/>
      <c r="J61" s="632"/>
    </row>
    <row r="62" spans="1:10">
      <c r="A62" s="630"/>
      <c r="B62" s="630"/>
      <c r="C62" s="632"/>
      <c r="D62" s="632"/>
      <c r="E62" s="632"/>
      <c r="F62" s="632"/>
      <c r="G62" s="632"/>
      <c r="H62" s="632"/>
      <c r="I62" s="632"/>
      <c r="J62" s="632"/>
    </row>
    <row r="63" spans="1:10" ht="6" customHeight="1">
      <c r="A63" s="630"/>
      <c r="B63" s="630"/>
      <c r="C63" s="632"/>
      <c r="D63" s="632"/>
      <c r="E63" s="632"/>
      <c r="F63" s="632"/>
      <c r="G63" s="632"/>
      <c r="H63" s="632"/>
      <c r="I63" s="632"/>
      <c r="J63" s="632"/>
    </row>
    <row r="64" spans="1:10" hidden="1">
      <c r="A64" s="630"/>
      <c r="B64" s="630"/>
      <c r="C64" s="632"/>
      <c r="D64" s="632"/>
      <c r="E64" s="632"/>
      <c r="F64" s="632"/>
      <c r="G64" s="632"/>
      <c r="H64" s="632"/>
      <c r="I64" s="632"/>
      <c r="J64" s="632"/>
    </row>
    <row r="65" spans="1:10" ht="15" customHeight="1">
      <c r="A65" s="630">
        <v>5</v>
      </c>
      <c r="B65" s="630" t="s">
        <v>224</v>
      </c>
      <c r="C65" s="636" t="s">
        <v>318</v>
      </c>
      <c r="D65" s="636"/>
      <c r="E65" s="636"/>
      <c r="F65" s="636"/>
      <c r="G65" s="636"/>
      <c r="H65" s="636"/>
      <c r="I65" s="636"/>
      <c r="J65" s="636"/>
    </row>
    <row r="66" spans="1:10">
      <c r="A66" s="630"/>
      <c r="B66" s="630"/>
      <c r="C66" s="636"/>
      <c r="D66" s="636"/>
      <c r="E66" s="636"/>
      <c r="F66" s="636"/>
      <c r="G66" s="636"/>
      <c r="H66" s="636"/>
      <c r="I66" s="636"/>
      <c r="J66" s="636"/>
    </row>
    <row r="67" spans="1:10" ht="3.75" customHeight="1">
      <c r="A67" s="630"/>
      <c r="B67" s="630"/>
      <c r="C67" s="636"/>
      <c r="D67" s="636"/>
      <c r="E67" s="636"/>
      <c r="F67" s="636"/>
      <c r="G67" s="636"/>
      <c r="H67" s="636"/>
      <c r="I67" s="636"/>
      <c r="J67" s="636"/>
    </row>
    <row r="68" spans="1:10" ht="3" customHeight="1">
      <c r="A68" s="630"/>
      <c r="B68" s="630"/>
      <c r="C68" s="636"/>
      <c r="D68" s="636"/>
      <c r="E68" s="636"/>
      <c r="F68" s="636"/>
      <c r="G68" s="636"/>
      <c r="H68" s="636"/>
      <c r="I68" s="636"/>
      <c r="J68" s="636"/>
    </row>
    <row r="69" spans="1:10" ht="15" customHeight="1">
      <c r="A69" s="630"/>
      <c r="B69" s="630"/>
      <c r="C69" s="636"/>
      <c r="D69" s="636"/>
      <c r="E69" s="636"/>
      <c r="F69" s="636"/>
      <c r="G69" s="636"/>
      <c r="H69" s="636"/>
      <c r="I69" s="636"/>
      <c r="J69" s="636"/>
    </row>
    <row r="70" spans="1:10">
      <c r="A70" s="630"/>
      <c r="B70" s="630"/>
      <c r="C70" s="636"/>
      <c r="D70" s="636"/>
      <c r="E70" s="636"/>
      <c r="F70" s="636"/>
      <c r="G70" s="636"/>
      <c r="H70" s="636"/>
      <c r="I70" s="636"/>
      <c r="J70" s="636"/>
    </row>
    <row r="71" spans="1:10">
      <c r="A71" s="630"/>
      <c r="B71" s="630"/>
      <c r="C71" s="630"/>
      <c r="D71" s="630"/>
      <c r="E71" s="630"/>
      <c r="F71" s="630"/>
      <c r="G71" s="630"/>
      <c r="H71" s="630"/>
      <c r="I71" s="630"/>
      <c r="J71" s="630"/>
    </row>
    <row r="72" spans="1:10" ht="20.25" customHeight="1">
      <c r="A72" s="638" t="s">
        <v>225</v>
      </c>
      <c r="B72" s="638"/>
      <c r="C72" s="638"/>
      <c r="D72" s="638"/>
      <c r="E72" s="638"/>
      <c r="F72" s="638"/>
      <c r="G72" s="638"/>
      <c r="H72" s="638"/>
      <c r="I72" s="638"/>
      <c r="J72" s="638"/>
    </row>
    <row r="73" spans="1:10" ht="15" hidden="1" customHeight="1">
      <c r="A73" s="630">
        <v>1</v>
      </c>
      <c r="B73" s="630" t="s">
        <v>226</v>
      </c>
      <c r="C73" s="639" t="s">
        <v>346</v>
      </c>
      <c r="D73" s="639"/>
      <c r="E73" s="639"/>
      <c r="F73" s="639"/>
      <c r="G73" s="639"/>
      <c r="H73" s="639"/>
      <c r="I73" s="639"/>
      <c r="J73" s="639"/>
    </row>
    <row r="74" spans="1:10" ht="15" hidden="1" customHeight="1">
      <c r="A74" s="630"/>
      <c r="B74" s="630"/>
      <c r="C74" s="639"/>
      <c r="D74" s="639"/>
      <c r="E74" s="639"/>
      <c r="F74" s="639"/>
      <c r="G74" s="639"/>
      <c r="H74" s="639"/>
      <c r="I74" s="639"/>
      <c r="J74" s="639"/>
    </row>
    <row r="75" spans="1:10" ht="49.5" customHeight="1">
      <c r="A75" s="630"/>
      <c r="B75" s="630"/>
      <c r="C75" s="639"/>
      <c r="D75" s="639"/>
      <c r="E75" s="639"/>
      <c r="F75" s="639"/>
      <c r="G75" s="639"/>
      <c r="H75" s="639"/>
      <c r="I75" s="639"/>
      <c r="J75" s="639"/>
    </row>
    <row r="76" spans="1:10" ht="39" customHeight="1">
      <c r="A76" s="213">
        <v>2</v>
      </c>
      <c r="B76" s="213" t="s">
        <v>227</v>
      </c>
      <c r="C76" s="636" t="s">
        <v>324</v>
      </c>
      <c r="D76" s="636"/>
      <c r="E76" s="636"/>
      <c r="F76" s="636"/>
      <c r="G76" s="636"/>
      <c r="H76" s="636"/>
      <c r="I76" s="636"/>
      <c r="J76" s="636"/>
    </row>
    <row r="77" spans="1:10" ht="15" customHeight="1">
      <c r="A77" s="630">
        <v>3</v>
      </c>
      <c r="B77" s="630" t="s">
        <v>31</v>
      </c>
      <c r="C77" s="632" t="s">
        <v>325</v>
      </c>
      <c r="D77" s="632"/>
      <c r="E77" s="632"/>
      <c r="F77" s="632"/>
      <c r="G77" s="632"/>
      <c r="H77" s="632"/>
      <c r="I77" s="632"/>
      <c r="J77" s="632"/>
    </row>
    <row r="78" spans="1:10">
      <c r="A78" s="630"/>
      <c r="B78" s="630"/>
      <c r="C78" s="632"/>
      <c r="D78" s="632"/>
      <c r="E78" s="632"/>
      <c r="F78" s="632"/>
      <c r="G78" s="632"/>
      <c r="H78" s="632"/>
      <c r="I78" s="632"/>
      <c r="J78" s="632"/>
    </row>
    <row r="79" spans="1:10">
      <c r="A79" s="630"/>
      <c r="B79" s="630"/>
      <c r="C79" s="632"/>
      <c r="D79" s="632"/>
      <c r="E79" s="632"/>
      <c r="F79" s="632"/>
      <c r="G79" s="632"/>
      <c r="H79" s="632"/>
      <c r="I79" s="632"/>
      <c r="J79" s="632"/>
    </row>
    <row r="80" spans="1:10" ht="32.25" customHeight="1">
      <c r="A80" s="630"/>
      <c r="B80" s="630"/>
      <c r="C80" s="632"/>
      <c r="D80" s="632"/>
      <c r="E80" s="632"/>
      <c r="F80" s="632"/>
      <c r="G80" s="632"/>
      <c r="H80" s="632"/>
      <c r="I80" s="632"/>
      <c r="J80" s="632"/>
    </row>
    <row r="81" spans="1:10" ht="41.25" customHeight="1">
      <c r="A81" s="213">
        <v>4</v>
      </c>
      <c r="B81" s="213" t="s">
        <v>228</v>
      </c>
      <c r="C81" s="632" t="s">
        <v>326</v>
      </c>
      <c r="D81" s="632"/>
      <c r="E81" s="632"/>
      <c r="F81" s="632"/>
      <c r="G81" s="632"/>
      <c r="H81" s="632"/>
      <c r="I81" s="632"/>
      <c r="J81" s="632"/>
    </row>
    <row r="82" spans="1:10" ht="15" customHeight="1">
      <c r="A82" s="630">
        <v>5</v>
      </c>
      <c r="B82" s="630" t="s">
        <v>33</v>
      </c>
      <c r="C82" s="632" t="s">
        <v>327</v>
      </c>
      <c r="D82" s="632"/>
      <c r="E82" s="632"/>
      <c r="F82" s="632"/>
      <c r="G82" s="632"/>
      <c r="H82" s="632"/>
      <c r="I82" s="632"/>
      <c r="J82" s="632"/>
    </row>
    <row r="83" spans="1:10">
      <c r="A83" s="630"/>
      <c r="B83" s="630"/>
      <c r="C83" s="632"/>
      <c r="D83" s="632"/>
      <c r="E83" s="632"/>
      <c r="F83" s="632"/>
      <c r="G83" s="632"/>
      <c r="H83" s="632"/>
      <c r="I83" s="632"/>
      <c r="J83" s="632"/>
    </row>
    <row r="84" spans="1:10">
      <c r="A84" s="630"/>
      <c r="B84" s="630"/>
      <c r="C84" s="632"/>
      <c r="D84" s="632"/>
      <c r="E84" s="632"/>
      <c r="F84" s="632"/>
      <c r="G84" s="632"/>
      <c r="H84" s="632"/>
      <c r="I84" s="632"/>
      <c r="J84" s="632"/>
    </row>
    <row r="85" spans="1:10" ht="11.25" customHeight="1">
      <c r="A85" s="630"/>
      <c r="B85" s="630"/>
      <c r="C85" s="632"/>
      <c r="D85" s="632"/>
      <c r="E85" s="632"/>
      <c r="F85" s="632"/>
      <c r="G85" s="632"/>
      <c r="H85" s="632"/>
      <c r="I85" s="632"/>
      <c r="J85" s="632"/>
    </row>
    <row r="86" spans="1:10" ht="15" customHeight="1">
      <c r="A86" s="634">
        <v>6</v>
      </c>
      <c r="B86" s="630" t="s">
        <v>229</v>
      </c>
      <c r="C86" s="632" t="s">
        <v>328</v>
      </c>
      <c r="D86" s="632"/>
      <c r="E86" s="632"/>
      <c r="F86" s="632"/>
      <c r="G86" s="632"/>
      <c r="H86" s="632"/>
      <c r="I86" s="632"/>
      <c r="J86" s="632"/>
    </row>
    <row r="87" spans="1:10">
      <c r="A87" s="634"/>
      <c r="B87" s="630"/>
      <c r="C87" s="632"/>
      <c r="D87" s="632"/>
      <c r="E87" s="632"/>
      <c r="F87" s="632"/>
      <c r="G87" s="632"/>
      <c r="H87" s="632"/>
      <c r="I87" s="632"/>
      <c r="J87" s="632"/>
    </row>
    <row r="88" spans="1:10" ht="36" customHeight="1">
      <c r="A88" s="213">
        <v>8</v>
      </c>
      <c r="B88" s="213" t="s">
        <v>230</v>
      </c>
      <c r="C88" s="636" t="s">
        <v>231</v>
      </c>
      <c r="D88" s="636"/>
      <c r="E88" s="636"/>
      <c r="F88" s="636"/>
      <c r="G88" s="636"/>
      <c r="H88" s="636"/>
      <c r="I88" s="636"/>
      <c r="J88" s="636"/>
    </row>
    <row r="89" spans="1:10" ht="37.5" customHeight="1">
      <c r="A89" s="213">
        <v>9</v>
      </c>
      <c r="B89" s="213" t="s">
        <v>232</v>
      </c>
      <c r="C89" s="636" t="s">
        <v>233</v>
      </c>
      <c r="D89" s="636"/>
      <c r="E89" s="636"/>
      <c r="F89" s="636"/>
      <c r="G89" s="636"/>
      <c r="H89" s="636"/>
      <c r="I89" s="636"/>
      <c r="J89" s="636"/>
    </row>
    <row r="90" spans="1:10" ht="15" customHeight="1">
      <c r="A90" s="630">
        <v>10</v>
      </c>
      <c r="B90" s="630" t="s">
        <v>234</v>
      </c>
      <c r="C90" s="636" t="s">
        <v>320</v>
      </c>
      <c r="D90" s="636"/>
      <c r="E90" s="636"/>
      <c r="F90" s="636"/>
      <c r="G90" s="636"/>
      <c r="H90" s="636"/>
      <c r="I90" s="636"/>
      <c r="J90" s="636"/>
    </row>
    <row r="91" spans="1:10" ht="23.25" customHeight="1">
      <c r="A91" s="630"/>
      <c r="B91" s="630"/>
      <c r="C91" s="636"/>
      <c r="D91" s="636"/>
      <c r="E91" s="636"/>
      <c r="F91" s="636"/>
      <c r="G91" s="636"/>
      <c r="H91" s="636"/>
      <c r="I91" s="636"/>
      <c r="J91" s="636"/>
    </row>
    <row r="92" spans="1:10" ht="32.25" customHeight="1">
      <c r="A92" s="630">
        <v>11</v>
      </c>
      <c r="B92" s="630" t="s">
        <v>235</v>
      </c>
      <c r="C92" s="632" t="s">
        <v>236</v>
      </c>
      <c r="D92" s="632"/>
      <c r="E92" s="632"/>
      <c r="F92" s="632"/>
      <c r="G92" s="632"/>
      <c r="H92" s="632"/>
      <c r="I92" s="632"/>
      <c r="J92" s="632"/>
    </row>
    <row r="93" spans="1:10">
      <c r="A93" s="630"/>
      <c r="B93" s="630"/>
      <c r="C93" s="632"/>
      <c r="D93" s="632"/>
      <c r="E93" s="632"/>
      <c r="F93" s="632"/>
      <c r="G93" s="632"/>
      <c r="H93" s="632"/>
      <c r="I93" s="632"/>
      <c r="J93" s="632"/>
    </row>
    <row r="94" spans="1:10" ht="15" customHeight="1">
      <c r="A94" s="630"/>
      <c r="B94" s="630"/>
      <c r="C94" s="630"/>
      <c r="D94" s="630"/>
      <c r="E94" s="630"/>
      <c r="F94" s="630"/>
      <c r="G94" s="630"/>
      <c r="H94" s="630"/>
      <c r="I94" s="630"/>
      <c r="J94" s="630"/>
    </row>
    <row r="95" spans="1:10">
      <c r="A95" s="628" t="s">
        <v>237</v>
      </c>
      <c r="B95" s="628"/>
      <c r="C95" s="628"/>
      <c r="D95" s="628"/>
      <c r="E95" s="628"/>
      <c r="F95" s="628"/>
      <c r="G95" s="628"/>
      <c r="H95" s="628"/>
      <c r="I95" s="628"/>
      <c r="J95" s="628"/>
    </row>
    <row r="96" spans="1:10" ht="15" customHeight="1">
      <c r="A96" s="634">
        <v>1</v>
      </c>
      <c r="B96" s="630" t="s">
        <v>238</v>
      </c>
      <c r="C96" s="632" t="s">
        <v>329</v>
      </c>
      <c r="D96" s="632"/>
      <c r="E96" s="632"/>
      <c r="F96" s="632"/>
      <c r="G96" s="632"/>
      <c r="H96" s="632"/>
      <c r="I96" s="632"/>
      <c r="J96" s="632"/>
    </row>
    <row r="97" spans="1:10">
      <c r="A97" s="634"/>
      <c r="B97" s="630"/>
      <c r="C97" s="632"/>
      <c r="D97" s="632"/>
      <c r="E97" s="632"/>
      <c r="F97" s="632"/>
      <c r="G97" s="632"/>
      <c r="H97" s="632"/>
      <c r="I97" s="632"/>
      <c r="J97" s="632"/>
    </row>
    <row r="98" spans="1:10" ht="15" customHeight="1">
      <c r="A98" s="634">
        <v>2</v>
      </c>
      <c r="B98" s="630" t="s">
        <v>239</v>
      </c>
      <c r="C98" s="640" t="s">
        <v>347</v>
      </c>
      <c r="D98" s="640"/>
      <c r="E98" s="640"/>
      <c r="F98" s="640"/>
      <c r="G98" s="640"/>
      <c r="H98" s="640"/>
      <c r="I98" s="640"/>
      <c r="J98" s="640"/>
    </row>
    <row r="99" spans="1:10">
      <c r="A99" s="634"/>
      <c r="B99" s="630"/>
      <c r="C99" s="640"/>
      <c r="D99" s="640"/>
      <c r="E99" s="640"/>
      <c r="F99" s="640"/>
      <c r="G99" s="640"/>
      <c r="H99" s="640"/>
      <c r="I99" s="640"/>
      <c r="J99" s="640"/>
    </row>
    <row r="100" spans="1:10" ht="15" customHeight="1">
      <c r="A100" s="634">
        <v>3</v>
      </c>
      <c r="B100" s="630" t="s">
        <v>240</v>
      </c>
      <c r="C100" s="632" t="s">
        <v>329</v>
      </c>
      <c r="D100" s="632"/>
      <c r="E100" s="632"/>
      <c r="F100" s="632"/>
      <c r="G100" s="632"/>
      <c r="H100" s="632"/>
      <c r="I100" s="632"/>
      <c r="J100" s="632"/>
    </row>
    <row r="101" spans="1:10">
      <c r="A101" s="634"/>
      <c r="B101" s="630"/>
      <c r="C101" s="632"/>
      <c r="D101" s="632"/>
      <c r="E101" s="632"/>
      <c r="F101" s="632"/>
      <c r="G101" s="632"/>
      <c r="H101" s="632"/>
      <c r="I101" s="632"/>
      <c r="J101" s="632"/>
    </row>
  </sheetData>
  <mergeCells count="87">
    <mergeCell ref="A100:A101"/>
    <mergeCell ref="B100:B101"/>
    <mergeCell ref="C100:J101"/>
    <mergeCell ref="A71:J71"/>
    <mergeCell ref="A72:J72"/>
    <mergeCell ref="A73:A75"/>
    <mergeCell ref="B73:B75"/>
    <mergeCell ref="C73:J75"/>
    <mergeCell ref="C76:J76"/>
    <mergeCell ref="A77:A80"/>
    <mergeCell ref="B77:B80"/>
    <mergeCell ref="C77:J80"/>
    <mergeCell ref="C81:J81"/>
    <mergeCell ref="A98:A99"/>
    <mergeCell ref="B98:B99"/>
    <mergeCell ref="C98:J99"/>
    <mergeCell ref="A92:A93"/>
    <mergeCell ref="B92:B93"/>
    <mergeCell ref="C92:J93"/>
    <mergeCell ref="C89:J89"/>
    <mergeCell ref="A90:A91"/>
    <mergeCell ref="B90:B91"/>
    <mergeCell ref="C90:J91"/>
    <mergeCell ref="A96:A97"/>
    <mergeCell ref="B96:B97"/>
    <mergeCell ref="C96:J97"/>
    <mergeCell ref="A94:J94"/>
    <mergeCell ref="A95:J95"/>
    <mergeCell ref="C88:J88"/>
    <mergeCell ref="A82:A85"/>
    <mergeCell ref="B82:B85"/>
    <mergeCell ref="C82:J85"/>
    <mergeCell ref="A86:A87"/>
    <mergeCell ref="B86:B87"/>
    <mergeCell ref="C86:J87"/>
    <mergeCell ref="A57:A59"/>
    <mergeCell ref="B57:B59"/>
    <mergeCell ref="C57:J59"/>
    <mergeCell ref="B65:B70"/>
    <mergeCell ref="C65:J70"/>
    <mergeCell ref="A60:A64"/>
    <mergeCell ref="B60:B64"/>
    <mergeCell ref="C60:J64"/>
    <mergeCell ref="A65:A70"/>
    <mergeCell ref="A45:A51"/>
    <mergeCell ref="B45:B51"/>
    <mergeCell ref="C45:J51"/>
    <mergeCell ref="A53:J53"/>
    <mergeCell ref="A54:A56"/>
    <mergeCell ref="B54:B56"/>
    <mergeCell ref="C54:J56"/>
    <mergeCell ref="A35:A38"/>
    <mergeCell ref="B35:B38"/>
    <mergeCell ref="C35:J38"/>
    <mergeCell ref="A39:A44"/>
    <mergeCell ref="B39:B44"/>
    <mergeCell ref="C39:J44"/>
    <mergeCell ref="A27:A31"/>
    <mergeCell ref="B27:B31"/>
    <mergeCell ref="C27:J31"/>
    <mergeCell ref="A32:A34"/>
    <mergeCell ref="B32:B34"/>
    <mergeCell ref="C32:J34"/>
    <mergeCell ref="C18:J18"/>
    <mergeCell ref="A19:A22"/>
    <mergeCell ref="B19:B22"/>
    <mergeCell ref="C19:J22"/>
    <mergeCell ref="A23:A26"/>
    <mergeCell ref="B23:B26"/>
    <mergeCell ref="C23:J26"/>
    <mergeCell ref="A1:J1"/>
    <mergeCell ref="A2:J2"/>
    <mergeCell ref="A3:J3"/>
    <mergeCell ref="A4:J4"/>
    <mergeCell ref="A5:J5"/>
    <mergeCell ref="A6:J6"/>
    <mergeCell ref="A7:J7"/>
    <mergeCell ref="A8:J8"/>
    <mergeCell ref="A16:J16"/>
    <mergeCell ref="A9:J9"/>
    <mergeCell ref="A10:J10"/>
    <mergeCell ref="A11:J11"/>
    <mergeCell ref="A17:J17"/>
    <mergeCell ref="A13:J13"/>
    <mergeCell ref="A14:A15"/>
    <mergeCell ref="B14:B15"/>
    <mergeCell ref="C14:J15"/>
  </mergeCells>
  <pageMargins left="0.51181102362204722" right="0.51181102362204722" top="0.78740157480314965" bottom="0.78740157480314965" header="0.31496062992125984" footer="0.31496062992125984"/>
  <pageSetup paperSize="9" scale="67" orientation="portrait" horizontalDpi="300" verticalDpi="300" r:id="rId1"/>
  <headerFooter>
    <oddFooter>&amp;C&amp;A
&amp;F&amp;R&amp;P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SR. DIURNO DESARMADO 12X36</vt:lpstr>
      <vt:lpstr>SR. NOTURNO ARMADO 12x36</vt:lpstr>
      <vt:lpstr>SR. UNIFORMES E EQUIPAMENTOS</vt:lpstr>
      <vt:lpstr>SR. RESUMO DA PROPOSTA</vt:lpstr>
      <vt:lpstr>SR. OBSERVAÇÕES</vt:lpstr>
      <vt:lpstr>'SR. DIURNO DESARMADO 12X36'!Area_de_impressao</vt:lpstr>
      <vt:lpstr>'SR. NOTURNO ARMADO 12x36'!Area_de_impressao</vt:lpstr>
      <vt:lpstr>'SR. OBSERVAÇÕES'!Area_de_impressao</vt:lpstr>
      <vt:lpstr>'SR. RESUMO DA PROPOSTA'!Area_de_impressao</vt:lpstr>
      <vt:lpstr>'SR. UNIFORMES E EQUIPAMENTOS'!Area_de_impressao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gparodes</dc:creator>
  <cp:lastModifiedBy>thome</cp:lastModifiedBy>
  <cp:revision>0</cp:revision>
  <cp:lastPrinted>2021-06-10T12:20:16Z</cp:lastPrinted>
  <dcterms:created xsi:type="dcterms:W3CDTF">2013-09-30T16:27:09Z</dcterms:created>
  <dcterms:modified xsi:type="dcterms:W3CDTF">2021-06-10T12:24:31Z</dcterms:modified>
  <dc:language>pt-BR</dc:language>
</cp:coreProperties>
</file>