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0730" windowHeight="11760" tabRatio="999"/>
  </bookViews>
  <sheets>
    <sheet name="MANUTENÇÃO DA EDIFICAÇÕES - 44h" sheetId="13" r:id="rId1"/>
    <sheet name="UNIFORMES-EQUIP. SEGURANÇA  " sheetId="12" r:id="rId2"/>
    <sheet name="RESUMO DA PROPOSTA" sheetId="6" r:id="rId3"/>
  </sheets>
  <definedNames>
    <definedName name="_xlnm.Print_Area" localSheetId="0">'MANUTENÇÃO DA EDIFICAÇÕES - 44h'!$A$1:$I$150</definedName>
    <definedName name="_xlnm.Print_Area" localSheetId="2">'RESUMO DA PROPOSTA'!$A$1:$I$41</definedName>
    <definedName name="_xlnm.Print_Area" localSheetId="1">'UNIFORMES-EQUIP. SEGURANÇA  '!$A$1:$G$30</definedName>
  </definedNames>
  <calcPr calcId="145621"/>
</workbook>
</file>

<file path=xl/calcChain.xml><?xml version="1.0" encoding="utf-8"?>
<calcChain xmlns="http://schemas.openxmlformats.org/spreadsheetml/2006/main">
  <c r="G149" i="13" l="1"/>
  <c r="E11" i="6" l="1"/>
  <c r="B6" i="6"/>
  <c r="D14" i="6" l="1"/>
  <c r="D15" i="6" s="1"/>
  <c r="D16" i="6" l="1"/>
  <c r="G20" i="12" l="1"/>
  <c r="G21" i="12"/>
  <c r="G22" i="12"/>
  <c r="G23" i="12"/>
  <c r="G24" i="12"/>
  <c r="G25" i="12"/>
  <c r="G26" i="12"/>
  <c r="G27" i="12"/>
  <c r="G28" i="12"/>
  <c r="G19" i="12"/>
  <c r="G6" i="12"/>
  <c r="G7" i="12"/>
  <c r="G8" i="12"/>
  <c r="G9" i="12"/>
  <c r="G10" i="12"/>
  <c r="G11" i="12"/>
  <c r="I13" i="6"/>
  <c r="F6" i="6"/>
  <c r="I15" i="6" l="1"/>
  <c r="G29" i="12"/>
  <c r="G67" i="13"/>
  <c r="F33" i="13"/>
  <c r="G33" i="13" s="1"/>
  <c r="G5" i="12"/>
  <c r="G12" i="12" s="1"/>
  <c r="G118" i="13" l="1"/>
  <c r="G117" i="13"/>
  <c r="G120" i="13" s="1"/>
  <c r="G32" i="13"/>
  <c r="E10" i="13" l="1"/>
  <c r="F131" i="13"/>
  <c r="F130" i="13"/>
  <c r="F129" i="13" l="1"/>
  <c r="E51" i="13"/>
  <c r="E57" i="13" s="1"/>
  <c r="G8" i="13"/>
  <c r="B4" i="13"/>
  <c r="G63" i="13" l="1"/>
  <c r="G146" i="13" l="1"/>
  <c r="G36" i="13"/>
  <c r="G106" i="13"/>
  <c r="G111" i="13" s="1"/>
  <c r="G85" i="13" l="1"/>
  <c r="G86" i="13" s="1"/>
  <c r="G41" i="13"/>
  <c r="G142" i="13"/>
  <c r="G42" i="13"/>
  <c r="B92" i="13"/>
  <c r="G70" i="13"/>
  <c r="G77" i="13" s="1"/>
  <c r="G87" i="13" l="1"/>
  <c r="G43" i="13"/>
  <c r="G75" i="13" s="1"/>
  <c r="G82" i="13"/>
  <c r="G83" i="13" s="1"/>
  <c r="G84" i="13"/>
  <c r="G50" i="13" l="1"/>
  <c r="G53" i="13"/>
  <c r="G52" i="13"/>
  <c r="G49" i="13"/>
  <c r="G56" i="13"/>
  <c r="G54" i="13"/>
  <c r="G55" i="13"/>
  <c r="G51" i="13"/>
  <c r="G88" i="13"/>
  <c r="G144" i="13" s="1"/>
  <c r="G57" i="13" l="1"/>
  <c r="F92" i="13"/>
  <c r="G76" i="13" l="1"/>
  <c r="G78" i="13" s="1"/>
  <c r="D92" i="13" s="1"/>
  <c r="G92" i="13" s="1"/>
  <c r="G99" i="13" s="1"/>
  <c r="G100" i="13"/>
  <c r="G143" i="13" l="1"/>
  <c r="G98" i="13"/>
  <c r="G93" i="13"/>
  <c r="G101" i="13"/>
  <c r="G97" i="13"/>
  <c r="G96" i="13"/>
  <c r="G102" i="13" l="1"/>
  <c r="G110" i="13" s="1"/>
  <c r="G112" i="13" s="1"/>
  <c r="G145" i="13" s="1"/>
  <c r="G147" i="13" s="1"/>
  <c r="G124" i="13" l="1"/>
  <c r="G125" i="13" s="1"/>
  <c r="G126" i="13" s="1"/>
  <c r="G127" i="13" s="1"/>
  <c r="G128" i="13" s="1"/>
  <c r="G130" i="13" s="1"/>
  <c r="G133" i="13" l="1"/>
  <c r="G131" i="13"/>
  <c r="G129" i="13" l="1"/>
  <c r="G134" i="13" s="1"/>
  <c r="G148" i="13" s="1"/>
  <c r="D6" i="6" s="1"/>
  <c r="I14" i="6" s="1"/>
  <c r="I16" i="6" s="1"/>
  <c r="I17" i="6" s="1"/>
  <c r="G150" i="13" l="1"/>
  <c r="H6" i="6" l="1"/>
  <c r="I11" i="6" s="1"/>
  <c r="I12"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G63" authorId="1">
      <text>
        <r>
          <rPr>
            <sz val="9"/>
            <color indexed="81"/>
            <rFont val="Segoe UI"/>
            <family val="2"/>
          </rPr>
          <t xml:space="preserve">Não há transporte coletivo no município de Santo Augusto/RS.
</t>
        </r>
      </text>
    </comment>
    <comment ref="E67" authorId="0">
      <text>
        <r>
          <rPr>
            <sz val="9"/>
            <color indexed="81"/>
            <rFont val="Segoe UI"/>
            <family val="2"/>
          </rPr>
          <t xml:space="preserve">Conforme Cláusula Décima Sétima da CCT 2020/2021 valor pago aos trabalhadores com assiduidade e pontualidade de 100% no mês.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<sst xmlns="http://schemas.openxmlformats.org/spreadsheetml/2006/main" count="358" uniqueCount="247">
  <si>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</si>
  <si>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</si>
  <si>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</si>
  <si>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</si>
  <si>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</si>
  <si>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</si>
  <si>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</si>
  <si>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</si>
  <si>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</si>
  <si>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</si>
  <si>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</si>
  <si>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</si>
  <si>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</si>
  <si>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</si>
  <si>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</si>
  <si>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</si>
  <si>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</si>
  <si>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</si>
  <si>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</si>
  <si>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</si>
  <si>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</si>
  <si>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</si>
  <si>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</si>
  <si>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</si>
  <si>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</si>
  <si>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</si>
  <si>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</si>
  <si>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</si>
  <si>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</si>
  <si>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</si>
  <si>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</si>
  <si>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</si>
  <si>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</si>
  <si>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</si>
  <si>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</si>
  <si>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</si>
  <si>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</si>
  <si>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</si>
  <si>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</si>
  <si>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</si>
  <si>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</si>
  <si>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</si>
  <si>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</si>
  <si>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</si>
  <si>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</si>
  <si>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</si>
  <si>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</si>
  <si>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</si>
  <si>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</si>
  <si>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</si>
  <si>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</si>
  <si>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</si>
  <si>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</si>
  <si>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</si>
  <si>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</si>
  <si>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</si>
  <si>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</si>
  <si>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</si>
  <si>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</si>
  <si>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</si>
  <si>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</si>
  <si>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</si>
  <si>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</si>
  <si>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</si>
  <si>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</si>
  <si>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</si>
  <si>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</si>
  <si>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r>
      <rPr>
        <b/>
        <sz val="10"/>
        <color rgb="FF000000"/>
        <rFont val="Calibri"/>
        <family val="2"/>
        <scheme val="minor"/>
      </rPr>
      <t>Férias e Adicional de Férias</t>
    </r>
    <r>
      <rPr>
        <sz val="10"/>
        <color rgb="FF000000"/>
        <rFont val="Calibri"/>
        <family val="2"/>
        <scheme val="minor"/>
      </rPr>
      <t xml:space="preserve"> - [(Rem + Rem/3)/12]</t>
    </r>
  </si>
  <si>
    <t>Total do Submódulo 2.1</t>
  </si>
  <si>
    <t>Nota 4</t>
  </si>
  <si>
    <t>Como a Planilha de Custos é calculada mensalmente, provisiona-se proporcionalmente 1/12 (um doze avos) dos valores referentes à gratificação natalina, férias e adicional de férias</t>
  </si>
  <si>
    <t>Nota 5</t>
  </si>
  <si>
    <t>Nota 6</t>
  </si>
  <si>
    <t xml:space="preserve">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</si>
  <si>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</si>
  <si>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</si>
  <si>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</si>
  <si>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</si>
  <si>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</si>
  <si>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</si>
  <si>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</si>
  <si>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</si>
  <si>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</si>
  <si>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</si>
  <si>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</si>
  <si>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</si>
  <si>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</si>
  <si>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</si>
  <si>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</si>
  <si>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</si>
  <si>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</si>
  <si>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</si>
  <si>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</si>
  <si>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</si>
  <si>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</si>
  <si>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</si>
  <si>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</si>
  <si>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</si>
  <si>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</si>
  <si>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</si>
  <si>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</si>
  <si>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</si>
  <si>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</si>
  <si>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</si>
  <si>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</si>
  <si>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</si>
  <si>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</si>
  <si>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</si>
  <si>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</si>
  <si>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</si>
  <si>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</si>
  <si>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</si>
  <si>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</si>
  <si>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</si>
  <si>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</si>
  <si>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</si>
  <si>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</si>
  <si>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</si>
  <si>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</si>
  <si>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</si>
  <si>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</si>
  <si>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</si>
  <si>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</si>
  <si>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</si>
  <si>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</si>
  <si>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</si>
  <si>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</si>
  <si>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</si>
  <si>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</si>
  <si>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</si>
  <si>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</si>
  <si>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</si>
  <si>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</si>
  <si>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</si>
  <si>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</si>
  <si>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</si>
  <si>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</si>
  <si>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</si>
  <si>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Nota 13</t>
  </si>
  <si>
    <t xml:space="preserve">Módulo 2 - Encargos e Beneficios Anuais , Mensais e Diários </t>
  </si>
  <si>
    <t>13º (Décimo Terceiro) Salário, Férias e Adicional de Férias</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</si>
  <si>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</si>
  <si>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</si>
  <si>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</si>
  <si>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</si>
  <si>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</si>
  <si>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</si>
  <si>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</si>
  <si>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</si>
  <si>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</si>
  <si>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</si>
  <si>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</si>
  <si>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</si>
  <si>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Ano do Acordo, Convenção ou Sentença Normativa em Dissídio Coletivo</t>
  </si>
  <si>
    <t>QUADRO RESUMO DO VALOR MENSAL DOS SERVIÇOS</t>
  </si>
  <si>
    <t>TIPO DE SERVIÇO - ESCALA DE TRABALHO</t>
  </si>
  <si>
    <t>QUANTIDADE DE  POSTOS</t>
  </si>
  <si>
    <t>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</si>
  <si>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</si>
  <si>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</si>
  <si>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</si>
  <si>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</si>
  <si>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</si>
  <si>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</si>
  <si>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</si>
  <si>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</si>
  <si>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</si>
  <si>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</si>
  <si>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</si>
  <si>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Nota 14</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</si>
  <si>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</si>
  <si>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</si>
  <si>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</si>
  <si>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</si>
  <si>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</si>
  <si>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</si>
  <si>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</si>
  <si>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</si>
  <si>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</si>
  <si>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</si>
  <si>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</si>
  <si>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</si>
  <si>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</si>
  <si>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 xml:space="preserve">Transporte </t>
    </r>
    <r>
      <rPr>
        <sz val="10"/>
        <color rgb="FF000000"/>
        <rFont val="Calibri"/>
        <family val="2"/>
      </rPr>
      <t xml:space="preserve">     [(2xVTx22)x(6%xSB)]</t>
    </r>
  </si>
  <si>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</si>
  <si>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</si>
  <si>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</si>
  <si>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 xml:space="preserve">13º (décimo terceiro) Salário, Férias e Adicional de Férias </t>
  </si>
  <si>
    <t>QUADRO RESUMO DO CUSTO POR EMPREGADO</t>
  </si>
  <si>
    <t>MÃO DE OBRA VINCULADA À EXECUÇÃO CONTRATUAL (valor por empregado)</t>
  </si>
  <si>
    <t>Valor total mensal por Empregado</t>
  </si>
  <si>
    <t>Pesquisa de Preço*</t>
  </si>
  <si>
    <t>CCT 2020/2021</t>
  </si>
  <si>
    <t>Tipo de serviço: Manutenção de Edificações</t>
  </si>
  <si>
    <t>Salário Normativo da Categoria Profissional  - 44hs/semanais</t>
  </si>
  <si>
    <t>01.05.2021</t>
  </si>
  <si>
    <t xml:space="preserve">C  </t>
  </si>
  <si>
    <t>Base de Cálculo</t>
  </si>
  <si>
    <r>
      <rPr>
        <b/>
        <sz val="10"/>
        <color rgb="FF000000"/>
        <rFont val="Calibri"/>
        <family val="2"/>
        <scheme val="minor"/>
      </rPr>
      <t>Salário Base</t>
    </r>
    <r>
      <rPr>
        <sz val="10"/>
        <color rgb="FF000000"/>
        <rFont val="Calibri"/>
        <family val="2"/>
        <scheme val="minor"/>
      </rPr>
      <t xml:space="preserve"> - Jornada de Trabalho de 44hs semanais - Cláusula Terceira (Auxiliar de Produção)</t>
    </r>
  </si>
  <si>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</si>
  <si>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</si>
  <si>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</si>
  <si>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</si>
  <si>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</si>
  <si>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</si>
  <si>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</si>
  <si>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</si>
  <si>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</si>
  <si>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</si>
  <si>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</si>
  <si>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</si>
  <si>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</si>
  <si>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</si>
  <si>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</si>
  <si>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</si>
  <si>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</si>
  <si>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</si>
  <si>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</si>
  <si>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</si>
  <si>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</si>
  <si>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</si>
  <si>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</si>
  <si>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</si>
  <si>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</si>
  <si>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</si>
  <si>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</si>
  <si>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</si>
  <si>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Trabalhador da Manutenção da Edificações - 44hs</t>
  </si>
  <si>
    <t>Valor Total por Empregado - TRABALHADOR DA MANUTENÇAO DE EDIFICAÇÕES 44hs semanais</t>
  </si>
  <si>
    <t xml:space="preserve">Valor do Prêmio de Assiduidade / Auxílio-Alimentação </t>
  </si>
  <si>
    <t>Percentual de participação do empregado sobre o Prêmio de Assiduidade / Auxílio-alimentação</t>
  </si>
  <si>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</si>
  <si>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Outros (especificar)</t>
  </si>
  <si>
    <r>
      <t xml:space="preserve">PLANILHA DA ADMINISTRAÇÃO - IFFAR </t>
    </r>
    <r>
      <rPr>
        <b/>
        <i/>
        <sz val="10"/>
        <color rgb="FFFF0000"/>
        <rFont val="Calibri"/>
        <family val="2"/>
      </rPr>
      <t>CAMPUS</t>
    </r>
    <r>
      <rPr>
        <b/>
        <sz val="10"/>
        <color rgb="FFFF0000"/>
        <rFont val="Calibri"/>
        <family val="2"/>
        <charset val="1"/>
      </rPr>
      <t xml:space="preserve"> SANTO AUGUSTO</t>
    </r>
  </si>
  <si>
    <t>Santo Augusto/RS</t>
  </si>
  <si>
    <t>VALOR TOTAL PARA 01 POSTO - TRABALHADOR DA MANUTENÇÃO DE EDIFICAÇÕES - 44hs semanais</t>
  </si>
  <si>
    <t xml:space="preserve">Posto de Trabalho: Trabalhador da Manutenção de Edificações </t>
  </si>
  <si>
    <t>VALOR MENSAL DO SERVIÇO</t>
  </si>
  <si>
    <t>23243.000789/2021-84</t>
  </si>
  <si>
    <t>03/2021</t>
  </si>
  <si>
    <t>10.662.072/0005-81</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</si>
  <si>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</si>
  <si>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</si>
  <si>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</si>
  <si>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</si>
  <si>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</si>
  <si>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Apoio Administrativo - Trabalhador da Manutenção de Edificações - 44hs semanais. Santo Augusto.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</si>
</sst>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5" formatCode="&quot;R$&quot;\ #,##0"/>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474">
    <xf numFmtId="0" fontId="0" fillId="0" borderId="0" xfId="0"/>
    <xf numFmtId="0" fontId="14" fillId="0" borderId="0" xfId="0" applyFont="1"/>
    <xf numFmtId="0" fontId="18" fillId="0" borderId="13" xfId="0" applyFont="1" applyBorder="1" applyAlignment="1" applyProtection="1">
      <alignment horizontal="center" vertical="center"/>
    </xf>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Alignment="1" applyProtection="1">
      <alignment vertical="center"/>
      <protection locked="0"/>
    </xf>
    <xf numFmtId="0" fontId="17" fillId="0" borderId="0" xfId="0" applyFont="1" applyAlignment="1">
      <alignment vertical="center"/>
    </xf>
    <xf numFmtId="0" fontId="32" fillId="0" borderId="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7" fillId="0" borderId="0" xfId="0" applyFont="1" applyFill="1" applyBorder="1" applyAlignment="1">
      <alignment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18" fillId="14" borderId="29"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0" fontId="18" fillId="0" borderId="22" xfId="0" applyFont="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22" fillId="2" borderId="3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vertical="center"/>
    </xf>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35" fillId="0" borderId="17" xfId="0" applyFont="1" applyFill="1" applyBorder="1" applyAlignment="1" applyProtection="1">
      <alignment horizontal="right" vertical="center" wrapText="1"/>
      <protection locked="0"/>
    </xf>
    <xf numFmtId="8" fontId="35" fillId="0" borderId="17" xfId="1" applyNumberFormat="1" applyFont="1" applyFill="1" applyBorder="1" applyAlignment="1" applyProtection="1">
      <alignment horizontal="right" vertical="center"/>
      <protection locked="0"/>
    </xf>
    <xf numFmtId="0" fontId="34" fillId="0" borderId="9" xfId="0" applyFont="1" applyFill="1" applyBorder="1" applyAlignment="1" applyProtection="1">
      <alignment horizontal="right" vertical="center"/>
      <protection locked="0"/>
    </xf>
    <xf numFmtId="0" fontId="35" fillId="0" borderId="13" xfId="0" applyFont="1" applyBorder="1" applyAlignment="1" applyProtection="1">
      <alignment horizontal="center" vertical="center"/>
    </xf>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18" fillId="4" borderId="21" xfId="0" applyFont="1" applyFill="1" applyBorder="1" applyAlignment="1" applyProtection="1">
      <alignment horizontal="right" vertical="center"/>
    </xf>
    <xf numFmtId="164" fontId="22" fillId="4" borderId="5" xfId="0" applyNumberFormat="1" applyFont="1" applyFill="1" applyBorder="1" applyAlignment="1" applyProtection="1">
      <alignment vertical="center"/>
    </xf>
    <xf numFmtId="0" fontId="18" fillId="4" borderId="0" xfId="0" applyFont="1" applyFill="1" applyBorder="1" applyAlignment="1" applyProtection="1">
      <alignment horizontal="right" vertical="center"/>
    </xf>
    <xf numFmtId="164" fontId="22" fillId="4" borderId="28" xfId="0" applyNumberFormat="1" applyFont="1" applyFill="1" applyBorder="1" applyAlignment="1" applyProtection="1">
      <alignment vertical="center"/>
    </xf>
    <xf numFmtId="0" fontId="18" fillId="4" borderId="2" xfId="0" applyFont="1" applyFill="1" applyBorder="1" applyAlignment="1" applyProtection="1">
      <alignment horizontal="right" vertical="center"/>
    </xf>
    <xf numFmtId="164" fontId="22" fillId="4" borderId="7" xfId="0" applyNumberFormat="1" applyFont="1" applyFill="1" applyBorder="1" applyAlignment="1" applyProtection="1">
      <alignment vertical="center"/>
    </xf>
    <xf numFmtId="0" fontId="42" fillId="4" borderId="29"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xf>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2" fillId="0" borderId="29" xfId="2" applyNumberFormat="1" applyFont="1" applyBorder="1" applyAlignment="1">
      <alignment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10" fontId="21" fillId="3" borderId="29" xfId="0" applyNumberFormat="1" applyFont="1" applyFill="1" applyBorder="1" applyAlignment="1">
      <alignment horizontal="center" vertical="center"/>
    </xf>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10" fontId="10" fillId="21" borderId="29" xfId="3" applyNumberFormat="1" applyFont="1" applyFill="1" applyBorder="1" applyAlignment="1">
      <alignment horizontal="center" vertical="center"/>
    </xf>
    <xf numFmtId="164" fontId="58" fillId="15" borderId="29" xfId="0" applyNumberFormat="1" applyFont="1" applyFill="1" applyBorder="1" applyAlignment="1" applyProtection="1">
      <alignment horizontal="center" vertical="center"/>
    </xf>
    <xf numFmtId="0" fontId="59" fillId="0" borderId="0" xfId="0" applyFont="1" applyAlignment="1">
      <alignment horizontal="left" wrapText="1"/>
    </xf>
    <xf numFmtId="0" fontId="59" fillId="0" borderId="29" xfId="0" applyFont="1" applyBorder="1" applyAlignment="1">
      <alignment horizontal="left" wrapText="1"/>
    </xf>
    <xf numFmtId="0" fontId="59"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0" fontId="51" fillId="0" borderId="29" xfId="0" applyFont="1" applyBorder="1" applyAlignment="1">
      <alignment horizontal="center" vertical="center"/>
    </xf>
    <xf numFmtId="0" fontId="23" fillId="0" borderId="29" xfId="0" applyFont="1" applyFill="1" applyBorder="1" applyAlignment="1" applyProtection="1">
      <alignment horizontal="left" vertical="center"/>
    </xf>
    <xf numFmtId="0" fontId="22" fillId="0" borderId="13" xfId="0" applyFont="1" applyBorder="1" applyAlignment="1" applyProtection="1">
      <alignment horizontal="center" vertical="center"/>
    </xf>
    <xf numFmtId="172" fontId="51" fillId="15" borderId="29" xfId="2" applyNumberFormat="1" applyFont="1" applyFill="1" applyBorder="1" applyAlignment="1">
      <alignment horizontal="center" vertical="center"/>
    </xf>
    <xf numFmtId="0" fontId="0" fillId="0" borderId="0" xfId="0" applyAlignment="1">
      <alignment vertical="center"/>
    </xf>
    <xf numFmtId="0" fontId="18" fillId="0" borderId="29" xfId="0" applyFont="1" applyBorder="1" applyAlignment="1" applyProtection="1">
      <alignment vertical="center"/>
    </xf>
    <xf numFmtId="0" fontId="18" fillId="12" borderId="29" xfId="0" applyFont="1" applyFill="1" applyBorder="1" applyAlignment="1" applyProtection="1">
      <alignment horizontal="right" vertical="center"/>
    </xf>
    <xf numFmtId="0" fontId="17" fillId="0" borderId="0" xfId="0" applyFont="1" applyAlignment="1" applyProtection="1">
      <alignment horizontal="center" vertical="center"/>
      <protection locked="0"/>
    </xf>
    <xf numFmtId="10" fontId="17" fillId="0" borderId="0" xfId="3" applyNumberFormat="1" applyFont="1" applyBorder="1" applyAlignment="1" applyProtection="1">
      <alignment vertical="center"/>
      <protection locked="0"/>
    </xf>
    <xf numFmtId="0" fontId="18" fillId="0" borderId="1" xfId="0" applyFont="1" applyBorder="1" applyAlignment="1" applyProtection="1">
      <alignment horizontal="left" vertical="center"/>
    </xf>
    <xf numFmtId="0" fontId="18" fillId="0" borderId="9" xfId="0" applyFont="1" applyBorder="1" applyAlignment="1" applyProtection="1">
      <alignment horizontal="right" vertical="center"/>
    </xf>
    <xf numFmtId="0" fontId="0" fillId="0" borderId="0" xfId="0" applyFill="1" applyAlignment="1">
      <alignment vertical="center"/>
    </xf>
    <xf numFmtId="8" fontId="17" fillId="0" borderId="0" xfId="0" applyNumberFormat="1" applyFont="1" applyAlignment="1" applyProtection="1">
      <alignment vertical="center"/>
      <protection locked="0"/>
    </xf>
    <xf numFmtId="0" fontId="18" fillId="17" borderId="29" xfId="0" applyFont="1" applyFill="1" applyBorder="1" applyAlignment="1" applyProtection="1">
      <alignment horizontal="center" vertical="center"/>
    </xf>
    <xf numFmtId="0" fontId="18" fillId="16" borderId="30" xfId="0" applyFont="1" applyFill="1" applyBorder="1" applyAlignment="1" applyProtection="1">
      <alignment horizontal="center" vertical="center"/>
    </xf>
    <xf numFmtId="167" fontId="23" fillId="0" borderId="9" xfId="0" applyNumberFormat="1" applyFont="1" applyFill="1" applyBorder="1" applyAlignment="1" applyProtection="1">
      <alignment horizontal="distributed" vertical="center" wrapText="1"/>
    </xf>
    <xf numFmtId="0" fontId="25" fillId="0" borderId="0" xfId="0" applyFont="1" applyFill="1" applyAlignment="1">
      <alignment vertical="center"/>
    </xf>
    <xf numFmtId="0" fontId="25" fillId="0" borderId="0" xfId="0" applyFont="1" applyAlignment="1" applyProtection="1">
      <alignment vertical="center"/>
      <protection locked="0"/>
    </xf>
    <xf numFmtId="172" fontId="23"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3" fillId="0" borderId="29" xfId="0" applyNumberFormat="1" applyFont="1" applyFill="1" applyBorder="1" applyAlignment="1" applyProtection="1">
      <alignment horizontal="distributed" vertical="center" wrapText="1"/>
      <protection locked="0"/>
    </xf>
    <xf numFmtId="0" fontId="17" fillId="0" borderId="0" xfId="0" applyFont="1" applyFill="1" applyBorder="1" applyAlignment="1" applyProtection="1">
      <alignment vertical="center"/>
      <protection locked="0"/>
    </xf>
    <xf numFmtId="0" fontId="22" fillId="2" borderId="19" xfId="0" applyFont="1" applyFill="1" applyBorder="1" applyAlignment="1">
      <alignment horizontal="center" vertical="center"/>
    </xf>
    <xf numFmtId="0" fontId="18" fillId="0" borderId="14" xfId="0" applyFont="1" applyFill="1" applyBorder="1" applyAlignment="1" applyProtection="1">
      <alignment horizontal="center" vertical="center"/>
    </xf>
    <xf numFmtId="0" fontId="22" fillId="4" borderId="27" xfId="0" applyFont="1" applyFill="1" applyBorder="1" applyAlignment="1">
      <alignment horizontal="center" vertical="center"/>
    </xf>
    <xf numFmtId="10" fontId="17" fillId="0" borderId="0" xfId="0" applyNumberFormat="1" applyFont="1" applyFill="1" applyBorder="1" applyAlignment="1" applyProtection="1">
      <alignment vertical="center"/>
      <protection locked="0"/>
    </xf>
    <xf numFmtId="0" fontId="18" fillId="6" borderId="29" xfId="0" applyFont="1" applyFill="1" applyBorder="1" applyAlignment="1" applyProtection="1">
      <alignment horizontal="center" vertical="center"/>
    </xf>
    <xf numFmtId="0" fontId="22" fillId="10" borderId="27" xfId="0" applyFont="1" applyFill="1" applyBorder="1" applyAlignment="1">
      <alignment horizontal="center" vertical="center"/>
    </xf>
    <xf numFmtId="0" fontId="17" fillId="0" borderId="0" xfId="0" applyFont="1" applyBorder="1" applyAlignment="1">
      <alignment vertical="center"/>
    </xf>
    <xf numFmtId="0" fontId="30" fillId="0" borderId="0" xfId="0" applyFont="1" applyBorder="1" applyAlignment="1" applyProtection="1">
      <alignment horizontal="center" vertical="center"/>
    </xf>
    <xf numFmtId="0" fontId="44"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7" fillId="17" borderId="18" xfId="0" applyFont="1" applyFill="1" applyBorder="1" applyAlignment="1" applyProtection="1">
      <alignment horizontal="center" vertical="center"/>
    </xf>
    <xf numFmtId="167" fontId="17"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22" fillId="6" borderId="2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pplyProtection="1">
      <alignment vertical="center"/>
      <protection locked="0"/>
    </xf>
    <xf numFmtId="0" fontId="22" fillId="6" borderId="19" xfId="0" applyFont="1" applyFill="1" applyBorder="1" applyAlignment="1">
      <alignment horizontal="center" vertical="center"/>
    </xf>
    <xf numFmtId="0" fontId="27" fillId="0" borderId="14" xfId="0" applyFont="1" applyFill="1" applyBorder="1" applyAlignment="1" applyProtection="1">
      <alignment horizontal="center" vertical="center"/>
    </xf>
    <xf numFmtId="0" fontId="22" fillId="0" borderId="0" xfId="0" applyFont="1" applyFill="1" applyBorder="1" applyAlignment="1">
      <alignment horizontal="center" vertical="center"/>
    </xf>
    <xf numFmtId="0" fontId="27" fillId="0" borderId="13" xfId="0" applyFont="1" applyFill="1" applyBorder="1" applyAlignment="1" applyProtection="1">
      <alignment horizontal="center" vertical="center"/>
    </xf>
    <xf numFmtId="44" fontId="17" fillId="0" borderId="9" xfId="0" applyNumberFormat="1" applyFont="1" applyFill="1" applyBorder="1" applyAlignment="1">
      <alignment horizontal="right" vertical="center"/>
    </xf>
    <xf numFmtId="0" fontId="27" fillId="0" borderId="22" xfId="0" applyFont="1" applyFill="1" applyBorder="1" applyAlignment="1" applyProtection="1">
      <alignment horizontal="center" vertical="center"/>
    </xf>
    <xf numFmtId="44" fontId="22" fillId="6" borderId="29" xfId="0" applyNumberFormat="1" applyFont="1" applyFill="1" applyBorder="1" applyAlignment="1" applyProtection="1">
      <alignment vertical="center"/>
    </xf>
    <xf numFmtId="0" fontId="17" fillId="0" borderId="0" xfId="0" applyFont="1" applyAlignment="1" applyProtection="1">
      <alignment vertical="center"/>
    </xf>
    <xf numFmtId="44" fontId="27"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8"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51" fillId="15" borderId="10" xfId="0" applyFont="1" applyFill="1" applyBorder="1" applyAlignment="1">
      <alignment horizontal="center" vertical="center"/>
    </xf>
    <xf numFmtId="175" fontId="52" fillId="15" borderId="29" xfId="2" applyNumberFormat="1" applyFont="1" applyFill="1" applyBorder="1" applyAlignment="1">
      <alignment vertical="center"/>
    </xf>
    <xf numFmtId="0" fontId="51" fillId="0" borderId="10" xfId="0" applyFont="1" applyFill="1" applyBorder="1" applyAlignment="1">
      <alignment horizontal="center" vertical="center"/>
    </xf>
    <xf numFmtId="3" fontId="52" fillId="0" borderId="29" xfId="2" applyNumberFormat="1" applyFont="1" applyFill="1" applyBorder="1" applyAlignment="1">
      <alignment vertical="center"/>
    </xf>
    <xf numFmtId="0" fontId="51" fillId="2" borderId="29" xfId="0" applyFont="1" applyFill="1" applyBorder="1" applyAlignment="1">
      <alignment horizontal="center" vertical="center"/>
    </xf>
    <xf numFmtId="175" fontId="52" fillId="2" borderId="29" xfId="2" applyNumberFormat="1" applyFont="1" applyFill="1" applyBorder="1" applyAlignment="1">
      <alignment vertical="center"/>
    </xf>
    <xf numFmtId="0" fontId="51" fillId="0" borderId="29" xfId="0" applyFont="1" applyFill="1" applyBorder="1" applyAlignment="1">
      <alignment horizontal="center" vertical="center"/>
    </xf>
    <xf numFmtId="172" fontId="51" fillId="0" borderId="29" xfId="2" applyNumberFormat="1" applyFont="1" applyFill="1" applyBorder="1" applyAlignment="1">
      <alignment vertical="center"/>
    </xf>
    <xf numFmtId="0" fontId="56" fillId="0" borderId="0" xfId="0" applyFont="1" applyAlignment="1">
      <alignment vertical="center"/>
    </xf>
    <xf numFmtId="0" fontId="52" fillId="0" borderId="0" xfId="0" applyFont="1" applyAlignment="1">
      <alignment vertical="center"/>
    </xf>
    <xf numFmtId="0" fontId="14" fillId="0" borderId="2" xfId="0" applyFont="1" applyBorder="1" applyAlignment="1">
      <alignment vertical="center"/>
    </xf>
    <xf numFmtId="0" fontId="14" fillId="0" borderId="0" xfId="0" applyFont="1" applyAlignment="1">
      <alignment vertical="center"/>
    </xf>
    <xf numFmtId="0" fontId="19" fillId="3" borderId="29" xfId="0" applyFont="1" applyFill="1" applyBorder="1" applyAlignment="1" applyProtection="1">
      <alignment horizontal="center" vertical="center"/>
      <protection locked="0"/>
    </xf>
    <xf numFmtId="49" fontId="20" fillId="3" borderId="29" xfId="0" applyNumberFormat="1" applyFont="1" applyFill="1" applyBorder="1" applyAlignment="1" applyProtection="1">
      <alignment horizontal="center"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0" fontId="10" fillId="15" borderId="29"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xf>
    <xf numFmtId="0" fontId="18" fillId="7" borderId="29" xfId="0" applyFont="1" applyFill="1" applyBorder="1" applyAlignment="1" applyProtection="1">
      <alignment horizontal="center" vertical="center"/>
    </xf>
    <xf numFmtId="165" fontId="16" fillId="12" borderId="29" xfId="0" applyNumberFormat="1"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xf>
    <xf numFmtId="0" fontId="18" fillId="0" borderId="29" xfId="0" applyFont="1" applyBorder="1" applyAlignment="1" applyProtection="1">
      <alignment horizontal="left" vertical="center"/>
    </xf>
    <xf numFmtId="0" fontId="20" fillId="11" borderId="29" xfId="0" applyFont="1" applyFill="1" applyBorder="1" applyAlignment="1" applyProtection="1">
      <alignment horizontal="center" vertical="center"/>
      <protection locked="0"/>
    </xf>
    <xf numFmtId="0" fontId="26" fillId="0" borderId="3" xfId="0" applyFont="1" applyBorder="1" applyAlignment="1" applyProtection="1">
      <alignment horizontal="left" vertical="center"/>
    </xf>
    <xf numFmtId="0" fontId="26" fillId="0" borderId="12" xfId="0" applyFont="1" applyBorder="1" applyAlignment="1" applyProtection="1">
      <alignment horizontal="left" vertical="center"/>
    </xf>
    <xf numFmtId="0" fontId="26" fillId="0" borderId="8" xfId="0" applyFont="1" applyBorder="1" applyAlignment="1" applyProtection="1">
      <alignment horizontal="left" vertical="center"/>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12" borderId="3" xfId="0" applyFont="1" applyFill="1" applyBorder="1" applyAlignment="1" applyProtection="1">
      <alignment horizontal="left" vertical="center"/>
    </xf>
    <xf numFmtId="0" fontId="17" fillId="12" borderId="12" xfId="0" applyFont="1" applyFill="1" applyBorder="1" applyAlignment="1" applyProtection="1">
      <alignment horizontal="left" vertical="center"/>
    </xf>
    <xf numFmtId="0" fontId="17" fillId="12" borderId="8" xfId="0" applyFont="1" applyFill="1" applyBorder="1" applyAlignment="1">
      <alignment horizontal="left" vertical="center"/>
    </xf>
    <xf numFmtId="0" fontId="18" fillId="0" borderId="0" xfId="0" applyFont="1" applyBorder="1" applyAlignment="1" applyProtection="1">
      <alignment horizontal="center" vertical="center"/>
    </xf>
    <xf numFmtId="0" fontId="18" fillId="0" borderId="13" xfId="0" applyFont="1" applyBorder="1" applyAlignment="1" applyProtection="1">
      <alignment horizontal="left" vertical="center"/>
    </xf>
    <xf numFmtId="0" fontId="18" fillId="0" borderId="1" xfId="0" applyFont="1" applyBorder="1" applyAlignment="1" applyProtection="1">
      <alignment horizontal="left" vertical="center"/>
    </xf>
    <xf numFmtId="0" fontId="18" fillId="8" borderId="13" xfId="0" applyFont="1" applyFill="1" applyBorder="1" applyAlignment="1" applyProtection="1">
      <alignment horizontal="center" vertical="center"/>
    </xf>
    <xf numFmtId="0" fontId="18" fillId="8" borderId="1" xfId="0" applyFont="1" applyFill="1" applyBorder="1" applyAlignment="1" applyProtection="1">
      <alignment horizontal="center" vertical="center"/>
    </xf>
    <xf numFmtId="0" fontId="18" fillId="8" borderId="3" xfId="0" applyFont="1" applyFill="1" applyBorder="1" applyAlignment="1" applyProtection="1">
      <alignment horizontal="center" vertical="center"/>
    </xf>
    <xf numFmtId="0" fontId="18" fillId="8" borderId="9" xfId="0" applyFont="1" applyFill="1" applyBorder="1" applyAlignment="1" applyProtection="1">
      <alignment horizontal="center" vertical="center"/>
    </xf>
    <xf numFmtId="0" fontId="1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22" fontId="17" fillId="11" borderId="3" xfId="0" applyNumberFormat="1" applyFont="1" applyFill="1" applyBorder="1" applyAlignment="1" applyProtection="1">
      <alignment horizontal="center" vertical="center"/>
    </xf>
    <xf numFmtId="0" fontId="17" fillId="11" borderId="12" xfId="0" applyFont="1" applyFill="1" applyBorder="1" applyAlignment="1" applyProtection="1">
      <alignment horizontal="center" vertical="center"/>
    </xf>
    <xf numFmtId="0" fontId="17" fillId="11" borderId="17" xfId="0" applyFont="1" applyFill="1" applyBorder="1" applyAlignment="1" applyProtection="1">
      <alignment horizontal="center" vertical="center"/>
    </xf>
    <xf numFmtId="0" fontId="17" fillId="0" borderId="3" xfId="0" applyFont="1" applyFill="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lignment horizontal="left" vertical="center"/>
    </xf>
    <xf numFmtId="0" fontId="5" fillId="13" borderId="29" xfId="0" applyFont="1" applyFill="1" applyBorder="1" applyAlignment="1" applyProtection="1">
      <alignment horizontal="center" vertical="center"/>
    </xf>
    <xf numFmtId="0" fontId="18" fillId="7" borderId="13"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3" xfId="0" applyFont="1" applyFill="1" applyBorder="1" applyAlignment="1" applyProtection="1">
      <alignment horizontal="center" vertical="center"/>
    </xf>
    <xf numFmtId="0" fontId="18" fillId="7" borderId="9" xfId="0" applyFont="1" applyFill="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29" xfId="0" applyFont="1" applyFill="1" applyBorder="1" applyAlignment="1" applyProtection="1">
      <alignment horizontal="left" vertical="center"/>
    </xf>
    <xf numFmtId="0" fontId="17" fillId="0" borderId="29" xfId="0" applyFont="1" applyFill="1" applyBorder="1" applyAlignment="1">
      <alignment horizontal="left" vertical="center"/>
    </xf>
    <xf numFmtId="0" fontId="17" fillId="12" borderId="29" xfId="0" applyFont="1" applyFill="1" applyBorder="1" applyAlignment="1" applyProtection="1">
      <alignment horizontal="left" vertical="center"/>
    </xf>
    <xf numFmtId="0" fontId="18" fillId="19" borderId="29" xfId="0" applyFont="1" applyFill="1" applyBorder="1" applyAlignment="1" applyProtection="1">
      <alignment horizontal="center" vertical="center"/>
    </xf>
    <xf numFmtId="0" fontId="18" fillId="20" borderId="29" xfId="0" applyFont="1" applyFill="1" applyBorder="1" applyAlignment="1" applyProtection="1">
      <alignment horizontal="center" vertical="center"/>
    </xf>
    <xf numFmtId="0" fontId="17" fillId="20" borderId="3" xfId="0" applyFont="1" applyFill="1" applyBorder="1" applyAlignment="1" applyProtection="1">
      <alignment horizontal="center" vertical="center"/>
    </xf>
    <xf numFmtId="0" fontId="17" fillId="20" borderId="8" xfId="0" applyFont="1" applyFill="1" applyBorder="1" applyAlignment="1" applyProtection="1">
      <alignment horizontal="center" vertical="center"/>
    </xf>
    <xf numFmtId="0" fontId="27" fillId="0" borderId="29" xfId="0" applyFont="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3" xfId="0" applyFont="1" applyFill="1" applyBorder="1" applyAlignment="1" applyProtection="1">
      <alignment horizontal="center" vertical="center"/>
    </xf>
    <xf numFmtId="0" fontId="17" fillId="0" borderId="12" xfId="0" applyFont="1" applyFill="1" applyBorder="1" applyAlignment="1" applyProtection="1">
      <alignment horizontal="center" vertical="center"/>
    </xf>
    <xf numFmtId="0" fontId="21" fillId="0" borderId="12" xfId="0" applyFont="1" applyFill="1" applyBorder="1" applyAlignment="1" applyProtection="1">
      <alignment horizontal="center" vertical="center" wrapText="1"/>
      <protection locked="0"/>
    </xf>
    <xf numFmtId="0" fontId="21" fillId="0" borderId="17"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24" fillId="15" borderId="25" xfId="0" applyFont="1" applyFill="1" applyBorder="1" applyAlignment="1" applyProtection="1">
      <alignment horizontal="right" vertical="center"/>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0" fontId="38" fillId="4" borderId="29" xfId="0" applyFont="1" applyFill="1" applyBorder="1" applyAlignment="1" applyProtection="1">
      <alignment horizontal="left" vertical="center" wrapText="1"/>
    </xf>
    <xf numFmtId="0" fontId="23" fillId="0" borderId="29" xfId="0" applyFont="1" applyBorder="1" applyAlignment="1" applyProtection="1">
      <alignment horizontal="left" vertical="center"/>
    </xf>
    <xf numFmtId="0" fontId="18" fillId="5" borderId="29"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5" fillId="6" borderId="29" xfId="0" applyFont="1" applyFill="1" applyBorder="1" applyAlignment="1" applyProtection="1">
      <alignment horizontal="center" vertical="center"/>
    </xf>
    <xf numFmtId="0" fontId="18" fillId="17" borderId="29" xfId="0" applyFont="1" applyFill="1" applyBorder="1" applyAlignment="1" applyProtection="1">
      <alignment horizontal="center" vertical="center"/>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3" fillId="0" borderId="8"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23" fillId="0" borderId="29" xfId="0" applyFont="1" applyFill="1" applyBorder="1" applyAlignment="1" applyProtection="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38" fillId="4" borderId="3" xfId="0" applyFont="1" applyFill="1" applyBorder="1" applyAlignment="1" applyProtection="1">
      <alignment horizontal="left" vertical="center" wrapText="1"/>
    </xf>
    <xf numFmtId="0" fontId="38" fillId="4" borderId="12" xfId="0" applyFont="1" applyFill="1" applyBorder="1" applyAlignment="1" applyProtection="1">
      <alignment horizontal="left" vertical="center" wrapText="1"/>
    </xf>
    <xf numFmtId="0" fontId="38" fillId="4" borderId="8" xfId="0" applyFont="1" applyFill="1" applyBorder="1" applyAlignment="1" applyProtection="1">
      <alignment horizontal="left" vertical="center" wrapText="1"/>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xf>
    <xf numFmtId="0" fontId="17" fillId="4" borderId="7" xfId="0" applyFont="1" applyFill="1" applyBorder="1" applyAlignment="1">
      <alignment vertical="center"/>
    </xf>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3"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3" xfId="0" applyNumberFormat="1" applyFont="1" applyFill="1" applyBorder="1" applyAlignment="1" applyProtection="1">
      <alignment horizontal="center" vertical="center"/>
    </xf>
    <xf numFmtId="44" fontId="27" fillId="0" borderId="27"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4" fillId="15" borderId="25" xfId="0" applyFont="1" applyFill="1" applyBorder="1" applyAlignment="1" applyProtection="1">
      <alignment horizontal="right" vertical="center" wrapText="1"/>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0" borderId="3" xfId="0" applyNumberFormat="1" applyFont="1" applyFill="1" applyBorder="1" applyAlignment="1" applyProtection="1">
      <alignment horizontal="right" vertical="center"/>
      <protection locked="0"/>
    </xf>
    <xf numFmtId="9" fontId="17" fillId="0" borderId="8" xfId="0" applyNumberFormat="1" applyFont="1" applyFill="1" applyBorder="1" applyAlignment="1">
      <alignment horizontal="right" vertical="center"/>
    </xf>
    <xf numFmtId="0" fontId="24" fillId="6" borderId="29"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0" fontId="27"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7" fillId="0" borderId="3" xfId="0" applyFont="1" applyBorder="1" applyAlignment="1" applyProtection="1">
      <alignment horizontal="left"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2" fillId="6" borderId="29" xfId="0" applyFont="1" applyFill="1" applyBorder="1" applyAlignment="1" applyProtection="1">
      <alignment horizontal="right"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6" borderId="29" xfId="0" applyFont="1" applyFill="1" applyBorder="1" applyAlignment="1" applyProtection="1">
      <alignment horizontal="right" vertical="center"/>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58" fillId="15" borderId="29" xfId="0" applyFont="1" applyFill="1" applyBorder="1" applyAlignment="1" applyProtection="1">
      <alignment horizontal="center" vertical="center"/>
    </xf>
    <xf numFmtId="0" fontId="27" fillId="0" borderId="12" xfId="0" applyFont="1" applyFill="1" applyBorder="1" applyAlignment="1" applyProtection="1">
      <alignment horizontal="left" vertical="center" wrapText="1"/>
    </xf>
    <xf numFmtId="0" fontId="27" fillId="0" borderId="3"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0" fillId="20" borderId="3" xfId="0" applyFont="1" applyFill="1" applyBorder="1" applyAlignment="1" applyProtection="1">
      <alignment horizontal="center" vertical="center" wrapText="1"/>
      <protection locked="0"/>
    </xf>
    <xf numFmtId="0" fontId="20" fillId="20" borderId="8" xfId="0" applyFont="1" applyFill="1" applyBorder="1" applyAlignment="1" applyProtection="1">
      <alignment horizontal="center" vertical="center" wrapText="1"/>
      <protection locked="0"/>
    </xf>
    <xf numFmtId="0" fontId="50" fillId="6" borderId="29" xfId="0" applyFont="1" applyFill="1" applyBorder="1" applyAlignment="1" applyProtection="1">
      <alignment horizontal="center"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27" fillId="0" borderId="29" xfId="0" applyFont="1" applyFill="1" applyBorder="1" applyAlignment="1">
      <alignment horizontal="left" vertical="center"/>
    </xf>
    <xf numFmtId="0" fontId="17" fillId="0" borderId="29" xfId="0" applyFont="1" applyBorder="1" applyAlignment="1">
      <alignment horizontal="left" vertical="center"/>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22" fillId="2" borderId="29" xfId="0" applyFont="1" applyFill="1" applyBorder="1" applyAlignment="1" applyProtection="1">
      <alignment horizontal="right" vertical="center"/>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6" borderId="29" xfId="0" applyFont="1" applyFill="1" applyBorder="1" applyAlignment="1" applyProtection="1">
      <alignment horizontal="right" vertical="center"/>
    </xf>
    <xf numFmtId="0" fontId="47" fillId="4" borderId="29" xfId="0" applyFont="1" applyFill="1" applyBorder="1" applyAlignment="1" applyProtection="1">
      <alignment horizontal="left" vertical="center"/>
    </xf>
    <xf numFmtId="0" fontId="49" fillId="4"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27" fillId="0" borderId="3"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8" xfId="0" applyFont="1" applyFill="1" applyBorder="1" applyAlignment="1">
      <alignment horizontal="left" vertical="center"/>
    </xf>
    <xf numFmtId="0" fontId="27" fillId="0" borderId="4" xfId="0" applyFont="1" applyFill="1" applyBorder="1" applyAlignment="1">
      <alignment horizontal="left" vertical="center"/>
    </xf>
    <xf numFmtId="0" fontId="27" fillId="0" borderId="21" xfId="0" applyFont="1" applyFill="1" applyBorder="1" applyAlignment="1">
      <alignment horizontal="left" vertical="center"/>
    </xf>
    <xf numFmtId="0" fontId="27" fillId="0" borderId="5" xfId="0" applyFont="1" applyFill="1" applyBorder="1" applyAlignment="1">
      <alignment horizontal="left" vertical="center"/>
    </xf>
    <xf numFmtId="0" fontId="22" fillId="2" borderId="29" xfId="0" applyFont="1" applyFill="1" applyBorder="1" applyAlignment="1">
      <alignment horizontal="center" vertical="center"/>
    </xf>
    <xf numFmtId="0" fontId="40" fillId="4" borderId="29" xfId="0" applyFont="1" applyFill="1" applyBorder="1" applyAlignment="1" applyProtection="1">
      <alignment horizontal="left" vertical="center" wrapText="1"/>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22" fillId="15" borderId="29" xfId="0" applyFont="1" applyFill="1" applyBorder="1" applyAlignment="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10" fillId="18" borderId="29" xfId="15" applyFont="1" applyFill="1" applyBorder="1" applyAlignment="1" applyProtection="1">
      <alignment horizontal="right" vertical="center"/>
    </xf>
    <xf numFmtId="0" fontId="46" fillId="0" borderId="29" xfId="15" applyFont="1" applyBorder="1" applyAlignment="1">
      <alignment horizontal="left" vertical="center"/>
    </xf>
    <xf numFmtId="0" fontId="45" fillId="6" borderId="29" xfId="15" applyFont="1" applyFill="1" applyBorder="1" applyAlignment="1" applyProtection="1">
      <alignment horizontal="center"/>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0" fontId="52" fillId="0" borderId="3" xfId="0" applyFont="1" applyBorder="1" applyAlignment="1">
      <alignment horizontal="center" vertical="center" wrapText="1"/>
    </xf>
    <xf numFmtId="0" fontId="52" fillId="0" borderId="8" xfId="0" applyFont="1" applyBorder="1" applyAlignment="1">
      <alignment horizontal="center" vertical="center" wrapText="1"/>
    </xf>
    <xf numFmtId="0" fontId="51" fillId="0" borderId="29" xfId="0" applyFont="1" applyFill="1" applyBorder="1" applyAlignment="1">
      <alignment horizontal="center" vertical="center"/>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52" fillId="0" borderId="29" xfId="0" applyFont="1" applyBorder="1" applyAlignment="1">
      <alignment horizontal="center" vertical="center"/>
    </xf>
    <xf numFmtId="0" fontId="51" fillId="0" borderId="29" xfId="0" applyFont="1" applyBorder="1" applyAlignment="1">
      <alignment horizontal="center" vertical="center"/>
    </xf>
    <xf numFmtId="0" fontId="51" fillId="2" borderId="24" xfId="0" applyFont="1" applyFill="1" applyBorder="1" applyAlignment="1">
      <alignment horizontal="center" vertical="center" wrapText="1"/>
    </xf>
    <xf numFmtId="172" fontId="52" fillId="0" borderId="29" xfId="2" applyNumberFormat="1" applyFont="1" applyBorder="1" applyAlignment="1">
      <alignment horizontal="left" vertical="center" wrapText="1"/>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vertical="center"/>
    </xf>
    <xf numFmtId="0" fontId="51" fillId="0" borderId="0" xfId="0" applyFont="1" applyAlignment="1">
      <alignment horizontal="center" vertical="center"/>
    </xf>
    <xf numFmtId="0" fontId="52" fillId="0" borderId="0" xfId="0" applyFont="1" applyAlignment="1">
      <alignment horizontal="center" vertical="center"/>
    </xf>
    <xf numFmtId="0" fontId="51" fillId="0" borderId="0" xfId="0" applyFont="1" applyAlignment="1">
      <alignment horizontal="left" vertical="center"/>
    </xf>
    <xf numFmtId="0" fontId="55" fillId="15" borderId="29" xfId="0" applyFont="1" applyFill="1" applyBorder="1" applyAlignment="1">
      <alignment horizontal="center" vertical="center"/>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50"/>
  <sheetViews>
    <sheetView tabSelected="1" topLeftCell="A130" zoomScaleNormal="100" workbookViewId="0">
      <selection activeCell="G150" sqref="G150"/>
    </sheetView>
  </sheetViews>
  <sheetFormatPr defaultRowHeight="15"/>
  <cols>
    <col min="1" max="1" width="17.5703125" style="154" customWidth="1"/>
    <col min="2" max="2" width="17.85546875" style="154" customWidth="1"/>
    <col min="3" max="3" width="21.85546875" style="154" customWidth="1"/>
    <col min="4" max="4" width="15.42578125" style="154" customWidth="1"/>
    <col min="5" max="5" width="20.85546875" style="154" customWidth="1"/>
    <col min="6" max="6" width="20.5703125" style="154" customWidth="1"/>
    <col min="7" max="7" width="19.5703125" style="154" customWidth="1"/>
    <col min="8" max="8" width="13" style="154" customWidth="1"/>
    <col min="9" max="9" width="12.7109375" style="154" customWidth="1"/>
    <col min="10" max="16384" width="9.140625" style="154"/>
  </cols>
  <sheetData>
    <row r="1" spans="1:10">
      <c r="A1" s="219" t="s">
        <v>31</v>
      </c>
      <c r="B1" s="219"/>
      <c r="C1" s="219"/>
      <c r="D1" s="219"/>
      <c r="E1" s="219"/>
      <c r="F1" s="219"/>
      <c r="G1" s="219"/>
      <c r="H1" s="15"/>
      <c r="I1" s="15"/>
    </row>
    <row r="2" spans="1:10">
      <c r="A2" s="220" t="s">
        <v>0</v>
      </c>
      <c r="B2" s="220"/>
      <c r="C2" s="220"/>
      <c r="D2" s="220"/>
      <c r="E2" s="220"/>
      <c r="F2" s="220"/>
      <c r="G2" s="220"/>
      <c r="H2" s="15"/>
      <c r="I2" s="9"/>
    </row>
    <row r="3" spans="1:10">
      <c r="A3" s="155" t="s">
        <v>1</v>
      </c>
      <c r="B3" s="213" t="s">
        <v>238</v>
      </c>
      <c r="C3" s="213"/>
      <c r="D3" s="213"/>
      <c r="E3" s="156" t="s">
        <v>2</v>
      </c>
      <c r="F3" s="214" t="s">
        <v>239</v>
      </c>
      <c r="G3" s="214"/>
      <c r="H3" s="15"/>
      <c r="I3" s="15"/>
    </row>
    <row r="4" spans="1:10">
      <c r="A4" s="155" t="s">
        <v>3</v>
      </c>
      <c r="B4" s="221">
        <f ca="1">NOW()</f>
        <v>44384.606791666665</v>
      </c>
      <c r="C4" s="221"/>
      <c r="D4" s="221"/>
      <c r="E4" s="221"/>
      <c r="F4" s="221"/>
      <c r="G4" s="221"/>
      <c r="H4" s="15"/>
      <c r="I4" s="15"/>
    </row>
    <row r="5" spans="1:10">
      <c r="A5" s="222" t="s">
        <v>4</v>
      </c>
      <c r="B5" s="222"/>
      <c r="C5" s="222"/>
      <c r="D5" s="222"/>
      <c r="E5" s="222"/>
      <c r="F5" s="222"/>
      <c r="G5" s="222"/>
      <c r="H5" s="14"/>
      <c r="I5" s="15"/>
    </row>
    <row r="6" spans="1:10">
      <c r="A6" s="223" t="s">
        <v>5</v>
      </c>
      <c r="B6" s="223"/>
      <c r="C6" s="224" t="s">
        <v>233</v>
      </c>
      <c r="D6" s="224"/>
      <c r="E6" s="224"/>
      <c r="F6" s="224"/>
      <c r="G6" s="224"/>
      <c r="H6" s="157"/>
      <c r="I6" s="15"/>
    </row>
    <row r="7" spans="1:10">
      <c r="A7" s="223" t="s">
        <v>6</v>
      </c>
      <c r="B7" s="223"/>
      <c r="C7" s="224" t="s">
        <v>240</v>
      </c>
      <c r="D7" s="224"/>
      <c r="E7" s="224"/>
      <c r="F7" s="224"/>
      <c r="G7" s="224"/>
      <c r="H7" s="158"/>
      <c r="I7" s="15"/>
    </row>
    <row r="8" spans="1:10">
      <c r="A8" s="239" t="s">
        <v>152</v>
      </c>
      <c r="B8" s="240"/>
      <c r="C8" s="240"/>
      <c r="D8" s="159"/>
      <c r="E8" s="380">
        <v>1</v>
      </c>
      <c r="F8" s="381"/>
      <c r="G8" s="160" t="str">
        <f>IF(E8=1,"Lucro Real",IF(E8=2,"Lucro Presumido",IF(E8=3,"SIMPLES-Anexo III",IF(E8=4,"SIMPLES-Anexo IV","RT Inválido"))))</f>
        <v>Lucro Real</v>
      </c>
      <c r="H8" s="158"/>
      <c r="I8" s="15"/>
    </row>
    <row r="9" spans="1:10">
      <c r="A9" s="241" t="s">
        <v>7</v>
      </c>
      <c r="B9" s="242"/>
      <c r="C9" s="242"/>
      <c r="D9" s="242"/>
      <c r="E9" s="242"/>
      <c r="F9" s="243"/>
      <c r="G9" s="244"/>
      <c r="H9" s="158"/>
      <c r="I9" s="15"/>
    </row>
    <row r="10" spans="1:10">
      <c r="A10" s="2" t="s">
        <v>8</v>
      </c>
      <c r="B10" s="245" t="s">
        <v>9</v>
      </c>
      <c r="C10" s="246"/>
      <c r="D10" s="247"/>
      <c r="E10" s="251">
        <f ca="1">NOW()</f>
        <v>44384.606791666665</v>
      </c>
      <c r="F10" s="252"/>
      <c r="G10" s="253"/>
      <c r="H10" s="158"/>
      <c r="I10" s="15"/>
    </row>
    <row r="11" spans="1:10">
      <c r="A11" s="2" t="s">
        <v>10</v>
      </c>
      <c r="B11" s="225" t="s">
        <v>11</v>
      </c>
      <c r="C11" s="226"/>
      <c r="D11" s="227"/>
      <c r="E11" s="228" t="s">
        <v>234</v>
      </c>
      <c r="F11" s="229"/>
      <c r="G11" s="230"/>
      <c r="H11" s="15"/>
      <c r="I11" s="15"/>
    </row>
    <row r="12" spans="1:10">
      <c r="A12" s="2" t="s">
        <v>12</v>
      </c>
      <c r="B12" s="231" t="s">
        <v>153</v>
      </c>
      <c r="C12" s="232"/>
      <c r="D12" s="232"/>
      <c r="E12" s="232"/>
      <c r="F12" s="233" t="s">
        <v>192</v>
      </c>
      <c r="G12" s="234"/>
      <c r="H12" s="15"/>
      <c r="I12" s="15"/>
    </row>
    <row r="13" spans="1:10">
      <c r="A13" s="2" t="s">
        <v>13</v>
      </c>
      <c r="B13" s="235" t="s">
        <v>14</v>
      </c>
      <c r="C13" s="236"/>
      <c r="D13" s="236"/>
      <c r="E13" s="236"/>
      <c r="F13" s="237"/>
      <c r="G13" s="141">
        <v>12</v>
      </c>
      <c r="H13" s="9"/>
      <c r="I13" s="9"/>
      <c r="J13" s="161"/>
    </row>
    <row r="14" spans="1:10">
      <c r="A14" s="268" t="s">
        <v>158</v>
      </c>
      <c r="B14" s="268"/>
      <c r="C14" s="268"/>
      <c r="D14" s="268"/>
      <c r="E14" s="268"/>
      <c r="F14" s="268"/>
      <c r="G14" s="268"/>
      <c r="H14" s="9"/>
      <c r="I14" s="9"/>
      <c r="J14" s="161"/>
    </row>
    <row r="15" spans="1:10">
      <c r="A15" s="269" t="s">
        <v>159</v>
      </c>
      <c r="B15" s="269"/>
      <c r="C15" s="269"/>
      <c r="D15" s="270" t="s">
        <v>160</v>
      </c>
      <c r="E15" s="271"/>
      <c r="F15" s="270" t="s">
        <v>161</v>
      </c>
      <c r="G15" s="271"/>
      <c r="H15" s="9"/>
      <c r="I15" s="9"/>
      <c r="J15" s="161"/>
    </row>
    <row r="16" spans="1:10" ht="15" customHeight="1">
      <c r="A16" s="272" t="s">
        <v>246</v>
      </c>
      <c r="B16" s="272"/>
      <c r="C16" s="272"/>
      <c r="D16" s="273" t="s">
        <v>162</v>
      </c>
      <c r="E16" s="273"/>
      <c r="F16" s="274">
        <v>1</v>
      </c>
      <c r="G16" s="274"/>
      <c r="H16" s="9"/>
      <c r="I16" s="9"/>
      <c r="J16" s="161"/>
    </row>
    <row r="17" spans="1:10">
      <c r="A17" s="272"/>
      <c r="B17" s="272"/>
      <c r="C17" s="272"/>
      <c r="D17" s="273"/>
      <c r="E17" s="273"/>
      <c r="F17" s="274"/>
      <c r="G17" s="274"/>
      <c r="H17" s="9"/>
      <c r="I17" s="9"/>
      <c r="J17" s="161"/>
    </row>
    <row r="18" spans="1:10">
      <c r="A18" s="238"/>
      <c r="B18" s="238"/>
      <c r="C18" s="238"/>
      <c r="D18" s="238"/>
      <c r="E18" s="238"/>
      <c r="F18" s="238"/>
      <c r="G18" s="238"/>
      <c r="H18" s="15"/>
      <c r="I18" s="14"/>
    </row>
    <row r="19" spans="1:10" ht="15.75">
      <c r="A19" s="257" t="s">
        <v>171</v>
      </c>
      <c r="B19" s="257"/>
      <c r="C19" s="257"/>
      <c r="D19" s="257"/>
      <c r="E19" s="257"/>
      <c r="F19" s="257"/>
      <c r="G19" s="257"/>
      <c r="H19" s="15"/>
      <c r="I19" s="14"/>
    </row>
    <row r="20" spans="1:10">
      <c r="A20" s="258" t="s">
        <v>170</v>
      </c>
      <c r="B20" s="259"/>
      <c r="C20" s="259"/>
      <c r="D20" s="259"/>
      <c r="E20" s="259"/>
      <c r="F20" s="260"/>
      <c r="G20" s="261"/>
      <c r="H20" s="15"/>
      <c r="I20" s="14"/>
    </row>
    <row r="21" spans="1:10">
      <c r="A21" s="262" t="s">
        <v>172</v>
      </c>
      <c r="B21" s="263"/>
      <c r="C21" s="263"/>
      <c r="D21" s="263"/>
      <c r="E21" s="263"/>
      <c r="F21" s="263"/>
      <c r="G21" s="264"/>
      <c r="H21" s="15"/>
      <c r="I21" s="14"/>
    </row>
    <row r="22" spans="1:10" ht="17.25" customHeight="1">
      <c r="A22" s="152">
        <v>1</v>
      </c>
      <c r="B22" s="275" t="s">
        <v>193</v>
      </c>
      <c r="C22" s="276"/>
      <c r="D22" s="276"/>
      <c r="E22" s="277" t="s">
        <v>226</v>
      </c>
      <c r="F22" s="277"/>
      <c r="G22" s="278"/>
      <c r="H22" s="15"/>
      <c r="I22" s="14"/>
    </row>
    <row r="23" spans="1:10">
      <c r="A23" s="152">
        <v>2</v>
      </c>
      <c r="B23" s="265" t="s">
        <v>48</v>
      </c>
      <c r="C23" s="265"/>
      <c r="D23" s="265"/>
      <c r="E23" s="265"/>
      <c r="F23" s="266"/>
      <c r="G23" s="111" t="s">
        <v>225</v>
      </c>
      <c r="H23" s="15"/>
      <c r="I23" s="14"/>
    </row>
    <row r="24" spans="1:10">
      <c r="A24" s="152">
        <v>3</v>
      </c>
      <c r="B24" s="267" t="s">
        <v>194</v>
      </c>
      <c r="C24" s="267"/>
      <c r="D24" s="267"/>
      <c r="E24" s="267"/>
      <c r="F24" s="267"/>
      <c r="G24" s="112">
        <v>1317.8</v>
      </c>
      <c r="H24" s="15"/>
      <c r="I24" s="162"/>
    </row>
    <row r="25" spans="1:10" ht="19.5" customHeight="1">
      <c r="A25" s="152">
        <v>4</v>
      </c>
      <c r="B25" s="275" t="s">
        <v>15</v>
      </c>
      <c r="C25" s="276"/>
      <c r="D25" s="276"/>
      <c r="E25" s="279" t="s">
        <v>227</v>
      </c>
      <c r="F25" s="279"/>
      <c r="G25" s="280"/>
      <c r="H25" s="15"/>
      <c r="I25" s="14"/>
    </row>
    <row r="26" spans="1:10">
      <c r="A26" s="152">
        <v>5</v>
      </c>
      <c r="B26" s="254" t="s">
        <v>16</v>
      </c>
      <c r="C26" s="255"/>
      <c r="D26" s="255"/>
      <c r="E26" s="255"/>
      <c r="F26" s="256"/>
      <c r="G26" s="113" t="s">
        <v>195</v>
      </c>
      <c r="H26" s="15"/>
      <c r="I26" s="14"/>
    </row>
    <row r="27" spans="1:10">
      <c r="A27" s="37">
        <v>6</v>
      </c>
      <c r="B27" s="265" t="s">
        <v>199</v>
      </c>
      <c r="C27" s="265"/>
      <c r="D27" s="265"/>
      <c r="E27" s="265"/>
      <c r="F27" s="265"/>
      <c r="G27" s="142">
        <v>1100</v>
      </c>
      <c r="H27" s="15"/>
      <c r="I27" s="14"/>
    </row>
    <row r="28" spans="1:10">
      <c r="A28" s="115" t="s">
        <v>61</v>
      </c>
      <c r="B28" s="248" t="s">
        <v>173</v>
      </c>
      <c r="C28" s="249"/>
      <c r="D28" s="249"/>
      <c r="E28" s="249"/>
      <c r="F28" s="249"/>
      <c r="G28" s="250"/>
      <c r="H28" s="15"/>
      <c r="I28" s="14"/>
    </row>
    <row r="29" spans="1:10" ht="15" customHeight="1">
      <c r="A29" s="42"/>
      <c r="B29" s="43"/>
      <c r="C29" s="43"/>
      <c r="D29" s="43"/>
      <c r="E29" s="43"/>
      <c r="F29" s="43"/>
      <c r="G29" s="43"/>
      <c r="H29" s="15"/>
      <c r="I29" s="14"/>
    </row>
    <row r="30" spans="1:10" ht="15.75">
      <c r="A30" s="288" t="s">
        <v>63</v>
      </c>
      <c r="B30" s="288"/>
      <c r="C30" s="288"/>
      <c r="D30" s="288"/>
      <c r="E30" s="288"/>
      <c r="F30" s="288"/>
      <c r="G30" s="288"/>
      <c r="H30" s="9"/>
      <c r="I30" s="14"/>
    </row>
    <row r="31" spans="1:10">
      <c r="A31" s="163">
        <v>1</v>
      </c>
      <c r="B31" s="289" t="s">
        <v>17</v>
      </c>
      <c r="C31" s="289"/>
      <c r="D31" s="289"/>
      <c r="E31" s="289" t="s">
        <v>19</v>
      </c>
      <c r="F31" s="289"/>
      <c r="G31" s="164" t="s">
        <v>18</v>
      </c>
      <c r="H31" s="15"/>
      <c r="I31" s="14"/>
    </row>
    <row r="32" spans="1:10">
      <c r="A32" s="149" t="s">
        <v>8</v>
      </c>
      <c r="B32" s="290" t="s">
        <v>198</v>
      </c>
      <c r="C32" s="291"/>
      <c r="D32" s="291"/>
      <c r="E32" s="291"/>
      <c r="F32" s="292"/>
      <c r="G32" s="165">
        <f>G24</f>
        <v>1317.8</v>
      </c>
      <c r="H32" s="166"/>
      <c r="I32" s="167"/>
    </row>
    <row r="33" spans="1:9">
      <c r="A33" s="298" t="s">
        <v>10</v>
      </c>
      <c r="B33" s="300" t="s">
        <v>200</v>
      </c>
      <c r="C33" s="300"/>
      <c r="D33" s="300"/>
      <c r="E33" s="151" t="s">
        <v>197</v>
      </c>
      <c r="F33" s="168">
        <f>G27</f>
        <v>1100</v>
      </c>
      <c r="G33" s="392">
        <f>F33*F34</f>
        <v>0</v>
      </c>
      <c r="H33" s="166"/>
      <c r="I33" s="167"/>
    </row>
    <row r="34" spans="1:9">
      <c r="A34" s="299"/>
      <c r="B34" s="300"/>
      <c r="C34" s="300"/>
      <c r="D34" s="300"/>
      <c r="E34" s="151" t="s">
        <v>19</v>
      </c>
      <c r="F34" s="169">
        <v>0</v>
      </c>
      <c r="G34" s="393"/>
      <c r="H34" s="166"/>
      <c r="I34" s="167"/>
    </row>
    <row r="35" spans="1:9">
      <c r="A35" s="148" t="s">
        <v>196</v>
      </c>
      <c r="B35" s="285" t="s">
        <v>64</v>
      </c>
      <c r="C35" s="285"/>
      <c r="D35" s="285"/>
      <c r="E35" s="285"/>
      <c r="F35" s="285"/>
      <c r="G35" s="170">
        <v>0</v>
      </c>
      <c r="H35" s="7"/>
      <c r="I35" s="3"/>
    </row>
    <row r="36" spans="1:9">
      <c r="A36" s="286" t="s">
        <v>94</v>
      </c>
      <c r="B36" s="286"/>
      <c r="C36" s="286"/>
      <c r="D36" s="286"/>
      <c r="E36" s="286"/>
      <c r="F36" s="286"/>
      <c r="G36" s="21">
        <f>SUM(G32:G35)</f>
        <v>1317.8</v>
      </c>
      <c r="H36" s="18"/>
      <c r="I36" s="171"/>
    </row>
    <row r="37" spans="1:9">
      <c r="A37" s="115" t="s">
        <v>62</v>
      </c>
      <c r="B37" s="287" t="s">
        <v>177</v>
      </c>
      <c r="C37" s="287"/>
      <c r="D37" s="287"/>
      <c r="E37" s="287"/>
      <c r="F37" s="287"/>
      <c r="G37" s="287"/>
      <c r="H37" s="18"/>
      <c r="I37" s="171"/>
    </row>
    <row r="38" spans="1:9">
      <c r="A38" s="35"/>
      <c r="B38" s="36"/>
      <c r="C38" s="36"/>
      <c r="D38" s="36"/>
      <c r="E38" s="36"/>
      <c r="F38" s="36"/>
      <c r="G38" s="36"/>
      <c r="H38" s="18"/>
      <c r="I38" s="171"/>
    </row>
    <row r="39" spans="1:9" ht="15.75">
      <c r="A39" s="293" t="s">
        <v>66</v>
      </c>
      <c r="B39" s="294"/>
      <c r="C39" s="294"/>
      <c r="D39" s="294"/>
      <c r="E39" s="294"/>
      <c r="F39" s="294"/>
      <c r="G39" s="295"/>
      <c r="H39" s="15"/>
      <c r="I39" s="14"/>
    </row>
    <row r="40" spans="1:9">
      <c r="A40" s="25" t="s">
        <v>32</v>
      </c>
      <c r="B40" s="296" t="s">
        <v>140</v>
      </c>
      <c r="C40" s="296"/>
      <c r="D40" s="296"/>
      <c r="E40" s="296"/>
      <c r="F40" s="297"/>
      <c r="G40" s="172" t="s">
        <v>18</v>
      </c>
      <c r="H40" s="15"/>
      <c r="I40" s="14"/>
    </row>
    <row r="41" spans="1:9">
      <c r="A41" s="4" t="s">
        <v>8</v>
      </c>
      <c r="B41" s="215" t="s">
        <v>174</v>
      </c>
      <c r="C41" s="216"/>
      <c r="D41" s="216"/>
      <c r="E41" s="216"/>
      <c r="F41" s="217"/>
      <c r="G41" s="104">
        <f>ROUND(G36/12,2)</f>
        <v>109.82</v>
      </c>
      <c r="H41" s="7"/>
      <c r="I41" s="6"/>
    </row>
    <row r="42" spans="1:9">
      <c r="A42" s="4" t="s">
        <v>10</v>
      </c>
      <c r="B42" s="215" t="s">
        <v>67</v>
      </c>
      <c r="C42" s="216"/>
      <c r="D42" s="216"/>
      <c r="E42" s="216"/>
      <c r="F42" s="217"/>
      <c r="G42" s="104">
        <f>ROUND((G36+G36/3)/12,2)</f>
        <v>146.41999999999999</v>
      </c>
      <c r="H42" s="7"/>
      <c r="I42" s="6"/>
    </row>
    <row r="43" spans="1:9">
      <c r="A43" s="281" t="s">
        <v>68</v>
      </c>
      <c r="B43" s="282"/>
      <c r="C43" s="282"/>
      <c r="D43" s="282"/>
      <c r="E43" s="282"/>
      <c r="F43" s="283"/>
      <c r="G43" s="27">
        <f>SUM(G41:G42)</f>
        <v>256.24</v>
      </c>
      <c r="H43" s="7"/>
      <c r="I43" s="6"/>
    </row>
    <row r="44" spans="1:9" ht="25.5" customHeight="1">
      <c r="A44" s="116" t="s">
        <v>65</v>
      </c>
      <c r="B44" s="284" t="s">
        <v>70</v>
      </c>
      <c r="C44" s="284"/>
      <c r="D44" s="284"/>
      <c r="E44" s="284"/>
      <c r="F44" s="284"/>
      <c r="G44" s="284"/>
      <c r="H44" s="7"/>
      <c r="I44" s="6"/>
    </row>
    <row r="45" spans="1:9" ht="37.5" customHeight="1">
      <c r="A45" s="116" t="s">
        <v>69</v>
      </c>
      <c r="B45" s="305" t="s">
        <v>73</v>
      </c>
      <c r="C45" s="306"/>
      <c r="D45" s="306"/>
      <c r="E45" s="306"/>
      <c r="F45" s="306"/>
      <c r="G45" s="307"/>
      <c r="H45" s="7"/>
      <c r="I45" s="6"/>
    </row>
    <row r="46" spans="1:9">
      <c r="A46" s="40"/>
      <c r="B46" s="41"/>
      <c r="C46" s="41"/>
      <c r="D46" s="41"/>
      <c r="E46" s="41"/>
      <c r="F46" s="41"/>
      <c r="G46" s="41"/>
      <c r="H46" s="7"/>
      <c r="I46" s="6"/>
    </row>
    <row r="47" spans="1:9" ht="34.5" customHeight="1">
      <c r="A47" s="26" t="s">
        <v>33</v>
      </c>
      <c r="B47" s="308" t="s">
        <v>141</v>
      </c>
      <c r="C47" s="308"/>
      <c r="D47" s="308"/>
      <c r="E47" s="308"/>
      <c r="F47" s="308"/>
      <c r="G47" s="308"/>
      <c r="H47" s="15"/>
      <c r="I47" s="14"/>
    </row>
    <row r="48" spans="1:9">
      <c r="A48" s="28"/>
      <c r="B48" s="309" t="s">
        <v>74</v>
      </c>
      <c r="C48" s="310"/>
      <c r="D48" s="311"/>
      <c r="E48" s="312" t="s">
        <v>19</v>
      </c>
      <c r="F48" s="313"/>
      <c r="G48" s="174" t="s">
        <v>18</v>
      </c>
      <c r="H48" s="15"/>
      <c r="I48" s="14"/>
    </row>
    <row r="49" spans="1:9">
      <c r="A49" s="4" t="s">
        <v>8</v>
      </c>
      <c r="B49" s="215" t="s">
        <v>25</v>
      </c>
      <c r="C49" s="216"/>
      <c r="D49" s="217"/>
      <c r="E49" s="303">
        <v>0.2</v>
      </c>
      <c r="F49" s="304"/>
      <c r="G49" s="105">
        <f>ROUND((G36+G43)*E49,2)</f>
        <v>314.81</v>
      </c>
      <c r="H49" s="5"/>
      <c r="I49" s="3"/>
    </row>
    <row r="50" spans="1:9">
      <c r="A50" s="4" t="s">
        <v>10</v>
      </c>
      <c r="B50" s="215" t="s">
        <v>34</v>
      </c>
      <c r="C50" s="216"/>
      <c r="D50" s="217"/>
      <c r="E50" s="301">
        <v>2.5000000000000001E-2</v>
      </c>
      <c r="F50" s="302"/>
      <c r="G50" s="105">
        <f>ROUND((G36+G43)*E50,2)</f>
        <v>39.35</v>
      </c>
      <c r="H50" s="5"/>
      <c r="I50" s="3"/>
    </row>
    <row r="51" spans="1:9">
      <c r="A51" s="4" t="s">
        <v>12</v>
      </c>
      <c r="B51" s="215" t="s">
        <v>81</v>
      </c>
      <c r="C51" s="216"/>
      <c r="D51" s="217"/>
      <c r="E51" s="303">
        <f>ROUND((H52*I52),6)</f>
        <v>0.03</v>
      </c>
      <c r="F51" s="304"/>
      <c r="G51" s="106">
        <f>ROUND((G36+G43)*E51,2)</f>
        <v>47.22</v>
      </c>
      <c r="H51" s="30" t="s">
        <v>75</v>
      </c>
      <c r="I51" s="31" t="s">
        <v>76</v>
      </c>
    </row>
    <row r="52" spans="1:9">
      <c r="A52" s="4" t="s">
        <v>13</v>
      </c>
      <c r="B52" s="215" t="s">
        <v>35</v>
      </c>
      <c r="C52" s="216"/>
      <c r="D52" s="217"/>
      <c r="E52" s="301">
        <v>1.4999999999999999E-2</v>
      </c>
      <c r="F52" s="302"/>
      <c r="G52" s="106">
        <f>ROUND((G36+G43)*E52,2)</f>
        <v>23.61</v>
      </c>
      <c r="H52" s="29">
        <v>0.03</v>
      </c>
      <c r="I52" s="32">
        <v>1</v>
      </c>
    </row>
    <row r="53" spans="1:9">
      <c r="A53" s="4" t="s">
        <v>20</v>
      </c>
      <c r="B53" s="215" t="s">
        <v>36</v>
      </c>
      <c r="C53" s="216"/>
      <c r="D53" s="217"/>
      <c r="E53" s="301">
        <v>0.01</v>
      </c>
      <c r="F53" s="302"/>
      <c r="G53" s="105">
        <f>ROUND((G36+G43)*E53,2)</f>
        <v>15.74</v>
      </c>
      <c r="H53" s="5"/>
      <c r="I53" s="3"/>
    </row>
    <row r="54" spans="1:9">
      <c r="A54" s="4" t="s">
        <v>21</v>
      </c>
      <c r="B54" s="215" t="s">
        <v>26</v>
      </c>
      <c r="C54" s="216"/>
      <c r="D54" s="217"/>
      <c r="E54" s="301">
        <v>6.0000000000000001E-3</v>
      </c>
      <c r="F54" s="302"/>
      <c r="G54" s="105">
        <f>ROUND((G36+G43)*E54,2)</f>
        <v>9.44</v>
      </c>
      <c r="H54" s="5"/>
      <c r="I54" s="3"/>
    </row>
    <row r="55" spans="1:9">
      <c r="A55" s="4" t="s">
        <v>22</v>
      </c>
      <c r="B55" s="215" t="s">
        <v>37</v>
      </c>
      <c r="C55" s="216"/>
      <c r="D55" s="217"/>
      <c r="E55" s="301">
        <v>2E-3</v>
      </c>
      <c r="F55" s="302"/>
      <c r="G55" s="105">
        <f>ROUND((G36+G43)*E55,2)</f>
        <v>3.15</v>
      </c>
      <c r="H55" s="5"/>
      <c r="I55" s="3"/>
    </row>
    <row r="56" spans="1:9">
      <c r="A56" s="4" t="s">
        <v>23</v>
      </c>
      <c r="B56" s="215" t="s">
        <v>38</v>
      </c>
      <c r="C56" s="216"/>
      <c r="D56" s="217"/>
      <c r="E56" s="301">
        <v>0.08</v>
      </c>
      <c r="F56" s="302"/>
      <c r="G56" s="105">
        <f>ROUND((G36+G43)*E56,2)</f>
        <v>125.92</v>
      </c>
      <c r="H56" s="5"/>
      <c r="I56" s="3"/>
    </row>
    <row r="57" spans="1:9">
      <c r="A57" s="327" t="s">
        <v>77</v>
      </c>
      <c r="B57" s="282"/>
      <c r="C57" s="282"/>
      <c r="D57" s="283"/>
      <c r="E57" s="328">
        <f>SUM(E49:F56)</f>
        <v>0.36800000000000005</v>
      </c>
      <c r="F57" s="329"/>
      <c r="G57" s="33">
        <f>SUM(G49:G56)</f>
        <v>579.24</v>
      </c>
      <c r="H57" s="18"/>
      <c r="I57" s="175"/>
    </row>
    <row r="58" spans="1:9">
      <c r="A58" s="124" t="s">
        <v>71</v>
      </c>
      <c r="B58" s="284" t="s">
        <v>79</v>
      </c>
      <c r="C58" s="284"/>
      <c r="D58" s="284"/>
      <c r="E58" s="284"/>
      <c r="F58" s="284"/>
      <c r="G58" s="284"/>
      <c r="H58" s="18"/>
      <c r="I58" s="175"/>
    </row>
    <row r="59" spans="1:9">
      <c r="A59" s="124" t="s">
        <v>72</v>
      </c>
      <c r="B59" s="284" t="s">
        <v>82</v>
      </c>
      <c r="C59" s="284"/>
      <c r="D59" s="284"/>
      <c r="E59" s="284"/>
      <c r="F59" s="284"/>
      <c r="G59" s="284"/>
      <c r="H59" s="18"/>
      <c r="I59" s="175"/>
    </row>
    <row r="60" spans="1:9">
      <c r="A60" s="34"/>
      <c r="B60" s="23"/>
      <c r="C60" s="23"/>
      <c r="D60" s="23"/>
      <c r="E60" s="23"/>
      <c r="F60" s="23"/>
      <c r="G60" s="23"/>
      <c r="H60" s="18"/>
      <c r="I60" s="175"/>
    </row>
    <row r="61" spans="1:9">
      <c r="A61" s="176" t="s">
        <v>39</v>
      </c>
      <c r="B61" s="336" t="s">
        <v>83</v>
      </c>
      <c r="C61" s="336"/>
      <c r="D61" s="336"/>
      <c r="E61" s="336"/>
      <c r="F61" s="336"/>
      <c r="G61" s="336"/>
      <c r="H61" s="15"/>
      <c r="I61" s="14"/>
    </row>
    <row r="62" spans="1:9">
      <c r="A62" s="22"/>
      <c r="B62" s="337" t="s">
        <v>83</v>
      </c>
      <c r="C62" s="338"/>
      <c r="D62" s="338"/>
      <c r="E62" s="338"/>
      <c r="F62" s="339"/>
      <c r="G62" s="177" t="s">
        <v>18</v>
      </c>
      <c r="H62" s="15"/>
      <c r="I62" s="14"/>
    </row>
    <row r="63" spans="1:9" ht="43.5" customHeight="1">
      <c r="A63" s="314" t="s">
        <v>8</v>
      </c>
      <c r="B63" s="317" t="s">
        <v>183</v>
      </c>
      <c r="C63" s="320" t="s">
        <v>84</v>
      </c>
      <c r="D63" s="321"/>
      <c r="E63" s="322">
        <v>0</v>
      </c>
      <c r="F63" s="323"/>
      <c r="G63" s="324">
        <f>IF(ROUND((E63*E65*E64)-(G32*E66),2)&lt;0,0,ROUND((E63*E65*E64)-(G32*E66),2))</f>
        <v>0</v>
      </c>
      <c r="H63" s="11"/>
      <c r="I63" s="10"/>
    </row>
    <row r="64" spans="1:9" ht="33.75" customHeight="1">
      <c r="A64" s="315"/>
      <c r="B64" s="318"/>
      <c r="C64" s="320" t="s">
        <v>85</v>
      </c>
      <c r="D64" s="321"/>
      <c r="E64" s="330">
        <v>2</v>
      </c>
      <c r="F64" s="331"/>
      <c r="G64" s="325"/>
      <c r="H64" s="11"/>
      <c r="I64" s="10"/>
    </row>
    <row r="65" spans="1:9" ht="31.5" customHeight="1">
      <c r="A65" s="315"/>
      <c r="B65" s="318"/>
      <c r="C65" s="320" t="s">
        <v>86</v>
      </c>
      <c r="D65" s="321"/>
      <c r="E65" s="332">
        <v>22</v>
      </c>
      <c r="F65" s="333"/>
      <c r="G65" s="325"/>
      <c r="H65" s="12"/>
      <c r="I65" s="13"/>
    </row>
    <row r="66" spans="1:9" ht="39" customHeight="1">
      <c r="A66" s="316"/>
      <c r="B66" s="319"/>
      <c r="C66" s="320" t="s">
        <v>182</v>
      </c>
      <c r="D66" s="321"/>
      <c r="E66" s="334">
        <v>0.06</v>
      </c>
      <c r="F66" s="335"/>
      <c r="G66" s="326"/>
      <c r="H66" s="11"/>
      <c r="I66" s="13"/>
    </row>
    <row r="67" spans="1:9" ht="33.75" customHeight="1">
      <c r="A67" s="345" t="s">
        <v>10</v>
      </c>
      <c r="B67" s="346" t="s">
        <v>231</v>
      </c>
      <c r="C67" s="320" t="s">
        <v>229</v>
      </c>
      <c r="D67" s="321"/>
      <c r="E67" s="347">
        <v>245</v>
      </c>
      <c r="F67" s="348"/>
      <c r="G67" s="324">
        <f>ROUND(E67*(1-E68),2)</f>
        <v>196</v>
      </c>
      <c r="H67" s="11"/>
      <c r="I67" s="10"/>
    </row>
    <row r="68" spans="1:9" ht="54" customHeight="1">
      <c r="A68" s="345"/>
      <c r="B68" s="346"/>
      <c r="C68" s="349" t="s">
        <v>230</v>
      </c>
      <c r="D68" s="349"/>
      <c r="E68" s="350">
        <v>0.2</v>
      </c>
      <c r="F68" s="350"/>
      <c r="G68" s="326"/>
      <c r="H68" s="11"/>
      <c r="I68" s="10"/>
    </row>
    <row r="69" spans="1:9">
      <c r="A69" s="37" t="s">
        <v>12</v>
      </c>
      <c r="B69" s="341" t="s">
        <v>87</v>
      </c>
      <c r="C69" s="341"/>
      <c r="D69" s="341"/>
      <c r="E69" s="341"/>
      <c r="F69" s="341"/>
      <c r="G69" s="38">
        <v>0</v>
      </c>
      <c r="H69" s="11"/>
      <c r="I69" s="10"/>
    </row>
    <row r="70" spans="1:9">
      <c r="A70" s="342" t="s">
        <v>88</v>
      </c>
      <c r="B70" s="343"/>
      <c r="C70" s="343"/>
      <c r="D70" s="343"/>
      <c r="E70" s="343"/>
      <c r="F70" s="344"/>
      <c r="G70" s="39">
        <f>SUM(G63:G69)</f>
        <v>196</v>
      </c>
      <c r="H70" s="15"/>
      <c r="I70" s="14"/>
    </row>
    <row r="71" spans="1:9">
      <c r="A71" s="115" t="s">
        <v>78</v>
      </c>
      <c r="B71" s="287" t="s">
        <v>52</v>
      </c>
      <c r="C71" s="287"/>
      <c r="D71" s="287"/>
      <c r="E71" s="287"/>
      <c r="F71" s="287"/>
      <c r="G71" s="287"/>
      <c r="H71" s="178"/>
      <c r="I71" s="14"/>
    </row>
    <row r="72" spans="1:9">
      <c r="A72" s="179"/>
      <c r="B72" s="180"/>
      <c r="C72" s="180"/>
      <c r="D72" s="180"/>
      <c r="E72" s="180"/>
      <c r="F72" s="180"/>
      <c r="G72" s="180"/>
      <c r="H72" s="178"/>
      <c r="I72" s="14"/>
    </row>
    <row r="73" spans="1:9">
      <c r="A73" s="355" t="s">
        <v>89</v>
      </c>
      <c r="B73" s="356"/>
      <c r="C73" s="356"/>
      <c r="D73" s="356"/>
      <c r="E73" s="356"/>
      <c r="F73" s="356"/>
      <c r="G73" s="357"/>
      <c r="H73" s="9"/>
      <c r="I73" s="14"/>
    </row>
    <row r="74" spans="1:9">
      <c r="A74" s="44" t="s">
        <v>90</v>
      </c>
      <c r="B74" s="358" t="s">
        <v>175</v>
      </c>
      <c r="C74" s="359"/>
      <c r="D74" s="359"/>
      <c r="E74" s="359"/>
      <c r="F74" s="360"/>
      <c r="G74" s="45" t="s">
        <v>18</v>
      </c>
      <c r="H74" s="11"/>
      <c r="I74" s="10"/>
    </row>
    <row r="75" spans="1:9">
      <c r="A75" s="152" t="s">
        <v>32</v>
      </c>
      <c r="B75" s="361" t="s">
        <v>187</v>
      </c>
      <c r="C75" s="362"/>
      <c r="D75" s="362"/>
      <c r="E75" s="362"/>
      <c r="F75" s="363"/>
      <c r="G75" s="90">
        <f>G43</f>
        <v>256.24</v>
      </c>
      <c r="H75" s="11"/>
      <c r="I75" s="10"/>
    </row>
    <row r="76" spans="1:9" ht="29.25" customHeight="1">
      <c r="A76" s="152" t="s">
        <v>33</v>
      </c>
      <c r="B76" s="361" t="s">
        <v>91</v>
      </c>
      <c r="C76" s="362"/>
      <c r="D76" s="362"/>
      <c r="E76" s="362"/>
      <c r="F76" s="363"/>
      <c r="G76" s="90">
        <f>G57</f>
        <v>579.24</v>
      </c>
      <c r="H76" s="11"/>
      <c r="I76" s="10"/>
    </row>
    <row r="77" spans="1:9">
      <c r="A77" s="37" t="s">
        <v>39</v>
      </c>
      <c r="B77" s="341" t="s">
        <v>92</v>
      </c>
      <c r="C77" s="341"/>
      <c r="D77" s="341"/>
      <c r="E77" s="341"/>
      <c r="F77" s="341"/>
      <c r="G77" s="73">
        <f>G70</f>
        <v>196</v>
      </c>
      <c r="H77" s="15"/>
      <c r="I77" s="14"/>
    </row>
    <row r="78" spans="1:9">
      <c r="A78" s="394" t="s">
        <v>95</v>
      </c>
      <c r="B78" s="394"/>
      <c r="C78" s="394"/>
      <c r="D78" s="394"/>
      <c r="E78" s="394"/>
      <c r="F78" s="394"/>
      <c r="G78" s="181">
        <f>SUM(G75:G77)</f>
        <v>1031.48</v>
      </c>
      <c r="H78" s="9"/>
      <c r="I78" s="8"/>
    </row>
    <row r="79" spans="1:9">
      <c r="A79" s="74"/>
      <c r="B79" s="74"/>
      <c r="C79" s="74"/>
      <c r="D79" s="74"/>
      <c r="E79" s="74"/>
      <c r="F79" s="74"/>
      <c r="G79" s="182"/>
      <c r="H79" s="9"/>
      <c r="I79" s="8"/>
    </row>
    <row r="80" spans="1:9" ht="15.75">
      <c r="A80" s="257" t="s">
        <v>96</v>
      </c>
      <c r="B80" s="257"/>
      <c r="C80" s="257"/>
      <c r="D80" s="257"/>
      <c r="E80" s="257"/>
      <c r="F80" s="257"/>
      <c r="G80" s="257"/>
      <c r="H80" s="9"/>
      <c r="I80" s="14"/>
    </row>
    <row r="81" spans="1:9">
      <c r="A81" s="183"/>
      <c r="B81" s="358" t="s">
        <v>97</v>
      </c>
      <c r="C81" s="359"/>
      <c r="D81" s="359"/>
      <c r="E81" s="359"/>
      <c r="F81" s="360"/>
      <c r="G81" s="125" t="s">
        <v>18</v>
      </c>
      <c r="H81" s="9"/>
      <c r="I81" s="14"/>
    </row>
    <row r="82" spans="1:9" ht="30.75" customHeight="1">
      <c r="A82" s="2" t="s">
        <v>8</v>
      </c>
      <c r="B82" s="361" t="s">
        <v>142</v>
      </c>
      <c r="C82" s="374"/>
      <c r="D82" s="374"/>
      <c r="E82" s="374"/>
      <c r="F82" s="375"/>
      <c r="G82" s="96">
        <f>ROUND(((G36/12)+($G$41/12)+($G$42/12))*(30/30)*0.05,2)</f>
        <v>6.56</v>
      </c>
      <c r="H82" s="9"/>
      <c r="I82" s="14"/>
    </row>
    <row r="83" spans="1:9">
      <c r="A83" s="2" t="s">
        <v>10</v>
      </c>
      <c r="B83" s="245" t="s">
        <v>28</v>
      </c>
      <c r="C83" s="246"/>
      <c r="D83" s="246"/>
      <c r="E83" s="246"/>
      <c r="F83" s="247"/>
      <c r="G83" s="96">
        <f>ROUND($E$56*G82,2)</f>
        <v>0.52</v>
      </c>
      <c r="H83" s="9"/>
      <c r="I83" s="14"/>
    </row>
    <row r="84" spans="1:9" ht="28.5" customHeight="1">
      <c r="A84" s="2" t="s">
        <v>12</v>
      </c>
      <c r="B84" s="361" t="s">
        <v>143</v>
      </c>
      <c r="C84" s="374"/>
      <c r="D84" s="374"/>
      <c r="E84" s="374"/>
      <c r="F84" s="375"/>
      <c r="G84" s="96">
        <f>ROUND((0.08*0.4*SUM(G36+$G$41+$G$42)*0.05),2)</f>
        <v>2.52</v>
      </c>
      <c r="H84" s="184"/>
      <c r="I84" s="14"/>
    </row>
    <row r="85" spans="1:9">
      <c r="A85" s="2" t="s">
        <v>13</v>
      </c>
      <c r="B85" s="351" t="s">
        <v>144</v>
      </c>
      <c r="C85" s="246"/>
      <c r="D85" s="246"/>
      <c r="E85" s="246"/>
      <c r="F85" s="247"/>
      <c r="G85" s="107">
        <f>ROUND(((7/30)/$G$13)*G36*1,2)</f>
        <v>25.62</v>
      </c>
      <c r="H85" s="9"/>
      <c r="I85" s="14"/>
    </row>
    <row r="86" spans="1:9">
      <c r="A86" s="2" t="s">
        <v>20</v>
      </c>
      <c r="B86" s="245" t="s">
        <v>98</v>
      </c>
      <c r="C86" s="246"/>
      <c r="D86" s="246"/>
      <c r="E86" s="246"/>
      <c r="F86" s="247"/>
      <c r="G86" s="96">
        <f>ROUND($E$57*G85,2)</f>
        <v>9.43</v>
      </c>
      <c r="H86" s="9"/>
      <c r="I86" s="14"/>
    </row>
    <row r="87" spans="1:9" ht="30" customHeight="1">
      <c r="A87" s="46" t="s">
        <v>21</v>
      </c>
      <c r="B87" s="352" t="s">
        <v>145</v>
      </c>
      <c r="C87" s="353"/>
      <c r="D87" s="353"/>
      <c r="E87" s="353"/>
      <c r="F87" s="353"/>
      <c r="G87" s="97">
        <f>ROUND((0.08*0.4*SUM(G36+$G$41+$G$42)*1),2)</f>
        <v>50.37</v>
      </c>
      <c r="H87" s="9"/>
      <c r="I87" s="8"/>
    </row>
    <row r="88" spans="1:9">
      <c r="A88" s="354" t="s">
        <v>178</v>
      </c>
      <c r="B88" s="354"/>
      <c r="C88" s="354"/>
      <c r="D88" s="354"/>
      <c r="E88" s="354"/>
      <c r="F88" s="354"/>
      <c r="G88" s="185">
        <f>SUM(G82:G87)</f>
        <v>95.02</v>
      </c>
      <c r="H88" s="9"/>
      <c r="I88" s="8"/>
    </row>
    <row r="89" spans="1:9">
      <c r="A89" s="74"/>
      <c r="B89" s="74"/>
      <c r="C89" s="74"/>
      <c r="D89" s="74"/>
      <c r="E89" s="74"/>
      <c r="F89" s="74"/>
      <c r="G89" s="182"/>
      <c r="H89" s="9"/>
      <c r="I89" s="8"/>
    </row>
    <row r="90" spans="1:9" ht="15.75">
      <c r="A90" s="257" t="s">
        <v>176</v>
      </c>
      <c r="B90" s="257"/>
      <c r="C90" s="257"/>
      <c r="D90" s="257"/>
      <c r="E90" s="257"/>
      <c r="F90" s="257"/>
      <c r="G90" s="257"/>
      <c r="H90" s="16"/>
      <c r="I90" s="171"/>
    </row>
    <row r="91" spans="1:9" ht="33.75" customHeight="1">
      <c r="A91" s="340" t="s">
        <v>201</v>
      </c>
      <c r="B91" s="340"/>
      <c r="C91" s="340"/>
      <c r="D91" s="340"/>
      <c r="E91" s="340"/>
      <c r="F91" s="340"/>
      <c r="G91" s="340"/>
      <c r="H91" s="16"/>
      <c r="I91" s="171"/>
    </row>
    <row r="92" spans="1:9" ht="31.5">
      <c r="A92" s="139" t="s">
        <v>202</v>
      </c>
      <c r="B92" s="50">
        <f>G36</f>
        <v>1317.8</v>
      </c>
      <c r="C92" s="139" t="s">
        <v>179</v>
      </c>
      <c r="D92" s="50">
        <f>G78-G63-G67</f>
        <v>835.48</v>
      </c>
      <c r="E92" s="140" t="s">
        <v>99</v>
      </c>
      <c r="F92" s="50">
        <f>G88</f>
        <v>95.02</v>
      </c>
      <c r="G92" s="51">
        <f>B92+D92+F92</f>
        <v>2248.2999999999997</v>
      </c>
      <c r="H92" s="16"/>
      <c r="I92" s="171"/>
    </row>
    <row r="93" spans="1:9" ht="15.75">
      <c r="A93" s="376" t="s">
        <v>100</v>
      </c>
      <c r="B93" s="376"/>
      <c r="C93" s="376"/>
      <c r="D93" s="376"/>
      <c r="E93" s="376" t="s">
        <v>101</v>
      </c>
      <c r="F93" s="376"/>
      <c r="G93" s="144">
        <f>ROUND(G92/30,2)</f>
        <v>74.94</v>
      </c>
      <c r="H93" s="16"/>
      <c r="I93" s="171"/>
    </row>
    <row r="94" spans="1:9" ht="15.75">
      <c r="A94" s="47"/>
      <c r="B94" s="47"/>
      <c r="C94" s="47"/>
      <c r="D94" s="47"/>
      <c r="E94" s="47"/>
      <c r="F94" s="48"/>
      <c r="G94" s="49"/>
      <c r="H94" s="16"/>
      <c r="I94" s="171"/>
    </row>
    <row r="95" spans="1:9">
      <c r="A95" s="52" t="s">
        <v>24</v>
      </c>
      <c r="B95" s="370" t="s">
        <v>110</v>
      </c>
      <c r="C95" s="371"/>
      <c r="D95" s="371"/>
      <c r="E95" s="371"/>
      <c r="F95" s="372"/>
      <c r="G95" s="186" t="s">
        <v>18</v>
      </c>
      <c r="H95" s="18"/>
      <c r="I95" s="171"/>
    </row>
    <row r="96" spans="1:9">
      <c r="A96" s="2" t="s">
        <v>8</v>
      </c>
      <c r="B96" s="351" t="s">
        <v>102</v>
      </c>
      <c r="C96" s="246"/>
      <c r="D96" s="246"/>
      <c r="E96" s="246"/>
      <c r="F96" s="247"/>
      <c r="G96" s="98">
        <f>ROUND($G$92/12,2)</f>
        <v>187.36</v>
      </c>
      <c r="H96" s="18"/>
      <c r="I96" s="171"/>
    </row>
    <row r="97" spans="1:9">
      <c r="A97" s="2" t="s">
        <v>10</v>
      </c>
      <c r="B97" s="378" t="s">
        <v>184</v>
      </c>
      <c r="C97" s="255"/>
      <c r="D97" s="255"/>
      <c r="E97" s="255"/>
      <c r="F97" s="379"/>
      <c r="G97" s="98">
        <f>ROUND((1/30)/12*($G$92),2)</f>
        <v>6.25</v>
      </c>
      <c r="H97" s="57"/>
      <c r="I97" s="171"/>
    </row>
    <row r="98" spans="1:9">
      <c r="A98" s="2" t="s">
        <v>12</v>
      </c>
      <c r="B98" s="351" t="s">
        <v>104</v>
      </c>
      <c r="C98" s="246"/>
      <c r="D98" s="246"/>
      <c r="E98" s="246"/>
      <c r="F98" s="247"/>
      <c r="G98" s="98">
        <f>ROUND((5/30)/12*0.015*($G$92),2)</f>
        <v>0.47</v>
      </c>
      <c r="H98" s="18"/>
      <c r="I98" s="171"/>
    </row>
    <row r="99" spans="1:9">
      <c r="A99" s="2" t="s">
        <v>13</v>
      </c>
      <c r="B99" s="351" t="s">
        <v>103</v>
      </c>
      <c r="C99" s="246"/>
      <c r="D99" s="246"/>
      <c r="E99" s="246"/>
      <c r="F99" s="247"/>
      <c r="G99" s="98">
        <f>ROUND(((15/30)/12)*0.0078*($G$92),2)</f>
        <v>0.73</v>
      </c>
      <c r="H99" s="57"/>
      <c r="I99" s="171"/>
    </row>
    <row r="100" spans="1:9" ht="32.25" customHeight="1">
      <c r="A100" s="2" t="s">
        <v>20</v>
      </c>
      <c r="B100" s="320" t="s">
        <v>203</v>
      </c>
      <c r="C100" s="364"/>
      <c r="D100" s="364"/>
      <c r="E100" s="364"/>
      <c r="F100" s="365"/>
      <c r="G100" s="99">
        <f>ROUND((((G36+G36/3)/12+(G57+G70-G67-G63+G88))*4/12)*0.02,2)</f>
        <v>5.47</v>
      </c>
      <c r="H100" s="187"/>
      <c r="I100" s="188"/>
    </row>
    <row r="101" spans="1:9">
      <c r="A101" s="114" t="s">
        <v>21</v>
      </c>
      <c r="B101" s="366" t="s">
        <v>185</v>
      </c>
      <c r="C101" s="367"/>
      <c r="D101" s="367"/>
      <c r="E101" s="367"/>
      <c r="F101" s="368"/>
      <c r="G101" s="99">
        <f>ROUND(((5/30)/12)*($G$92),2)</f>
        <v>31.23</v>
      </c>
      <c r="H101" s="187"/>
      <c r="I101" s="188"/>
    </row>
    <row r="102" spans="1:9">
      <c r="A102" s="369" t="s">
        <v>105</v>
      </c>
      <c r="B102" s="369"/>
      <c r="C102" s="369"/>
      <c r="D102" s="369"/>
      <c r="E102" s="369"/>
      <c r="F102" s="369"/>
      <c r="G102" s="53">
        <f>SUM(G96:G101)</f>
        <v>231.51</v>
      </c>
      <c r="H102" s="9"/>
      <c r="I102" s="8"/>
    </row>
    <row r="103" spans="1:9">
      <c r="A103" s="173"/>
      <c r="B103" s="61"/>
      <c r="C103" s="61"/>
      <c r="D103" s="54"/>
      <c r="E103" s="55"/>
      <c r="F103" s="55"/>
      <c r="G103" s="56"/>
      <c r="H103" s="16"/>
      <c r="I103" s="8"/>
    </row>
    <row r="104" spans="1:9">
      <c r="A104" s="52" t="s">
        <v>27</v>
      </c>
      <c r="B104" s="370" t="s">
        <v>106</v>
      </c>
      <c r="C104" s="371"/>
      <c r="D104" s="371"/>
      <c r="E104" s="371"/>
      <c r="F104" s="372"/>
      <c r="G104" s="189" t="s">
        <v>18</v>
      </c>
      <c r="H104" s="15"/>
      <c r="I104" s="14"/>
    </row>
    <row r="105" spans="1:9">
      <c r="A105" s="2" t="s">
        <v>8</v>
      </c>
      <c r="B105" s="373" t="s">
        <v>147</v>
      </c>
      <c r="C105" s="374"/>
      <c r="D105" s="374"/>
      <c r="E105" s="374"/>
      <c r="F105" s="375"/>
      <c r="G105" s="100">
        <v>0</v>
      </c>
      <c r="H105" s="15"/>
      <c r="I105" s="14"/>
    </row>
    <row r="106" spans="1:9">
      <c r="A106" s="286" t="s">
        <v>107</v>
      </c>
      <c r="B106" s="286"/>
      <c r="C106" s="286"/>
      <c r="D106" s="286"/>
      <c r="E106" s="286"/>
      <c r="F106" s="286"/>
      <c r="G106" s="76">
        <f>SUM(G105:G105)</f>
        <v>0</v>
      </c>
      <c r="H106" s="15"/>
      <c r="I106" s="14"/>
    </row>
    <row r="107" spans="1:9">
      <c r="A107" s="190"/>
      <c r="B107" s="191"/>
      <c r="C107" s="62"/>
      <c r="D107" s="58"/>
      <c r="E107" s="58"/>
      <c r="F107" s="58"/>
      <c r="G107" s="59"/>
      <c r="H107" s="15"/>
      <c r="I107" s="14"/>
    </row>
    <row r="108" spans="1:9">
      <c r="A108" s="395" t="s">
        <v>108</v>
      </c>
      <c r="B108" s="396"/>
      <c r="C108" s="396"/>
      <c r="D108" s="396"/>
      <c r="E108" s="396"/>
      <c r="F108" s="396"/>
      <c r="G108" s="397"/>
      <c r="H108" s="15"/>
      <c r="I108" s="14"/>
    </row>
    <row r="109" spans="1:9">
      <c r="A109" s="25" t="s">
        <v>109</v>
      </c>
      <c r="B109" s="355" t="s">
        <v>97</v>
      </c>
      <c r="C109" s="356"/>
      <c r="D109" s="356"/>
      <c r="E109" s="356"/>
      <c r="F109" s="357"/>
      <c r="G109" s="60" t="s">
        <v>18</v>
      </c>
      <c r="H109" s="15"/>
      <c r="I109" s="14"/>
    </row>
    <row r="110" spans="1:9">
      <c r="A110" s="192" t="s">
        <v>24</v>
      </c>
      <c r="B110" s="416" t="s">
        <v>110</v>
      </c>
      <c r="C110" s="417"/>
      <c r="D110" s="417"/>
      <c r="E110" s="417"/>
      <c r="F110" s="418"/>
      <c r="G110" s="193">
        <f>G102</f>
        <v>231.51</v>
      </c>
      <c r="H110" s="15"/>
      <c r="I110" s="14"/>
    </row>
    <row r="111" spans="1:9">
      <c r="A111" s="194" t="s">
        <v>27</v>
      </c>
      <c r="B111" s="419" t="s">
        <v>106</v>
      </c>
      <c r="C111" s="420"/>
      <c r="D111" s="420"/>
      <c r="E111" s="420"/>
      <c r="F111" s="421"/>
      <c r="G111" s="101">
        <f>G106</f>
        <v>0</v>
      </c>
      <c r="H111" s="9"/>
      <c r="I111" s="8"/>
    </row>
    <row r="112" spans="1:9">
      <c r="A112" s="354" t="s">
        <v>111</v>
      </c>
      <c r="B112" s="354"/>
      <c r="C112" s="354"/>
      <c r="D112" s="354"/>
      <c r="E112" s="354"/>
      <c r="F112" s="354"/>
      <c r="G112" s="195">
        <f>SUM(G110:G111)</f>
        <v>231.51</v>
      </c>
      <c r="H112" s="15"/>
      <c r="I112" s="14"/>
    </row>
    <row r="113" spans="1:9" ht="30" customHeight="1">
      <c r="A113" s="115" t="s">
        <v>80</v>
      </c>
      <c r="B113" s="423" t="s">
        <v>146</v>
      </c>
      <c r="C113" s="423"/>
      <c r="D113" s="423"/>
      <c r="E113" s="423"/>
      <c r="F113" s="423"/>
      <c r="G113" s="423"/>
      <c r="H113" s="15"/>
      <c r="I113" s="14"/>
    </row>
    <row r="114" spans="1:9">
      <c r="A114" s="196"/>
      <c r="B114" s="196"/>
      <c r="C114" s="196"/>
      <c r="D114" s="24"/>
      <c r="E114" s="62"/>
      <c r="F114" s="62"/>
      <c r="G114" s="62"/>
      <c r="H114" s="16"/>
      <c r="I114" s="8"/>
    </row>
    <row r="115" spans="1:9" ht="15.75">
      <c r="A115" s="257" t="s">
        <v>118</v>
      </c>
      <c r="B115" s="257"/>
      <c r="C115" s="257"/>
      <c r="D115" s="257"/>
      <c r="E115" s="257"/>
      <c r="F115" s="257"/>
      <c r="G115" s="257"/>
      <c r="H115" s="15"/>
      <c r="I115" s="14"/>
    </row>
    <row r="116" spans="1:9">
      <c r="A116" s="75"/>
      <c r="B116" s="422" t="s">
        <v>97</v>
      </c>
      <c r="C116" s="422"/>
      <c r="D116" s="422"/>
      <c r="E116" s="422"/>
      <c r="F116" s="422"/>
      <c r="G116" s="76" t="s">
        <v>18</v>
      </c>
      <c r="H116" s="15"/>
      <c r="I116" s="14"/>
    </row>
    <row r="117" spans="1:9">
      <c r="A117" s="72" t="s">
        <v>8</v>
      </c>
      <c r="B117" s="390" t="s">
        <v>119</v>
      </c>
      <c r="C117" s="390"/>
      <c r="D117" s="390"/>
      <c r="E117" s="390"/>
      <c r="F117" s="390"/>
      <c r="G117" s="197">
        <f>'UNIFORMES-EQUIP. SEGURANÇA  '!G12</f>
        <v>96.495833333333323</v>
      </c>
      <c r="H117" s="15"/>
      <c r="I117" s="14"/>
    </row>
    <row r="118" spans="1:9">
      <c r="A118" s="72" t="s">
        <v>10</v>
      </c>
      <c r="B118" s="415" t="s">
        <v>224</v>
      </c>
      <c r="C118" s="415"/>
      <c r="D118" s="415"/>
      <c r="E118" s="415"/>
      <c r="F118" s="415"/>
      <c r="G118" s="73">
        <f>'UNIFORMES-EQUIP. SEGURANÇA  '!G29</f>
        <v>172.21333333333334</v>
      </c>
      <c r="H118" s="15"/>
      <c r="I118" s="14"/>
    </row>
    <row r="119" spans="1:9">
      <c r="A119" s="72" t="s">
        <v>12</v>
      </c>
      <c r="B119" s="378" t="s">
        <v>232</v>
      </c>
      <c r="C119" s="429"/>
      <c r="D119" s="429"/>
      <c r="E119" s="429"/>
      <c r="F119" s="430"/>
      <c r="G119" s="198">
        <v>0</v>
      </c>
      <c r="H119" s="15"/>
      <c r="I119" s="14"/>
    </row>
    <row r="120" spans="1:9">
      <c r="A120" s="398" t="s">
        <v>120</v>
      </c>
      <c r="B120" s="398"/>
      <c r="C120" s="398"/>
      <c r="D120" s="398"/>
      <c r="E120" s="398"/>
      <c r="F120" s="398"/>
      <c r="G120" s="185">
        <f>SUM(G117:G119)</f>
        <v>268.70916666666665</v>
      </c>
      <c r="H120" s="178"/>
      <c r="I120" s="14"/>
    </row>
    <row r="121" spans="1:9">
      <c r="A121" s="61"/>
      <c r="B121" s="20"/>
      <c r="C121" s="20"/>
      <c r="D121" s="24"/>
      <c r="E121" s="62"/>
      <c r="F121" s="62"/>
      <c r="G121" s="77"/>
      <c r="H121" s="16"/>
      <c r="I121" s="8"/>
    </row>
    <row r="122" spans="1:9" ht="15.75">
      <c r="A122" s="257" t="s">
        <v>121</v>
      </c>
      <c r="B122" s="257"/>
      <c r="C122" s="257"/>
      <c r="D122" s="257"/>
      <c r="E122" s="257"/>
      <c r="F122" s="257"/>
      <c r="G122" s="257"/>
      <c r="H122" s="16"/>
      <c r="I122" s="8"/>
    </row>
    <row r="123" spans="1:9">
      <c r="A123" s="75"/>
      <c r="B123" s="422" t="s">
        <v>40</v>
      </c>
      <c r="C123" s="422"/>
      <c r="D123" s="422"/>
      <c r="E123" s="422"/>
      <c r="F123" s="76" t="s">
        <v>19</v>
      </c>
      <c r="G123" s="76" t="s">
        <v>18</v>
      </c>
      <c r="H123" s="16"/>
      <c r="I123" s="14"/>
    </row>
    <row r="124" spans="1:9" ht="47.25" customHeight="1">
      <c r="A124" s="320" t="s">
        <v>122</v>
      </c>
      <c r="B124" s="377"/>
      <c r="C124" s="377"/>
      <c r="D124" s="377"/>
      <c r="E124" s="377"/>
      <c r="F124" s="321"/>
      <c r="G124" s="81">
        <f>SUM(G36+G78+G88+G112+G120)</f>
        <v>2944.519166666666</v>
      </c>
      <c r="H124" s="16"/>
      <c r="I124" s="14"/>
    </row>
    <row r="125" spans="1:9">
      <c r="A125" s="78" t="s">
        <v>8</v>
      </c>
      <c r="B125" s="428" t="s">
        <v>41</v>
      </c>
      <c r="C125" s="428"/>
      <c r="D125" s="428"/>
      <c r="E125" s="428"/>
      <c r="F125" s="136">
        <v>7.2900000000000006E-2</v>
      </c>
      <c r="G125" s="85">
        <f>ROUND(F125*G124,2)</f>
        <v>214.66</v>
      </c>
      <c r="H125" s="16"/>
      <c r="I125" s="14"/>
    </row>
    <row r="126" spans="1:9" ht="44.25" customHeight="1">
      <c r="A126" s="320" t="s">
        <v>123</v>
      </c>
      <c r="B126" s="377"/>
      <c r="C126" s="377"/>
      <c r="D126" s="377"/>
      <c r="E126" s="377"/>
      <c r="F126" s="321"/>
      <c r="G126" s="102">
        <f>SUM(G36+G78+G88+G112+G120+G125)</f>
        <v>3159.1791666666659</v>
      </c>
      <c r="H126" s="16"/>
      <c r="I126" s="8"/>
    </row>
    <row r="127" spans="1:9">
      <c r="A127" s="78" t="s">
        <v>10</v>
      </c>
      <c r="B127" s="428" t="s">
        <v>42</v>
      </c>
      <c r="C127" s="428"/>
      <c r="D127" s="428"/>
      <c r="E127" s="428"/>
      <c r="F127" s="136">
        <v>4.5400000000000003E-2</v>
      </c>
      <c r="G127" s="82">
        <f>ROUND(F127*G126,2)</f>
        <v>143.43</v>
      </c>
      <c r="H127" s="16"/>
      <c r="I127" s="8"/>
    </row>
    <row r="128" spans="1:9" ht="46.5" customHeight="1">
      <c r="A128" s="320" t="s">
        <v>124</v>
      </c>
      <c r="B128" s="377"/>
      <c r="C128" s="377"/>
      <c r="D128" s="377"/>
      <c r="E128" s="377"/>
      <c r="F128" s="321"/>
      <c r="G128" s="103">
        <f>SUM(G36+G78+G88+G112+G120+G125+G127)</f>
        <v>3302.6091666666657</v>
      </c>
      <c r="H128" s="16"/>
      <c r="I128" s="8"/>
    </row>
    <row r="129" spans="1:9">
      <c r="A129" s="80" t="s">
        <v>12</v>
      </c>
      <c r="B129" s="386" t="s">
        <v>43</v>
      </c>
      <c r="C129" s="387"/>
      <c r="D129" s="387"/>
      <c r="E129" s="387"/>
      <c r="F129" s="79">
        <f>SUM(F130:F133)</f>
        <v>0.1225</v>
      </c>
      <c r="G129" s="84">
        <f>SUM(G130:G133)</f>
        <v>461.05000000000007</v>
      </c>
      <c r="H129" s="218" t="s">
        <v>148</v>
      </c>
      <c r="I129" s="218"/>
    </row>
    <row r="130" spans="1:9">
      <c r="A130" s="388" t="s">
        <v>127</v>
      </c>
      <c r="B130" s="390" t="s">
        <v>130</v>
      </c>
      <c r="C130" s="390"/>
      <c r="D130" s="391" t="s">
        <v>29</v>
      </c>
      <c r="E130" s="391"/>
      <c r="F130" s="83">
        <f>IF(E8=1,0.0165,IF(E8=2,0.0065,IF(E8=3,I132,IF(E8=4,I132,¨RT Indefinido¨))))</f>
        <v>1.6500000000000001E-2</v>
      </c>
      <c r="G130" s="81">
        <f>ROUND(($G$128/(1-$F$129))*F130,2)</f>
        <v>62.1</v>
      </c>
      <c r="H130" s="108" t="s">
        <v>149</v>
      </c>
      <c r="I130" s="108" t="s">
        <v>150</v>
      </c>
    </row>
    <row r="131" spans="1:9">
      <c r="A131" s="389"/>
      <c r="B131" s="390"/>
      <c r="C131" s="390"/>
      <c r="D131" s="266" t="s">
        <v>125</v>
      </c>
      <c r="E131" s="266"/>
      <c r="F131" s="83">
        <f>IF(E8=1,0.076,IF(E8=2,0.03,IF(E8=3,I131,IF(E8=4,I131,¨RT Indefinido¨))))</f>
        <v>7.5999999999999998E-2</v>
      </c>
      <c r="G131" s="81">
        <f>ROUND(($G$128/(1-$F$129))*F131,2)</f>
        <v>286.04000000000002</v>
      </c>
      <c r="H131" s="109" t="s">
        <v>125</v>
      </c>
      <c r="I131" s="110">
        <v>0</v>
      </c>
    </row>
    <row r="132" spans="1:9">
      <c r="A132" s="17" t="s">
        <v>128</v>
      </c>
      <c r="B132" s="390" t="s">
        <v>131</v>
      </c>
      <c r="C132" s="390"/>
      <c r="D132" s="427" t="s">
        <v>133</v>
      </c>
      <c r="E132" s="391"/>
      <c r="F132" s="83">
        <v>0</v>
      </c>
      <c r="G132" s="81">
        <v>0</v>
      </c>
      <c r="H132" s="109" t="s">
        <v>29</v>
      </c>
      <c r="I132" s="110">
        <v>0</v>
      </c>
    </row>
    <row r="133" spans="1:9">
      <c r="A133" s="17" t="s">
        <v>129</v>
      </c>
      <c r="B133" s="390" t="s">
        <v>132</v>
      </c>
      <c r="C133" s="390"/>
      <c r="D133" s="391" t="s">
        <v>126</v>
      </c>
      <c r="E133" s="391"/>
      <c r="F133" s="143">
        <v>0.03</v>
      </c>
      <c r="G133" s="73">
        <f>ROUND(($G$128/(1-$F$129))*F133,2)</f>
        <v>112.91</v>
      </c>
      <c r="H133" s="109" t="s">
        <v>151</v>
      </c>
      <c r="I133" s="110">
        <v>0</v>
      </c>
    </row>
    <row r="134" spans="1:9">
      <c r="A134" s="398" t="s">
        <v>134</v>
      </c>
      <c r="B134" s="398"/>
      <c r="C134" s="398"/>
      <c r="D134" s="398"/>
      <c r="E134" s="398"/>
      <c r="F134" s="398"/>
      <c r="G134" s="86">
        <f>SUM(G125+G127+G129)</f>
        <v>819.1400000000001</v>
      </c>
      <c r="H134" s="9"/>
      <c r="I134" s="8"/>
    </row>
    <row r="135" spans="1:9">
      <c r="A135" s="117" t="s">
        <v>138</v>
      </c>
      <c r="B135" s="399" t="s">
        <v>135</v>
      </c>
      <c r="C135" s="399"/>
      <c r="D135" s="399"/>
      <c r="E135" s="399"/>
      <c r="F135" s="399"/>
      <c r="G135" s="399"/>
      <c r="H135" s="9"/>
      <c r="I135" s="8"/>
    </row>
    <row r="136" spans="1:9">
      <c r="A136" s="400" t="s">
        <v>169</v>
      </c>
      <c r="B136" s="401" t="s">
        <v>136</v>
      </c>
      <c r="C136" s="402" t="s">
        <v>241</v>
      </c>
      <c r="D136" s="403"/>
      <c r="E136" s="408" t="s">
        <v>137</v>
      </c>
      <c r="F136" s="118"/>
      <c r="G136" s="119"/>
      <c r="H136" s="9"/>
      <c r="I136" s="8"/>
    </row>
    <row r="137" spans="1:9">
      <c r="A137" s="400"/>
      <c r="B137" s="401"/>
      <c r="C137" s="404"/>
      <c r="D137" s="405"/>
      <c r="E137" s="409"/>
      <c r="F137" s="120"/>
      <c r="G137" s="121"/>
      <c r="H137" s="9"/>
      <c r="I137" s="8"/>
    </row>
    <row r="138" spans="1:9">
      <c r="A138" s="400"/>
      <c r="B138" s="401"/>
      <c r="C138" s="406"/>
      <c r="D138" s="407"/>
      <c r="E138" s="410"/>
      <c r="F138" s="122"/>
      <c r="G138" s="123"/>
      <c r="H138" s="9"/>
      <c r="I138" s="8"/>
    </row>
    <row r="139" spans="1:9">
      <c r="A139" s="93"/>
      <c r="B139" s="94"/>
      <c r="C139" s="95"/>
      <c r="D139" s="95"/>
      <c r="E139" s="199"/>
      <c r="F139" s="87"/>
      <c r="G139" s="88"/>
      <c r="H139" s="9"/>
      <c r="I139" s="8"/>
    </row>
    <row r="140" spans="1:9">
      <c r="A140" s="382" t="s">
        <v>188</v>
      </c>
      <c r="B140" s="382"/>
      <c r="C140" s="382"/>
      <c r="D140" s="382"/>
      <c r="E140" s="382"/>
      <c r="F140" s="382"/>
      <c r="G140" s="382"/>
      <c r="H140" s="15"/>
      <c r="I140" s="14"/>
    </row>
    <row r="141" spans="1:9">
      <c r="A141" s="289" t="s">
        <v>189</v>
      </c>
      <c r="B141" s="289"/>
      <c r="C141" s="289"/>
      <c r="D141" s="289"/>
      <c r="E141" s="289"/>
      <c r="F141" s="289"/>
      <c r="G141" s="89" t="s">
        <v>93</v>
      </c>
      <c r="H141" s="15"/>
      <c r="I141" s="14"/>
    </row>
    <row r="142" spans="1:9">
      <c r="A142" s="19" t="s">
        <v>8</v>
      </c>
      <c r="B142" s="383" t="s">
        <v>50</v>
      </c>
      <c r="C142" s="384"/>
      <c r="D142" s="384"/>
      <c r="E142" s="384"/>
      <c r="F142" s="385"/>
      <c r="G142" s="90">
        <f>G36</f>
        <v>1317.8</v>
      </c>
      <c r="H142" s="15"/>
      <c r="I142" s="14"/>
    </row>
    <row r="143" spans="1:9">
      <c r="A143" s="19" t="s">
        <v>10</v>
      </c>
      <c r="B143" s="383" t="s">
        <v>139</v>
      </c>
      <c r="C143" s="384"/>
      <c r="D143" s="384"/>
      <c r="E143" s="384"/>
      <c r="F143" s="385"/>
      <c r="G143" s="90">
        <f>G78</f>
        <v>1031.48</v>
      </c>
      <c r="H143" s="15"/>
      <c r="I143" s="14"/>
    </row>
    <row r="144" spans="1:9">
      <c r="A144" s="19" t="s">
        <v>12</v>
      </c>
      <c r="B144" s="383" t="s">
        <v>45</v>
      </c>
      <c r="C144" s="384"/>
      <c r="D144" s="384"/>
      <c r="E144" s="384"/>
      <c r="F144" s="385"/>
      <c r="G144" s="90">
        <f>G88</f>
        <v>95.02</v>
      </c>
      <c r="H144" s="15"/>
      <c r="I144" s="14"/>
    </row>
    <row r="145" spans="1:9">
      <c r="A145" s="19" t="s">
        <v>13</v>
      </c>
      <c r="B145" s="383" t="s">
        <v>46</v>
      </c>
      <c r="C145" s="384"/>
      <c r="D145" s="384"/>
      <c r="E145" s="384"/>
      <c r="F145" s="385"/>
      <c r="G145" s="90">
        <f>G112</f>
        <v>231.51</v>
      </c>
      <c r="H145" s="9"/>
      <c r="I145" s="8"/>
    </row>
    <row r="146" spans="1:9">
      <c r="A146" s="17" t="s">
        <v>20</v>
      </c>
      <c r="B146" s="383" t="s">
        <v>47</v>
      </c>
      <c r="C146" s="384"/>
      <c r="D146" s="384"/>
      <c r="E146" s="384"/>
      <c r="F146" s="385"/>
      <c r="G146" s="90">
        <f>G120</f>
        <v>268.70916666666665</v>
      </c>
      <c r="H146" s="9"/>
      <c r="I146" s="8"/>
    </row>
    <row r="147" spans="1:9">
      <c r="A147" s="424" t="s">
        <v>44</v>
      </c>
      <c r="B147" s="425"/>
      <c r="C147" s="425"/>
      <c r="D147" s="425"/>
      <c r="E147" s="425"/>
      <c r="F147" s="426"/>
      <c r="G147" s="91">
        <f>SUM(G142:G146)</f>
        <v>2944.519166666666</v>
      </c>
      <c r="H147" s="9"/>
      <c r="I147" s="8"/>
    </row>
    <row r="148" spans="1:9">
      <c r="A148" s="63" t="s">
        <v>21</v>
      </c>
      <c r="B148" s="412" t="s">
        <v>49</v>
      </c>
      <c r="C148" s="413"/>
      <c r="D148" s="413"/>
      <c r="E148" s="413"/>
      <c r="F148" s="414"/>
      <c r="G148" s="92">
        <f>G134</f>
        <v>819.1400000000001</v>
      </c>
      <c r="H148" s="9"/>
      <c r="I148" s="8"/>
    </row>
    <row r="149" spans="1:9">
      <c r="A149" s="431" t="s">
        <v>228</v>
      </c>
      <c r="B149" s="431"/>
      <c r="C149" s="431"/>
      <c r="D149" s="431"/>
      <c r="E149" s="431"/>
      <c r="F149" s="431"/>
      <c r="G149" s="138">
        <f>TRUNC(ROUND(SUM(G147:G148),2),2)</f>
        <v>3763.66</v>
      </c>
      <c r="H149" s="178"/>
      <c r="I149" s="14"/>
    </row>
    <row r="150" spans="1:9" ht="15.75">
      <c r="A150" s="411" t="s">
        <v>235</v>
      </c>
      <c r="B150" s="411"/>
      <c r="C150" s="411"/>
      <c r="D150" s="411"/>
      <c r="E150" s="411"/>
      <c r="F150" s="411"/>
      <c r="G150" s="200">
        <f>G149*F16</f>
        <v>3763.66</v>
      </c>
    </row>
  </sheetData>
  <mergeCells count="179">
    <mergeCell ref="A150:F150"/>
    <mergeCell ref="B148:F148"/>
    <mergeCell ref="B118:F118"/>
    <mergeCell ref="A120:F120"/>
    <mergeCell ref="A122:G122"/>
    <mergeCell ref="B109:F109"/>
    <mergeCell ref="B110:F110"/>
    <mergeCell ref="B111:F111"/>
    <mergeCell ref="A112:F112"/>
    <mergeCell ref="B146:F146"/>
    <mergeCell ref="A115:G115"/>
    <mergeCell ref="B116:F116"/>
    <mergeCell ref="B113:G113"/>
    <mergeCell ref="B132:C132"/>
    <mergeCell ref="B117:F117"/>
    <mergeCell ref="A147:F147"/>
    <mergeCell ref="D132:E132"/>
    <mergeCell ref="B123:E123"/>
    <mergeCell ref="A124:F124"/>
    <mergeCell ref="B125:E125"/>
    <mergeCell ref="A126:F126"/>
    <mergeCell ref="B127:E127"/>
    <mergeCell ref="B119:F119"/>
    <mergeCell ref="A149:F149"/>
    <mergeCell ref="B144:F144"/>
    <mergeCell ref="B145:F145"/>
    <mergeCell ref="B133:C133"/>
    <mergeCell ref="D133:E133"/>
    <mergeCell ref="A134:F134"/>
    <mergeCell ref="B135:G135"/>
    <mergeCell ref="A136:A138"/>
    <mergeCell ref="B136:B138"/>
    <mergeCell ref="C136:D138"/>
    <mergeCell ref="E136:E138"/>
    <mergeCell ref="A128:F128"/>
    <mergeCell ref="B96:F96"/>
    <mergeCell ref="B97:F97"/>
    <mergeCell ref="B98:F98"/>
    <mergeCell ref="E8:F8"/>
    <mergeCell ref="A140:G140"/>
    <mergeCell ref="A141:F141"/>
    <mergeCell ref="B142:F142"/>
    <mergeCell ref="B143:F143"/>
    <mergeCell ref="B129:E129"/>
    <mergeCell ref="A130:A131"/>
    <mergeCell ref="B130:C131"/>
    <mergeCell ref="D130:E130"/>
    <mergeCell ref="B27:F27"/>
    <mergeCell ref="G33:G34"/>
    <mergeCell ref="D131:E131"/>
    <mergeCell ref="A106:F106"/>
    <mergeCell ref="A78:F78"/>
    <mergeCell ref="A80:G80"/>
    <mergeCell ref="B81:F81"/>
    <mergeCell ref="B82:F82"/>
    <mergeCell ref="B83:F83"/>
    <mergeCell ref="B84:F84"/>
    <mergeCell ref="A108:G108"/>
    <mergeCell ref="B99:F99"/>
    <mergeCell ref="B100:F100"/>
    <mergeCell ref="B101:F101"/>
    <mergeCell ref="A102:F102"/>
    <mergeCell ref="B104:F104"/>
    <mergeCell ref="B105:F105"/>
    <mergeCell ref="A93:D93"/>
    <mergeCell ref="E93:F93"/>
    <mergeCell ref="B95:F95"/>
    <mergeCell ref="A90:G90"/>
    <mergeCell ref="A91:G91"/>
    <mergeCell ref="B69:F69"/>
    <mergeCell ref="A70:F70"/>
    <mergeCell ref="B71:G71"/>
    <mergeCell ref="A67:A68"/>
    <mergeCell ref="B67:B68"/>
    <mergeCell ref="C67:D67"/>
    <mergeCell ref="E67:F67"/>
    <mergeCell ref="G67:G68"/>
    <mergeCell ref="C68:D68"/>
    <mergeCell ref="E68:F68"/>
    <mergeCell ref="B85:F85"/>
    <mergeCell ref="B86:F86"/>
    <mergeCell ref="B87:F87"/>
    <mergeCell ref="A88:F88"/>
    <mergeCell ref="A73:G73"/>
    <mergeCell ref="B74:F74"/>
    <mergeCell ref="B75:F75"/>
    <mergeCell ref="B76:F76"/>
    <mergeCell ref="B77:F77"/>
    <mergeCell ref="A63:A66"/>
    <mergeCell ref="B63:B66"/>
    <mergeCell ref="C63:D63"/>
    <mergeCell ref="E63:F63"/>
    <mergeCell ref="G63:G66"/>
    <mergeCell ref="B53:D53"/>
    <mergeCell ref="E53:F53"/>
    <mergeCell ref="E54:F54"/>
    <mergeCell ref="E55:F55"/>
    <mergeCell ref="E56:F56"/>
    <mergeCell ref="A57:D57"/>
    <mergeCell ref="E57:F57"/>
    <mergeCell ref="C64:D64"/>
    <mergeCell ref="E64:F64"/>
    <mergeCell ref="C65:D65"/>
    <mergeCell ref="E65:F65"/>
    <mergeCell ref="C66:D66"/>
    <mergeCell ref="E66:F66"/>
    <mergeCell ref="B58:G58"/>
    <mergeCell ref="B59:G59"/>
    <mergeCell ref="B61:G61"/>
    <mergeCell ref="B62:F62"/>
    <mergeCell ref="B50:D50"/>
    <mergeCell ref="E50:F50"/>
    <mergeCell ref="B51:D51"/>
    <mergeCell ref="E51:F51"/>
    <mergeCell ref="B52:D52"/>
    <mergeCell ref="E52:F52"/>
    <mergeCell ref="B45:G45"/>
    <mergeCell ref="B47:G47"/>
    <mergeCell ref="B48:D48"/>
    <mergeCell ref="E48:F48"/>
    <mergeCell ref="B49:D49"/>
    <mergeCell ref="E49:F49"/>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4:D54"/>
    <mergeCell ref="B55:D55"/>
    <mergeCell ref="B56:D56"/>
    <mergeCell ref="H129:I129"/>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7" fitToHeight="0" orientation="portrait" r:id="rId1"/>
  <headerFooter>
    <oddHeader>&amp;L&amp;F</oddHeader>
    <oddFooter>&amp;L&amp;F&amp;C&amp;A&amp;R&amp;P de &amp;N</oddFooter>
  </headerFooter>
  <rowBreaks count="2" manualBreakCount="2">
    <brk id="72" max="8" man="1"/>
    <brk id="139" max="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activeCell="A30" sqref="A30:G30"/>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434" t="s">
        <v>212</v>
      </c>
      <c r="B1" s="434"/>
      <c r="C1" s="434"/>
      <c r="D1" s="434"/>
      <c r="E1" s="434"/>
      <c r="F1" s="434"/>
      <c r="G1" s="434"/>
    </row>
    <row r="2" spans="1:7" ht="15.75">
      <c r="A2" s="435" t="s">
        <v>236</v>
      </c>
      <c r="B2" s="435"/>
      <c r="C2" s="435"/>
      <c r="D2" s="435"/>
      <c r="E2" s="435"/>
      <c r="F2" s="435"/>
      <c r="G2" s="435"/>
    </row>
    <row r="3" spans="1:7">
      <c r="A3" s="436" t="s">
        <v>51</v>
      </c>
      <c r="B3" s="437" t="s">
        <v>112</v>
      </c>
      <c r="C3" s="438" t="s">
        <v>113</v>
      </c>
      <c r="D3" s="438" t="s">
        <v>114</v>
      </c>
      <c r="E3" s="437" t="s">
        <v>115</v>
      </c>
      <c r="F3" s="439" t="s">
        <v>186</v>
      </c>
      <c r="G3" s="439" t="s">
        <v>116</v>
      </c>
    </row>
    <row r="4" spans="1:7">
      <c r="A4" s="436"/>
      <c r="B4" s="437"/>
      <c r="C4" s="438"/>
      <c r="D4" s="438"/>
      <c r="E4" s="437"/>
      <c r="F4" s="439"/>
      <c r="G4" s="439"/>
    </row>
    <row r="5" spans="1:7" ht="49.5" customHeight="1">
      <c r="A5" s="146" t="s">
        <v>204</v>
      </c>
      <c r="B5" s="137" t="s">
        <v>191</v>
      </c>
      <c r="C5" s="64" t="s">
        <v>30</v>
      </c>
      <c r="D5" s="65">
        <v>87.63</v>
      </c>
      <c r="E5" s="66">
        <v>12</v>
      </c>
      <c r="F5" s="67">
        <v>2</v>
      </c>
      <c r="G5" s="68">
        <f>(D5*F5)/12</f>
        <v>14.604999999999999</v>
      </c>
    </row>
    <row r="6" spans="1:7" ht="75">
      <c r="A6" s="146" t="s">
        <v>205</v>
      </c>
      <c r="B6" s="71" t="s">
        <v>191</v>
      </c>
      <c r="C6" s="64" t="s">
        <v>206</v>
      </c>
      <c r="D6" s="69">
        <v>76.17</v>
      </c>
      <c r="E6" s="64">
        <v>12</v>
      </c>
      <c r="F6" s="67">
        <v>3</v>
      </c>
      <c r="G6" s="68">
        <f t="shared" ref="G6:G11" si="0">(D6*F6)/12</f>
        <v>19.0425</v>
      </c>
    </row>
    <row r="7" spans="1:7" ht="60">
      <c r="A7" s="146" t="s">
        <v>207</v>
      </c>
      <c r="B7" s="71" t="s">
        <v>191</v>
      </c>
      <c r="C7" s="64" t="s">
        <v>30</v>
      </c>
      <c r="D7" s="69">
        <v>42.17</v>
      </c>
      <c r="E7" s="64">
        <v>12</v>
      </c>
      <c r="F7" s="67">
        <v>4</v>
      </c>
      <c r="G7" s="68">
        <f t="shared" si="0"/>
        <v>14.056666666666667</v>
      </c>
    </row>
    <row r="8" spans="1:7" ht="60">
      <c r="A8" s="146" t="s">
        <v>208</v>
      </c>
      <c r="B8" s="71" t="s">
        <v>191</v>
      </c>
      <c r="C8" s="64" t="s">
        <v>30</v>
      </c>
      <c r="D8" s="69">
        <v>34.880000000000003</v>
      </c>
      <c r="E8" s="64">
        <v>12</v>
      </c>
      <c r="F8" s="67">
        <v>6</v>
      </c>
      <c r="G8" s="68">
        <f t="shared" si="0"/>
        <v>17.440000000000001</v>
      </c>
    </row>
    <row r="9" spans="1:7" ht="45">
      <c r="A9" s="146" t="s">
        <v>209</v>
      </c>
      <c r="B9" s="71" t="s">
        <v>191</v>
      </c>
      <c r="C9" s="64" t="s">
        <v>30</v>
      </c>
      <c r="D9" s="69">
        <v>20.21</v>
      </c>
      <c r="E9" s="64">
        <v>12</v>
      </c>
      <c r="F9" s="67">
        <v>6</v>
      </c>
      <c r="G9" s="68">
        <f t="shared" si="0"/>
        <v>10.105</v>
      </c>
    </row>
    <row r="10" spans="1:7" ht="106.5" customHeight="1">
      <c r="A10" s="146" t="s">
        <v>210</v>
      </c>
      <c r="B10" s="71" t="s">
        <v>191</v>
      </c>
      <c r="C10" s="64" t="s">
        <v>30</v>
      </c>
      <c r="D10" s="69">
        <v>96.98</v>
      </c>
      <c r="E10" s="64">
        <v>12</v>
      </c>
      <c r="F10" s="67">
        <v>2</v>
      </c>
      <c r="G10" s="68">
        <f t="shared" si="0"/>
        <v>16.163333333333334</v>
      </c>
    </row>
    <row r="11" spans="1:7" ht="132.75" customHeight="1">
      <c r="A11" s="146" t="s">
        <v>211</v>
      </c>
      <c r="B11" s="71" t="s">
        <v>191</v>
      </c>
      <c r="C11" s="64" t="s">
        <v>30</v>
      </c>
      <c r="D11" s="69">
        <v>30.5</v>
      </c>
      <c r="E11" s="64">
        <v>12</v>
      </c>
      <c r="F11" s="67">
        <v>2</v>
      </c>
      <c r="G11" s="68">
        <f t="shared" si="0"/>
        <v>5.083333333333333</v>
      </c>
    </row>
    <row r="12" spans="1:7">
      <c r="A12" s="432" t="s">
        <v>190</v>
      </c>
      <c r="B12" s="432"/>
      <c r="C12" s="432"/>
      <c r="D12" s="432"/>
      <c r="E12" s="432"/>
      <c r="F12" s="432"/>
      <c r="G12" s="70">
        <f>SUM(G5:G11)</f>
        <v>96.495833333333323</v>
      </c>
    </row>
    <row r="13" spans="1:7">
      <c r="A13" s="433" t="s">
        <v>117</v>
      </c>
      <c r="B13" s="433"/>
      <c r="C13" s="433"/>
      <c r="D13" s="433"/>
      <c r="E13" s="433"/>
      <c r="F13" s="433"/>
      <c r="G13" s="433"/>
    </row>
    <row r="15" spans="1:7" ht="15.75">
      <c r="A15" s="434" t="s">
        <v>213</v>
      </c>
      <c r="B15" s="434"/>
      <c r="C15" s="434"/>
      <c r="D15" s="434"/>
      <c r="E15" s="434"/>
      <c r="F15" s="434"/>
      <c r="G15" s="434"/>
    </row>
    <row r="16" spans="1:7" ht="15.75">
      <c r="A16" s="435" t="s">
        <v>236</v>
      </c>
      <c r="B16" s="435"/>
      <c r="C16" s="435"/>
      <c r="D16" s="435"/>
      <c r="E16" s="435"/>
      <c r="F16" s="435"/>
      <c r="G16" s="435"/>
    </row>
    <row r="17" spans="1:7">
      <c r="A17" s="436" t="s">
        <v>51</v>
      </c>
      <c r="B17" s="437" t="s">
        <v>112</v>
      </c>
      <c r="C17" s="438" t="s">
        <v>113</v>
      </c>
      <c r="D17" s="438" t="s">
        <v>114</v>
      </c>
      <c r="E17" s="437" t="s">
        <v>115</v>
      </c>
      <c r="F17" s="439" t="s">
        <v>186</v>
      </c>
      <c r="G17" s="439" t="s">
        <v>116</v>
      </c>
    </row>
    <row r="18" spans="1:7">
      <c r="A18" s="436"/>
      <c r="B18" s="437"/>
      <c r="C18" s="438"/>
      <c r="D18" s="438"/>
      <c r="E18" s="437"/>
      <c r="F18" s="439"/>
      <c r="G18" s="439"/>
    </row>
    <row r="19" spans="1:7" ht="195">
      <c r="A19" s="145" t="s">
        <v>214</v>
      </c>
      <c r="B19" s="137" t="s">
        <v>191</v>
      </c>
      <c r="C19" s="64" t="s">
        <v>30</v>
      </c>
      <c r="D19" s="65">
        <v>164.29</v>
      </c>
      <c r="E19" s="66">
        <v>12</v>
      </c>
      <c r="F19" s="67">
        <v>1</v>
      </c>
      <c r="G19" s="68">
        <f>(D19*F19)/E19</f>
        <v>13.690833333333332</v>
      </c>
    </row>
    <row r="20" spans="1:7" ht="135">
      <c r="A20" s="146" t="s">
        <v>215</v>
      </c>
      <c r="B20" s="71" t="s">
        <v>191</v>
      </c>
      <c r="C20" s="64" t="s">
        <v>206</v>
      </c>
      <c r="D20" s="69">
        <v>436.3</v>
      </c>
      <c r="E20" s="64">
        <v>12</v>
      </c>
      <c r="F20" s="67">
        <v>1</v>
      </c>
      <c r="G20" s="68">
        <f t="shared" ref="G20:G28" si="1">(D20*F20)/E20</f>
        <v>36.358333333333334</v>
      </c>
    </row>
    <row r="21" spans="1:7" ht="195">
      <c r="A21" s="147" t="s">
        <v>216</v>
      </c>
      <c r="B21" s="71" t="s">
        <v>191</v>
      </c>
      <c r="C21" s="64" t="s">
        <v>206</v>
      </c>
      <c r="D21" s="69">
        <v>26.36</v>
      </c>
      <c r="E21" s="64">
        <v>12</v>
      </c>
      <c r="F21" s="67">
        <v>1</v>
      </c>
      <c r="G21" s="68">
        <f t="shared" si="1"/>
        <v>2.1966666666666668</v>
      </c>
    </row>
    <row r="22" spans="1:7" ht="105.75" customHeight="1">
      <c r="A22" s="145" t="s">
        <v>217</v>
      </c>
      <c r="B22" s="71" t="s">
        <v>191</v>
      </c>
      <c r="C22" s="64" t="s">
        <v>206</v>
      </c>
      <c r="D22" s="69">
        <v>270.93</v>
      </c>
      <c r="E22" s="64">
        <v>12</v>
      </c>
      <c r="F22" s="67">
        <v>1</v>
      </c>
      <c r="G22" s="68">
        <f t="shared" si="1"/>
        <v>22.577500000000001</v>
      </c>
    </row>
    <row r="23" spans="1:7" ht="90">
      <c r="A23" s="146" t="s">
        <v>218</v>
      </c>
      <c r="B23" s="71" t="s">
        <v>191</v>
      </c>
      <c r="C23" s="64" t="s">
        <v>206</v>
      </c>
      <c r="D23" s="69">
        <v>7.5</v>
      </c>
      <c r="E23" s="64">
        <v>12</v>
      </c>
      <c r="F23" s="67">
        <v>10</v>
      </c>
      <c r="G23" s="68">
        <f t="shared" si="1"/>
        <v>6.25</v>
      </c>
    </row>
    <row r="24" spans="1:7" ht="90">
      <c r="A24" s="146" t="s">
        <v>219</v>
      </c>
      <c r="B24" s="71" t="s">
        <v>191</v>
      </c>
      <c r="C24" s="64" t="s">
        <v>206</v>
      </c>
      <c r="D24" s="69">
        <v>6.6</v>
      </c>
      <c r="E24" s="64">
        <v>12</v>
      </c>
      <c r="F24" s="67">
        <v>8</v>
      </c>
      <c r="G24" s="68">
        <f t="shared" si="1"/>
        <v>4.3999999999999995</v>
      </c>
    </row>
    <row r="25" spans="1:7" ht="150">
      <c r="A25" s="146" t="s">
        <v>220</v>
      </c>
      <c r="B25" s="71" t="s">
        <v>191</v>
      </c>
      <c r="C25" s="64" t="s">
        <v>30</v>
      </c>
      <c r="D25" s="69">
        <v>73.52</v>
      </c>
      <c r="E25" s="64">
        <v>12</v>
      </c>
      <c r="F25" s="67">
        <v>1</v>
      </c>
      <c r="G25" s="68">
        <f t="shared" si="1"/>
        <v>6.126666666666666</v>
      </c>
    </row>
    <row r="26" spans="1:7" ht="135">
      <c r="A26" s="146" t="s">
        <v>221</v>
      </c>
      <c r="B26" s="71" t="s">
        <v>191</v>
      </c>
      <c r="C26" s="64" t="s">
        <v>30</v>
      </c>
      <c r="D26" s="69">
        <v>6.07</v>
      </c>
      <c r="E26" s="64">
        <v>12</v>
      </c>
      <c r="F26" s="67">
        <v>4</v>
      </c>
      <c r="G26" s="68">
        <f t="shared" si="1"/>
        <v>2.0233333333333334</v>
      </c>
    </row>
    <row r="27" spans="1:7" ht="74.25" customHeight="1">
      <c r="A27" s="146" t="s">
        <v>222</v>
      </c>
      <c r="B27" s="71" t="s">
        <v>191</v>
      </c>
      <c r="C27" s="64" t="s">
        <v>30</v>
      </c>
      <c r="D27" s="69">
        <v>29.44</v>
      </c>
      <c r="E27" s="64">
        <v>12</v>
      </c>
      <c r="F27" s="67">
        <v>6</v>
      </c>
      <c r="G27" s="68">
        <f t="shared" si="1"/>
        <v>14.72</v>
      </c>
    </row>
    <row r="28" spans="1:7" ht="74.25" customHeight="1">
      <c r="A28" s="146" t="s">
        <v>223</v>
      </c>
      <c r="B28" s="71" t="s">
        <v>191</v>
      </c>
      <c r="C28" s="64" t="s">
        <v>30</v>
      </c>
      <c r="D28" s="69">
        <v>63.87</v>
      </c>
      <c r="E28" s="64">
        <v>12</v>
      </c>
      <c r="F28" s="67">
        <v>12</v>
      </c>
      <c r="G28" s="68">
        <f t="shared" si="1"/>
        <v>63.87</v>
      </c>
    </row>
    <row r="29" spans="1:7">
      <c r="A29" s="432" t="s">
        <v>190</v>
      </c>
      <c r="B29" s="432"/>
      <c r="C29" s="432"/>
      <c r="D29" s="432"/>
      <c r="E29" s="432"/>
      <c r="F29" s="432"/>
      <c r="G29" s="70">
        <f>SUM(G19:G28)</f>
        <v>172.21333333333334</v>
      </c>
    </row>
    <row r="30" spans="1:7">
      <c r="A30" s="433" t="s">
        <v>117</v>
      </c>
      <c r="B30" s="433"/>
      <c r="C30" s="433"/>
      <c r="D30" s="433"/>
      <c r="E30" s="433"/>
      <c r="F30" s="433"/>
      <c r="G30" s="433"/>
    </row>
  </sheetData>
  <mergeCells count="22">
    <mergeCell ref="A13:G13"/>
    <mergeCell ref="A12:F12"/>
    <mergeCell ref="A1:G1"/>
    <mergeCell ref="A2:G2"/>
    <mergeCell ref="A3:A4"/>
    <mergeCell ref="B3:B4"/>
    <mergeCell ref="C3:C4"/>
    <mergeCell ref="D3:D4"/>
    <mergeCell ref="E3:E4"/>
    <mergeCell ref="F3:F4"/>
    <mergeCell ref="G3:G4"/>
    <mergeCell ref="A29:F29"/>
    <mergeCell ref="A30:G30"/>
    <mergeCell ref="A15:G15"/>
    <mergeCell ref="A16:G16"/>
    <mergeCell ref="A17:A18"/>
    <mergeCell ref="B17:B18"/>
    <mergeCell ref="C17:C18"/>
    <mergeCell ref="D17:D18"/>
    <mergeCell ref="E17:E18"/>
    <mergeCell ref="F17:F18"/>
    <mergeCell ref="G17:G18"/>
  </mergeCells>
  <pageMargins left="0.51181102362204722" right="0.51181102362204722" top="0.78740157480314965" bottom="0.78740157480314965" header="0.31496062992125984" footer="0.31496062992125984"/>
  <pageSetup paperSize="9" scale="66" fitToHeight="0" orientation="portrait" r:id="rId1"/>
  <headerFooter>
    <oddHeader>&amp;L&amp;F</oddHeader>
    <oddFooter>&amp;L&amp;F&amp;C&amp;A&amp;R&amp;P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I41"/>
  <sheetViews>
    <sheetView topLeftCell="A7" zoomScaleNormal="100" workbookViewId="0">
      <selection activeCell="B12" sqref="B12:H12"/>
    </sheetView>
  </sheetViews>
  <sheetFormatPr defaultRowHeight="12"/>
  <cols>
    <col min="1" max="1" width="13.5703125" style="1" customWidth="1"/>
    <col min="2" max="2" width="13.85546875" style="1" customWidth="1"/>
    <col min="3" max="3" width="23"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460" t="s">
        <v>53</v>
      </c>
      <c r="B1" s="460"/>
      <c r="C1" s="460"/>
      <c r="D1" s="460"/>
      <c r="E1" s="460"/>
      <c r="F1" s="460"/>
      <c r="G1" s="460"/>
      <c r="H1" s="460"/>
      <c r="I1" s="460"/>
    </row>
    <row r="2" spans="1:9" ht="12.75">
      <c r="A2" s="460" t="s">
        <v>154</v>
      </c>
      <c r="B2" s="460"/>
      <c r="C2" s="460"/>
      <c r="D2" s="460"/>
      <c r="E2" s="460"/>
      <c r="F2" s="460"/>
      <c r="G2" s="460"/>
      <c r="H2" s="460"/>
      <c r="I2" s="460"/>
    </row>
    <row r="3" spans="1:9" ht="12.75">
      <c r="A3" s="209"/>
      <c r="B3" s="209"/>
      <c r="C3" s="209"/>
      <c r="D3" s="209"/>
      <c r="E3" s="209"/>
      <c r="F3" s="209"/>
      <c r="G3" s="209"/>
      <c r="H3" s="209"/>
      <c r="I3" s="209"/>
    </row>
    <row r="4" spans="1:9" ht="12.75">
      <c r="A4" s="209"/>
      <c r="B4" s="209"/>
      <c r="C4" s="209"/>
      <c r="D4" s="209"/>
      <c r="E4" s="209"/>
      <c r="F4" s="209"/>
      <c r="G4" s="209"/>
      <c r="H4" s="209"/>
      <c r="I4" s="209"/>
    </row>
    <row r="5" spans="1:9" ht="44.25" customHeight="1">
      <c r="A5" s="461" t="s">
        <v>155</v>
      </c>
      <c r="B5" s="461"/>
      <c r="C5" s="461"/>
      <c r="D5" s="461" t="s">
        <v>180</v>
      </c>
      <c r="E5" s="461"/>
      <c r="F5" s="461" t="s">
        <v>156</v>
      </c>
      <c r="G5" s="461"/>
      <c r="H5" s="461" t="s">
        <v>181</v>
      </c>
      <c r="I5" s="461"/>
    </row>
    <row r="6" spans="1:9" ht="40.5" customHeight="1">
      <c r="A6" s="126" t="s">
        <v>157</v>
      </c>
      <c r="B6" s="440" t="str">
        <f>'MANUTENÇÃO DA EDIFICAÇÕES - 44h'!A16</f>
        <v>Apoio Administrativo - Trabalhador da Manutenção de Edificações - 44hs semanais. Santo Augusto.</v>
      </c>
      <c r="C6" s="441"/>
      <c r="D6" s="463">
        <f>'MANUTENÇÃO DA EDIFICAÇÕES - 44h'!G149</f>
        <v>3763.66</v>
      </c>
      <c r="E6" s="464"/>
      <c r="F6" s="465">
        <f>'MANUTENÇÃO DA EDIFICAÇÕES - 44h'!F16</f>
        <v>1</v>
      </c>
      <c r="G6" s="466"/>
      <c r="H6" s="463">
        <f>D6*F6</f>
        <v>3763.66</v>
      </c>
      <c r="I6" s="464"/>
    </row>
    <row r="7" spans="1:9" ht="12.75">
      <c r="A7" s="456" t="s">
        <v>237</v>
      </c>
      <c r="B7" s="456"/>
      <c r="C7" s="456"/>
      <c r="D7" s="456"/>
      <c r="E7" s="456"/>
      <c r="F7" s="456"/>
      <c r="G7" s="456"/>
      <c r="H7" s="457">
        <f>SUM(H6:H6)</f>
        <v>3763.66</v>
      </c>
      <c r="I7" s="457"/>
    </row>
    <row r="8" spans="1:9" ht="29.25" customHeight="1">
      <c r="A8" s="127"/>
      <c r="B8" s="127"/>
      <c r="C8" s="127"/>
      <c r="D8" s="128"/>
      <c r="E8" s="128"/>
      <c r="F8" s="127"/>
      <c r="G8" s="127"/>
      <c r="H8" s="128"/>
      <c r="I8" s="129"/>
    </row>
    <row r="9" spans="1:9" ht="19.5" customHeight="1">
      <c r="A9" s="458" t="s">
        <v>163</v>
      </c>
      <c r="B9" s="458"/>
      <c r="C9" s="458"/>
      <c r="D9" s="458"/>
      <c r="E9" s="458"/>
      <c r="F9" s="458"/>
      <c r="G9" s="458"/>
      <c r="H9" s="458"/>
      <c r="I9" s="458"/>
    </row>
    <row r="10" spans="1:9" ht="19.5" customHeight="1">
      <c r="A10" s="456" t="s">
        <v>97</v>
      </c>
      <c r="B10" s="456"/>
      <c r="C10" s="456"/>
      <c r="D10" s="456"/>
      <c r="E10" s="456"/>
      <c r="F10" s="456"/>
      <c r="G10" s="456"/>
      <c r="H10" s="456"/>
      <c r="I10" s="153" t="s">
        <v>18</v>
      </c>
    </row>
    <row r="11" spans="1:9" ht="42.75" customHeight="1">
      <c r="A11" s="150" t="s">
        <v>8</v>
      </c>
      <c r="B11" s="459" t="s">
        <v>164</v>
      </c>
      <c r="C11" s="459"/>
      <c r="D11" s="459"/>
      <c r="E11" s="462" t="str">
        <f>B6</f>
        <v>Apoio Administrativo - Trabalhador da Manutenção de Edificações - 44hs semanais. Santo Augusto.</v>
      </c>
      <c r="F11" s="462"/>
      <c r="G11" s="462"/>
      <c r="H11" s="462"/>
      <c r="I11" s="130">
        <f>H6</f>
        <v>3763.66</v>
      </c>
    </row>
    <row r="12" spans="1:9" ht="20.25" customHeight="1">
      <c r="A12" s="150" t="s">
        <v>10</v>
      </c>
      <c r="B12" s="473" t="s">
        <v>165</v>
      </c>
      <c r="C12" s="473"/>
      <c r="D12" s="473"/>
      <c r="E12" s="473"/>
      <c r="F12" s="473"/>
      <c r="G12" s="473"/>
      <c r="H12" s="473"/>
      <c r="I12" s="131">
        <f>SUM(I11:I11)</f>
        <v>3763.66</v>
      </c>
    </row>
    <row r="13" spans="1:9" ht="20.25" customHeight="1">
      <c r="A13" s="150" t="s">
        <v>12</v>
      </c>
      <c r="B13" s="459" t="s">
        <v>166</v>
      </c>
      <c r="C13" s="459"/>
      <c r="D13" s="459"/>
      <c r="E13" s="459"/>
      <c r="F13" s="459"/>
      <c r="G13" s="459"/>
      <c r="H13" s="459"/>
      <c r="I13" s="132">
        <f>'MANUTENÇÃO DA EDIFICAÇÕES - 44h'!G13</f>
        <v>12</v>
      </c>
    </row>
    <row r="14" spans="1:9" ht="36.75" customHeight="1">
      <c r="A14" s="201" t="s">
        <v>13</v>
      </c>
      <c r="B14" s="443" t="s">
        <v>242</v>
      </c>
      <c r="C14" s="443"/>
      <c r="D14" s="444" t="str">
        <f>B6</f>
        <v>Apoio Administrativo - Trabalhador da Manutenção de Edificações - 44hs semanais. Santo Augusto.</v>
      </c>
      <c r="E14" s="445"/>
      <c r="F14" s="445"/>
      <c r="G14" s="445"/>
      <c r="H14" s="446"/>
      <c r="I14" s="202">
        <f>D6</f>
        <v>3763.66</v>
      </c>
    </row>
    <row r="15" spans="1:9" ht="32.25" customHeight="1">
      <c r="A15" s="203" t="s">
        <v>20</v>
      </c>
      <c r="B15" s="447" t="s">
        <v>243</v>
      </c>
      <c r="C15" s="448"/>
      <c r="D15" s="449" t="str">
        <f>D14</f>
        <v>Apoio Administrativo - Trabalhador da Manutenção de Edificações - 44hs semanais. Santo Augusto.</v>
      </c>
      <c r="E15" s="450"/>
      <c r="F15" s="450"/>
      <c r="G15" s="450"/>
      <c r="H15" s="451"/>
      <c r="I15" s="204">
        <f>I13*F6</f>
        <v>12</v>
      </c>
    </row>
    <row r="16" spans="1:9" ht="30.75" customHeight="1">
      <c r="A16" s="205" t="s">
        <v>21</v>
      </c>
      <c r="B16" s="452" t="s">
        <v>244</v>
      </c>
      <c r="C16" s="452"/>
      <c r="D16" s="453" t="str">
        <f>D14</f>
        <v>Apoio Administrativo - Trabalhador da Manutenção de Edificações - 44hs semanais. Santo Augusto.</v>
      </c>
      <c r="E16" s="454"/>
      <c r="F16" s="454"/>
      <c r="G16" s="454"/>
      <c r="H16" s="455"/>
      <c r="I16" s="206">
        <f>I14*I15</f>
        <v>45163.92</v>
      </c>
    </row>
    <row r="17" spans="1:9" ht="27.75" customHeight="1">
      <c r="A17" s="207" t="s">
        <v>22</v>
      </c>
      <c r="B17" s="442" t="s">
        <v>245</v>
      </c>
      <c r="C17" s="442"/>
      <c r="D17" s="442"/>
      <c r="E17" s="442"/>
      <c r="F17" s="442"/>
      <c r="G17" s="442"/>
      <c r="H17" s="442"/>
      <c r="I17" s="208">
        <f>SUM(I16:I16)</f>
        <v>45163.92</v>
      </c>
    </row>
    <row r="18" spans="1:9" ht="12.75">
      <c r="A18" s="133"/>
      <c r="B18" s="133"/>
      <c r="C18" s="133"/>
      <c r="D18" s="134"/>
      <c r="E18" s="134"/>
      <c r="F18" s="135"/>
      <c r="G18" s="135"/>
      <c r="H18" s="134"/>
      <c r="I18" s="134"/>
    </row>
    <row r="19" spans="1:9" ht="32.25" customHeight="1">
      <c r="A19" s="472" t="s">
        <v>54</v>
      </c>
      <c r="B19" s="472"/>
      <c r="C19" s="472"/>
      <c r="D19" s="472"/>
      <c r="E19" s="472"/>
      <c r="F19" s="472"/>
      <c r="G19" s="472"/>
      <c r="H19" s="472"/>
      <c r="I19" s="472"/>
    </row>
    <row r="20" spans="1:9" ht="12.75">
      <c r="A20" s="210"/>
      <c r="B20" s="210"/>
      <c r="C20" s="210"/>
      <c r="D20" s="210"/>
      <c r="E20" s="210"/>
      <c r="F20" s="210"/>
      <c r="G20" s="210"/>
      <c r="H20" s="210"/>
      <c r="I20" s="210"/>
    </row>
    <row r="21" spans="1:9" ht="17.25" customHeight="1">
      <c r="A21" s="469" t="s">
        <v>167</v>
      </c>
      <c r="B21" s="469"/>
      <c r="C21" s="469"/>
      <c r="D21" s="469"/>
      <c r="E21" s="469"/>
      <c r="F21" s="469"/>
      <c r="G21" s="469"/>
      <c r="H21" s="469"/>
      <c r="I21" s="469"/>
    </row>
    <row r="22" spans="1:9" ht="12.75">
      <c r="A22" s="210"/>
      <c r="B22" s="210"/>
      <c r="C22" s="210"/>
      <c r="D22" s="210"/>
      <c r="E22" s="210"/>
      <c r="F22" s="210"/>
      <c r="G22" s="210"/>
      <c r="H22" s="210"/>
      <c r="I22" s="210"/>
    </row>
    <row r="23" spans="1:9" ht="27.75" customHeight="1">
      <c r="A23" s="468" t="s">
        <v>55</v>
      </c>
      <c r="B23" s="468"/>
      <c r="C23" s="468"/>
      <c r="D23" s="468"/>
      <c r="E23" s="468"/>
      <c r="F23" s="468"/>
      <c r="G23" s="468"/>
      <c r="H23" s="468"/>
      <c r="I23" s="468"/>
    </row>
    <row r="24" spans="1:9" ht="12.75">
      <c r="A24" s="210"/>
      <c r="B24" s="210"/>
      <c r="C24" s="210"/>
      <c r="D24" s="210"/>
      <c r="E24" s="210"/>
      <c r="F24" s="210"/>
      <c r="G24" s="210"/>
      <c r="H24" s="210"/>
      <c r="I24" s="210"/>
    </row>
    <row r="25" spans="1:9" ht="16.5" customHeight="1">
      <c r="A25" s="468" t="s">
        <v>56</v>
      </c>
      <c r="B25" s="468"/>
      <c r="C25" s="468"/>
      <c r="D25" s="468"/>
      <c r="E25" s="468"/>
      <c r="F25" s="468"/>
      <c r="G25" s="468"/>
      <c r="H25" s="468"/>
      <c r="I25" s="468"/>
    </row>
    <row r="26" spans="1:9" ht="12.75">
      <c r="A26" s="210"/>
      <c r="B26" s="210"/>
      <c r="C26" s="210"/>
      <c r="D26" s="210"/>
      <c r="E26" s="210"/>
      <c r="F26" s="210"/>
      <c r="G26" s="210"/>
      <c r="H26" s="210"/>
      <c r="I26" s="210"/>
    </row>
    <row r="27" spans="1:9" ht="12.75">
      <c r="A27" s="468" t="s">
        <v>57</v>
      </c>
      <c r="B27" s="468"/>
      <c r="C27" s="468"/>
      <c r="D27" s="468"/>
      <c r="E27" s="468"/>
      <c r="F27" s="468"/>
      <c r="G27" s="468"/>
      <c r="H27" s="468"/>
      <c r="I27" s="468"/>
    </row>
    <row r="28" spans="1:9" ht="12.75">
      <c r="A28" s="210"/>
      <c r="B28" s="210"/>
      <c r="C28" s="210"/>
      <c r="D28" s="210"/>
      <c r="E28" s="210"/>
      <c r="F28" s="210"/>
      <c r="G28" s="210"/>
      <c r="H28" s="210"/>
      <c r="I28" s="210"/>
    </row>
    <row r="29" spans="1:9" ht="12.75">
      <c r="A29" s="469" t="s">
        <v>58</v>
      </c>
      <c r="B29" s="469"/>
      <c r="C29" s="469"/>
      <c r="D29" s="469"/>
      <c r="E29" s="469"/>
      <c r="F29" s="469"/>
      <c r="G29" s="469"/>
      <c r="H29" s="469"/>
      <c r="I29" s="469"/>
    </row>
    <row r="30" spans="1:9" ht="12.75">
      <c r="A30" s="210"/>
      <c r="B30" s="210"/>
      <c r="C30" s="210"/>
      <c r="D30" s="210"/>
      <c r="E30" s="210"/>
      <c r="F30" s="210"/>
      <c r="G30" s="210"/>
      <c r="H30" s="210"/>
      <c r="I30" s="210"/>
    </row>
    <row r="31" spans="1:9" ht="12.75">
      <c r="A31" s="210" t="s">
        <v>59</v>
      </c>
      <c r="B31" s="210"/>
      <c r="C31" s="210"/>
      <c r="D31" s="210"/>
      <c r="E31" s="210"/>
      <c r="F31" s="210"/>
      <c r="G31" s="210"/>
      <c r="H31" s="210"/>
      <c r="I31" s="210"/>
    </row>
    <row r="32" spans="1:9" ht="12.75">
      <c r="A32" s="210"/>
      <c r="B32" s="210"/>
      <c r="C32" s="210"/>
      <c r="D32" s="210"/>
      <c r="E32" s="210"/>
      <c r="F32" s="210"/>
      <c r="G32" s="210"/>
      <c r="H32" s="210"/>
      <c r="I32" s="210"/>
    </row>
    <row r="33" spans="1:9" ht="12.75">
      <c r="A33" s="470" t="s">
        <v>168</v>
      </c>
      <c r="B33" s="470"/>
      <c r="C33" s="471"/>
      <c r="D33" s="471"/>
      <c r="E33" s="471"/>
      <c r="F33" s="471"/>
      <c r="G33" s="471"/>
      <c r="H33" s="471"/>
      <c r="I33" s="471"/>
    </row>
    <row r="34" spans="1:9">
      <c r="A34" s="211"/>
      <c r="B34" s="211"/>
      <c r="C34" s="211"/>
      <c r="D34" s="211"/>
      <c r="E34" s="211"/>
      <c r="F34" s="211"/>
      <c r="G34" s="212"/>
      <c r="H34" s="212"/>
      <c r="I34" s="212"/>
    </row>
    <row r="35" spans="1:9">
      <c r="A35" s="212"/>
      <c r="B35" s="212"/>
      <c r="C35" s="212"/>
      <c r="D35" s="212"/>
      <c r="E35" s="212"/>
      <c r="F35" s="212"/>
      <c r="G35" s="212"/>
      <c r="H35" s="212"/>
      <c r="I35" s="212"/>
    </row>
    <row r="36" spans="1:9">
      <c r="A36" s="467" t="s">
        <v>60</v>
      </c>
      <c r="B36" s="467"/>
      <c r="C36" s="467"/>
      <c r="D36" s="467"/>
      <c r="E36" s="467"/>
      <c r="F36" s="467"/>
      <c r="G36" s="212"/>
      <c r="H36" s="212"/>
      <c r="I36" s="212"/>
    </row>
    <row r="37" spans="1:9">
      <c r="A37" s="467"/>
      <c r="B37" s="467"/>
      <c r="C37" s="467"/>
      <c r="D37" s="467"/>
      <c r="E37" s="467"/>
      <c r="F37" s="467"/>
      <c r="G37" s="212"/>
      <c r="H37" s="212"/>
      <c r="I37" s="212"/>
    </row>
    <row r="38" spans="1:9">
      <c r="A38" s="467"/>
      <c r="B38" s="467"/>
      <c r="C38" s="467"/>
      <c r="D38" s="467"/>
      <c r="E38" s="467"/>
      <c r="F38" s="467"/>
      <c r="G38" s="212"/>
      <c r="H38" s="212"/>
      <c r="I38" s="212"/>
    </row>
    <row r="39" spans="1:9">
      <c r="A39" s="467"/>
      <c r="B39" s="467"/>
      <c r="C39" s="467"/>
      <c r="D39" s="467"/>
      <c r="E39" s="467"/>
      <c r="F39" s="467"/>
      <c r="G39" s="212"/>
      <c r="H39" s="212"/>
      <c r="I39" s="212"/>
    </row>
    <row r="40" spans="1:9">
      <c r="A40" s="467"/>
      <c r="B40" s="467"/>
      <c r="C40" s="467"/>
      <c r="D40" s="467"/>
      <c r="E40" s="467"/>
      <c r="F40" s="467"/>
      <c r="G40" s="212"/>
      <c r="H40" s="212"/>
      <c r="I40" s="212"/>
    </row>
    <row r="41" spans="1:9">
      <c r="A41" s="467"/>
      <c r="B41" s="467"/>
      <c r="C41" s="467"/>
      <c r="D41" s="467"/>
      <c r="E41" s="467"/>
      <c r="F41" s="467"/>
      <c r="G41" s="212"/>
      <c r="H41" s="212"/>
      <c r="I41" s="212"/>
    </row>
  </sheetData>
  <mergeCells count="35">
    <mergeCell ref="F6:G6"/>
    <mergeCell ref="A36:F41"/>
    <mergeCell ref="A23:I23"/>
    <mergeCell ref="A25:I25"/>
    <mergeCell ref="A27:I27"/>
    <mergeCell ref="A29:I29"/>
    <mergeCell ref="A33:B33"/>
    <mergeCell ref="C33:G33"/>
    <mergeCell ref="H33:I33"/>
    <mergeCell ref="A19:I19"/>
    <mergeCell ref="A21:I21"/>
    <mergeCell ref="H6:I6"/>
    <mergeCell ref="B12:H12"/>
    <mergeCell ref="A1:I1"/>
    <mergeCell ref="A2:I2"/>
    <mergeCell ref="A5:C5"/>
    <mergeCell ref="D5:E5"/>
    <mergeCell ref="F5:G5"/>
    <mergeCell ref="H5:I5"/>
    <mergeCell ref="B6:C6"/>
    <mergeCell ref="B17:H17"/>
    <mergeCell ref="B14:C14"/>
    <mergeCell ref="D14:H14"/>
    <mergeCell ref="B15:C15"/>
    <mergeCell ref="D15:H15"/>
    <mergeCell ref="B16:C16"/>
    <mergeCell ref="D16:H16"/>
    <mergeCell ref="A7:G7"/>
    <mergeCell ref="H7:I7"/>
    <mergeCell ref="A9:I9"/>
    <mergeCell ref="A10:H10"/>
    <mergeCell ref="B13:H13"/>
    <mergeCell ref="E11:H11"/>
    <mergeCell ref="B11:D11"/>
    <mergeCell ref="D6:E6"/>
  </mergeCells>
  <pageMargins left="0.51181102362204722" right="0.51181102362204722" top="0.78740157480314965" bottom="0.78740157480314965" header="0.31496062992125984" footer="0.31496062992125984"/>
  <pageSetup paperSize="9" scale="74" fitToHeight="0"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MANUTENÇÃO DA EDIFICAÇÕES - 44h</vt:lpstr>
      <vt:lpstr>UNIFORMES-EQUIP. SEGURANÇA  </vt:lpstr>
      <vt:lpstr>RESUMO DA PROPOSTA</vt:lpstr>
      <vt:lpstr>'MANUTENÇÃO DA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2021-07-07T11:31:59Z</cp:lastPrinted>
  <dcterms:created xsi:type="dcterms:W3CDTF">2013-09-30T16:27:09Z</dcterms:created>
  <dcterms:modified xsi:type="dcterms:W3CDTF">2021-07-07T17:33:50Z</dcterms:modified>
  <dc:language>pt-BR</dc:language>
</cp:coreProperties>
</file>