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3"/>
  </bookViews>
  <sheets>
    <sheet name="MANUTENÇÃO DE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- 44h'!$A$1:$I$149</definedName>
    <definedName name="_xlnm.Print_Area" localSheetId="0">'MANUTENÇÃO DE EDIFICAÇÕES - 44h'!$A$1:$I$149</definedName>
    <definedName name="_xlnm.Print_Area" localSheetId="3">'RESUMO DA PROPOSTA'!$A$1:$I$45</definedName>
    <definedName name="_xlnm.Print_Area" localSheetId="2">'UNIFORMES-EQUIP. SEGURANÇA  '!$A$1:$G$30</definedName>
  </definedNames>
  <calcPr calcId="145621"/>
</workbook>
</file>

<file path=xl/calcChain.xml><?xml version="1.0" encoding="utf-8"?>
<calcChain xmlns="http://schemas.openxmlformats.org/spreadsheetml/2006/main">
  <c r="A16" i="12" l="1"/>
  <c r="B6" i="6" l="1"/>
  <c r="B5" i="6"/>
  <c r="D15" i="6" l="1"/>
  <c r="D17" i="6" s="1"/>
  <c r="E11" i="6"/>
  <c r="D16" i="6"/>
  <c r="D18" i="6" s="1"/>
  <c r="E12" i="6"/>
  <c r="D19" i="6"/>
  <c r="C7" i="14"/>
  <c r="C6" i="14"/>
  <c r="F3" i="14"/>
  <c r="B3" i="14"/>
  <c r="D20" i="6" l="1"/>
  <c r="G20" i="12"/>
  <c r="G21" i="12"/>
  <c r="G22" i="12"/>
  <c r="G23" i="12"/>
  <c r="G24" i="12"/>
  <c r="G25" i="12"/>
  <c r="G26" i="12"/>
  <c r="G27" i="12"/>
  <c r="G28" i="12"/>
  <c r="G19" i="12"/>
  <c r="G6" i="12"/>
  <c r="G7" i="12"/>
  <c r="G8" i="12"/>
  <c r="G9" i="12"/>
  <c r="G10" i="12"/>
  <c r="G11" i="12"/>
  <c r="I14" i="6"/>
  <c r="F6" i="6"/>
  <c r="F5" i="6"/>
  <c r="F130" i="14"/>
  <c r="F129" i="14"/>
  <c r="G105" i="14"/>
  <c r="G110" i="14" s="1"/>
  <c r="G66" i="14"/>
  <c r="E50" i="14"/>
  <c r="E56" i="14" s="1"/>
  <c r="F33" i="14"/>
  <c r="G33" i="14" s="1"/>
  <c r="G32" i="14"/>
  <c r="E10" i="14"/>
  <c r="G8" i="14"/>
  <c r="B4" i="14"/>
  <c r="I18" i="6" l="1"/>
  <c r="G36" i="14"/>
  <c r="B91" i="14" s="1"/>
  <c r="I17" i="6"/>
  <c r="F128" i="14"/>
  <c r="G29" i="12"/>
  <c r="G62" i="14"/>
  <c r="G69" i="14" s="1"/>
  <c r="G76" i="14" s="1"/>
  <c r="G66" i="13"/>
  <c r="F33" i="13"/>
  <c r="G33" i="13" s="1"/>
  <c r="G5" i="12"/>
  <c r="G12" i="12" s="1"/>
  <c r="G141" i="14" l="1"/>
  <c r="G84" i="14"/>
  <c r="G85" i="14" s="1"/>
  <c r="G41" i="14"/>
  <c r="G86" i="14" s="1"/>
  <c r="G42" i="14"/>
  <c r="G43" i="14" s="1"/>
  <c r="G117" i="13"/>
  <c r="G117" i="14"/>
  <c r="G116" i="14"/>
  <c r="G119" i="14" s="1"/>
  <c r="G116" i="13"/>
  <c r="G119" i="13" s="1"/>
  <c r="G32" i="13"/>
  <c r="G83" i="14" l="1"/>
  <c r="G81" i="14"/>
  <c r="G82" i="14" s="1"/>
  <c r="G74" i="14"/>
  <c r="G51" i="14"/>
  <c r="G54" i="14"/>
  <c r="G53" i="14"/>
  <c r="G55" i="14"/>
  <c r="G48" i="14"/>
  <c r="G50" i="14"/>
  <c r="G52" i="14"/>
  <c r="G49" i="14"/>
  <c r="G87" i="14" l="1"/>
  <c r="F91" i="14" s="1"/>
  <c r="G56" i="14"/>
  <c r="G75" i="14" s="1"/>
  <c r="G77" i="14" s="1"/>
  <c r="G99" i="14"/>
  <c r="E10" i="13"/>
  <c r="F130" i="13"/>
  <c r="F129" i="13"/>
  <c r="G143" i="14" l="1"/>
  <c r="G142" i="14"/>
  <c r="D91" i="14"/>
  <c r="G91" i="14" s="1"/>
  <c r="F128" i="13"/>
  <c r="E50" i="13"/>
  <c r="E56" i="13" s="1"/>
  <c r="G8" i="13"/>
  <c r="B4" i="13"/>
  <c r="G97" i="14" l="1"/>
  <c r="G100" i="14"/>
  <c r="G96" i="14"/>
  <c r="G95" i="14"/>
  <c r="G98" i="14"/>
  <c r="G92" i="14"/>
  <c r="G62" i="13"/>
  <c r="G101" i="14" l="1"/>
  <c r="G109" i="14" s="1"/>
  <c r="G111" i="14" s="1"/>
  <c r="G144" i="14" s="1"/>
  <c r="G145" i="13" l="1"/>
  <c r="G36" i="13"/>
  <c r="G42" i="13" s="1"/>
  <c r="G105" i="13"/>
  <c r="G110" i="13" s="1"/>
  <c r="G145" i="14" l="1"/>
  <c r="G146" i="14" s="1"/>
  <c r="G123" i="14"/>
  <c r="G124" i="14" s="1"/>
  <c r="G84" i="13"/>
  <c r="G85" i="13" s="1"/>
  <c r="G41" i="13"/>
  <c r="G141" i="13"/>
  <c r="B91" i="13"/>
  <c r="G69" i="13"/>
  <c r="G76" i="13" s="1"/>
  <c r="G125" i="14" l="1"/>
  <c r="G126" i="14" s="1"/>
  <c r="G127" i="14" s="1"/>
  <c r="G86" i="13"/>
  <c r="G43" i="13"/>
  <c r="G74" i="13" s="1"/>
  <c r="G81" i="13"/>
  <c r="G82" i="13" s="1"/>
  <c r="G83" i="13"/>
  <c r="G132" i="14" l="1"/>
  <c r="G130" i="14"/>
  <c r="G129" i="14"/>
  <c r="G49" i="13"/>
  <c r="G52" i="13"/>
  <c r="G51" i="13"/>
  <c r="G48" i="13"/>
  <c r="G55" i="13"/>
  <c r="G53" i="13"/>
  <c r="G54" i="13"/>
  <c r="G50" i="13"/>
  <c r="G87" i="13"/>
  <c r="G143" i="13" s="1"/>
  <c r="G128" i="14" l="1"/>
  <c r="G133" i="14" s="1"/>
  <c r="G147" i="14" s="1"/>
  <c r="G148" i="14" s="1"/>
  <c r="G56" i="13"/>
  <c r="F91" i="13"/>
  <c r="G149" i="14" l="1"/>
  <c r="D6" i="6"/>
  <c r="I16" i="6" s="1"/>
  <c r="I20" i="6" s="1"/>
  <c r="G75" i="13"/>
  <c r="G77" i="13" s="1"/>
  <c r="D91" i="13" s="1"/>
  <c r="G91" i="13" s="1"/>
  <c r="G98" i="13" s="1"/>
  <c r="G99" i="13"/>
  <c r="G142" i="13" l="1"/>
  <c r="G97" i="13"/>
  <c r="G92" i="13"/>
  <c r="G100" i="13"/>
  <c r="G96" i="13"/>
  <c r="G95" i="13"/>
  <c r="G101" i="13" l="1"/>
  <c r="G109" i="13" s="1"/>
  <c r="G111" i="13" s="1"/>
  <c r="G144" i="13" s="1"/>
  <c r="G146" i="13" s="1"/>
  <c r="G123" i="13" l="1"/>
  <c r="G124" i="13" s="1"/>
  <c r="G125" i="13" s="1"/>
  <c r="G126" i="13" s="1"/>
  <c r="G127" i="13" s="1"/>
  <c r="G129" i="13" s="1"/>
  <c r="G132" i="13" l="1"/>
  <c r="G130" i="13"/>
  <c r="G128" i="13" l="1"/>
  <c r="G133" i="13" s="1"/>
  <c r="G147" i="13" s="1"/>
  <c r="G148" i="13" l="1"/>
  <c r="D5" i="6" s="1"/>
  <c r="I15" i="6" s="1"/>
  <c r="I19" i="6" s="1"/>
  <c r="I21" i="6" s="1"/>
  <c r="G149" i="13" l="1"/>
  <c r="H6" i="6"/>
  <c r="I12" i="6" s="1"/>
  <c r="H5" i="6" l="1"/>
  <c r="I11" i="6" s="1"/>
  <c r="I13"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Conforme Decreto Municipal nº 18.400, de 27 de março de 2020.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Conforme Decreto Municipal nº 18.400, de 27 de março de 2020.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<sst xmlns="http://schemas.openxmlformats.org/spreadsheetml/2006/main" count="601" uniqueCount="255">
  <si>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</si>
  <si>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</si>
  <si>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</si>
  <si>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</si>
  <si>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</si>
  <si>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</si>
  <si>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</si>
  <si>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</si>
  <si>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</si>
  <si>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</si>
  <si>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</si>
  <si>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</si>
  <si>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</si>
  <si>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</si>
  <si>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</si>
  <si>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</si>
  <si>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</si>
  <si>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</si>
  <si>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</si>
  <si>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</si>
  <si>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</si>
  <si>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</si>
  <si>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</si>
  <si>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</si>
  <si>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</si>
  <si>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</si>
  <si>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</si>
  <si>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</si>
  <si>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</si>
  <si>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</si>
  <si>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</si>
  <si>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</si>
  <si>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</si>
  <si>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</si>
  <si>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</si>
  <si>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</si>
  <si>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</si>
  <si>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</si>
  <si>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</si>
  <si>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</si>
  <si>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</si>
  <si>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</si>
  <si>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</si>
  <si>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</si>
  <si>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</si>
  <si>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</si>
  <si>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</si>
  <si>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</si>
  <si>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</si>
  <si>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</si>
  <si>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</si>
  <si>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</si>
  <si>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</si>
  <si>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</si>
  <si>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</si>
  <si>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</si>
  <si>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</si>
  <si>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</si>
  <si>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</si>
  <si>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</si>
  <si>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</si>
  <si>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</si>
  <si>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</si>
  <si>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</si>
  <si>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</si>
  <si>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</si>
  <si>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</si>
  <si>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</si>
  <si>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</si>
  <si>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</si>
  <si>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</si>
  <si>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</si>
  <si>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</si>
  <si>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</si>
  <si>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</si>
  <si>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</si>
  <si>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</si>
  <si>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</si>
  <si>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</si>
  <si>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</si>
  <si>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</si>
  <si>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</si>
  <si>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</si>
  <si>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</si>
  <si>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</si>
  <si>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</si>
  <si>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</si>
  <si>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</si>
  <si>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</si>
  <si>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</si>
  <si>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</si>
  <si>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</si>
  <si>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</si>
  <si>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</si>
  <si>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</si>
  <si>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</si>
  <si>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</si>
  <si>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</si>
  <si>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</si>
  <si>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</si>
  <si>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</si>
  <si>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</si>
  <si>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</si>
  <si>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</si>
  <si>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</si>
  <si>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</si>
  <si>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</si>
  <si>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</si>
  <si>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</si>
  <si>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</si>
  <si>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</si>
  <si>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</si>
  <si>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</si>
  <si>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</si>
  <si>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</si>
  <si>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</si>
  <si>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</si>
  <si>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</si>
  <si>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</si>
  <si>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</si>
  <si>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</si>
  <si>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</si>
  <si>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</si>
  <si>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</si>
  <si>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</si>
  <si>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</si>
  <si>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</si>
  <si>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</si>
  <si>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</si>
  <si>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</si>
  <si>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</si>
  <si>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</si>
  <si>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</si>
  <si>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</si>
  <si>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</si>
  <si>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</si>
  <si>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</si>
  <si>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</si>
  <si>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</si>
  <si>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</si>
  <si>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</si>
  <si>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</si>
  <si>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</si>
  <si>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</si>
  <si>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</si>
  <si>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</si>
  <si>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</si>
  <si>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</si>
  <si>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</si>
  <si>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</si>
  <si>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</si>
  <si>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</si>
  <si>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</si>
  <si>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</si>
  <si>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</si>
  <si>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</si>
  <si>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</si>
  <si>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</si>
  <si>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</si>
  <si>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</si>
  <si>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</si>
  <si>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</si>
  <si>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</si>
  <si>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</si>
  <si>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</si>
  <si>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</si>
  <si>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</si>
  <si>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</si>
  <si>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</si>
  <si>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</si>
  <si>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</si>
  <si>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</si>
  <si>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</si>
  <si>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</si>
  <si>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</si>
  <si>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</si>
  <si>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</si>
  <si>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</si>
  <si>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</si>
  <si>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</si>
  <si>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</si>
  <si>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</si>
  <si>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</si>
  <si>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VALOR MENSAL DOS SERVIÇOS (I + II)</t>
  </si>
  <si>
    <t>Pesquisa de Preço*</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</si>
  <si>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</si>
  <si>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</si>
  <si>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</si>
  <si>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</si>
  <si>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</si>
  <si>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</si>
  <si>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</si>
  <si>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</si>
  <si>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</si>
  <si>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</si>
  <si>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</si>
  <si>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</si>
  <si>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</si>
  <si>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</si>
  <si>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</si>
  <si>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</si>
  <si>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</si>
  <si>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</si>
  <si>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</si>
  <si>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</si>
  <si>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</si>
  <si>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</si>
  <si>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</si>
  <si>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</si>
  <si>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</si>
  <si>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</si>
  <si>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</si>
  <si>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</si>
  <si>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</si>
  <si>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</si>
  <si>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</si>
  <si>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</si>
  <si>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</si>
  <si>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</si>
  <si>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</si>
  <si>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t>Outros (especificar)</t>
  </si>
  <si>
    <r>
      <t xml:space="preserve">PLANILHA DA ADMINISTRAÇÃO - IFFAR </t>
    </r>
    <r>
      <rPr>
        <b/>
        <i/>
        <sz val="10"/>
        <color rgb="FFFF0000"/>
        <rFont val="Calibri"/>
        <family val="2"/>
      </rPr>
      <t>CAMPUS</t>
    </r>
    <r>
      <rPr>
        <b/>
        <sz val="10"/>
        <color rgb="FFFF0000"/>
        <rFont val="Calibri"/>
        <family val="2"/>
        <charset val="1"/>
      </rPr>
      <t xml:space="preserve"> SÃO BORJA</t>
    </r>
  </si>
  <si>
    <t>São Borja/RS</t>
  </si>
  <si>
    <t>VALOR TOTAL PARA 01 POSTO - TRABALHADOR DA MANUTENÇÃO DE EDIFICAÇÕES - 44hs semanais</t>
  </si>
  <si>
    <t>23243.000789/2021-84</t>
  </si>
  <si>
    <t>03.2021</t>
  </si>
  <si>
    <t>10.662.072/0006-62</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</si>
  <si>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</si>
  <si>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</si>
  <si>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</si>
  <si>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</si>
  <si>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</si>
  <si>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CBO:  9511-05</t>
  </si>
  <si>
    <t>Valor Total por Empregado - ELETRICISTA DE INSTALAÇÃO 44hs semanais</t>
  </si>
  <si>
    <t>VALOR TOTAL PARA 01 POSTO - ELETRICISTA DE INSTALAÇÃO - 44hs semanais</t>
  </si>
  <si>
    <t>Tipo de serviço: Eletricista de Instalação</t>
  </si>
  <si>
    <t>ELETRICISTA DE INSTALAÇÃO - 44hs</t>
  </si>
  <si>
    <t>Eletricista de Instalação - 44hs</t>
  </si>
  <si>
    <t>Postos de Trabalho: Trabalhador da Manutenção de Edificações e Eletricista de Instalação</t>
  </si>
  <si>
    <t>CCT 2021/2022</t>
  </si>
  <si>
    <r>
      <t xml:space="preserve">Ano do Acordo, Convenção ou Sentença Normativa em Dissídio Coletivo                                           </t>
    </r>
    <r>
      <rPr>
        <b/>
        <sz val="10"/>
        <rFont val="Calibri"/>
        <family val="2"/>
      </rPr>
      <t xml:space="preserve"> Registro no MTE sob o nº RS002044/2021</t>
    </r>
  </si>
  <si>
    <t>Trabalhador da Manutenção de Edificações - 44hs</t>
  </si>
  <si>
    <t>01.05.2022</t>
  </si>
  <si>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</si>
  <si>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</si>
  <si>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</si>
  <si>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</si>
  <si>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 xml:space="preserve">13º (décimo terceiro) Salário e Adicional de Férias </t>
  </si>
  <si>
    <t>Nota 9</t>
  </si>
  <si>
    <r>
      <t xml:space="preserve">Ano do Acordo, Convenção ou Sentença Normativa em Dissídio Coletivo      </t>
    </r>
    <r>
      <rPr>
        <b/>
        <sz val="10"/>
        <rFont val="Calibri"/>
        <family val="2"/>
      </rPr>
      <t xml:space="preserve">                                   Registro no MTE sob o nº RS002044/2021</t>
    </r>
  </si>
  <si>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</si>
  <si>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Apoio Administrativo - Trabalhador da Manutenção de Edificações - 44hs semanais - SÃO BORJA</t>
  </si>
  <si>
    <r>
      <rPr>
        <b/>
        <sz val="10"/>
        <color rgb="FF000000"/>
        <rFont val="Calibri"/>
        <family val="2"/>
        <scheme val="minor"/>
      </rPr>
      <t>Salário Base</t>
    </r>
    <r>
      <rPr>
        <sz val="10"/>
        <color rgb="FF000000"/>
        <rFont val="Calibri"/>
        <family val="2"/>
        <scheme val="minor"/>
      </rPr>
      <t xml:space="preserve"> - Jornada de Trabalho de 44hs semanais - Cláusula Terceira</t>
    </r>
    <r>
      <rPr>
        <b/>
        <sz val="10"/>
        <rFont val="Calibri"/>
        <family val="2"/>
        <scheme val="minor"/>
      </rPr>
      <t xml:space="preserve"> (Categoria Oficial)</t>
    </r>
  </si>
  <si>
    <r>
      <rPr>
        <b/>
        <sz val="10"/>
        <color rgb="FF000000"/>
        <rFont val="Calibri"/>
        <family val="2"/>
      </rPr>
      <t xml:space="preserve">Transporte </t>
    </r>
    <r>
      <rPr>
        <sz val="10"/>
        <color rgb="FF000000"/>
        <rFont val="Calibri"/>
        <family val="2"/>
      </rPr>
      <t xml:space="preserve">     [(2xVTx22)x(3%xSB)]</t>
    </r>
  </si>
  <si>
    <t>Apoio Administrativo - Eletricista de Instalação - 44hs semanais - SÃO BORJA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</si>
</sst>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6" formatCode="_-[$R$-416]\ * #,##0.00_-;\-[$R$-416]\ * #,##0.00_-;_-[$R$-416]\ * &quot;-&quot;??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763">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22" fillId="0" borderId="13" xfId="0" applyFont="1" applyBorder="1" applyAlignment="1" applyProtection="1">
      <alignment horizontal="center" vertical="center"/>
    </xf>
    <xf numFmtId="0" fontId="18" fillId="2" borderId="29" xfId="0" applyFont="1" applyFill="1" applyBorder="1" applyAlignment="1" applyProtection="1">
      <alignment horizontal="center" vertical="center" wrapText="1"/>
    </xf>
    <xf numFmtId="0" fontId="23" fillId="0" borderId="29" xfId="0" applyFont="1" applyFill="1" applyBorder="1" applyAlignment="1" applyProtection="1">
      <alignment horizontal="left"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7" fillId="0" borderId="0" xfId="0" applyFont="1" applyAlignment="1">
      <alignment vertical="center" wrapText="1"/>
    </xf>
    <xf numFmtId="0" fontId="0" fillId="0" borderId="0" xfId="0" applyAlignment="1">
      <alignment vertical="center" wrapText="1"/>
    </xf>
    <xf numFmtId="0" fontId="17" fillId="0" borderId="0" xfId="0" applyFont="1" applyFill="1" applyAlignment="1">
      <alignment vertical="center" wrapText="1"/>
    </xf>
    <xf numFmtId="0" fontId="18" fillId="0" borderId="29" xfId="0" applyFont="1" applyBorder="1" applyAlignment="1" applyProtection="1">
      <alignment vertical="center" wrapText="1"/>
    </xf>
    <xf numFmtId="0" fontId="18" fillId="12" borderId="29" xfId="0" applyFont="1" applyFill="1" applyBorder="1" applyAlignment="1" applyProtection="1">
      <alignment horizontal="right" vertical="center" wrapText="1"/>
    </xf>
    <xf numFmtId="0" fontId="17" fillId="0" borderId="0" xfId="0" applyFont="1" applyAlignment="1" applyProtection="1">
      <alignment vertical="center" wrapText="1"/>
      <protection locked="0"/>
    </xf>
    <xf numFmtId="0" fontId="17" fillId="0" borderId="0" xfId="0" applyFont="1" applyAlignment="1" applyProtection="1">
      <alignment horizontal="center" vertical="center" wrapText="1"/>
      <protection locked="0"/>
    </xf>
    <xf numFmtId="10" fontId="17" fillId="0" borderId="0" xfId="3" applyNumberFormat="1" applyFont="1" applyBorder="1" applyAlignment="1" applyProtection="1">
      <alignment vertical="center" wrapText="1"/>
      <protection locked="0"/>
    </xf>
    <xf numFmtId="0" fontId="18" fillId="0" borderId="29" xfId="0" applyFont="1" applyBorder="1" applyAlignment="1" applyProtection="1">
      <alignment horizontal="left" vertical="center" wrapText="1"/>
    </xf>
    <xf numFmtId="0" fontId="18" fillId="0" borderId="29" xfId="0" applyFont="1" applyBorder="1" applyAlignment="1" applyProtection="1">
      <alignment horizontal="right" vertical="center" wrapText="1"/>
    </xf>
    <xf numFmtId="0" fontId="18" fillId="0" borderId="13" xfId="0" applyFont="1" applyBorder="1" applyAlignment="1" applyProtection="1">
      <alignment horizontal="center" vertical="center" wrapText="1"/>
    </xf>
    <xf numFmtId="1" fontId="8" fillId="21" borderId="9" xfId="0" applyNumberFormat="1" applyFont="1" applyFill="1" applyBorder="1" applyAlignment="1" applyProtection="1">
      <alignment horizontal="center" vertical="center" wrapText="1"/>
      <protection locked="0"/>
    </xf>
    <xf numFmtId="0" fontId="22" fillId="0" borderId="13" xfId="0" applyFont="1" applyBorder="1" applyAlignment="1" applyProtection="1">
      <alignment horizontal="center" vertical="center" wrapText="1"/>
    </xf>
    <xf numFmtId="8" fontId="35" fillId="0" borderId="17" xfId="1" applyNumberFormat="1" applyFont="1" applyFill="1" applyBorder="1" applyAlignment="1" applyProtection="1">
      <alignment horizontal="right" vertical="center" wrapText="1"/>
      <protection locked="0"/>
    </xf>
    <xf numFmtId="8" fontId="17" fillId="0" borderId="0" xfId="0" applyNumberFormat="1" applyFont="1" applyAlignment="1" applyProtection="1">
      <alignment vertical="center" wrapText="1"/>
      <protection locked="0"/>
    </xf>
    <xf numFmtId="0" fontId="34" fillId="0" borderId="9" xfId="0" applyFont="1" applyFill="1" applyBorder="1" applyAlignment="1" applyProtection="1">
      <alignment horizontal="right" vertical="center" wrapText="1"/>
      <protection locked="0"/>
    </xf>
    <xf numFmtId="0" fontId="22" fillId="0" borderId="29" xfId="0" applyFont="1" applyBorder="1" applyAlignment="1" applyProtection="1">
      <alignment horizontal="center" vertical="center" wrapText="1"/>
    </xf>
    <xf numFmtId="172" fontId="34" fillId="0" borderId="29" xfId="0" applyNumberFormat="1" applyFont="1" applyFill="1" applyBorder="1" applyAlignment="1" applyProtection="1">
      <alignment horizontal="right" vertical="center" wrapText="1"/>
      <protection locked="0"/>
    </xf>
    <xf numFmtId="0" fontId="39" fillId="4" borderId="29" xfId="0" applyFont="1" applyFill="1" applyBorder="1" applyAlignment="1" applyProtection="1">
      <alignment horizontal="center" vertical="center" wrapText="1"/>
    </xf>
    <xf numFmtId="0" fontId="39" fillId="0" borderId="0" xfId="0" applyFont="1" applyBorder="1" applyAlignment="1" applyProtection="1">
      <alignment horizontal="center" vertical="center" wrapText="1"/>
    </xf>
    <xf numFmtId="0" fontId="41" fillId="0" borderId="0" xfId="0" applyFont="1" applyBorder="1" applyAlignment="1" applyProtection="1">
      <alignment horizontal="left" vertical="center" wrapText="1"/>
    </xf>
    <xf numFmtId="0" fontId="18" fillId="17" borderId="29" xfId="0" applyFont="1" applyFill="1" applyBorder="1" applyAlignment="1" applyProtection="1">
      <alignment horizontal="center" vertical="center" wrapText="1"/>
    </xf>
    <xf numFmtId="0" fontId="18" fillId="16" borderId="30" xfId="0" applyFont="1" applyFill="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5" fillId="0" borderId="0" xfId="0" applyFont="1" applyFill="1" applyAlignment="1">
      <alignment vertical="center" wrapText="1"/>
    </xf>
    <xf numFmtId="0" fontId="25" fillId="0" borderId="0" xfId="0" applyFont="1" applyAlignment="1" applyProtection="1">
      <alignment vertical="center" wrapText="1"/>
      <protection locked="0"/>
    </xf>
    <xf numFmtId="0" fontId="23" fillId="0" borderId="29" xfId="0" applyFont="1" applyFill="1" applyBorder="1" applyAlignment="1" applyProtection="1">
      <alignment horizontal="left" vertical="center" wrapText="1"/>
    </xf>
    <xf numFmtId="172" fontId="23" fillId="0" borderId="29" xfId="0" applyNumberFormat="1" applyFont="1" applyFill="1" applyBorder="1" applyAlignment="1" applyProtection="1">
      <alignment horizontal="right" vertical="center" wrapText="1"/>
    </xf>
    <xf numFmtId="9" fontId="2" fillId="0" borderId="29" xfId="3" applyFill="1" applyBorder="1" applyAlignment="1" applyProtection="1">
      <alignment vertical="center" wrapText="1"/>
    </xf>
    <xf numFmtId="0" fontId="24" fillId="0" borderId="29" xfId="0" applyFont="1" applyBorder="1" applyAlignment="1" applyProtection="1">
      <alignment horizontal="center" vertical="center" wrapText="1"/>
    </xf>
    <xf numFmtId="0" fontId="23" fillId="0" borderId="0" xfId="0" applyFont="1" applyFill="1" applyAlignment="1">
      <alignment vertical="center" wrapText="1"/>
    </xf>
    <xf numFmtId="0" fontId="23" fillId="0" borderId="0" xfId="0" applyFont="1" applyAlignment="1" applyProtection="1">
      <alignment vertical="center" wrapText="1"/>
      <protection locked="0"/>
    </xf>
    <xf numFmtId="167" fontId="18" fillId="5" borderId="29" xfId="0" applyNumberFormat="1" applyFont="1" applyFill="1" applyBorder="1" applyAlignment="1" applyProtection="1">
      <alignment vertical="center" wrapText="1"/>
    </xf>
    <xf numFmtId="0" fontId="17" fillId="0" borderId="0" xfId="0" applyFont="1" applyFill="1" applyBorder="1" applyAlignment="1">
      <alignment vertical="center" wrapText="1"/>
    </xf>
    <xf numFmtId="0" fontId="17" fillId="0" borderId="0" xfId="0" applyFont="1" applyFill="1" applyBorder="1" applyAlignment="1" applyProtection="1">
      <alignment vertical="center" wrapText="1"/>
      <protection locked="0"/>
    </xf>
    <xf numFmtId="0" fontId="39" fillId="0" borderId="0" xfId="0" applyFont="1" applyFill="1" applyBorder="1" applyAlignment="1" applyProtection="1">
      <alignment horizontal="center" vertical="center" wrapText="1"/>
    </xf>
    <xf numFmtId="0" fontId="40" fillId="0" borderId="0" xfId="0" applyFont="1" applyFill="1" applyBorder="1" applyAlignment="1" applyProtection="1">
      <alignment horizontal="left" vertical="center" wrapText="1"/>
    </xf>
    <xf numFmtId="0" fontId="18" fillId="14" borderId="29" xfId="0" applyFont="1" applyFill="1" applyBorder="1" applyAlignment="1" applyProtection="1">
      <alignment horizontal="center" vertical="center" wrapText="1"/>
    </xf>
    <xf numFmtId="0" fontId="22" fillId="2" borderId="19" xfId="0" applyFont="1" applyFill="1" applyBorder="1" applyAlignment="1">
      <alignment horizontal="center" vertical="center" wrapText="1"/>
    </xf>
    <xf numFmtId="0" fontId="24" fillId="0" borderId="13" xfId="0" applyFont="1" applyFill="1" applyBorder="1" applyAlignment="1" applyProtection="1">
      <alignment horizontal="center" vertical="center" wrapText="1"/>
    </xf>
    <xf numFmtId="44" fontId="23" fillId="0" borderId="9" xfId="0" applyNumberFormat="1" applyFont="1" applyFill="1" applyBorder="1" applyAlignment="1">
      <alignment horizontal="right" vertical="center" wrapText="1"/>
    </xf>
    <xf numFmtId="0" fontId="23" fillId="0" borderId="0" xfId="0" applyFont="1" applyFill="1" applyAlignment="1" applyProtection="1">
      <alignment vertical="center" wrapText="1"/>
      <protection locked="0"/>
    </xf>
    <xf numFmtId="44" fontId="24" fillId="15" borderId="9" xfId="0" applyNumberFormat="1" applyFont="1" applyFill="1" applyBorder="1" applyAlignment="1">
      <alignment horizontal="right" vertical="center" wrapText="1"/>
    </xf>
    <xf numFmtId="0" fontId="42" fillId="0" borderId="0"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wrapText="1"/>
    </xf>
    <xf numFmtId="0" fontId="17" fillId="0" borderId="0" xfId="0" applyFont="1" applyFill="1" applyBorder="1" applyAlignment="1">
      <alignment horizontal="center" vertical="center" wrapText="1"/>
    </xf>
    <xf numFmtId="0" fontId="18" fillId="4" borderId="11" xfId="0" applyFont="1" applyFill="1" applyBorder="1" applyAlignment="1" applyProtection="1">
      <alignment horizontal="center" vertical="center" wrapText="1"/>
    </xf>
    <xf numFmtId="0" fontId="22" fillId="4" borderId="27" xfId="0" applyFont="1" applyFill="1" applyBorder="1" applyAlignment="1">
      <alignment horizontal="center" vertical="center" wrapText="1"/>
    </xf>
    <xf numFmtId="44" fontId="23" fillId="0" borderId="9" xfId="0" applyNumberFormat="1" applyFont="1" applyFill="1" applyBorder="1" applyAlignment="1" applyProtection="1">
      <alignment horizontal="right" vertical="center" wrapText="1"/>
    </xf>
    <xf numFmtId="0" fontId="23" fillId="0" borderId="0" xfId="0" applyFont="1" applyAlignment="1">
      <alignment vertical="center" wrapText="1"/>
    </xf>
    <xf numFmtId="44" fontId="23" fillId="0" borderId="3" xfId="0" applyNumberFormat="1" applyFont="1" applyFill="1" applyBorder="1" applyAlignment="1" applyProtection="1">
      <alignment horizontal="right" vertical="center" wrapText="1"/>
    </xf>
    <xf numFmtId="0" fontId="23" fillId="15" borderId="29" xfId="0" applyFont="1" applyFill="1" applyBorder="1" applyAlignment="1">
      <alignment horizontal="center" vertical="center" wrapText="1"/>
    </xf>
    <xf numFmtId="0" fontId="23" fillId="15" borderId="29" xfId="0" applyFont="1" applyFill="1" applyBorder="1" applyAlignment="1" applyProtection="1">
      <alignment horizontal="center" vertical="center" wrapText="1"/>
      <protection locked="0"/>
    </xf>
    <xf numFmtId="9" fontId="23" fillId="0" borderId="29" xfId="0" applyNumberFormat="1" applyFont="1" applyBorder="1" applyAlignment="1">
      <alignment horizontal="center" vertical="center" wrapText="1"/>
    </xf>
    <xf numFmtId="2" fontId="23" fillId="0" borderId="29" xfId="0" applyNumberFormat="1" applyFont="1" applyBorder="1" applyAlignment="1" applyProtection="1">
      <alignment horizontal="center" vertical="center" wrapText="1"/>
      <protection locked="0"/>
    </xf>
    <xf numFmtId="44" fontId="18" fillId="15" borderId="9" xfId="0" applyNumberFormat="1" applyFont="1" applyFill="1" applyBorder="1" applyAlignment="1" applyProtection="1">
      <alignment vertical="center" wrapText="1"/>
    </xf>
    <xf numFmtId="10" fontId="17" fillId="0" borderId="0" xfId="0" applyNumberFormat="1" applyFont="1" applyFill="1" applyBorder="1" applyAlignment="1" applyProtection="1">
      <alignment vertical="center" wrapText="1"/>
      <protection locked="0"/>
    </xf>
    <xf numFmtId="0" fontId="18" fillId="6" borderId="29" xfId="0" applyFont="1" applyFill="1" applyBorder="1" applyAlignment="1" applyProtection="1">
      <alignment horizontal="center" vertical="center" wrapText="1"/>
    </xf>
    <xf numFmtId="0" fontId="18" fillId="9" borderId="29" xfId="0" applyFont="1" applyFill="1" applyBorder="1" applyAlignment="1" applyProtection="1">
      <alignment vertical="center" wrapText="1"/>
    </xf>
    <xf numFmtId="0" fontId="22" fillId="10" borderId="27"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pplyProtection="1">
      <alignment vertical="center" wrapText="1"/>
      <protection locked="0"/>
    </xf>
    <xf numFmtId="43" fontId="27" fillId="0" borderId="0" xfId="0" applyNumberFormat="1" applyFont="1" applyAlignment="1">
      <alignment vertical="center" wrapText="1"/>
    </xf>
    <xf numFmtId="43" fontId="27" fillId="0" borderId="0" xfId="0" applyNumberFormat="1" applyFont="1" applyAlignment="1" applyProtection="1">
      <alignment vertical="center" wrapText="1"/>
      <protection locked="0"/>
    </xf>
    <xf numFmtId="44" fontId="29" fillId="0" borderId="29" xfId="0" applyNumberFormat="1" applyFont="1" applyBorder="1" applyAlignment="1" applyProtection="1">
      <alignment vertical="center" wrapText="1"/>
      <protection locked="0"/>
    </xf>
    <xf numFmtId="44" fontId="18" fillId="16" borderId="29" xfId="0" applyNumberFormat="1" applyFont="1" applyFill="1" applyBorder="1" applyAlignment="1" applyProtection="1">
      <alignment horizontal="distributed" vertical="center" wrapText="1"/>
    </xf>
    <xf numFmtId="0" fontId="17" fillId="0" borderId="0" xfId="0" applyFont="1" applyBorder="1" applyAlignment="1">
      <alignment vertical="center" wrapText="1"/>
    </xf>
    <xf numFmtId="0" fontId="30" fillId="0" borderId="0" xfId="0" applyFont="1" applyBorder="1" applyAlignment="1" applyProtection="1">
      <alignment horizontal="center" vertical="center" wrapText="1"/>
    </xf>
    <xf numFmtId="0" fontId="44" fillId="0" borderId="0" xfId="0" applyFont="1" applyBorder="1" applyAlignment="1" applyProtection="1">
      <alignment horizontal="left" vertical="center" wrapText="1"/>
    </xf>
    <xf numFmtId="0" fontId="22" fillId="17" borderId="20" xfId="0" applyFont="1" applyFill="1" applyBorder="1" applyAlignment="1" applyProtection="1">
      <alignment horizontal="center" vertical="center" wrapText="1"/>
    </xf>
    <xf numFmtId="44" fontId="22" fillId="15" borderId="9" xfId="0" applyNumberFormat="1" applyFont="1" applyFill="1" applyBorder="1" applyAlignment="1" applyProtection="1">
      <alignment horizontal="center" vertical="center" wrapText="1"/>
    </xf>
    <xf numFmtId="44" fontId="27" fillId="0" borderId="9" xfId="0" applyNumberFormat="1" applyFont="1" applyFill="1" applyBorder="1" applyAlignment="1" applyProtection="1">
      <alignment horizontal="right" vertical="center" wrapText="1"/>
    </xf>
    <xf numFmtId="44" fontId="27" fillId="0" borderId="29" xfId="0" applyNumberFormat="1" applyFont="1" applyFill="1" applyBorder="1" applyAlignment="1" applyProtection="1">
      <alignment vertical="center" wrapText="1"/>
    </xf>
    <xf numFmtId="164" fontId="4" fillId="2" borderId="29" xfId="2" applyNumberFormat="1" applyFont="1" applyFill="1" applyBorder="1" applyAlignment="1" applyProtection="1">
      <alignment vertical="center" wrapText="1"/>
    </xf>
    <xf numFmtId="0" fontId="17" fillId="0" borderId="0" xfId="0" applyFont="1" applyFill="1" applyAlignment="1" applyProtection="1">
      <alignment vertical="center" wrapText="1"/>
      <protection locked="0"/>
    </xf>
    <xf numFmtId="0" fontId="22" fillId="0" borderId="0" xfId="0" applyFont="1" applyFill="1" applyBorder="1" applyAlignment="1" applyProtection="1">
      <alignment horizontal="right" vertical="center" wrapText="1"/>
    </xf>
    <xf numFmtId="164" fontId="4" fillId="0" borderId="0" xfId="2" applyNumberFormat="1" applyFont="1" applyFill="1" applyBorder="1" applyAlignment="1" applyProtection="1">
      <alignment vertical="center" wrapText="1"/>
    </xf>
    <xf numFmtId="0" fontId="27" fillId="17" borderId="18"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wrapText="1"/>
    </xf>
    <xf numFmtId="167" fontId="17" fillId="0" borderId="9" xfId="0" applyNumberFormat="1" applyFont="1" applyFill="1" applyBorder="1" applyAlignment="1" applyProtection="1">
      <alignment horizontal="distributed" vertical="center" wrapText="1"/>
    </xf>
    <xf numFmtId="167" fontId="17" fillId="0" borderId="0" xfId="0" applyNumberFormat="1" applyFont="1" applyFill="1" applyAlignment="1" applyProtection="1">
      <alignment vertical="center" wrapText="1"/>
      <protection locked="0"/>
    </xf>
    <xf numFmtId="167" fontId="31" fillId="0" borderId="9" xfId="0" applyNumberFormat="1" applyFont="1" applyFill="1" applyBorder="1" applyAlignment="1" applyProtection="1">
      <alignment horizontal="distributed" vertical="center" wrapText="1"/>
    </xf>
    <xf numFmtId="0" fontId="18" fillId="0" borderId="22" xfId="0" applyFont="1" applyBorder="1" applyAlignment="1" applyProtection="1">
      <alignment horizontal="center" vertical="center" wrapText="1"/>
    </xf>
    <xf numFmtId="164" fontId="4" fillId="6" borderId="29" xfId="2" applyNumberFormat="1" applyFont="1" applyFill="1" applyBorder="1" applyAlignment="1" applyProtection="1">
      <alignment vertical="center" wrapText="1"/>
    </xf>
    <xf numFmtId="0" fontId="32" fillId="0" borderId="0" xfId="0" applyFont="1" applyFill="1" applyBorder="1" applyAlignment="1" applyProtection="1">
      <alignment horizontal="center" vertical="center" wrapText="1"/>
    </xf>
    <xf numFmtId="167" fontId="5" fillId="0" borderId="29" xfId="0" applyNumberFormat="1" applyFont="1" applyFill="1" applyBorder="1" applyAlignment="1" applyProtection="1">
      <alignment horizontal="center" vertical="center" wrapText="1"/>
    </xf>
    <xf numFmtId="164" fontId="5" fillId="2" borderId="29" xfId="0" applyNumberFormat="1" applyFont="1" applyFill="1" applyBorder="1" applyAlignment="1" applyProtection="1">
      <alignment horizontal="center" vertical="center" wrapText="1"/>
    </xf>
    <xf numFmtId="164" fontId="58" fillId="15" borderId="29" xfId="0" applyNumberFormat="1"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0" fontId="18" fillId="13" borderId="29" xfId="0" applyFont="1" applyFill="1" applyBorder="1" applyAlignment="1" applyProtection="1">
      <alignment horizontal="center" vertical="center" wrapText="1"/>
    </xf>
    <xf numFmtId="0" fontId="22" fillId="6" borderId="29" xfId="0" applyFont="1" applyFill="1" applyBorder="1" applyAlignment="1">
      <alignment horizontal="center" vertical="center" wrapText="1"/>
    </xf>
    <xf numFmtId="44" fontId="17" fillId="0" borderId="29" xfId="0" applyNumberFormat="1" applyFont="1" applyFill="1" applyBorder="1" applyAlignment="1" applyProtection="1">
      <alignment horizontal="right" vertical="center" wrapText="1"/>
    </xf>
    <xf numFmtId="0" fontId="33" fillId="0" borderId="0" xfId="0" applyFont="1" applyFill="1" applyBorder="1" applyAlignment="1" applyProtection="1">
      <alignment horizontal="center" vertical="center" wrapText="1"/>
      <protection locked="0"/>
    </xf>
    <xf numFmtId="44" fontId="34" fillId="0" borderId="29" xfId="0" applyNumberFormat="1" applyFont="1" applyFill="1" applyBorder="1" applyAlignment="1" applyProtection="1">
      <alignment horizontal="right" vertical="center" wrapText="1"/>
    </xf>
    <xf numFmtId="0" fontId="27" fillId="0" borderId="0" xfId="0" applyFont="1" applyFill="1" applyAlignment="1">
      <alignment vertical="center" wrapText="1"/>
    </xf>
    <xf numFmtId="0" fontId="27" fillId="0" borderId="0" xfId="0" applyFont="1" applyFill="1" applyAlignment="1" applyProtection="1">
      <alignment vertical="center" wrapText="1"/>
      <protection locked="0"/>
    </xf>
    <xf numFmtId="0" fontId="35" fillId="0" borderId="13" xfId="0" applyFont="1" applyBorder="1" applyAlignment="1" applyProtection="1">
      <alignment horizontal="center" vertical="center" wrapText="1"/>
    </xf>
    <xf numFmtId="164" fontId="18" fillId="15" borderId="29" xfId="0" applyNumberFormat="1" applyFont="1" applyFill="1" applyBorder="1" applyAlignment="1" applyProtection="1">
      <alignment horizontal="right" vertical="center" wrapText="1"/>
    </xf>
    <xf numFmtId="0" fontId="17" fillId="0" borderId="12"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22" fillId="6" borderId="19" xfId="0" applyFont="1" applyFill="1" applyBorder="1" applyAlignment="1">
      <alignment horizontal="center" vertical="center" wrapText="1"/>
    </xf>
    <xf numFmtId="44" fontId="18" fillId="0" borderId="9" xfId="0" applyNumberFormat="1" applyFont="1" applyFill="1" applyBorder="1" applyAlignment="1" applyProtection="1">
      <alignment horizontal="right" vertical="center" wrapText="1"/>
    </xf>
    <xf numFmtId="44" fontId="22" fillId="2" borderId="29" xfId="0" applyNumberFormat="1" applyFont="1" applyFill="1" applyBorder="1" applyAlignment="1">
      <alignment horizontal="center" vertical="center" wrapText="1"/>
    </xf>
    <xf numFmtId="0" fontId="27" fillId="0" borderId="14" xfId="0" applyFont="1" applyFill="1" applyBorder="1" applyAlignment="1" applyProtection="1">
      <alignment horizontal="center" vertical="center" wrapText="1"/>
    </xf>
    <xf numFmtId="0" fontId="22" fillId="0" borderId="0"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7" fillId="0" borderId="13" xfId="0" applyFont="1" applyFill="1" applyBorder="1" applyAlignment="1" applyProtection="1">
      <alignment horizontal="center" vertical="center" wrapText="1"/>
    </xf>
    <xf numFmtId="44" fontId="17" fillId="0" borderId="9" xfId="0" applyNumberFormat="1" applyFont="1" applyFill="1" applyBorder="1" applyAlignment="1">
      <alignment horizontal="right" vertical="center" wrapText="1"/>
    </xf>
    <xf numFmtId="0" fontId="27" fillId="0" borderId="22" xfId="0" applyFont="1" applyFill="1" applyBorder="1" applyAlignment="1" applyProtection="1">
      <alignment horizontal="center" vertical="center" wrapText="1"/>
    </xf>
    <xf numFmtId="44" fontId="22" fillId="6" borderId="29" xfId="0" applyNumberFormat="1" applyFont="1" applyFill="1" applyBorder="1" applyAlignment="1" applyProtection="1">
      <alignment vertical="center" wrapText="1"/>
    </xf>
    <xf numFmtId="0" fontId="17" fillId="0" borderId="0" xfId="0" applyFont="1" applyAlignment="1" applyProtection="1">
      <alignment vertical="center" wrapText="1"/>
    </xf>
    <xf numFmtId="0" fontId="22" fillId="14" borderId="29" xfId="0"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wrapText="1"/>
    </xf>
    <xf numFmtId="44" fontId="27" fillId="0" borderId="29" xfId="0" applyNumberFormat="1" applyFont="1" applyFill="1" applyBorder="1" applyAlignment="1">
      <alignment vertical="center" wrapText="1"/>
    </xf>
    <xf numFmtId="0" fontId="17" fillId="0" borderId="0" xfId="0" applyFont="1" applyFill="1" applyBorder="1" applyAlignment="1" applyProtection="1">
      <alignment horizontal="left" vertical="center" wrapText="1"/>
    </xf>
    <xf numFmtId="0" fontId="17" fillId="0" borderId="15" xfId="0" applyFont="1" applyFill="1" applyBorder="1" applyAlignment="1">
      <alignment horizontal="center" vertical="center" wrapText="1"/>
    </xf>
    <xf numFmtId="44" fontId="27" fillId="0" borderId="29" xfId="0" applyNumberFormat="1" applyFont="1" applyFill="1" applyBorder="1" applyAlignment="1">
      <alignment horizontal="center" vertical="center" wrapText="1"/>
    </xf>
    <xf numFmtId="0" fontId="22" fillId="15" borderId="29" xfId="0" applyFont="1" applyFill="1" applyBorder="1" applyAlignment="1" applyProtection="1">
      <alignment horizontal="center" vertical="center" wrapText="1"/>
    </xf>
    <xf numFmtId="10" fontId="21" fillId="3" borderId="29" xfId="0" applyNumberFormat="1" applyFont="1" applyFill="1" applyBorder="1" applyAlignment="1">
      <alignment horizontal="center" vertical="center" wrapText="1"/>
    </xf>
    <xf numFmtId="164" fontId="22" fillId="15" borderId="29" xfId="0" applyNumberFormat="1" applyFont="1" applyFill="1" applyBorder="1" applyAlignment="1">
      <alignment vertical="center" wrapText="1"/>
    </xf>
    <xf numFmtId="44" fontId="17" fillId="0" borderId="29" xfId="0" applyNumberFormat="1" applyFont="1" applyFill="1" applyBorder="1" applyAlignment="1">
      <alignment vertical="center" wrapText="1"/>
    </xf>
    <xf numFmtId="0" fontId="22" fillId="15" borderId="29" xfId="0" applyFont="1" applyFill="1" applyBorder="1" applyAlignment="1">
      <alignment vertical="center" wrapText="1"/>
    </xf>
    <xf numFmtId="44" fontId="27" fillId="0" borderId="30" xfId="0" applyNumberFormat="1" applyFont="1" applyFill="1" applyBorder="1" applyAlignment="1">
      <alignment horizontal="center" vertical="center" wrapText="1"/>
    </xf>
    <xf numFmtId="0" fontId="22" fillId="15" borderId="13" xfId="0" applyFont="1" applyFill="1" applyBorder="1" applyAlignment="1" applyProtection="1">
      <alignment horizontal="center" vertical="center" wrapText="1"/>
    </xf>
    <xf numFmtId="10" fontId="21" fillId="15" borderId="29" xfId="0" applyNumberFormat="1" applyFont="1" applyFill="1" applyBorder="1" applyAlignment="1">
      <alignment horizontal="center" vertical="center" wrapText="1"/>
    </xf>
    <xf numFmtId="44" fontId="22" fillId="15" borderId="9" xfId="0" applyNumberFormat="1" applyFont="1" applyFill="1" applyBorder="1" applyAlignment="1">
      <alignment horizontal="center" vertical="center" wrapText="1"/>
    </xf>
    <xf numFmtId="10" fontId="10" fillId="0" borderId="29" xfId="3" applyNumberFormat="1" applyFont="1" applyBorder="1" applyAlignment="1">
      <alignment horizontal="center" vertical="center" wrapText="1"/>
    </xf>
    <xf numFmtId="0" fontId="10" fillId="15" borderId="29" xfId="0" applyFont="1" applyFill="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10" fontId="10" fillId="0" borderId="29" xfId="3" applyNumberFormat="1" applyFont="1" applyBorder="1" applyAlignment="1" applyProtection="1">
      <alignment vertical="center" wrapText="1"/>
      <protection locked="0"/>
    </xf>
    <xf numFmtId="0" fontId="22" fillId="0" borderId="13" xfId="0" applyFont="1" applyFill="1" applyBorder="1" applyAlignment="1" applyProtection="1">
      <alignment horizontal="center" vertical="center" wrapText="1"/>
    </xf>
    <xf numFmtId="10" fontId="10" fillId="21" borderId="29" xfId="3" applyNumberFormat="1" applyFont="1" applyFill="1" applyBorder="1" applyAlignment="1">
      <alignment horizontal="center" vertical="center" wrapText="1"/>
    </xf>
    <xf numFmtId="164" fontId="22" fillId="6" borderId="29" xfId="0" applyNumberFormat="1" applyFont="1" applyFill="1" applyBorder="1" applyAlignment="1" applyProtection="1">
      <alignment vertical="center" wrapText="1"/>
    </xf>
    <xf numFmtId="0" fontId="30" fillId="4" borderId="29" xfId="0" applyFont="1" applyFill="1" applyBorder="1" applyAlignment="1" applyProtection="1">
      <alignment horizontal="center" vertical="center" wrapText="1"/>
    </xf>
    <xf numFmtId="0" fontId="49" fillId="0" borderId="0" xfId="0" applyFont="1" applyBorder="1" applyAlignment="1" applyProtection="1">
      <alignment horizontal="center" vertical="center" wrapText="1"/>
    </xf>
    <xf numFmtId="0" fontId="48" fillId="0" borderId="0" xfId="0" applyFont="1" applyBorder="1" applyAlignment="1" applyProtection="1">
      <alignment horizontal="left" vertical="center" wrapText="1"/>
    </xf>
    <xf numFmtId="0" fontId="18" fillId="0" borderId="0" xfId="0" applyFont="1" applyFill="1" applyBorder="1" applyAlignment="1" applyProtection="1">
      <alignment horizontal="right" vertical="center" wrapText="1"/>
    </xf>
    <xf numFmtId="164" fontId="22" fillId="0" borderId="0" xfId="0" applyNumberFormat="1" applyFont="1" applyFill="1" applyBorder="1" applyAlignment="1" applyProtection="1">
      <alignment vertical="center" wrapText="1"/>
    </xf>
    <xf numFmtId="44" fontId="22" fillId="15" borderId="29" xfId="0" applyNumberFormat="1" applyFont="1" applyFill="1" applyBorder="1" applyAlignment="1" applyProtection="1">
      <alignment horizontal="center" vertical="center" wrapText="1"/>
    </xf>
    <xf numFmtId="0" fontId="18" fillId="0" borderId="13" xfId="0" applyFont="1" applyFill="1" applyBorder="1" applyAlignment="1" applyProtection="1">
      <alignment horizontal="center" vertical="center" wrapText="1"/>
    </xf>
    <xf numFmtId="44" fontId="27" fillId="15" borderId="9" xfId="0" applyNumberFormat="1" applyFont="1" applyFill="1" applyBorder="1" applyAlignment="1" applyProtection="1">
      <alignment horizontal="right" vertical="center" wrapText="1"/>
    </xf>
    <xf numFmtId="0" fontId="22" fillId="0" borderId="22" xfId="0" applyFont="1" applyFill="1" applyBorder="1" applyAlignment="1" applyProtection="1">
      <alignment horizontal="center" vertical="center" wrapText="1"/>
    </xf>
    <xf numFmtId="44" fontId="27" fillId="0" borderId="23" xfId="0" applyNumberFormat="1" applyFont="1" applyFill="1" applyBorder="1" applyAlignment="1" applyProtection="1">
      <alignment horizontal="right" vertical="center" wrapText="1"/>
    </xf>
    <xf numFmtId="164" fontId="22" fillId="6" borderId="29" xfId="0" applyNumberFormat="1" applyFont="1" applyFill="1" applyBorder="1" applyAlignment="1" applyProtection="1">
      <alignment horizontal="right" vertical="center" wrapText="1"/>
    </xf>
    <xf numFmtId="164" fontId="6" fillId="2" borderId="29" xfId="2" applyNumberFormat="1" applyFont="1" applyFill="1" applyBorder="1" applyAlignment="1">
      <alignment vertical="center" wrapText="1"/>
    </xf>
    <xf numFmtId="1" fontId="9" fillId="0" borderId="29" xfId="15"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horizontal="center" vertical="center" wrapText="1"/>
      <protection locked="0"/>
    </xf>
    <xf numFmtId="1" fontId="9" fillId="0" borderId="29" xfId="15" applyNumberFormat="1" applyFont="1" applyBorder="1" applyAlignment="1" applyProtection="1">
      <alignment horizontal="center" vertical="center" wrapText="1"/>
    </xf>
    <xf numFmtId="0" fontId="9" fillId="0" borderId="29" xfId="15"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horizontal="center" vertical="center" wrapText="1"/>
    </xf>
    <xf numFmtId="174" fontId="9" fillId="0" borderId="29" xfId="16" applyNumberFormat="1" applyFont="1" applyFill="1" applyBorder="1" applyAlignment="1" applyProtection="1">
      <alignment vertical="center" wrapText="1"/>
      <protection locked="0"/>
    </xf>
    <xf numFmtId="174" fontId="10" fillId="18" borderId="29" xfId="16" applyNumberFormat="1" applyFont="1" applyFill="1" applyBorder="1" applyAlignment="1" applyProtection="1">
      <alignment horizontal="center" vertical="center" wrapText="1"/>
    </xf>
    <xf numFmtId="0" fontId="0" fillId="0" borderId="29" xfId="0" applyBorder="1" applyAlignment="1">
      <alignment wrapText="1"/>
    </xf>
    <xf numFmtId="3" fontId="52" fillId="0" borderId="29" xfId="2" applyNumberFormat="1" applyFont="1" applyFill="1" applyBorder="1" applyAlignment="1">
      <alignment vertical="center" wrapText="1"/>
    </xf>
    <xf numFmtId="0" fontId="51" fillId="0" borderId="29" xfId="0" applyFont="1" applyFill="1" applyBorder="1" applyAlignment="1">
      <alignment horizontal="center" vertical="center" wrapText="1"/>
    </xf>
    <xf numFmtId="172" fontId="51" fillId="0" borderId="29" xfId="2" applyNumberFormat="1" applyFont="1" applyFill="1" applyBorder="1" applyAlignment="1">
      <alignment vertical="center" wrapText="1"/>
    </xf>
    <xf numFmtId="0" fontId="14" fillId="0" borderId="2" xfId="0" applyFont="1" applyBorder="1" applyAlignment="1">
      <alignment vertical="center"/>
    </xf>
    <xf numFmtId="0" fontId="14" fillId="0" borderId="0" xfId="0" applyFont="1" applyAlignment="1">
      <alignment vertical="center"/>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0" fontId="1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21" borderId="3" xfId="0" applyNumberFormat="1" applyFont="1" applyFill="1" applyBorder="1" applyAlignment="1" applyProtection="1">
      <alignment horizontal="right" vertical="center"/>
      <protection locked="0"/>
    </xf>
    <xf numFmtId="9" fontId="17" fillId="21" borderId="8"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18" fillId="15" borderId="25" xfId="0" applyFont="1" applyFill="1" applyBorder="1" applyAlignment="1" applyProtection="1">
      <alignment horizontal="right" vertical="center" wrapText="1"/>
    </xf>
    <xf numFmtId="0" fontId="18" fillId="15" borderId="12" xfId="0" applyFont="1" applyFill="1" applyBorder="1" applyAlignment="1" applyProtection="1">
      <alignment horizontal="right" vertical="center" wrapText="1"/>
    </xf>
    <xf numFmtId="0" fontId="18" fillId="15" borderId="8" xfId="0" applyFont="1" applyFill="1" applyBorder="1" applyAlignment="1" applyProtection="1">
      <alignment horizontal="right" vertical="center" wrapText="1"/>
    </xf>
    <xf numFmtId="0" fontId="18" fillId="0" borderId="4" xfId="0" applyFont="1" applyFill="1" applyBorder="1" applyAlignment="1" applyProtection="1">
      <alignment horizontal="left" vertical="center" wrapText="1"/>
    </xf>
    <xf numFmtId="0" fontId="18" fillId="0" borderId="21"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22" fillId="6" borderId="29" xfId="0" applyFont="1" applyFill="1" applyBorder="1" applyAlignment="1" applyProtection="1">
      <alignment horizontal="center" vertical="center" wrapText="1"/>
    </xf>
    <xf numFmtId="0" fontId="6" fillId="2" borderId="29" xfId="0" applyFont="1" applyFill="1" applyBorder="1" applyAlignment="1" applyProtection="1">
      <alignment horizontal="center" vertical="center" wrapText="1"/>
    </xf>
    <xf numFmtId="0" fontId="18" fillId="17" borderId="29"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xf>
    <xf numFmtId="0" fontId="18" fillId="0" borderId="12" xfId="0" applyFont="1" applyFill="1" applyBorder="1" applyAlignment="1" applyProtection="1">
      <alignment horizontal="left" vertical="center" wrapText="1"/>
    </xf>
    <xf numFmtId="0" fontId="18" fillId="0" borderId="8" xfId="0" applyFont="1" applyFill="1" applyBorder="1" applyAlignment="1" applyProtection="1">
      <alignment horizontal="left" vertical="center" wrapText="1"/>
    </xf>
    <xf numFmtId="0" fontId="49" fillId="4" borderId="29" xfId="0" applyFont="1" applyFill="1" applyBorder="1" applyAlignment="1" applyProtection="1">
      <alignment horizontal="center" vertical="center" wrapText="1"/>
    </xf>
    <xf numFmtId="0" fontId="50" fillId="6" borderId="29" xfId="0" applyFont="1" applyFill="1" applyBorder="1" applyAlignment="1" applyProtection="1">
      <alignment horizontal="center" vertical="center" wrapText="1"/>
    </xf>
    <xf numFmtId="0" fontId="27" fillId="0" borderId="29" xfId="0" applyFont="1" applyFill="1" applyBorder="1" applyAlignment="1">
      <alignment horizontal="left" vertical="center" wrapText="1"/>
    </xf>
    <xf numFmtId="0" fontId="17" fillId="0" borderId="29" xfId="0" quotePrefix="1" applyFont="1" applyBorder="1" applyAlignment="1">
      <alignment horizontal="left" vertical="center" wrapText="1"/>
    </xf>
    <xf numFmtId="0" fontId="17" fillId="0" borderId="29" xfId="0" applyFont="1" applyBorder="1" applyAlignment="1">
      <alignment horizontal="left" vertical="center" wrapText="1"/>
    </xf>
    <xf numFmtId="0" fontId="18" fillId="6" borderId="29" xfId="0" applyFont="1" applyFill="1" applyBorder="1" applyAlignment="1" applyProtection="1">
      <alignment horizontal="right" vertical="center" wrapText="1"/>
    </xf>
    <xf numFmtId="0" fontId="47" fillId="4" borderId="29" xfId="0" applyFont="1" applyFill="1" applyBorder="1" applyAlignment="1" applyProtection="1">
      <alignment horizontal="left" vertical="center" wrapText="1"/>
    </xf>
    <xf numFmtId="0" fontId="22" fillId="15" borderId="29" xfId="0" applyFont="1" applyFill="1" applyBorder="1" applyAlignment="1">
      <alignment horizontal="left" vertical="center" wrapText="1"/>
    </xf>
    <xf numFmtId="0" fontId="22" fillId="15" borderId="3" xfId="0" applyFont="1" applyFill="1" applyBorder="1" applyAlignment="1">
      <alignment horizontal="left" vertical="center" wrapText="1"/>
    </xf>
    <xf numFmtId="0" fontId="22" fillId="15" borderId="12" xfId="0" applyFont="1" applyFill="1" applyBorder="1" applyAlignment="1">
      <alignment horizontal="left" vertical="center" wrapText="1"/>
    </xf>
    <xf numFmtId="0" fontId="10" fillId="15" borderId="29" xfId="0" applyFont="1" applyFill="1" applyBorder="1" applyAlignment="1" applyProtection="1">
      <alignment horizontal="center" vertical="center" wrapText="1"/>
      <protection locked="0"/>
    </xf>
    <xf numFmtId="0" fontId="22" fillId="0" borderId="22" xfId="0" applyFont="1" applyFill="1" applyBorder="1" applyAlignment="1">
      <alignment horizontal="center" vertical="center" wrapText="1"/>
    </xf>
    <xf numFmtId="0" fontId="22" fillId="0" borderId="18" xfId="0" applyFont="1" applyBorder="1" applyAlignment="1">
      <alignment horizontal="center" vertical="center" wrapText="1"/>
    </xf>
    <xf numFmtId="0" fontId="17" fillId="0" borderId="29" xfId="0" applyFont="1" applyFill="1" applyBorder="1" applyAlignment="1">
      <alignment horizontal="left" vertical="center" wrapText="1"/>
    </xf>
    <xf numFmtId="0" fontId="5" fillId="13" borderId="29" xfId="0" applyFont="1" applyFill="1" applyBorder="1" applyAlignment="1" applyProtection="1">
      <alignment horizontal="center" vertical="center" wrapText="1"/>
    </xf>
    <xf numFmtId="0" fontId="22" fillId="2" borderId="29" xfId="0" applyFont="1" applyFill="1" applyBorder="1" applyAlignment="1">
      <alignment horizontal="center" vertical="center" wrapText="1"/>
    </xf>
    <xf numFmtId="0" fontId="22" fillId="6" borderId="29" xfId="0" applyFont="1" applyFill="1" applyBorder="1" applyAlignment="1" applyProtection="1">
      <alignment horizontal="right" vertical="center" wrapText="1"/>
    </xf>
    <xf numFmtId="0" fontId="18" fillId="5" borderId="29" xfId="0" applyFont="1" applyFill="1" applyBorder="1" applyAlignment="1" applyProtection="1">
      <alignment horizontal="right" vertical="center" wrapText="1"/>
    </xf>
    <xf numFmtId="0" fontId="18" fillId="13" borderId="25" xfId="0" applyFont="1" applyFill="1" applyBorder="1" applyAlignment="1" applyProtection="1">
      <alignment horizontal="center" vertical="center" wrapText="1"/>
    </xf>
    <xf numFmtId="0" fontId="18" fillId="13" borderId="17" xfId="0" applyFont="1" applyFill="1" applyBorder="1" applyAlignment="1" applyProtection="1">
      <alignment horizontal="center" vertical="center" wrapText="1"/>
    </xf>
    <xf numFmtId="0" fontId="18" fillId="14" borderId="3" xfId="0" applyFont="1" applyFill="1" applyBorder="1" applyAlignment="1" applyProtection="1">
      <alignment horizontal="center" vertical="center" wrapText="1"/>
    </xf>
    <xf numFmtId="0" fontId="27" fillId="0" borderId="3"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34" fillId="0" borderId="3"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34" fillId="0" borderId="8" xfId="0" applyFont="1" applyBorder="1" applyAlignment="1" applyProtection="1">
      <alignment horizontal="left" vertical="center" wrapText="1"/>
    </xf>
    <xf numFmtId="0" fontId="18" fillId="16" borderId="29" xfId="0" applyFont="1" applyFill="1" applyBorder="1" applyAlignment="1" applyProtection="1">
      <alignment horizontal="right" vertical="center" wrapText="1"/>
    </xf>
    <xf numFmtId="0" fontId="58" fillId="15"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wrapText="1"/>
    </xf>
    <xf numFmtId="0" fontId="22" fillId="2" borderId="29" xfId="0" applyFont="1" applyFill="1" applyBorder="1" applyAlignment="1" applyProtection="1">
      <alignment horizontal="right" vertical="center" wrapText="1"/>
    </xf>
    <xf numFmtId="0" fontId="22" fillId="15" borderId="3" xfId="0" applyFont="1" applyFill="1" applyBorder="1" applyAlignment="1">
      <alignment horizontal="center" vertical="center" wrapText="1"/>
    </xf>
    <xf numFmtId="0" fontId="22" fillId="15" borderId="12" xfId="0" applyFont="1" applyFill="1" applyBorder="1" applyAlignment="1">
      <alignment horizontal="center" vertical="center" wrapText="1"/>
    </xf>
    <xf numFmtId="0" fontId="22" fillId="15" borderId="8" xfId="0" applyFont="1" applyFill="1" applyBorder="1" applyAlignment="1">
      <alignment horizontal="center" vertical="center" wrapText="1"/>
    </xf>
    <xf numFmtId="0" fontId="17" fillId="0" borderId="3" xfId="0" applyFont="1" applyBorder="1" applyAlignment="1" applyProtection="1">
      <alignment horizontal="left" vertical="center" wrapText="1"/>
    </xf>
    <xf numFmtId="44" fontId="27" fillId="0" borderId="23" xfId="0" applyNumberFormat="1" applyFont="1" applyFill="1" applyBorder="1" applyAlignment="1" applyProtection="1">
      <alignment horizontal="center" vertical="center" wrapText="1"/>
    </xf>
    <xf numFmtId="44" fontId="27" fillId="0" borderId="30" xfId="0" applyNumberFormat="1" applyFont="1" applyFill="1" applyBorder="1" applyAlignment="1" applyProtection="1">
      <alignment horizontal="center" vertical="center" wrapText="1"/>
    </xf>
    <xf numFmtId="10" fontId="2" fillId="21" borderId="29" xfId="3" applyNumberFormat="1" applyFill="1" applyBorder="1" applyAlignment="1" applyProtection="1">
      <alignment vertical="center" wrapText="1"/>
    </xf>
    <xf numFmtId="0" fontId="22" fillId="0" borderId="13"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wrapText="1"/>
      <protection locked="0"/>
    </xf>
    <xf numFmtId="164" fontId="17" fillId="21" borderId="8" xfId="0" applyNumberFormat="1" applyFont="1" applyFill="1" applyBorder="1" applyAlignment="1">
      <alignment horizontal="right" vertical="center" wrapText="1"/>
    </xf>
    <xf numFmtId="0" fontId="22" fillId="15" borderId="3" xfId="0" applyFont="1" applyFill="1" applyBorder="1" applyAlignment="1" applyProtection="1">
      <alignment horizontal="right" vertical="center" wrapText="1"/>
    </xf>
    <xf numFmtId="0" fontId="22" fillId="15" borderId="12" xfId="0" applyFont="1" applyFill="1" applyBorder="1" applyAlignment="1" applyProtection="1">
      <alignment horizontal="right" vertical="center" wrapText="1"/>
    </xf>
    <xf numFmtId="0" fontId="22" fillId="15" borderId="8" xfId="0" applyFont="1" applyFill="1" applyBorder="1" applyAlignment="1" applyProtection="1">
      <alignment horizontal="right" vertical="center" wrapText="1"/>
    </xf>
    <xf numFmtId="0" fontId="22" fillId="0" borderId="22"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wrapText="1"/>
    </xf>
    <xf numFmtId="164" fontId="2" fillId="21" borderId="8" xfId="2" applyNumberFormat="1" applyFill="1" applyBorder="1" applyAlignment="1">
      <alignment horizontal="right" vertical="center" wrapText="1"/>
    </xf>
    <xf numFmtId="44" fontId="27" fillId="0" borderId="27" xfId="0" applyNumberFormat="1" applyFont="1" applyFill="1" applyBorder="1" applyAlignment="1" applyProtection="1">
      <alignment horizontal="center" vertical="center" wrapText="1"/>
    </xf>
    <xf numFmtId="0" fontId="28" fillId="0" borderId="3" xfId="0" applyFont="1" applyFill="1" applyBorder="1" applyAlignment="1" applyProtection="1">
      <alignment horizontal="right" vertical="center" wrapText="1"/>
      <protection locked="0"/>
    </xf>
    <xf numFmtId="0" fontId="17" fillId="0" borderId="8" xfId="0" applyFont="1" applyFill="1" applyBorder="1" applyAlignment="1">
      <alignment horizontal="right" vertical="center" wrapText="1"/>
    </xf>
    <xf numFmtId="0" fontId="28" fillId="0" borderId="3" xfId="0" applyNumberFormat="1" applyFont="1" applyFill="1" applyBorder="1" applyAlignment="1" applyProtection="1">
      <alignment horizontal="right" vertical="center" wrapText="1"/>
      <protection locked="0"/>
    </xf>
    <xf numFmtId="0" fontId="17" fillId="0" borderId="8" xfId="0" applyNumberFormat="1" applyFont="1" applyFill="1" applyBorder="1" applyAlignment="1">
      <alignment horizontal="right" vertical="center" wrapText="1"/>
    </xf>
    <xf numFmtId="9" fontId="28" fillId="21" borderId="3" xfId="0" applyNumberFormat="1" applyFont="1" applyFill="1" applyBorder="1" applyAlignment="1" applyProtection="1">
      <alignment horizontal="right" vertical="center" wrapText="1"/>
      <protection locked="0"/>
    </xf>
    <xf numFmtId="9" fontId="17" fillId="21" borderId="8" xfId="0" applyNumberFormat="1" applyFont="1" applyFill="1" applyBorder="1" applyAlignment="1">
      <alignment horizontal="right" vertical="center" wrapText="1"/>
    </xf>
    <xf numFmtId="0" fontId="23" fillId="0" borderId="3" xfId="0" applyFont="1" applyBorder="1" applyAlignment="1">
      <alignment horizontal="left" vertical="center" wrapText="1"/>
    </xf>
    <xf numFmtId="0" fontId="23" fillId="0" borderId="12" xfId="0" applyFont="1" applyBorder="1" applyAlignment="1">
      <alignment horizontal="left" vertical="center" wrapText="1"/>
    </xf>
    <xf numFmtId="0" fontId="23" fillId="0" borderId="8" xfId="0" applyFont="1" applyBorder="1" applyAlignment="1">
      <alignment horizontal="left" vertical="center" wrapText="1"/>
    </xf>
    <xf numFmtId="10" fontId="23" fillId="0" borderId="3"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24" fillId="15" borderId="12" xfId="0" applyFont="1" applyFill="1" applyBorder="1" applyAlignment="1" applyProtection="1">
      <alignment horizontal="right" vertical="center" wrapText="1"/>
    </xf>
    <xf numFmtId="0" fontId="24" fillId="15" borderId="8"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wrapText="1"/>
    </xf>
    <xf numFmtId="0" fontId="17" fillId="15" borderId="8" xfId="0" applyFont="1" applyFill="1" applyBorder="1" applyAlignment="1">
      <alignment horizontal="center" vertical="center" wrapText="1"/>
    </xf>
    <xf numFmtId="10" fontId="23" fillId="0" borderId="3" xfId="0" applyNumberFormat="1" applyFont="1" applyFill="1" applyBorder="1" applyAlignment="1">
      <alignment horizontal="center" vertical="center" wrapText="1"/>
    </xf>
    <xf numFmtId="0" fontId="17" fillId="0"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17" fillId="4" borderId="7" xfId="0" applyFont="1" applyFill="1" applyBorder="1" applyAlignment="1">
      <alignment vertical="center" wrapText="1"/>
    </xf>
    <xf numFmtId="0" fontId="5" fillId="13" borderId="3" xfId="0" applyFont="1" applyFill="1" applyBorder="1" applyAlignment="1" applyProtection="1">
      <alignment horizontal="center" vertical="center" wrapText="1"/>
    </xf>
    <xf numFmtId="0" fontId="5" fillId="13" borderId="12" xfId="0" applyFont="1" applyFill="1" applyBorder="1" applyAlignment="1" applyProtection="1">
      <alignment horizontal="center" vertical="center" wrapText="1"/>
    </xf>
    <xf numFmtId="0" fontId="5" fillId="13" borderId="8" xfId="0" applyFont="1" applyFill="1" applyBorder="1" applyAlignment="1" applyProtection="1">
      <alignment horizontal="center" vertical="center" wrapText="1"/>
    </xf>
    <xf numFmtId="0" fontId="23" fillId="0" borderId="3" xfId="0" applyFont="1" applyFill="1" applyBorder="1" applyAlignment="1" applyProtection="1">
      <alignment horizontal="left" vertical="center" wrapText="1"/>
    </xf>
    <xf numFmtId="0" fontId="23" fillId="0" borderId="12" xfId="0" applyFont="1" applyFill="1" applyBorder="1" applyAlignment="1" applyProtection="1">
      <alignment horizontal="left" vertical="center" wrapText="1"/>
    </xf>
    <xf numFmtId="0" fontId="23" fillId="0" borderId="8" xfId="0" applyFont="1" applyFill="1" applyBorder="1" applyAlignment="1" applyProtection="1">
      <alignment horizontal="left" vertical="center" wrapText="1"/>
    </xf>
    <xf numFmtId="0" fontId="24" fillId="0" borderId="5" xfId="0"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0" fontId="23" fillId="0" borderId="29" xfId="0" applyFont="1" applyFill="1" applyBorder="1" applyAlignment="1" applyProtection="1">
      <alignment horizontal="left" vertical="center" wrapText="1"/>
    </xf>
    <xf numFmtId="0" fontId="5" fillId="6" borderId="29" xfId="0" applyFont="1" applyFill="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7" borderId="13" xfId="0" applyFont="1" applyFill="1" applyBorder="1" applyAlignment="1" applyProtection="1">
      <alignment horizontal="center" vertical="center" wrapText="1"/>
    </xf>
    <xf numFmtId="0" fontId="18" fillId="7" borderId="1" xfId="0" applyFont="1" applyFill="1" applyBorder="1" applyAlignment="1" applyProtection="1">
      <alignment horizontal="center" vertical="center" wrapText="1"/>
    </xf>
    <xf numFmtId="0" fontId="18" fillId="7" borderId="3" xfId="0" applyFont="1" applyFill="1" applyBorder="1" applyAlignment="1" applyProtection="1">
      <alignment horizontal="center" vertical="center" wrapText="1"/>
    </xf>
    <xf numFmtId="0" fontId="18" fillId="7" borderId="9" xfId="0" applyFont="1" applyFill="1" applyBorder="1" applyAlignment="1" applyProtection="1">
      <alignment horizontal="center" vertical="center" wrapText="1"/>
    </xf>
    <xf numFmtId="0" fontId="17" fillId="0" borderId="16" xfId="0" applyFont="1" applyBorder="1" applyAlignment="1" applyProtection="1">
      <alignment horizontal="center" vertical="center" wrapText="1"/>
    </xf>
    <xf numFmtId="0" fontId="17" fillId="0" borderId="12" xfId="0" applyFont="1" applyBorder="1" applyAlignment="1" applyProtection="1">
      <alignment horizontal="center" vertical="center" wrapText="1"/>
    </xf>
    <xf numFmtId="0" fontId="17" fillId="0" borderId="17" xfId="0" applyFont="1" applyBorder="1" applyAlignment="1" applyProtection="1">
      <alignment horizontal="center" vertical="center" wrapText="1"/>
    </xf>
    <xf numFmtId="0" fontId="17" fillId="0"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12" xfId="0" applyFont="1" applyBorder="1" applyAlignment="1" applyProtection="1">
      <alignment horizontal="left" vertical="center" wrapText="1"/>
    </xf>
    <xf numFmtId="0" fontId="26" fillId="0" borderId="8" xfId="0" applyFont="1" applyBorder="1" applyAlignment="1" applyProtection="1">
      <alignment horizontal="left" vertical="center" wrapText="1"/>
    </xf>
    <xf numFmtId="0" fontId="36" fillId="0" borderId="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7" xfId="0" applyFont="1" applyBorder="1" applyAlignment="1" applyProtection="1">
      <alignment horizontal="center" vertical="center" wrapText="1"/>
      <protection locked="0"/>
    </xf>
    <xf numFmtId="0" fontId="26" fillId="12" borderId="17" xfId="0" applyNumberFormat="1" applyFont="1" applyFill="1" applyBorder="1" applyAlignment="1">
      <alignment vertical="center" wrapText="1"/>
    </xf>
    <xf numFmtId="0" fontId="17" fillId="12" borderId="29"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7" fillId="0" borderId="8" xfId="0" applyFont="1" applyFill="1" applyBorder="1" applyAlignment="1">
      <alignment horizontal="left" vertical="center" wrapText="1"/>
    </xf>
    <xf numFmtId="0" fontId="41" fillId="4" borderId="3" xfId="0" applyFont="1" applyFill="1" applyBorder="1" applyAlignment="1" applyProtection="1">
      <alignment horizontal="left" vertical="center" wrapText="1"/>
    </xf>
    <xf numFmtId="0" fontId="41" fillId="4" borderId="12" xfId="0" applyFont="1" applyFill="1" applyBorder="1" applyAlignment="1" applyProtection="1">
      <alignment horizontal="left" vertical="center" wrapText="1"/>
    </xf>
    <xf numFmtId="0" fontId="41" fillId="4" borderId="8" xfId="0" applyFont="1" applyFill="1" applyBorder="1" applyAlignment="1" applyProtection="1">
      <alignment horizontal="left" vertical="center" wrapText="1"/>
    </xf>
    <xf numFmtId="0" fontId="17" fillId="0" borderId="29" xfId="0" applyFont="1" applyFill="1" applyBorder="1" applyAlignment="1" applyProtection="1">
      <alignment horizontal="center" vertical="center" wrapText="1"/>
    </xf>
    <xf numFmtId="0" fontId="18" fillId="0" borderId="29" xfId="0" applyFont="1" applyBorder="1" applyAlignment="1" applyProtection="1">
      <alignment horizontal="left" vertical="center" wrapText="1"/>
    </xf>
    <xf numFmtId="0" fontId="20" fillId="11" borderId="29" xfId="0" applyFont="1" applyFill="1" applyBorder="1" applyAlignment="1" applyProtection="1">
      <alignment horizontal="center" vertical="center" wrapText="1"/>
      <protection locked="0"/>
    </xf>
    <xf numFmtId="0" fontId="20" fillId="20" borderId="29" xfId="0" applyFont="1" applyFill="1" applyBorder="1" applyAlignment="1" applyProtection="1">
      <alignment horizontal="center" vertical="center" wrapText="1"/>
      <protection locked="0"/>
    </xf>
    <xf numFmtId="0" fontId="18" fillId="3" borderId="29" xfId="0" applyFont="1" applyFill="1" applyBorder="1" applyAlignment="1" applyProtection="1">
      <alignment horizontal="center" vertical="center" wrapText="1"/>
    </xf>
    <xf numFmtId="0" fontId="18" fillId="7" borderId="29" xfId="0" applyFont="1" applyFill="1" applyBorder="1" applyAlignment="1" applyProtection="1">
      <alignment horizontal="center" vertical="center" wrapText="1"/>
    </xf>
    <xf numFmtId="0" fontId="19" fillId="3" borderId="29" xfId="0" applyFont="1" applyFill="1" applyBorder="1" applyAlignment="1" applyProtection="1">
      <alignment horizontal="center" vertical="center" wrapText="1"/>
      <protection locked="0"/>
    </xf>
    <xf numFmtId="49" fontId="20" fillId="3" borderId="29" xfId="0" applyNumberFormat="1" applyFont="1" applyFill="1" applyBorder="1" applyAlignment="1" applyProtection="1">
      <alignment horizontal="center" vertical="center" wrapText="1"/>
    </xf>
    <xf numFmtId="17" fontId="20" fillId="3" borderId="29" xfId="0" applyNumberFormat="1" applyFont="1" applyFill="1" applyBorder="1" applyAlignment="1" applyProtection="1">
      <alignment horizontal="center" vertical="center" wrapText="1"/>
    </xf>
    <xf numFmtId="165" fontId="16" fillId="12" borderId="29" xfId="0" applyNumberFormat="1" applyFont="1" applyFill="1" applyBorder="1" applyAlignment="1" applyProtection="1">
      <alignment horizontal="center" vertical="center" wrapText="1"/>
      <protection locked="0"/>
    </xf>
    <xf numFmtId="0" fontId="18" fillId="8" borderId="29" xfId="0" applyFont="1" applyFill="1" applyBorder="1" applyAlignment="1" applyProtection="1">
      <alignment horizontal="center" vertical="center" wrapText="1"/>
    </xf>
    <xf numFmtId="0" fontId="17" fillId="12" borderId="3" xfId="0" applyFont="1" applyFill="1" applyBorder="1" applyAlignment="1" applyProtection="1">
      <alignment horizontal="left" vertical="center" wrapText="1"/>
    </xf>
    <xf numFmtId="0" fontId="17" fillId="12" borderId="12" xfId="0" applyFont="1" applyFill="1" applyBorder="1" applyAlignment="1" applyProtection="1">
      <alignment horizontal="left" vertical="center" wrapText="1"/>
    </xf>
    <xf numFmtId="0" fontId="17" fillId="12" borderId="8" xfId="0" applyFont="1" applyFill="1" applyBorder="1" applyAlignment="1">
      <alignment horizontal="left" vertical="center" wrapText="1"/>
    </xf>
    <xf numFmtId="0" fontId="18" fillId="19" borderId="29" xfId="0" applyFont="1" applyFill="1" applyBorder="1" applyAlignment="1" applyProtection="1">
      <alignment horizontal="center" vertical="center" wrapText="1"/>
    </xf>
    <xf numFmtId="0" fontId="18" fillId="20" borderId="29" xfId="0" applyFont="1" applyFill="1" applyBorder="1" applyAlignment="1" applyProtection="1">
      <alignment horizontal="center" vertical="center" wrapText="1"/>
    </xf>
    <xf numFmtId="0" fontId="17" fillId="20" borderId="3" xfId="0" applyFont="1" applyFill="1" applyBorder="1" applyAlignment="1" applyProtection="1">
      <alignment horizontal="center" vertical="center" wrapText="1"/>
    </xf>
    <xf numFmtId="0" fontId="17" fillId="20" borderId="8"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wrapText="1"/>
    </xf>
    <xf numFmtId="0" fontId="27" fillId="21" borderId="29" xfId="0" applyFont="1" applyFill="1" applyBorder="1" applyAlignment="1">
      <alignment horizontal="center" vertical="center" wrapText="1"/>
    </xf>
    <xf numFmtId="0" fontId="18" fillId="8" borderId="13" xfId="0" applyFont="1" applyFill="1" applyBorder="1" applyAlignment="1" applyProtection="1">
      <alignment horizontal="center" vertical="center" wrapText="1"/>
    </xf>
    <xf numFmtId="0" fontId="18" fillId="8" borderId="1"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8" fillId="8" borderId="9" xfId="0" applyFont="1" applyFill="1" applyBorder="1" applyAlignment="1" applyProtection="1">
      <alignment horizontal="center" vertical="center" wrapText="1"/>
    </xf>
    <xf numFmtId="22" fontId="17" fillId="11" borderId="3" xfId="0" applyNumberFormat="1" applyFont="1" applyFill="1" applyBorder="1" applyAlignment="1" applyProtection="1">
      <alignment horizontal="center" vertical="center" wrapText="1"/>
    </xf>
    <xf numFmtId="0" fontId="17" fillId="11" borderId="12" xfId="0" applyFont="1" applyFill="1" applyBorder="1" applyAlignment="1" applyProtection="1">
      <alignment horizontal="center" vertical="center" wrapText="1"/>
    </xf>
    <xf numFmtId="0" fontId="17" fillId="11" borderId="17" xfId="0" applyFont="1" applyFill="1" applyBorder="1" applyAlignment="1" applyProtection="1">
      <alignment horizontal="center" vertical="center" wrapText="1"/>
    </xf>
    <xf numFmtId="0" fontId="10" fillId="18" borderId="29" xfId="15" applyFont="1" applyFill="1" applyBorder="1" applyAlignment="1" applyProtection="1">
      <alignment horizontal="right" vertical="center" wrapText="1"/>
    </xf>
    <xf numFmtId="0" fontId="46" fillId="0" borderId="29" xfId="15" applyFont="1" applyBorder="1" applyAlignment="1">
      <alignment horizontal="left" vertical="center" wrapText="1"/>
    </xf>
    <xf numFmtId="0" fontId="45" fillId="6" borderId="29" xfId="15" applyFont="1" applyFill="1" applyBorder="1" applyAlignment="1" applyProtection="1">
      <alignment horizontal="center" wrapText="1"/>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wrapText="1"/>
    </xf>
    <xf numFmtId="0" fontId="15" fillId="0" borderId="0" xfId="0" applyFont="1" applyAlignment="1">
      <alignment horizontal="center" vertical="center"/>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vertical="center"/>
    </xf>
    <xf numFmtId="0" fontId="52" fillId="0" borderId="0" xfId="0" applyFont="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wrapText="1"/>
    </xf>
    <xf numFmtId="0" fontId="51" fillId="15" borderId="11" xfId="0" applyFont="1" applyFill="1" applyBorder="1" applyAlignment="1">
      <alignment horizontal="center" vertical="center" wrapText="1"/>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left" vertical="center" wrapText="1"/>
    </xf>
    <xf numFmtId="172" fontId="51" fillId="15" borderId="12" xfId="0" applyNumberFormat="1" applyFont="1" applyFill="1" applyBorder="1" applyAlignment="1">
      <alignment horizontal="left" vertical="center" wrapText="1"/>
    </xf>
    <xf numFmtId="172" fontId="51" fillId="15" borderId="8" xfId="0" applyNumberFormat="1" applyFont="1" applyFill="1" applyBorder="1" applyAlignment="1">
      <alignment horizontal="left" vertical="center" wrapText="1"/>
    </xf>
    <xf numFmtId="0" fontId="51" fillId="0" borderId="10"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left" vertical="center" wrapText="1"/>
    </xf>
    <xf numFmtId="172" fontId="51" fillId="0" borderId="12" xfId="0" applyNumberFormat="1" applyFont="1" applyFill="1" applyBorder="1" applyAlignment="1">
      <alignment horizontal="left" vertical="center" wrapText="1"/>
    </xf>
    <xf numFmtId="172" fontId="51" fillId="0" borderId="8" xfId="0" applyNumberFormat="1" applyFont="1" applyFill="1" applyBorder="1" applyAlignment="1">
      <alignment horizontal="left"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left" vertical="center" wrapText="1"/>
    </xf>
    <xf numFmtId="172" fontId="51" fillId="2" borderId="12" xfId="0" applyNumberFormat="1" applyFont="1" applyFill="1" applyBorder="1" applyAlignment="1">
      <alignment horizontal="left" vertical="center" wrapText="1"/>
    </xf>
    <xf numFmtId="172" fontId="51" fillId="2" borderId="8" xfId="0" applyNumberFormat="1" applyFont="1" applyFill="1" applyBorder="1" applyAlignment="1">
      <alignment horizontal="left" vertical="center" wrapText="1"/>
    </xf>
    <xf numFmtId="0" fontId="51" fillId="0" borderId="29" xfId="0" applyFont="1" applyFill="1" applyBorder="1" applyAlignment="1">
      <alignment horizontal="center" vertical="center" wrapText="1"/>
    </xf>
    <xf numFmtId="176" fontId="52" fillId="15" borderId="29" xfId="2" applyNumberFormat="1" applyFont="1" applyFill="1" applyBorder="1" applyAlignment="1">
      <alignment vertical="center" wrapText="1"/>
    </xf>
    <xf numFmtId="176" fontId="52" fillId="2" borderId="29" xfId="2" applyNumberFormat="1" applyFont="1" applyFill="1" applyBorder="1" applyAlignment="1">
      <alignment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49"/>
  <sheetViews>
    <sheetView topLeftCell="A49" zoomScaleNormal="100" workbookViewId="0">
      <selection activeCell="L61" sqref="L61"/>
    </sheetView>
  </sheetViews>
  <sheetFormatPr defaultRowHeight="15"/>
  <cols>
    <col min="1" max="1" width="17.5703125" style="149" customWidth="1"/>
    <col min="2" max="2" width="17.85546875" style="149" customWidth="1"/>
    <col min="3" max="3" width="21.85546875" style="149" customWidth="1"/>
    <col min="4" max="4" width="15.42578125" style="149" customWidth="1"/>
    <col min="5" max="5" width="20.85546875" style="149" customWidth="1"/>
    <col min="6" max="6" width="20.5703125" style="149" customWidth="1"/>
    <col min="7" max="7" width="19.5703125" style="149" customWidth="1"/>
    <col min="8" max="8" width="13" style="149" customWidth="1"/>
    <col min="9" max="9" width="12.7109375" style="149" customWidth="1"/>
    <col min="10" max="16384" width="9.140625" style="149"/>
  </cols>
  <sheetData>
    <row r="1" spans="1:10">
      <c r="A1" s="362" t="s">
        <v>31</v>
      </c>
      <c r="B1" s="362"/>
      <c r="C1" s="362"/>
      <c r="D1" s="362"/>
      <c r="E1" s="362"/>
      <c r="F1" s="362"/>
      <c r="G1" s="362"/>
      <c r="H1" s="15"/>
      <c r="I1" s="15"/>
    </row>
    <row r="2" spans="1:10">
      <c r="A2" s="363" t="s">
        <v>0</v>
      </c>
      <c r="B2" s="363"/>
      <c r="C2" s="363"/>
      <c r="D2" s="363"/>
      <c r="E2" s="363"/>
      <c r="F2" s="363"/>
      <c r="G2" s="363"/>
      <c r="H2" s="15"/>
      <c r="I2" s="9"/>
    </row>
    <row r="3" spans="1:10">
      <c r="A3" s="150" t="s">
        <v>1</v>
      </c>
      <c r="B3" s="356" t="s">
        <v>224</v>
      </c>
      <c r="C3" s="356"/>
      <c r="D3" s="356"/>
      <c r="E3" s="151" t="s">
        <v>2</v>
      </c>
      <c r="F3" s="357" t="s">
        <v>225</v>
      </c>
      <c r="G3" s="357"/>
      <c r="H3" s="15"/>
      <c r="I3" s="15"/>
    </row>
    <row r="4" spans="1:10">
      <c r="A4" s="150" t="s">
        <v>3</v>
      </c>
      <c r="B4" s="364">
        <f ca="1">NOW()</f>
        <v>44467.682202199074</v>
      </c>
      <c r="C4" s="364"/>
      <c r="D4" s="364"/>
      <c r="E4" s="364"/>
      <c r="F4" s="364"/>
      <c r="G4" s="364"/>
      <c r="H4" s="15"/>
      <c r="I4" s="15"/>
    </row>
    <row r="5" spans="1:10">
      <c r="A5" s="365" t="s">
        <v>4</v>
      </c>
      <c r="B5" s="365"/>
      <c r="C5" s="365"/>
      <c r="D5" s="365"/>
      <c r="E5" s="365"/>
      <c r="F5" s="365"/>
      <c r="G5" s="365"/>
      <c r="H5" s="14"/>
      <c r="I5" s="15"/>
    </row>
    <row r="6" spans="1:10">
      <c r="A6" s="366" t="s">
        <v>5</v>
      </c>
      <c r="B6" s="366"/>
      <c r="C6" s="367" t="s">
        <v>221</v>
      </c>
      <c r="D6" s="367"/>
      <c r="E6" s="367"/>
      <c r="F6" s="367"/>
      <c r="G6" s="367"/>
      <c r="H6" s="152"/>
      <c r="I6" s="15"/>
    </row>
    <row r="7" spans="1:10">
      <c r="A7" s="366" t="s">
        <v>6</v>
      </c>
      <c r="B7" s="366"/>
      <c r="C7" s="367" t="s">
        <v>226</v>
      </c>
      <c r="D7" s="367"/>
      <c r="E7" s="367"/>
      <c r="F7" s="367"/>
      <c r="G7" s="367"/>
      <c r="H7" s="153"/>
      <c r="I7" s="15"/>
    </row>
    <row r="8" spans="1:10">
      <c r="A8" s="382" t="s">
        <v>147</v>
      </c>
      <c r="B8" s="383"/>
      <c r="C8" s="383"/>
      <c r="D8" s="154"/>
      <c r="E8" s="517">
        <v>1</v>
      </c>
      <c r="F8" s="518"/>
      <c r="G8" s="155" t="str">
        <f>IF(E8=1,"Lucro Real",IF(E8=2,"Lucro Presumido",IF(E8=3,"SIMPLES-Anexo III",IF(E8=4,"SIMPLES-Anexo IV","RT Inválido"))))</f>
        <v>Lucro Real</v>
      </c>
      <c r="H8" s="153"/>
      <c r="I8" s="15"/>
    </row>
    <row r="9" spans="1:10">
      <c r="A9" s="384" t="s">
        <v>7</v>
      </c>
      <c r="B9" s="385"/>
      <c r="C9" s="385"/>
      <c r="D9" s="385"/>
      <c r="E9" s="385"/>
      <c r="F9" s="386"/>
      <c r="G9" s="387"/>
      <c r="H9" s="153"/>
      <c r="I9" s="15"/>
    </row>
    <row r="10" spans="1:10">
      <c r="A10" s="2" t="s">
        <v>8</v>
      </c>
      <c r="B10" s="388" t="s">
        <v>9</v>
      </c>
      <c r="C10" s="389"/>
      <c r="D10" s="390"/>
      <c r="E10" s="394">
        <f ca="1">NOW()</f>
        <v>44467.682202199074</v>
      </c>
      <c r="F10" s="395"/>
      <c r="G10" s="396"/>
      <c r="H10" s="153"/>
      <c r="I10" s="15"/>
    </row>
    <row r="11" spans="1:10">
      <c r="A11" s="2" t="s">
        <v>10</v>
      </c>
      <c r="B11" s="368" t="s">
        <v>11</v>
      </c>
      <c r="C11" s="369"/>
      <c r="D11" s="370"/>
      <c r="E11" s="371" t="s">
        <v>222</v>
      </c>
      <c r="F11" s="372"/>
      <c r="G11" s="373"/>
      <c r="H11" s="15"/>
      <c r="I11" s="15"/>
    </row>
    <row r="12" spans="1:10" ht="28.5" customHeight="1">
      <c r="A12" s="2" t="s">
        <v>12</v>
      </c>
      <c r="B12" s="374" t="s">
        <v>240</v>
      </c>
      <c r="C12" s="375"/>
      <c r="D12" s="375"/>
      <c r="E12" s="375"/>
      <c r="F12" s="376" t="s">
        <v>239</v>
      </c>
      <c r="G12" s="377"/>
      <c r="H12" s="15"/>
      <c r="I12" s="15"/>
    </row>
    <row r="13" spans="1:10">
      <c r="A13" s="2" t="s">
        <v>13</v>
      </c>
      <c r="B13" s="378" t="s">
        <v>14</v>
      </c>
      <c r="C13" s="379"/>
      <c r="D13" s="379"/>
      <c r="E13" s="379"/>
      <c r="F13" s="380"/>
      <c r="G13" s="138">
        <v>12</v>
      </c>
      <c r="H13" s="9"/>
      <c r="I13" s="9"/>
      <c r="J13" s="156"/>
    </row>
    <row r="14" spans="1:10">
      <c r="A14" s="411" t="s">
        <v>153</v>
      </c>
      <c r="B14" s="411"/>
      <c r="C14" s="411"/>
      <c r="D14" s="411"/>
      <c r="E14" s="411"/>
      <c r="F14" s="411"/>
      <c r="G14" s="411"/>
      <c r="H14" s="9"/>
      <c r="I14" s="9"/>
      <c r="J14" s="156"/>
    </row>
    <row r="15" spans="1:10">
      <c r="A15" s="412" t="s">
        <v>154</v>
      </c>
      <c r="B15" s="412"/>
      <c r="C15" s="412"/>
      <c r="D15" s="413" t="s">
        <v>155</v>
      </c>
      <c r="E15" s="414"/>
      <c r="F15" s="413" t="s">
        <v>156</v>
      </c>
      <c r="G15" s="414"/>
      <c r="H15" s="9"/>
      <c r="I15" s="9"/>
      <c r="J15" s="156"/>
    </row>
    <row r="16" spans="1:10" ht="15" customHeight="1">
      <c r="A16" s="415" t="s">
        <v>251</v>
      </c>
      <c r="B16" s="415"/>
      <c r="C16" s="415"/>
      <c r="D16" s="416" t="s">
        <v>157</v>
      </c>
      <c r="E16" s="416"/>
      <c r="F16" s="417">
        <v>1</v>
      </c>
      <c r="G16" s="417"/>
      <c r="H16" s="9"/>
      <c r="I16" s="9"/>
      <c r="J16" s="156"/>
    </row>
    <row r="17" spans="1:10">
      <c r="A17" s="415"/>
      <c r="B17" s="415"/>
      <c r="C17" s="415"/>
      <c r="D17" s="416"/>
      <c r="E17" s="416"/>
      <c r="F17" s="417"/>
      <c r="G17" s="417"/>
      <c r="H17" s="9"/>
      <c r="I17" s="9"/>
      <c r="J17" s="156"/>
    </row>
    <row r="18" spans="1:10">
      <c r="A18" s="381"/>
      <c r="B18" s="381"/>
      <c r="C18" s="381"/>
      <c r="D18" s="381"/>
      <c r="E18" s="381"/>
      <c r="F18" s="381"/>
      <c r="G18" s="381"/>
      <c r="H18" s="15"/>
      <c r="I18" s="14"/>
    </row>
    <row r="19" spans="1:10" ht="15.75">
      <c r="A19" s="400" t="s">
        <v>165</v>
      </c>
      <c r="B19" s="400"/>
      <c r="C19" s="400"/>
      <c r="D19" s="400"/>
      <c r="E19" s="400"/>
      <c r="F19" s="400"/>
      <c r="G19" s="400"/>
      <c r="H19" s="15"/>
      <c r="I19" s="14"/>
    </row>
    <row r="20" spans="1:10">
      <c r="A20" s="401" t="s">
        <v>164</v>
      </c>
      <c r="B20" s="402"/>
      <c r="C20" s="402"/>
      <c r="D20" s="402"/>
      <c r="E20" s="402"/>
      <c r="F20" s="403"/>
      <c r="G20" s="404"/>
      <c r="H20" s="15"/>
      <c r="I20" s="14"/>
    </row>
    <row r="21" spans="1:10">
      <c r="A21" s="405" t="s">
        <v>166</v>
      </c>
      <c r="B21" s="406"/>
      <c r="C21" s="406"/>
      <c r="D21" s="406"/>
      <c r="E21" s="406"/>
      <c r="F21" s="406"/>
      <c r="G21" s="407"/>
      <c r="H21" s="15"/>
      <c r="I21" s="14"/>
    </row>
    <row r="22" spans="1:10">
      <c r="A22" s="146">
        <v>1</v>
      </c>
      <c r="B22" s="418" t="s">
        <v>185</v>
      </c>
      <c r="C22" s="418"/>
      <c r="D22" s="418"/>
      <c r="E22" s="419" t="s">
        <v>216</v>
      </c>
      <c r="F22" s="419"/>
      <c r="G22" s="419"/>
      <c r="H22" s="15"/>
      <c r="I22" s="14"/>
    </row>
    <row r="23" spans="1:10">
      <c r="A23" s="146">
        <v>2</v>
      </c>
      <c r="B23" s="408" t="s">
        <v>48</v>
      </c>
      <c r="C23" s="408"/>
      <c r="D23" s="408"/>
      <c r="E23" s="408"/>
      <c r="F23" s="409"/>
      <c r="G23" s="104" t="s">
        <v>215</v>
      </c>
      <c r="H23" s="15"/>
      <c r="I23" s="14"/>
    </row>
    <row r="24" spans="1:10">
      <c r="A24" s="146">
        <v>3</v>
      </c>
      <c r="B24" s="410" t="s">
        <v>186</v>
      </c>
      <c r="C24" s="410"/>
      <c r="D24" s="410"/>
      <c r="E24" s="410"/>
      <c r="F24" s="410"/>
      <c r="G24" s="105">
        <v>1716</v>
      </c>
      <c r="H24" s="15"/>
      <c r="I24" s="157"/>
    </row>
    <row r="25" spans="1:10">
      <c r="A25" s="146">
        <v>4</v>
      </c>
      <c r="B25" s="408" t="s">
        <v>15</v>
      </c>
      <c r="C25" s="408"/>
      <c r="D25" s="408"/>
      <c r="E25" s="420" t="s">
        <v>241</v>
      </c>
      <c r="F25" s="420"/>
      <c r="G25" s="420"/>
      <c r="H25" s="15"/>
      <c r="I25" s="14"/>
    </row>
    <row r="26" spans="1:10">
      <c r="A26" s="146">
        <v>5</v>
      </c>
      <c r="B26" s="397" t="s">
        <v>16</v>
      </c>
      <c r="C26" s="398"/>
      <c r="D26" s="398"/>
      <c r="E26" s="398"/>
      <c r="F26" s="399"/>
      <c r="G26" s="106" t="s">
        <v>242</v>
      </c>
      <c r="H26" s="15"/>
      <c r="I26" s="14"/>
    </row>
    <row r="27" spans="1:10">
      <c r="A27" s="37">
        <v>6</v>
      </c>
      <c r="B27" s="408" t="s">
        <v>189</v>
      </c>
      <c r="C27" s="408"/>
      <c r="D27" s="408"/>
      <c r="E27" s="408"/>
      <c r="F27" s="408"/>
      <c r="G27" s="139">
        <v>1100</v>
      </c>
      <c r="H27" s="15"/>
      <c r="I27" s="14"/>
    </row>
    <row r="28" spans="1:10">
      <c r="A28" s="108" t="s">
        <v>61</v>
      </c>
      <c r="B28" s="391" t="s">
        <v>167</v>
      </c>
      <c r="C28" s="392"/>
      <c r="D28" s="392"/>
      <c r="E28" s="392"/>
      <c r="F28" s="392"/>
      <c r="G28" s="393"/>
      <c r="H28" s="15"/>
      <c r="I28" s="14"/>
    </row>
    <row r="29" spans="1:10" ht="15" customHeight="1">
      <c r="A29" s="42"/>
      <c r="B29" s="43"/>
      <c r="C29" s="43"/>
      <c r="D29" s="43"/>
      <c r="E29" s="43"/>
      <c r="F29" s="43"/>
      <c r="G29" s="43"/>
      <c r="H29" s="15"/>
      <c r="I29" s="14"/>
    </row>
    <row r="30" spans="1:10" ht="15.75">
      <c r="A30" s="428" t="s">
        <v>63</v>
      </c>
      <c r="B30" s="428"/>
      <c r="C30" s="428"/>
      <c r="D30" s="428"/>
      <c r="E30" s="428"/>
      <c r="F30" s="428"/>
      <c r="G30" s="428"/>
      <c r="H30" s="9"/>
      <c r="I30" s="14"/>
    </row>
    <row r="31" spans="1:10">
      <c r="A31" s="158">
        <v>1</v>
      </c>
      <c r="B31" s="429" t="s">
        <v>17</v>
      </c>
      <c r="C31" s="429"/>
      <c r="D31" s="429"/>
      <c r="E31" s="429" t="s">
        <v>19</v>
      </c>
      <c r="F31" s="429"/>
      <c r="G31" s="159" t="s">
        <v>18</v>
      </c>
      <c r="H31" s="15"/>
      <c r="I31" s="14"/>
    </row>
    <row r="32" spans="1:10">
      <c r="A32" s="145" t="s">
        <v>8</v>
      </c>
      <c r="B32" s="430" t="s">
        <v>252</v>
      </c>
      <c r="C32" s="431"/>
      <c r="D32" s="431"/>
      <c r="E32" s="431"/>
      <c r="F32" s="432"/>
      <c r="G32" s="160">
        <f>G24</f>
        <v>1716</v>
      </c>
      <c r="H32" s="161"/>
      <c r="I32" s="162"/>
    </row>
    <row r="33" spans="1:9">
      <c r="A33" s="438" t="s">
        <v>10</v>
      </c>
      <c r="B33" s="440" t="s">
        <v>190</v>
      </c>
      <c r="C33" s="440"/>
      <c r="D33" s="440"/>
      <c r="E33" s="148" t="s">
        <v>188</v>
      </c>
      <c r="F33" s="163">
        <f>G27</f>
        <v>1100</v>
      </c>
      <c r="G33" s="529">
        <f>F33*F34</f>
        <v>0</v>
      </c>
      <c r="H33" s="161"/>
      <c r="I33" s="162"/>
    </row>
    <row r="34" spans="1:9">
      <c r="A34" s="439"/>
      <c r="B34" s="440"/>
      <c r="C34" s="440"/>
      <c r="D34" s="440"/>
      <c r="E34" s="148" t="s">
        <v>19</v>
      </c>
      <c r="F34" s="164">
        <v>0</v>
      </c>
      <c r="G34" s="530"/>
      <c r="H34" s="161"/>
      <c r="I34" s="162"/>
    </row>
    <row r="35" spans="1:9">
      <c r="A35" s="144" t="s">
        <v>187</v>
      </c>
      <c r="B35" s="425" t="s">
        <v>64</v>
      </c>
      <c r="C35" s="425"/>
      <c r="D35" s="425"/>
      <c r="E35" s="425"/>
      <c r="F35" s="425"/>
      <c r="G35" s="165">
        <v>0</v>
      </c>
      <c r="H35" s="7"/>
      <c r="I35" s="3"/>
    </row>
    <row r="36" spans="1:9">
      <c r="A36" s="426" t="s">
        <v>91</v>
      </c>
      <c r="B36" s="426"/>
      <c r="C36" s="426"/>
      <c r="D36" s="426"/>
      <c r="E36" s="426"/>
      <c r="F36" s="426"/>
      <c r="G36" s="21">
        <f>SUM(G32:G35)</f>
        <v>1716</v>
      </c>
      <c r="H36" s="18"/>
      <c r="I36" s="166"/>
    </row>
    <row r="37" spans="1:9">
      <c r="A37" s="108" t="s">
        <v>62</v>
      </c>
      <c r="B37" s="427" t="s">
        <v>171</v>
      </c>
      <c r="C37" s="427"/>
      <c r="D37" s="427"/>
      <c r="E37" s="427"/>
      <c r="F37" s="427"/>
      <c r="G37" s="427"/>
      <c r="H37" s="18"/>
      <c r="I37" s="166"/>
    </row>
    <row r="38" spans="1:9">
      <c r="A38" s="35"/>
      <c r="B38" s="36"/>
      <c r="C38" s="36"/>
      <c r="D38" s="36"/>
      <c r="E38" s="36"/>
      <c r="F38" s="36"/>
      <c r="G38" s="36"/>
      <c r="H38" s="18"/>
      <c r="I38" s="166"/>
    </row>
    <row r="39" spans="1:9" ht="15.75">
      <c r="A39" s="433" t="s">
        <v>66</v>
      </c>
      <c r="B39" s="434"/>
      <c r="C39" s="434"/>
      <c r="D39" s="434"/>
      <c r="E39" s="434"/>
      <c r="F39" s="434"/>
      <c r="G39" s="435"/>
      <c r="H39" s="15"/>
      <c r="I39" s="14"/>
    </row>
    <row r="40" spans="1:9">
      <c r="A40" s="25" t="s">
        <v>32</v>
      </c>
      <c r="B40" s="436" t="s">
        <v>243</v>
      </c>
      <c r="C40" s="436"/>
      <c r="D40" s="436"/>
      <c r="E40" s="436"/>
      <c r="F40" s="437"/>
      <c r="G40" s="167" t="s">
        <v>18</v>
      </c>
      <c r="H40" s="15"/>
      <c r="I40" s="14"/>
    </row>
    <row r="41" spans="1:9">
      <c r="A41" s="4" t="s">
        <v>8</v>
      </c>
      <c r="B41" s="358" t="s">
        <v>168</v>
      </c>
      <c r="C41" s="359"/>
      <c r="D41" s="359"/>
      <c r="E41" s="359"/>
      <c r="F41" s="360"/>
      <c r="G41" s="97">
        <f>ROUND(G36/12,2)</f>
        <v>143</v>
      </c>
      <c r="H41" s="7"/>
      <c r="I41" s="6"/>
    </row>
    <row r="42" spans="1:9">
      <c r="A42" s="4" t="s">
        <v>10</v>
      </c>
      <c r="B42" s="358" t="s">
        <v>244</v>
      </c>
      <c r="C42" s="359"/>
      <c r="D42" s="359"/>
      <c r="E42" s="359"/>
      <c r="F42" s="360"/>
      <c r="G42" s="97">
        <f>ROUND((G36/3)/12,2)</f>
        <v>47.67</v>
      </c>
      <c r="H42" s="7"/>
      <c r="I42" s="6"/>
    </row>
    <row r="43" spans="1:9">
      <c r="A43" s="421" t="s">
        <v>67</v>
      </c>
      <c r="B43" s="422"/>
      <c r="C43" s="422"/>
      <c r="D43" s="422"/>
      <c r="E43" s="422"/>
      <c r="F43" s="423"/>
      <c r="G43" s="27">
        <f>SUM(G41:G42)</f>
        <v>190.67000000000002</v>
      </c>
      <c r="H43" s="7"/>
      <c r="I43" s="6"/>
    </row>
    <row r="44" spans="1:9" ht="25.5" customHeight="1">
      <c r="A44" s="109" t="s">
        <v>65</v>
      </c>
      <c r="B44" s="424" t="s">
        <v>245</v>
      </c>
      <c r="C44" s="424"/>
      <c r="D44" s="424"/>
      <c r="E44" s="424"/>
      <c r="F44" s="424"/>
      <c r="G44" s="424"/>
      <c r="H44" s="7"/>
      <c r="I44" s="6"/>
    </row>
    <row r="45" spans="1:9">
      <c r="A45" s="40"/>
      <c r="B45" s="41"/>
      <c r="C45" s="41"/>
      <c r="D45" s="41"/>
      <c r="E45" s="41"/>
      <c r="F45" s="41"/>
      <c r="G45" s="41"/>
      <c r="H45" s="7"/>
      <c r="I45" s="6"/>
    </row>
    <row r="46" spans="1:9" ht="34.5" customHeight="1">
      <c r="A46" s="26" t="s">
        <v>33</v>
      </c>
      <c r="B46" s="445" t="s">
        <v>136</v>
      </c>
      <c r="C46" s="445"/>
      <c r="D46" s="445"/>
      <c r="E46" s="445"/>
      <c r="F46" s="445"/>
      <c r="G46" s="445"/>
      <c r="H46" s="15"/>
      <c r="I46" s="14"/>
    </row>
    <row r="47" spans="1:9">
      <c r="A47" s="28"/>
      <c r="B47" s="446" t="s">
        <v>71</v>
      </c>
      <c r="C47" s="447"/>
      <c r="D47" s="448"/>
      <c r="E47" s="449" t="s">
        <v>19</v>
      </c>
      <c r="F47" s="450"/>
      <c r="G47" s="169" t="s">
        <v>18</v>
      </c>
      <c r="H47" s="15"/>
      <c r="I47" s="14"/>
    </row>
    <row r="48" spans="1:9">
      <c r="A48" s="4" t="s">
        <v>8</v>
      </c>
      <c r="B48" s="358" t="s">
        <v>25</v>
      </c>
      <c r="C48" s="359"/>
      <c r="D48" s="360"/>
      <c r="E48" s="443">
        <v>0.2</v>
      </c>
      <c r="F48" s="444"/>
      <c r="G48" s="98">
        <f>ROUND((G36+G43)*E48,2)</f>
        <v>381.33</v>
      </c>
      <c r="H48" s="5"/>
      <c r="I48" s="3"/>
    </row>
    <row r="49" spans="1:9">
      <c r="A49" s="4" t="s">
        <v>10</v>
      </c>
      <c r="B49" s="358" t="s">
        <v>34</v>
      </c>
      <c r="C49" s="359"/>
      <c r="D49" s="360"/>
      <c r="E49" s="441">
        <v>2.5000000000000001E-2</v>
      </c>
      <c r="F49" s="442"/>
      <c r="G49" s="98">
        <f>ROUND((G36+G43)*E49,2)</f>
        <v>47.67</v>
      </c>
      <c r="H49" s="5"/>
      <c r="I49" s="3"/>
    </row>
    <row r="50" spans="1:9">
      <c r="A50" s="4" t="s">
        <v>12</v>
      </c>
      <c r="B50" s="358" t="s">
        <v>78</v>
      </c>
      <c r="C50" s="359"/>
      <c r="D50" s="360"/>
      <c r="E50" s="443">
        <f>ROUND((H51*I51),6)</f>
        <v>0.03</v>
      </c>
      <c r="F50" s="444"/>
      <c r="G50" s="99">
        <f>ROUND((G36+G43)*E50,2)</f>
        <v>57.2</v>
      </c>
      <c r="H50" s="30" t="s">
        <v>72</v>
      </c>
      <c r="I50" s="31" t="s">
        <v>73</v>
      </c>
    </row>
    <row r="51" spans="1:9">
      <c r="A51" s="4" t="s">
        <v>13</v>
      </c>
      <c r="B51" s="358" t="s">
        <v>35</v>
      </c>
      <c r="C51" s="359"/>
      <c r="D51" s="360"/>
      <c r="E51" s="441">
        <v>1.4999999999999999E-2</v>
      </c>
      <c r="F51" s="442"/>
      <c r="G51" s="99">
        <f>ROUND((G36+G43)*E51,2)</f>
        <v>28.6</v>
      </c>
      <c r="H51" s="29">
        <v>0.03</v>
      </c>
      <c r="I51" s="32">
        <v>1</v>
      </c>
    </row>
    <row r="52" spans="1:9">
      <c r="A52" s="4" t="s">
        <v>20</v>
      </c>
      <c r="B52" s="358" t="s">
        <v>36</v>
      </c>
      <c r="C52" s="359"/>
      <c r="D52" s="360"/>
      <c r="E52" s="441">
        <v>0.01</v>
      </c>
      <c r="F52" s="442"/>
      <c r="G52" s="98">
        <f>ROUND((G36+G43)*E52,2)</f>
        <v>19.07</v>
      </c>
      <c r="H52" s="5"/>
      <c r="I52" s="3"/>
    </row>
    <row r="53" spans="1:9">
      <c r="A53" s="4" t="s">
        <v>21</v>
      </c>
      <c r="B53" s="358" t="s">
        <v>26</v>
      </c>
      <c r="C53" s="359"/>
      <c r="D53" s="360"/>
      <c r="E53" s="441">
        <v>6.0000000000000001E-3</v>
      </c>
      <c r="F53" s="442"/>
      <c r="G53" s="98">
        <f>ROUND((G36+G43)*E53,2)</f>
        <v>11.44</v>
      </c>
      <c r="H53" s="5"/>
      <c r="I53" s="3"/>
    </row>
    <row r="54" spans="1:9">
      <c r="A54" s="4" t="s">
        <v>22</v>
      </c>
      <c r="B54" s="358" t="s">
        <v>37</v>
      </c>
      <c r="C54" s="359"/>
      <c r="D54" s="360"/>
      <c r="E54" s="441">
        <v>2E-3</v>
      </c>
      <c r="F54" s="442"/>
      <c r="G54" s="98">
        <f>ROUND((G36+G43)*E54,2)</f>
        <v>3.81</v>
      </c>
      <c r="H54" s="5"/>
      <c r="I54" s="3"/>
    </row>
    <row r="55" spans="1:9">
      <c r="A55" s="4" t="s">
        <v>23</v>
      </c>
      <c r="B55" s="358" t="s">
        <v>38</v>
      </c>
      <c r="C55" s="359"/>
      <c r="D55" s="360"/>
      <c r="E55" s="441">
        <v>0.08</v>
      </c>
      <c r="F55" s="442"/>
      <c r="G55" s="98">
        <f>ROUND((G36+G43)*E55,2)</f>
        <v>152.53</v>
      </c>
      <c r="H55" s="5"/>
      <c r="I55" s="3"/>
    </row>
    <row r="56" spans="1:9">
      <c r="A56" s="464" t="s">
        <v>74</v>
      </c>
      <c r="B56" s="422"/>
      <c r="C56" s="422"/>
      <c r="D56" s="423"/>
      <c r="E56" s="465">
        <f>SUM(E48:F55)</f>
        <v>0.36800000000000005</v>
      </c>
      <c r="F56" s="466"/>
      <c r="G56" s="33">
        <f>SUM(G48:G55)</f>
        <v>701.65</v>
      </c>
      <c r="H56" s="18"/>
      <c r="I56" s="170"/>
    </row>
    <row r="57" spans="1:9">
      <c r="A57" s="117" t="s">
        <v>68</v>
      </c>
      <c r="B57" s="424" t="s">
        <v>76</v>
      </c>
      <c r="C57" s="424"/>
      <c r="D57" s="424"/>
      <c r="E57" s="424"/>
      <c r="F57" s="424"/>
      <c r="G57" s="424"/>
      <c r="H57" s="18"/>
      <c r="I57" s="170"/>
    </row>
    <row r="58" spans="1:9">
      <c r="A58" s="117" t="s">
        <v>69</v>
      </c>
      <c r="B58" s="424" t="s">
        <v>79</v>
      </c>
      <c r="C58" s="424"/>
      <c r="D58" s="424"/>
      <c r="E58" s="424"/>
      <c r="F58" s="424"/>
      <c r="G58" s="424"/>
      <c r="H58" s="18"/>
      <c r="I58" s="170"/>
    </row>
    <row r="59" spans="1:9">
      <c r="A59" s="34"/>
      <c r="B59" s="23"/>
      <c r="C59" s="23"/>
      <c r="D59" s="23"/>
      <c r="E59" s="23"/>
      <c r="F59" s="23"/>
      <c r="G59" s="23"/>
      <c r="H59" s="18"/>
      <c r="I59" s="170"/>
    </row>
    <row r="60" spans="1:9">
      <c r="A60" s="171" t="s">
        <v>39</v>
      </c>
      <c r="B60" s="473" t="s">
        <v>80</v>
      </c>
      <c r="C60" s="473"/>
      <c r="D60" s="473"/>
      <c r="E60" s="473"/>
      <c r="F60" s="473"/>
      <c r="G60" s="473"/>
      <c r="H60" s="15"/>
      <c r="I60" s="14"/>
    </row>
    <row r="61" spans="1:9">
      <c r="A61" s="22"/>
      <c r="B61" s="474" t="s">
        <v>80</v>
      </c>
      <c r="C61" s="475"/>
      <c r="D61" s="475"/>
      <c r="E61" s="475"/>
      <c r="F61" s="476"/>
      <c r="G61" s="172" t="s">
        <v>18</v>
      </c>
      <c r="H61" s="15"/>
      <c r="I61" s="14"/>
    </row>
    <row r="62" spans="1:9" ht="43.5" customHeight="1">
      <c r="A62" s="451" t="s">
        <v>8</v>
      </c>
      <c r="B62" s="454" t="s">
        <v>253</v>
      </c>
      <c r="C62" s="457" t="s">
        <v>81</v>
      </c>
      <c r="D62" s="458"/>
      <c r="E62" s="459">
        <v>3.5</v>
      </c>
      <c r="F62" s="460"/>
      <c r="G62" s="461">
        <f>IF(ROUND((E62*E64*E63)-(G32*E65),2)&lt;0,0,ROUND((E62*E64*E63)-(G32*E65),2))</f>
        <v>102.52</v>
      </c>
      <c r="H62" s="11"/>
      <c r="I62" s="10"/>
    </row>
    <row r="63" spans="1:9" ht="33.75" customHeight="1">
      <c r="A63" s="452"/>
      <c r="B63" s="455"/>
      <c r="C63" s="457" t="s">
        <v>82</v>
      </c>
      <c r="D63" s="458"/>
      <c r="E63" s="467">
        <v>2</v>
      </c>
      <c r="F63" s="468"/>
      <c r="G63" s="462"/>
      <c r="H63" s="11"/>
      <c r="I63" s="10"/>
    </row>
    <row r="64" spans="1:9" ht="31.5" customHeight="1">
      <c r="A64" s="452"/>
      <c r="B64" s="455"/>
      <c r="C64" s="457" t="s">
        <v>83</v>
      </c>
      <c r="D64" s="458"/>
      <c r="E64" s="469">
        <v>22</v>
      </c>
      <c r="F64" s="470"/>
      <c r="G64" s="462"/>
      <c r="H64" s="12"/>
      <c r="I64" s="13"/>
    </row>
    <row r="65" spans="1:9" ht="39" customHeight="1">
      <c r="A65" s="453"/>
      <c r="B65" s="456"/>
      <c r="C65" s="457" t="s">
        <v>176</v>
      </c>
      <c r="D65" s="458"/>
      <c r="E65" s="471">
        <v>0.03</v>
      </c>
      <c r="F65" s="472"/>
      <c r="G65" s="463"/>
      <c r="H65" s="11"/>
      <c r="I65" s="13"/>
    </row>
    <row r="66" spans="1:9" ht="33.75" customHeight="1">
      <c r="A66" s="482" t="s">
        <v>10</v>
      </c>
      <c r="B66" s="483" t="s">
        <v>246</v>
      </c>
      <c r="C66" s="457" t="s">
        <v>218</v>
      </c>
      <c r="D66" s="458"/>
      <c r="E66" s="484">
        <v>264.60000000000002</v>
      </c>
      <c r="F66" s="485"/>
      <c r="G66" s="461">
        <f>ROUND(E66*(1-E67),2)</f>
        <v>211.68</v>
      </c>
      <c r="H66" s="11"/>
      <c r="I66" s="10"/>
    </row>
    <row r="67" spans="1:9" ht="54" customHeight="1">
      <c r="A67" s="482"/>
      <c r="B67" s="483"/>
      <c r="C67" s="486" t="s">
        <v>219</v>
      </c>
      <c r="D67" s="486"/>
      <c r="E67" s="487">
        <v>0.2</v>
      </c>
      <c r="F67" s="487"/>
      <c r="G67" s="463"/>
      <c r="H67" s="11"/>
      <c r="I67" s="10"/>
    </row>
    <row r="68" spans="1:9">
      <c r="A68" s="37" t="s">
        <v>12</v>
      </c>
      <c r="B68" s="478" t="s">
        <v>84</v>
      </c>
      <c r="C68" s="478"/>
      <c r="D68" s="478"/>
      <c r="E68" s="478"/>
      <c r="F68" s="478"/>
      <c r="G68" s="38">
        <v>0</v>
      </c>
      <c r="H68" s="11"/>
      <c r="I68" s="10"/>
    </row>
    <row r="69" spans="1:9">
      <c r="A69" s="479" t="s">
        <v>85</v>
      </c>
      <c r="B69" s="480"/>
      <c r="C69" s="480"/>
      <c r="D69" s="480"/>
      <c r="E69" s="480"/>
      <c r="F69" s="481"/>
      <c r="G69" s="39">
        <f>SUM(G62:G68)</f>
        <v>314.2</v>
      </c>
      <c r="H69" s="15"/>
      <c r="I69" s="14"/>
    </row>
    <row r="70" spans="1:9">
      <c r="A70" s="108" t="s">
        <v>70</v>
      </c>
      <c r="B70" s="427" t="s">
        <v>52</v>
      </c>
      <c r="C70" s="427"/>
      <c r="D70" s="427"/>
      <c r="E70" s="427"/>
      <c r="F70" s="427"/>
      <c r="G70" s="427"/>
      <c r="H70" s="173"/>
      <c r="I70" s="14"/>
    </row>
    <row r="71" spans="1:9">
      <c r="A71" s="174"/>
      <c r="B71" s="175"/>
      <c r="C71" s="175"/>
      <c r="D71" s="175"/>
      <c r="E71" s="175"/>
      <c r="F71" s="175"/>
      <c r="G71" s="175"/>
      <c r="H71" s="173"/>
      <c r="I71" s="14"/>
    </row>
    <row r="72" spans="1:9">
      <c r="A72" s="492" t="s">
        <v>86</v>
      </c>
      <c r="B72" s="493"/>
      <c r="C72" s="493"/>
      <c r="D72" s="493"/>
      <c r="E72" s="493"/>
      <c r="F72" s="493"/>
      <c r="G72" s="494"/>
      <c r="H72" s="9"/>
      <c r="I72" s="14"/>
    </row>
    <row r="73" spans="1:9">
      <c r="A73" s="44" t="s">
        <v>87</v>
      </c>
      <c r="B73" s="495" t="s">
        <v>169</v>
      </c>
      <c r="C73" s="496"/>
      <c r="D73" s="496"/>
      <c r="E73" s="496"/>
      <c r="F73" s="497"/>
      <c r="G73" s="45" t="s">
        <v>18</v>
      </c>
      <c r="H73" s="11"/>
      <c r="I73" s="10"/>
    </row>
    <row r="74" spans="1:9">
      <c r="A74" s="146" t="s">
        <v>32</v>
      </c>
      <c r="B74" s="498" t="s">
        <v>247</v>
      </c>
      <c r="C74" s="499"/>
      <c r="D74" s="499"/>
      <c r="E74" s="499"/>
      <c r="F74" s="500"/>
      <c r="G74" s="83">
        <f>G43</f>
        <v>190.67000000000002</v>
      </c>
      <c r="H74" s="11"/>
      <c r="I74" s="10"/>
    </row>
    <row r="75" spans="1:9" ht="29.25" customHeight="1">
      <c r="A75" s="146" t="s">
        <v>33</v>
      </c>
      <c r="B75" s="498" t="s">
        <v>88</v>
      </c>
      <c r="C75" s="499"/>
      <c r="D75" s="499"/>
      <c r="E75" s="499"/>
      <c r="F75" s="500"/>
      <c r="G75" s="83">
        <f>G56</f>
        <v>701.65</v>
      </c>
      <c r="H75" s="11"/>
      <c r="I75" s="10"/>
    </row>
    <row r="76" spans="1:9">
      <c r="A76" s="37" t="s">
        <v>39</v>
      </c>
      <c r="B76" s="478" t="s">
        <v>89</v>
      </c>
      <c r="C76" s="478"/>
      <c r="D76" s="478"/>
      <c r="E76" s="478"/>
      <c r="F76" s="478"/>
      <c r="G76" s="66">
        <f>G69</f>
        <v>314.2</v>
      </c>
      <c r="H76" s="15"/>
      <c r="I76" s="14"/>
    </row>
    <row r="77" spans="1:9">
      <c r="A77" s="531" t="s">
        <v>92</v>
      </c>
      <c r="B77" s="531"/>
      <c r="C77" s="531"/>
      <c r="D77" s="531"/>
      <c r="E77" s="531"/>
      <c r="F77" s="531"/>
      <c r="G77" s="176">
        <f>SUM(G74:G76)</f>
        <v>1206.52</v>
      </c>
      <c r="H77" s="9"/>
      <c r="I77" s="8"/>
    </row>
    <row r="78" spans="1:9">
      <c r="A78" s="67"/>
      <c r="B78" s="67"/>
      <c r="C78" s="67"/>
      <c r="D78" s="67"/>
      <c r="E78" s="67"/>
      <c r="F78" s="67"/>
      <c r="G78" s="177"/>
      <c r="H78" s="9"/>
      <c r="I78" s="8"/>
    </row>
    <row r="79" spans="1:9" ht="15.75">
      <c r="A79" s="400" t="s">
        <v>93</v>
      </c>
      <c r="B79" s="400"/>
      <c r="C79" s="400"/>
      <c r="D79" s="400"/>
      <c r="E79" s="400"/>
      <c r="F79" s="400"/>
      <c r="G79" s="400"/>
      <c r="H79" s="9"/>
      <c r="I79" s="14"/>
    </row>
    <row r="80" spans="1:9">
      <c r="A80" s="178"/>
      <c r="B80" s="495" t="s">
        <v>94</v>
      </c>
      <c r="C80" s="496"/>
      <c r="D80" s="496"/>
      <c r="E80" s="496"/>
      <c r="F80" s="497"/>
      <c r="G80" s="118" t="s">
        <v>18</v>
      </c>
      <c r="H80" s="9"/>
      <c r="I80" s="14"/>
    </row>
    <row r="81" spans="1:9" ht="30.75" customHeight="1">
      <c r="A81" s="2" t="s">
        <v>8</v>
      </c>
      <c r="B81" s="498" t="s">
        <v>137</v>
      </c>
      <c r="C81" s="511"/>
      <c r="D81" s="511"/>
      <c r="E81" s="511"/>
      <c r="F81" s="512"/>
      <c r="G81" s="89">
        <f>ROUND(((G36/12)+($G$41/12)+($G$42/12))*(30/30)*0.05,2)</f>
        <v>7.94</v>
      </c>
      <c r="H81" s="9"/>
      <c r="I81" s="14"/>
    </row>
    <row r="82" spans="1:9">
      <c r="A82" s="2" t="s">
        <v>10</v>
      </c>
      <c r="B82" s="388" t="s">
        <v>28</v>
      </c>
      <c r="C82" s="389"/>
      <c r="D82" s="389"/>
      <c r="E82" s="389"/>
      <c r="F82" s="390"/>
      <c r="G82" s="89">
        <f>ROUND($E$55*G81,2)</f>
        <v>0.64</v>
      </c>
      <c r="H82" s="9"/>
      <c r="I82" s="14"/>
    </row>
    <row r="83" spans="1:9" ht="28.5" customHeight="1">
      <c r="A83" s="2" t="s">
        <v>12</v>
      </c>
      <c r="B83" s="498" t="s">
        <v>138</v>
      </c>
      <c r="C83" s="511"/>
      <c r="D83" s="511"/>
      <c r="E83" s="511"/>
      <c r="F83" s="512"/>
      <c r="G83" s="89">
        <f>ROUND((0.08*0.4*SUM(G36+$G$41+$G$42)*0.05),2)</f>
        <v>3.05</v>
      </c>
      <c r="H83" s="179"/>
      <c r="I83" s="14"/>
    </row>
    <row r="84" spans="1:9">
      <c r="A84" s="2" t="s">
        <v>13</v>
      </c>
      <c r="B84" s="488" t="s">
        <v>139</v>
      </c>
      <c r="C84" s="389"/>
      <c r="D84" s="389"/>
      <c r="E84" s="389"/>
      <c r="F84" s="390"/>
      <c r="G84" s="100">
        <f>ROUND(((7/30)/$G$13)*G36*1,2)</f>
        <v>33.369999999999997</v>
      </c>
      <c r="H84" s="9"/>
      <c r="I84" s="14"/>
    </row>
    <row r="85" spans="1:9">
      <c r="A85" s="2" t="s">
        <v>20</v>
      </c>
      <c r="B85" s="388" t="s">
        <v>95</v>
      </c>
      <c r="C85" s="389"/>
      <c r="D85" s="389"/>
      <c r="E85" s="389"/>
      <c r="F85" s="390"/>
      <c r="G85" s="89">
        <f>ROUND($E$56*G84,2)</f>
        <v>12.28</v>
      </c>
      <c r="H85" s="9"/>
      <c r="I85" s="14"/>
    </row>
    <row r="86" spans="1:9" ht="30" customHeight="1">
      <c r="A86" s="46" t="s">
        <v>21</v>
      </c>
      <c r="B86" s="489" t="s">
        <v>140</v>
      </c>
      <c r="C86" s="490"/>
      <c r="D86" s="490"/>
      <c r="E86" s="490"/>
      <c r="F86" s="490"/>
      <c r="G86" s="90">
        <f>ROUND((0.08*0.4*SUM(G36+$G$41+$G$42)*1),2)</f>
        <v>61.01</v>
      </c>
      <c r="H86" s="9"/>
      <c r="I86" s="8"/>
    </row>
    <row r="87" spans="1:9">
      <c r="A87" s="491" t="s">
        <v>172</v>
      </c>
      <c r="B87" s="491"/>
      <c r="C87" s="491"/>
      <c r="D87" s="491"/>
      <c r="E87" s="491"/>
      <c r="F87" s="491"/>
      <c r="G87" s="180">
        <f>SUM(G81:G86)</f>
        <v>118.28999999999999</v>
      </c>
      <c r="H87" s="9"/>
      <c r="I87" s="8"/>
    </row>
    <row r="88" spans="1:9">
      <c r="A88" s="67"/>
      <c r="B88" s="67"/>
      <c r="C88" s="67"/>
      <c r="D88" s="67"/>
      <c r="E88" s="67"/>
      <c r="F88" s="67"/>
      <c r="G88" s="177"/>
      <c r="H88" s="9"/>
      <c r="I88" s="8"/>
    </row>
    <row r="89" spans="1:9" ht="15.75">
      <c r="A89" s="400" t="s">
        <v>170</v>
      </c>
      <c r="B89" s="400"/>
      <c r="C89" s="400"/>
      <c r="D89" s="400"/>
      <c r="E89" s="400"/>
      <c r="F89" s="400"/>
      <c r="G89" s="400"/>
      <c r="H89" s="16"/>
      <c r="I89" s="166"/>
    </row>
    <row r="90" spans="1:9" ht="33.75" customHeight="1">
      <c r="A90" s="477" t="s">
        <v>191</v>
      </c>
      <c r="B90" s="477"/>
      <c r="C90" s="477"/>
      <c r="D90" s="477"/>
      <c r="E90" s="477"/>
      <c r="F90" s="477"/>
      <c r="G90" s="477"/>
      <c r="H90" s="16"/>
      <c r="I90" s="166"/>
    </row>
    <row r="91" spans="1:9" ht="31.5">
      <c r="A91" s="136" t="s">
        <v>192</v>
      </c>
      <c r="B91" s="50">
        <f>G36</f>
        <v>1716</v>
      </c>
      <c r="C91" s="136" t="s">
        <v>173</v>
      </c>
      <c r="D91" s="50">
        <f>G77-G62-G66</f>
        <v>892.31999999999994</v>
      </c>
      <c r="E91" s="137" t="s">
        <v>96</v>
      </c>
      <c r="F91" s="50">
        <f>G87</f>
        <v>118.28999999999999</v>
      </c>
      <c r="G91" s="51">
        <f>B91+D91+F91</f>
        <v>2726.6099999999997</v>
      </c>
      <c r="H91" s="16"/>
      <c r="I91" s="166"/>
    </row>
    <row r="92" spans="1:9" ht="15.75">
      <c r="A92" s="513" t="s">
        <v>97</v>
      </c>
      <c r="B92" s="513"/>
      <c r="C92" s="513"/>
      <c r="D92" s="513"/>
      <c r="E92" s="513" t="s">
        <v>98</v>
      </c>
      <c r="F92" s="513"/>
      <c r="G92" s="141">
        <f>ROUND(G91/30,2)</f>
        <v>90.89</v>
      </c>
      <c r="H92" s="16"/>
      <c r="I92" s="166"/>
    </row>
    <row r="93" spans="1:9" ht="15.75">
      <c r="A93" s="47"/>
      <c r="B93" s="47"/>
      <c r="C93" s="47"/>
      <c r="D93" s="47"/>
      <c r="E93" s="47"/>
      <c r="F93" s="48"/>
      <c r="G93" s="49"/>
      <c r="H93" s="16"/>
      <c r="I93" s="166"/>
    </row>
    <row r="94" spans="1:9">
      <c r="A94" s="52" t="s">
        <v>24</v>
      </c>
      <c r="B94" s="507" t="s">
        <v>107</v>
      </c>
      <c r="C94" s="508"/>
      <c r="D94" s="508"/>
      <c r="E94" s="508"/>
      <c r="F94" s="509"/>
      <c r="G94" s="181" t="s">
        <v>18</v>
      </c>
      <c r="H94" s="18"/>
      <c r="I94" s="166"/>
    </row>
    <row r="95" spans="1:9">
      <c r="A95" s="2" t="s">
        <v>8</v>
      </c>
      <c r="B95" s="488" t="s">
        <v>99</v>
      </c>
      <c r="C95" s="389"/>
      <c r="D95" s="389"/>
      <c r="E95" s="389"/>
      <c r="F95" s="390"/>
      <c r="G95" s="91">
        <f>ROUND($G$91/12,2)</f>
        <v>227.22</v>
      </c>
      <c r="H95" s="18"/>
      <c r="I95" s="166"/>
    </row>
    <row r="96" spans="1:9">
      <c r="A96" s="2" t="s">
        <v>10</v>
      </c>
      <c r="B96" s="515" t="s">
        <v>177</v>
      </c>
      <c r="C96" s="398"/>
      <c r="D96" s="398"/>
      <c r="E96" s="398"/>
      <c r="F96" s="516"/>
      <c r="G96" s="91">
        <f>ROUND((1/30)/12*($G$91),2)</f>
        <v>7.57</v>
      </c>
      <c r="H96" s="57"/>
      <c r="I96" s="166"/>
    </row>
    <row r="97" spans="1:9">
      <c r="A97" s="2" t="s">
        <v>12</v>
      </c>
      <c r="B97" s="488" t="s">
        <v>101</v>
      </c>
      <c r="C97" s="389"/>
      <c r="D97" s="389"/>
      <c r="E97" s="389"/>
      <c r="F97" s="390"/>
      <c r="G97" s="91">
        <f>ROUND((5/30)/12*0.015*($G$91),2)</f>
        <v>0.56999999999999995</v>
      </c>
      <c r="H97" s="18"/>
      <c r="I97" s="166"/>
    </row>
    <row r="98" spans="1:9">
      <c r="A98" s="2" t="s">
        <v>13</v>
      </c>
      <c r="B98" s="488" t="s">
        <v>100</v>
      </c>
      <c r="C98" s="389"/>
      <c r="D98" s="389"/>
      <c r="E98" s="389"/>
      <c r="F98" s="390"/>
      <c r="G98" s="91">
        <f>ROUND(((15/30)/12)*0.0078*($G$91),2)</f>
        <v>0.89</v>
      </c>
      <c r="H98" s="57"/>
      <c r="I98" s="166"/>
    </row>
    <row r="99" spans="1:9" ht="32.25" customHeight="1">
      <c r="A99" s="2" t="s">
        <v>20</v>
      </c>
      <c r="B99" s="457" t="s">
        <v>193</v>
      </c>
      <c r="C99" s="501"/>
      <c r="D99" s="501"/>
      <c r="E99" s="501"/>
      <c r="F99" s="502"/>
      <c r="G99" s="92">
        <f>ROUND((((G36+G36/3)/12+(G56+G69-G66-G62+G87))*4/12)*0.02,2)</f>
        <v>6.74</v>
      </c>
      <c r="H99" s="182"/>
      <c r="I99" s="183"/>
    </row>
    <row r="100" spans="1:9">
      <c r="A100" s="107" t="s">
        <v>21</v>
      </c>
      <c r="B100" s="503" t="s">
        <v>178</v>
      </c>
      <c r="C100" s="504"/>
      <c r="D100" s="504"/>
      <c r="E100" s="504"/>
      <c r="F100" s="505"/>
      <c r="G100" s="92">
        <f>ROUND(((5/30)/12)*($G$91),2)</f>
        <v>37.869999999999997</v>
      </c>
      <c r="H100" s="182"/>
      <c r="I100" s="183"/>
    </row>
    <row r="101" spans="1:9">
      <c r="A101" s="506" t="s">
        <v>102</v>
      </c>
      <c r="B101" s="506"/>
      <c r="C101" s="506"/>
      <c r="D101" s="506"/>
      <c r="E101" s="506"/>
      <c r="F101" s="506"/>
      <c r="G101" s="53">
        <f>SUM(G95:G100)</f>
        <v>280.85999999999996</v>
      </c>
      <c r="H101" s="9"/>
      <c r="I101" s="8"/>
    </row>
    <row r="102" spans="1:9">
      <c r="A102" s="168"/>
      <c r="B102" s="61"/>
      <c r="C102" s="61"/>
      <c r="D102" s="54"/>
      <c r="E102" s="55"/>
      <c r="F102" s="55"/>
      <c r="G102" s="56"/>
      <c r="H102" s="16"/>
      <c r="I102" s="8"/>
    </row>
    <row r="103" spans="1:9">
      <c r="A103" s="52" t="s">
        <v>27</v>
      </c>
      <c r="B103" s="507" t="s">
        <v>103</v>
      </c>
      <c r="C103" s="508"/>
      <c r="D103" s="508"/>
      <c r="E103" s="508"/>
      <c r="F103" s="509"/>
      <c r="G103" s="184" t="s">
        <v>18</v>
      </c>
      <c r="H103" s="15"/>
      <c r="I103" s="14"/>
    </row>
    <row r="104" spans="1:9">
      <c r="A104" s="2" t="s">
        <v>8</v>
      </c>
      <c r="B104" s="510" t="s">
        <v>142</v>
      </c>
      <c r="C104" s="511"/>
      <c r="D104" s="511"/>
      <c r="E104" s="511"/>
      <c r="F104" s="512"/>
      <c r="G104" s="93">
        <v>0</v>
      </c>
      <c r="H104" s="15"/>
      <c r="I104" s="14"/>
    </row>
    <row r="105" spans="1:9">
      <c r="A105" s="426" t="s">
        <v>104</v>
      </c>
      <c r="B105" s="426"/>
      <c r="C105" s="426"/>
      <c r="D105" s="426"/>
      <c r="E105" s="426"/>
      <c r="F105" s="426"/>
      <c r="G105" s="69">
        <f>SUM(G104:G104)</f>
        <v>0</v>
      </c>
      <c r="H105" s="15"/>
      <c r="I105" s="14"/>
    </row>
    <row r="106" spans="1:9">
      <c r="A106" s="185"/>
      <c r="B106" s="186"/>
      <c r="C106" s="62"/>
      <c r="D106" s="58"/>
      <c r="E106" s="58"/>
      <c r="F106" s="58"/>
      <c r="G106" s="59"/>
      <c r="H106" s="15"/>
      <c r="I106" s="14"/>
    </row>
    <row r="107" spans="1:9">
      <c r="A107" s="532" t="s">
        <v>105</v>
      </c>
      <c r="B107" s="533"/>
      <c r="C107" s="533"/>
      <c r="D107" s="533"/>
      <c r="E107" s="533"/>
      <c r="F107" s="533"/>
      <c r="G107" s="534"/>
      <c r="H107" s="15"/>
      <c r="I107" s="14"/>
    </row>
    <row r="108" spans="1:9">
      <c r="A108" s="25" t="s">
        <v>106</v>
      </c>
      <c r="B108" s="492" t="s">
        <v>94</v>
      </c>
      <c r="C108" s="493"/>
      <c r="D108" s="493"/>
      <c r="E108" s="493"/>
      <c r="F108" s="494"/>
      <c r="G108" s="60" t="s">
        <v>18</v>
      </c>
      <c r="H108" s="15"/>
      <c r="I108" s="14"/>
    </row>
    <row r="109" spans="1:9">
      <c r="A109" s="187" t="s">
        <v>24</v>
      </c>
      <c r="B109" s="553" t="s">
        <v>107</v>
      </c>
      <c r="C109" s="554"/>
      <c r="D109" s="554"/>
      <c r="E109" s="554"/>
      <c r="F109" s="555"/>
      <c r="G109" s="188">
        <f>G101</f>
        <v>280.85999999999996</v>
      </c>
      <c r="H109" s="15"/>
      <c r="I109" s="14"/>
    </row>
    <row r="110" spans="1:9">
      <c r="A110" s="189" t="s">
        <v>27</v>
      </c>
      <c r="B110" s="556" t="s">
        <v>103</v>
      </c>
      <c r="C110" s="557"/>
      <c r="D110" s="557"/>
      <c r="E110" s="557"/>
      <c r="F110" s="558"/>
      <c r="G110" s="94">
        <f>G105</f>
        <v>0</v>
      </c>
      <c r="H110" s="9"/>
      <c r="I110" s="8"/>
    </row>
    <row r="111" spans="1:9">
      <c r="A111" s="491" t="s">
        <v>108</v>
      </c>
      <c r="B111" s="491"/>
      <c r="C111" s="491"/>
      <c r="D111" s="491"/>
      <c r="E111" s="491"/>
      <c r="F111" s="491"/>
      <c r="G111" s="190">
        <f>SUM(G109:G110)</f>
        <v>280.85999999999996</v>
      </c>
      <c r="H111" s="15"/>
      <c r="I111" s="14"/>
    </row>
    <row r="112" spans="1:9" ht="30" customHeight="1">
      <c r="A112" s="108" t="s">
        <v>75</v>
      </c>
      <c r="B112" s="560" t="s">
        <v>141</v>
      </c>
      <c r="C112" s="560"/>
      <c r="D112" s="560"/>
      <c r="E112" s="560"/>
      <c r="F112" s="560"/>
      <c r="G112" s="560"/>
      <c r="H112" s="15"/>
      <c r="I112" s="14"/>
    </row>
    <row r="113" spans="1:9">
      <c r="A113" s="191"/>
      <c r="B113" s="191"/>
      <c r="C113" s="191"/>
      <c r="D113" s="24"/>
      <c r="E113" s="62"/>
      <c r="F113" s="62"/>
      <c r="G113" s="62"/>
      <c r="H113" s="16"/>
      <c r="I113" s="8"/>
    </row>
    <row r="114" spans="1:9" ht="15.75">
      <c r="A114" s="400" t="s">
        <v>115</v>
      </c>
      <c r="B114" s="400"/>
      <c r="C114" s="400"/>
      <c r="D114" s="400"/>
      <c r="E114" s="400"/>
      <c r="F114" s="400"/>
      <c r="G114" s="400"/>
      <c r="H114" s="15"/>
      <c r="I114" s="14"/>
    </row>
    <row r="115" spans="1:9">
      <c r="A115" s="68"/>
      <c r="B115" s="559" t="s">
        <v>94</v>
      </c>
      <c r="C115" s="559"/>
      <c r="D115" s="559"/>
      <c r="E115" s="559"/>
      <c r="F115" s="559"/>
      <c r="G115" s="69" t="s">
        <v>18</v>
      </c>
      <c r="H115" s="15"/>
      <c r="I115" s="14"/>
    </row>
    <row r="116" spans="1:9">
      <c r="A116" s="65" t="s">
        <v>8</v>
      </c>
      <c r="B116" s="527" t="s">
        <v>116</v>
      </c>
      <c r="C116" s="527"/>
      <c r="D116" s="527"/>
      <c r="E116" s="527"/>
      <c r="F116" s="527"/>
      <c r="G116" s="192">
        <f>'UNIFORMES-EQUIP. SEGURANÇA  '!G12</f>
        <v>96.495833333333323</v>
      </c>
      <c r="H116" s="15"/>
      <c r="I116" s="14"/>
    </row>
    <row r="117" spans="1:9">
      <c r="A117" s="65" t="s">
        <v>10</v>
      </c>
      <c r="B117" s="552" t="s">
        <v>214</v>
      </c>
      <c r="C117" s="552"/>
      <c r="D117" s="552"/>
      <c r="E117" s="552"/>
      <c r="F117" s="552"/>
      <c r="G117" s="66">
        <f>'UNIFORMES-EQUIP. SEGURANÇA  '!G29</f>
        <v>172.21333333333334</v>
      </c>
      <c r="H117" s="15"/>
      <c r="I117" s="14"/>
    </row>
    <row r="118" spans="1:9">
      <c r="A118" s="65" t="s">
        <v>12</v>
      </c>
      <c r="B118" s="515" t="s">
        <v>220</v>
      </c>
      <c r="C118" s="566"/>
      <c r="D118" s="566"/>
      <c r="E118" s="566"/>
      <c r="F118" s="567"/>
      <c r="G118" s="193">
        <v>0</v>
      </c>
      <c r="H118" s="15"/>
      <c r="I118" s="14"/>
    </row>
    <row r="119" spans="1:9">
      <c r="A119" s="535" t="s">
        <v>117</v>
      </c>
      <c r="B119" s="535"/>
      <c r="C119" s="535"/>
      <c r="D119" s="535"/>
      <c r="E119" s="535"/>
      <c r="F119" s="535"/>
      <c r="G119" s="180">
        <f>SUM(G116:G118)</f>
        <v>268.70916666666665</v>
      </c>
      <c r="H119" s="173"/>
      <c r="I119" s="14"/>
    </row>
    <row r="120" spans="1:9">
      <c r="A120" s="61"/>
      <c r="B120" s="20"/>
      <c r="C120" s="20"/>
      <c r="D120" s="24"/>
      <c r="E120" s="62"/>
      <c r="F120" s="62"/>
      <c r="G120" s="70"/>
      <c r="H120" s="16"/>
      <c r="I120" s="8"/>
    </row>
    <row r="121" spans="1:9" ht="15.75">
      <c r="A121" s="400" t="s">
        <v>118</v>
      </c>
      <c r="B121" s="400"/>
      <c r="C121" s="400"/>
      <c r="D121" s="400"/>
      <c r="E121" s="400"/>
      <c r="F121" s="400"/>
      <c r="G121" s="400"/>
      <c r="H121" s="16"/>
      <c r="I121" s="8"/>
    </row>
    <row r="122" spans="1:9">
      <c r="A122" s="68"/>
      <c r="B122" s="559" t="s">
        <v>40</v>
      </c>
      <c r="C122" s="559"/>
      <c r="D122" s="559"/>
      <c r="E122" s="559"/>
      <c r="F122" s="69" t="s">
        <v>19</v>
      </c>
      <c r="G122" s="69" t="s">
        <v>18</v>
      </c>
      <c r="H122" s="16"/>
      <c r="I122" s="14"/>
    </row>
    <row r="123" spans="1:9" ht="47.25" customHeight="1">
      <c r="A123" s="457" t="s">
        <v>119</v>
      </c>
      <c r="B123" s="514"/>
      <c r="C123" s="514"/>
      <c r="D123" s="514"/>
      <c r="E123" s="514"/>
      <c r="F123" s="458"/>
      <c r="G123" s="74">
        <f>SUM(G36+G77+G87+G111+G119)</f>
        <v>3590.3791666666666</v>
      </c>
      <c r="H123" s="16"/>
      <c r="I123" s="14"/>
    </row>
    <row r="124" spans="1:9">
      <c r="A124" s="71" t="s">
        <v>8</v>
      </c>
      <c r="B124" s="565" t="s">
        <v>41</v>
      </c>
      <c r="C124" s="565"/>
      <c r="D124" s="565"/>
      <c r="E124" s="565"/>
      <c r="F124" s="133">
        <v>7.2900000000000006E-2</v>
      </c>
      <c r="G124" s="78">
        <f>ROUND(F124*G123,2)</f>
        <v>261.74</v>
      </c>
      <c r="H124" s="16"/>
      <c r="I124" s="14"/>
    </row>
    <row r="125" spans="1:9" ht="44.25" customHeight="1">
      <c r="A125" s="457" t="s">
        <v>120</v>
      </c>
      <c r="B125" s="514"/>
      <c r="C125" s="514"/>
      <c r="D125" s="514"/>
      <c r="E125" s="514"/>
      <c r="F125" s="458"/>
      <c r="G125" s="95">
        <f>SUM(G36+G77+G87+G111+G119+G124)</f>
        <v>3852.1191666666664</v>
      </c>
      <c r="H125" s="16"/>
      <c r="I125" s="8"/>
    </row>
    <row r="126" spans="1:9">
      <c r="A126" s="71" t="s">
        <v>10</v>
      </c>
      <c r="B126" s="565" t="s">
        <v>42</v>
      </c>
      <c r="C126" s="565"/>
      <c r="D126" s="565"/>
      <c r="E126" s="565"/>
      <c r="F126" s="133">
        <v>4.5400000000000003E-2</v>
      </c>
      <c r="G126" s="75">
        <f>ROUND(F126*G125,2)</f>
        <v>174.89</v>
      </c>
      <c r="H126" s="16"/>
      <c r="I126" s="8"/>
    </row>
    <row r="127" spans="1:9" ht="46.5" customHeight="1">
      <c r="A127" s="457" t="s">
        <v>121</v>
      </c>
      <c r="B127" s="514"/>
      <c r="C127" s="514"/>
      <c r="D127" s="514"/>
      <c r="E127" s="514"/>
      <c r="F127" s="458"/>
      <c r="G127" s="96">
        <f>SUM(G36+G77+G87+G111+G119+G124+G126)</f>
        <v>4027.0091666666663</v>
      </c>
      <c r="H127" s="16"/>
      <c r="I127" s="8"/>
    </row>
    <row r="128" spans="1:9">
      <c r="A128" s="73" t="s">
        <v>12</v>
      </c>
      <c r="B128" s="523" t="s">
        <v>43</v>
      </c>
      <c r="C128" s="524"/>
      <c r="D128" s="524"/>
      <c r="E128" s="524"/>
      <c r="F128" s="72">
        <f>SUM(F129:F132)</f>
        <v>0.1225</v>
      </c>
      <c r="G128" s="77">
        <f>SUM(G129:G132)</f>
        <v>562.18000000000006</v>
      </c>
      <c r="H128" s="361" t="s">
        <v>143</v>
      </c>
      <c r="I128" s="361"/>
    </row>
    <row r="129" spans="1:9">
      <c r="A129" s="525" t="s">
        <v>124</v>
      </c>
      <c r="B129" s="527" t="s">
        <v>127</v>
      </c>
      <c r="C129" s="527"/>
      <c r="D129" s="528" t="s">
        <v>29</v>
      </c>
      <c r="E129" s="528"/>
      <c r="F129" s="76">
        <f>IF(E8=1,0.0165,IF(E8=2,0.0065,IF(E8=3,I131,IF(E8=4,I131,¨RT Indefinido¨))))</f>
        <v>1.6500000000000001E-2</v>
      </c>
      <c r="G129" s="74">
        <f>ROUND(($G$127/(1-$F$128))*F129,2)</f>
        <v>75.72</v>
      </c>
      <c r="H129" s="101" t="s">
        <v>144</v>
      </c>
      <c r="I129" s="101" t="s">
        <v>145</v>
      </c>
    </row>
    <row r="130" spans="1:9">
      <c r="A130" s="526"/>
      <c r="B130" s="527"/>
      <c r="C130" s="527"/>
      <c r="D130" s="409" t="s">
        <v>122</v>
      </c>
      <c r="E130" s="409"/>
      <c r="F130" s="76">
        <f>IF(E8=1,0.076,IF(E8=2,0.03,IF(E8=3,I130,IF(E8=4,I130,¨RT Indefinido¨))))</f>
        <v>7.5999999999999998E-2</v>
      </c>
      <c r="G130" s="74">
        <f>ROUND(($G$127/(1-$F$128))*F130,2)</f>
        <v>348.78</v>
      </c>
      <c r="H130" s="102" t="s">
        <v>122</v>
      </c>
      <c r="I130" s="103">
        <v>0</v>
      </c>
    </row>
    <row r="131" spans="1:9">
      <c r="A131" s="17" t="s">
        <v>125</v>
      </c>
      <c r="B131" s="527" t="s">
        <v>128</v>
      </c>
      <c r="C131" s="527"/>
      <c r="D131" s="564" t="s">
        <v>130</v>
      </c>
      <c r="E131" s="528"/>
      <c r="F131" s="76">
        <v>0</v>
      </c>
      <c r="G131" s="74">
        <v>0</v>
      </c>
      <c r="H131" s="102" t="s">
        <v>29</v>
      </c>
      <c r="I131" s="103">
        <v>0</v>
      </c>
    </row>
    <row r="132" spans="1:9">
      <c r="A132" s="17" t="s">
        <v>126</v>
      </c>
      <c r="B132" s="527" t="s">
        <v>129</v>
      </c>
      <c r="C132" s="527"/>
      <c r="D132" s="528" t="s">
        <v>123</v>
      </c>
      <c r="E132" s="528"/>
      <c r="F132" s="140">
        <v>0.03</v>
      </c>
      <c r="G132" s="66">
        <f>ROUND(($G$127/(1-$F$128))*F132,2)</f>
        <v>137.68</v>
      </c>
      <c r="H132" s="102" t="s">
        <v>146</v>
      </c>
      <c r="I132" s="103">
        <v>0</v>
      </c>
    </row>
    <row r="133" spans="1:9">
      <c r="A133" s="535" t="s">
        <v>131</v>
      </c>
      <c r="B133" s="535"/>
      <c r="C133" s="535"/>
      <c r="D133" s="535"/>
      <c r="E133" s="535"/>
      <c r="F133" s="535"/>
      <c r="G133" s="79">
        <f>SUM(G124+G126+G128)</f>
        <v>998.81000000000006</v>
      </c>
      <c r="H133" s="9"/>
      <c r="I133" s="8"/>
    </row>
    <row r="134" spans="1:9">
      <c r="A134" s="110" t="s">
        <v>77</v>
      </c>
      <c r="B134" s="536" t="s">
        <v>132</v>
      </c>
      <c r="C134" s="536"/>
      <c r="D134" s="536"/>
      <c r="E134" s="536"/>
      <c r="F134" s="536"/>
      <c r="G134" s="536"/>
      <c r="H134" s="9"/>
      <c r="I134" s="8"/>
    </row>
    <row r="135" spans="1:9">
      <c r="A135" s="537" t="s">
        <v>248</v>
      </c>
      <c r="B135" s="538" t="s">
        <v>133</v>
      </c>
      <c r="C135" s="539" t="s">
        <v>227</v>
      </c>
      <c r="D135" s="540"/>
      <c r="E135" s="545" t="s">
        <v>134</v>
      </c>
      <c r="F135" s="111"/>
      <c r="G135" s="112"/>
      <c r="H135" s="9"/>
      <c r="I135" s="8"/>
    </row>
    <row r="136" spans="1:9">
      <c r="A136" s="537"/>
      <c r="B136" s="538"/>
      <c r="C136" s="541"/>
      <c r="D136" s="542"/>
      <c r="E136" s="546"/>
      <c r="F136" s="113"/>
      <c r="G136" s="114"/>
      <c r="H136" s="9"/>
      <c r="I136" s="8"/>
    </row>
    <row r="137" spans="1:9">
      <c r="A137" s="537"/>
      <c r="B137" s="538"/>
      <c r="C137" s="543"/>
      <c r="D137" s="544"/>
      <c r="E137" s="547"/>
      <c r="F137" s="115"/>
      <c r="G137" s="116"/>
      <c r="H137" s="9"/>
      <c r="I137" s="8"/>
    </row>
    <row r="138" spans="1:9">
      <c r="A138" s="86"/>
      <c r="B138" s="87"/>
      <c r="C138" s="88"/>
      <c r="D138" s="88"/>
      <c r="E138" s="194"/>
      <c r="F138" s="80"/>
      <c r="G138" s="81"/>
      <c r="H138" s="9"/>
      <c r="I138" s="8"/>
    </row>
    <row r="139" spans="1:9">
      <c r="A139" s="519" t="s">
        <v>180</v>
      </c>
      <c r="B139" s="519"/>
      <c r="C139" s="519"/>
      <c r="D139" s="519"/>
      <c r="E139" s="519"/>
      <c r="F139" s="519"/>
      <c r="G139" s="519"/>
      <c r="H139" s="15"/>
      <c r="I139" s="14"/>
    </row>
    <row r="140" spans="1:9">
      <c r="A140" s="429" t="s">
        <v>181</v>
      </c>
      <c r="B140" s="429"/>
      <c r="C140" s="429"/>
      <c r="D140" s="429"/>
      <c r="E140" s="429"/>
      <c r="F140" s="429"/>
      <c r="G140" s="82" t="s">
        <v>90</v>
      </c>
      <c r="H140" s="15"/>
      <c r="I140" s="14"/>
    </row>
    <row r="141" spans="1:9">
      <c r="A141" s="19" t="s">
        <v>8</v>
      </c>
      <c r="B141" s="520" t="s">
        <v>50</v>
      </c>
      <c r="C141" s="521"/>
      <c r="D141" s="521"/>
      <c r="E141" s="521"/>
      <c r="F141" s="522"/>
      <c r="G141" s="83">
        <f>G36</f>
        <v>1716</v>
      </c>
      <c r="H141" s="15"/>
      <c r="I141" s="14"/>
    </row>
    <row r="142" spans="1:9">
      <c r="A142" s="19" t="s">
        <v>10</v>
      </c>
      <c r="B142" s="520" t="s">
        <v>135</v>
      </c>
      <c r="C142" s="521"/>
      <c r="D142" s="521"/>
      <c r="E142" s="521"/>
      <c r="F142" s="522"/>
      <c r="G142" s="83">
        <f>G77</f>
        <v>1206.52</v>
      </c>
      <c r="H142" s="15"/>
      <c r="I142" s="14"/>
    </row>
    <row r="143" spans="1:9">
      <c r="A143" s="19" t="s">
        <v>12</v>
      </c>
      <c r="B143" s="520" t="s">
        <v>45</v>
      </c>
      <c r="C143" s="521"/>
      <c r="D143" s="521"/>
      <c r="E143" s="521"/>
      <c r="F143" s="522"/>
      <c r="G143" s="83">
        <f>G87</f>
        <v>118.28999999999999</v>
      </c>
      <c r="H143" s="15"/>
      <c r="I143" s="14"/>
    </row>
    <row r="144" spans="1:9">
      <c r="A144" s="19" t="s">
        <v>13</v>
      </c>
      <c r="B144" s="520" t="s">
        <v>46</v>
      </c>
      <c r="C144" s="521"/>
      <c r="D144" s="521"/>
      <c r="E144" s="521"/>
      <c r="F144" s="522"/>
      <c r="G144" s="83">
        <f>G111</f>
        <v>280.85999999999996</v>
      </c>
      <c r="H144" s="9"/>
      <c r="I144" s="8"/>
    </row>
    <row r="145" spans="1:9">
      <c r="A145" s="17" t="s">
        <v>20</v>
      </c>
      <c r="B145" s="520" t="s">
        <v>47</v>
      </c>
      <c r="C145" s="521"/>
      <c r="D145" s="521"/>
      <c r="E145" s="521"/>
      <c r="F145" s="522"/>
      <c r="G145" s="83">
        <f>G119</f>
        <v>268.70916666666665</v>
      </c>
      <c r="H145" s="9"/>
      <c r="I145" s="8"/>
    </row>
    <row r="146" spans="1:9">
      <c r="A146" s="561" t="s">
        <v>44</v>
      </c>
      <c r="B146" s="562"/>
      <c r="C146" s="562"/>
      <c r="D146" s="562"/>
      <c r="E146" s="562"/>
      <c r="F146" s="563"/>
      <c r="G146" s="84">
        <f>SUM(G141:G145)</f>
        <v>3590.3791666666666</v>
      </c>
      <c r="H146" s="9"/>
      <c r="I146" s="8"/>
    </row>
    <row r="147" spans="1:9">
      <c r="A147" s="63" t="s">
        <v>21</v>
      </c>
      <c r="B147" s="549" t="s">
        <v>49</v>
      </c>
      <c r="C147" s="550"/>
      <c r="D147" s="550"/>
      <c r="E147" s="550"/>
      <c r="F147" s="551"/>
      <c r="G147" s="85">
        <f>G133</f>
        <v>998.81000000000006</v>
      </c>
      <c r="H147" s="9"/>
      <c r="I147" s="8"/>
    </row>
    <row r="148" spans="1:9">
      <c r="A148" s="568" t="s">
        <v>217</v>
      </c>
      <c r="B148" s="568"/>
      <c r="C148" s="568"/>
      <c r="D148" s="568"/>
      <c r="E148" s="568"/>
      <c r="F148" s="568"/>
      <c r="G148" s="135">
        <f>TRUNC(ROUND(SUM(G146:G147),2),2)</f>
        <v>4589.1899999999996</v>
      </c>
      <c r="H148" s="173"/>
      <c r="I148" s="14"/>
    </row>
    <row r="149" spans="1:9" ht="15.75">
      <c r="A149" s="548" t="s">
        <v>223</v>
      </c>
      <c r="B149" s="548"/>
      <c r="C149" s="548"/>
      <c r="D149" s="548"/>
      <c r="E149" s="548"/>
      <c r="F149" s="548"/>
      <c r="G149" s="195">
        <f>G148*F16</f>
        <v>4589.1899999999996</v>
      </c>
    </row>
  </sheetData>
  <mergeCells count="178">
    <mergeCell ref="A149:F149"/>
    <mergeCell ref="B147:F147"/>
    <mergeCell ref="B117:F117"/>
    <mergeCell ref="A119:F119"/>
    <mergeCell ref="A121:G121"/>
    <mergeCell ref="B108:F108"/>
    <mergeCell ref="B109:F109"/>
    <mergeCell ref="B110:F110"/>
    <mergeCell ref="A111:F111"/>
    <mergeCell ref="B145:F145"/>
    <mergeCell ref="A114:G114"/>
    <mergeCell ref="B115:F115"/>
    <mergeCell ref="B112:G112"/>
    <mergeCell ref="B131:C131"/>
    <mergeCell ref="B116:F116"/>
    <mergeCell ref="A146:F146"/>
    <mergeCell ref="D131:E131"/>
    <mergeCell ref="B122:E122"/>
    <mergeCell ref="A123:F123"/>
    <mergeCell ref="B124:E124"/>
    <mergeCell ref="A125:F125"/>
    <mergeCell ref="B126:E126"/>
    <mergeCell ref="B118:F118"/>
    <mergeCell ref="A148:F148"/>
    <mergeCell ref="B143:F143"/>
    <mergeCell ref="B144:F144"/>
    <mergeCell ref="B132:C132"/>
    <mergeCell ref="D132:E132"/>
    <mergeCell ref="A133:F133"/>
    <mergeCell ref="B134:G134"/>
    <mergeCell ref="A135:A137"/>
    <mergeCell ref="B135:B137"/>
    <mergeCell ref="C135:D137"/>
    <mergeCell ref="E135:E137"/>
    <mergeCell ref="A127:F127"/>
    <mergeCell ref="B95:F95"/>
    <mergeCell ref="B96:F96"/>
    <mergeCell ref="B97:F97"/>
    <mergeCell ref="E8:F8"/>
    <mergeCell ref="A139:G139"/>
    <mergeCell ref="A140:F140"/>
    <mergeCell ref="B141:F141"/>
    <mergeCell ref="B142:F142"/>
    <mergeCell ref="B128:E128"/>
    <mergeCell ref="A129:A130"/>
    <mergeCell ref="B129:C130"/>
    <mergeCell ref="D129:E129"/>
    <mergeCell ref="B27:F27"/>
    <mergeCell ref="G33:G34"/>
    <mergeCell ref="D130:E130"/>
    <mergeCell ref="A105:F105"/>
    <mergeCell ref="A77:F77"/>
    <mergeCell ref="A79:G79"/>
    <mergeCell ref="B80:F80"/>
    <mergeCell ref="B81:F81"/>
    <mergeCell ref="B82:F82"/>
    <mergeCell ref="B83:F83"/>
    <mergeCell ref="A107:G107"/>
    <mergeCell ref="B98:F98"/>
    <mergeCell ref="B99:F99"/>
    <mergeCell ref="B100:F100"/>
    <mergeCell ref="A101:F101"/>
    <mergeCell ref="B103:F103"/>
    <mergeCell ref="B104:F104"/>
    <mergeCell ref="A92:D92"/>
    <mergeCell ref="E92:F92"/>
    <mergeCell ref="B94:F94"/>
    <mergeCell ref="A89:G89"/>
    <mergeCell ref="A90:G90"/>
    <mergeCell ref="B68:F68"/>
    <mergeCell ref="A69:F69"/>
    <mergeCell ref="B70:G70"/>
    <mergeCell ref="A66:A67"/>
    <mergeCell ref="B66:B67"/>
    <mergeCell ref="C66:D66"/>
    <mergeCell ref="E66:F66"/>
    <mergeCell ref="G66:G67"/>
    <mergeCell ref="C67:D67"/>
    <mergeCell ref="E67:F67"/>
    <mergeCell ref="B84:F84"/>
    <mergeCell ref="B85:F85"/>
    <mergeCell ref="B86:F86"/>
    <mergeCell ref="A87:F87"/>
    <mergeCell ref="A72:G72"/>
    <mergeCell ref="B73:F73"/>
    <mergeCell ref="B74:F74"/>
    <mergeCell ref="B75:F75"/>
    <mergeCell ref="B76:F76"/>
    <mergeCell ref="A62:A65"/>
    <mergeCell ref="B62:B65"/>
    <mergeCell ref="C62:D62"/>
    <mergeCell ref="E62:F62"/>
    <mergeCell ref="G62:G65"/>
    <mergeCell ref="B52:D52"/>
    <mergeCell ref="E52:F52"/>
    <mergeCell ref="E53:F53"/>
    <mergeCell ref="E54:F54"/>
    <mergeCell ref="E55:F55"/>
    <mergeCell ref="A56:D56"/>
    <mergeCell ref="E56:F56"/>
    <mergeCell ref="C63:D63"/>
    <mergeCell ref="E63:F63"/>
    <mergeCell ref="C64:D64"/>
    <mergeCell ref="E64:F64"/>
    <mergeCell ref="C65:D65"/>
    <mergeCell ref="E65:F65"/>
    <mergeCell ref="B57:G57"/>
    <mergeCell ref="B58:G58"/>
    <mergeCell ref="B60:G60"/>
    <mergeCell ref="B61:F61"/>
    <mergeCell ref="B49:D49"/>
    <mergeCell ref="E49:F49"/>
    <mergeCell ref="B50:D50"/>
    <mergeCell ref="E50:F50"/>
    <mergeCell ref="B51:D51"/>
    <mergeCell ref="E51:F51"/>
    <mergeCell ref="B46:G46"/>
    <mergeCell ref="B47:D47"/>
    <mergeCell ref="E47:F47"/>
    <mergeCell ref="B48:D48"/>
    <mergeCell ref="E48:F48"/>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3:D53"/>
    <mergeCell ref="B54:D54"/>
    <mergeCell ref="B55:D55"/>
    <mergeCell ref="H128:I128"/>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orientation="portrait" horizontalDpi="300" verticalDpi="300" r:id="rId1"/>
  <headerFooter>
    <oddHeader>&amp;L&amp;F</oddHeader>
    <oddFooter>&amp;L&amp;F&amp;C&amp;A&amp;R&amp;P de &amp;N</oddFooter>
  </headerFooter>
  <rowBreaks count="2" manualBreakCount="2">
    <brk id="71" max="8" man="1"/>
    <brk id="138"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49"/>
  <sheetViews>
    <sheetView topLeftCell="A55" zoomScaleNormal="100" workbookViewId="0">
      <selection activeCell="K80" sqref="K80"/>
    </sheetView>
  </sheetViews>
  <sheetFormatPr defaultRowHeight="15"/>
  <cols>
    <col min="1" max="1" width="17.42578125" style="197" customWidth="1"/>
    <col min="2" max="2" width="21.140625" style="197" customWidth="1"/>
    <col min="3" max="3" width="19.7109375" style="197" customWidth="1"/>
    <col min="4" max="4" width="18" style="197" customWidth="1"/>
    <col min="5" max="5" width="20" style="197" customWidth="1"/>
    <col min="6" max="6" width="13" style="197" customWidth="1"/>
    <col min="7" max="7" width="18.42578125" style="197" customWidth="1"/>
    <col min="8" max="8" width="13" style="197" customWidth="1"/>
    <col min="9" max="9" width="11.85546875" style="197" customWidth="1"/>
    <col min="10" max="16384" width="9.140625" style="197"/>
  </cols>
  <sheetData>
    <row r="1" spans="1:9">
      <c r="A1" s="690" t="s">
        <v>31</v>
      </c>
      <c r="B1" s="690"/>
      <c r="C1" s="690"/>
      <c r="D1" s="690"/>
      <c r="E1" s="690"/>
      <c r="F1" s="690"/>
      <c r="G1" s="690"/>
      <c r="H1" s="196"/>
      <c r="I1" s="196"/>
    </row>
    <row r="2" spans="1:9">
      <c r="A2" s="691" t="s">
        <v>0</v>
      </c>
      <c r="B2" s="691"/>
      <c r="C2" s="691"/>
      <c r="D2" s="691"/>
      <c r="E2" s="691"/>
      <c r="F2" s="691"/>
      <c r="G2" s="691"/>
      <c r="H2" s="196"/>
      <c r="I2" s="198"/>
    </row>
    <row r="3" spans="1:9">
      <c r="A3" s="199" t="s">
        <v>1</v>
      </c>
      <c r="B3" s="692" t="str">
        <f>'MANUTENÇÃO DE EDIFICAÇÕES - 44h'!B3:D3</f>
        <v>23243.000789/2021-84</v>
      </c>
      <c r="C3" s="692"/>
      <c r="D3" s="692"/>
      <c r="E3" s="200" t="s">
        <v>2</v>
      </c>
      <c r="F3" s="693" t="str">
        <f>'MANUTENÇÃO DE EDIFICAÇÕES - 44h'!F3:G3</f>
        <v>03.2021</v>
      </c>
      <c r="G3" s="694"/>
      <c r="H3" s="196"/>
      <c r="I3" s="196"/>
    </row>
    <row r="4" spans="1:9">
      <c r="A4" s="199" t="s">
        <v>3</v>
      </c>
      <c r="B4" s="695">
        <f ca="1">NOW()</f>
        <v>44467.682202199074</v>
      </c>
      <c r="C4" s="695"/>
      <c r="D4" s="695"/>
      <c r="E4" s="695"/>
      <c r="F4" s="695"/>
      <c r="G4" s="695"/>
      <c r="H4" s="196"/>
      <c r="I4" s="196"/>
    </row>
    <row r="5" spans="1:9">
      <c r="A5" s="696" t="s">
        <v>4</v>
      </c>
      <c r="B5" s="696"/>
      <c r="C5" s="696"/>
      <c r="D5" s="696"/>
      <c r="E5" s="696"/>
      <c r="F5" s="696"/>
      <c r="G5" s="696"/>
      <c r="H5" s="201"/>
      <c r="I5" s="196"/>
    </row>
    <row r="6" spans="1:9">
      <c r="A6" s="687" t="s">
        <v>5</v>
      </c>
      <c r="B6" s="687"/>
      <c r="C6" s="688" t="str">
        <f>'MANUTENÇÃO DE EDIFICAÇÕES - 44h'!C6:G6</f>
        <v>PLANILHA DA ADMINISTRAÇÃO - IFFAR CAMPUS SÃO BORJA</v>
      </c>
      <c r="D6" s="688"/>
      <c r="E6" s="688"/>
      <c r="F6" s="688"/>
      <c r="G6" s="688"/>
      <c r="H6" s="202"/>
      <c r="I6" s="196"/>
    </row>
    <row r="7" spans="1:9">
      <c r="A7" s="687" t="s">
        <v>6</v>
      </c>
      <c r="B7" s="687"/>
      <c r="C7" s="688" t="str">
        <f>'MANUTENÇÃO DE EDIFICAÇÕES - 44h'!C7:G7</f>
        <v>10.662.072/0006-62</v>
      </c>
      <c r="D7" s="688"/>
      <c r="E7" s="688"/>
      <c r="F7" s="688"/>
      <c r="G7" s="688"/>
      <c r="H7" s="203"/>
      <c r="I7" s="196"/>
    </row>
    <row r="8" spans="1:9">
      <c r="A8" s="687" t="s">
        <v>147</v>
      </c>
      <c r="B8" s="687"/>
      <c r="C8" s="687"/>
      <c r="D8" s="204"/>
      <c r="E8" s="689">
        <v>1</v>
      </c>
      <c r="F8" s="689"/>
      <c r="G8" s="205" t="str">
        <f>IF(E8=1,"Lucro Real",IF(E8=2,"Lucro Presumido",IF(E8=3,"SIMPLES-Anexo III",IF(E8=4,"SIMPLES-Anexo IV","RT Inválido"))))</f>
        <v>Lucro Real</v>
      </c>
      <c r="H8" s="203"/>
      <c r="I8" s="196"/>
    </row>
    <row r="9" spans="1:9">
      <c r="A9" s="706" t="s">
        <v>7</v>
      </c>
      <c r="B9" s="707"/>
      <c r="C9" s="707"/>
      <c r="D9" s="707"/>
      <c r="E9" s="707"/>
      <c r="F9" s="708"/>
      <c r="G9" s="709"/>
      <c r="H9" s="203"/>
      <c r="I9" s="196"/>
    </row>
    <row r="10" spans="1:9">
      <c r="A10" s="206" t="s">
        <v>8</v>
      </c>
      <c r="B10" s="618" t="s">
        <v>9</v>
      </c>
      <c r="C10" s="511"/>
      <c r="D10" s="512"/>
      <c r="E10" s="710">
        <f ca="1">NOW()</f>
        <v>44467.682202199074</v>
      </c>
      <c r="F10" s="711"/>
      <c r="G10" s="712"/>
      <c r="H10" s="203"/>
      <c r="I10" s="196"/>
    </row>
    <row r="11" spans="1:9">
      <c r="A11" s="206" t="s">
        <v>10</v>
      </c>
      <c r="B11" s="673" t="s">
        <v>11</v>
      </c>
      <c r="C11" s="674"/>
      <c r="D11" s="675"/>
      <c r="E11" s="676" t="s">
        <v>222</v>
      </c>
      <c r="F11" s="677"/>
      <c r="G11" s="678"/>
      <c r="H11" s="196"/>
      <c r="I11" s="196"/>
    </row>
    <row r="12" spans="1:9" ht="29.25" customHeight="1">
      <c r="A12" s="206" t="s">
        <v>12</v>
      </c>
      <c r="B12" s="374" t="s">
        <v>249</v>
      </c>
      <c r="C12" s="374"/>
      <c r="D12" s="374"/>
      <c r="E12" s="374"/>
      <c r="F12" s="376" t="s">
        <v>239</v>
      </c>
      <c r="G12" s="679"/>
      <c r="H12" s="196"/>
      <c r="I12" s="196"/>
    </row>
    <row r="13" spans="1:9">
      <c r="A13" s="206" t="s">
        <v>13</v>
      </c>
      <c r="B13" s="697" t="s">
        <v>14</v>
      </c>
      <c r="C13" s="698"/>
      <c r="D13" s="698"/>
      <c r="E13" s="698"/>
      <c r="F13" s="699"/>
      <c r="G13" s="207">
        <v>12</v>
      </c>
      <c r="H13" s="198"/>
      <c r="I13" s="198"/>
    </row>
    <row r="14" spans="1:9">
      <c r="A14" s="700" t="s">
        <v>153</v>
      </c>
      <c r="B14" s="700"/>
      <c r="C14" s="700"/>
      <c r="D14" s="700"/>
      <c r="E14" s="700"/>
      <c r="F14" s="700"/>
      <c r="G14" s="700"/>
      <c r="H14" s="198"/>
      <c r="I14" s="198"/>
    </row>
    <row r="15" spans="1:9">
      <c r="A15" s="701" t="s">
        <v>154</v>
      </c>
      <c r="B15" s="701"/>
      <c r="C15" s="701"/>
      <c r="D15" s="702" t="s">
        <v>155</v>
      </c>
      <c r="E15" s="703"/>
      <c r="F15" s="702" t="s">
        <v>156</v>
      </c>
      <c r="G15" s="703"/>
      <c r="H15" s="198"/>
      <c r="I15" s="198"/>
    </row>
    <row r="16" spans="1:9">
      <c r="A16" s="415" t="s">
        <v>254</v>
      </c>
      <c r="B16" s="415"/>
      <c r="C16" s="415"/>
      <c r="D16" s="704" t="s">
        <v>157</v>
      </c>
      <c r="E16" s="704"/>
      <c r="F16" s="705">
        <v>1</v>
      </c>
      <c r="G16" s="705"/>
      <c r="H16" s="198"/>
      <c r="I16" s="198"/>
    </row>
    <row r="17" spans="1:9">
      <c r="A17" s="415"/>
      <c r="B17" s="415"/>
      <c r="C17" s="415"/>
      <c r="D17" s="704"/>
      <c r="E17" s="704"/>
      <c r="F17" s="705"/>
      <c r="G17" s="705"/>
      <c r="H17" s="198"/>
      <c r="I17" s="198"/>
    </row>
    <row r="18" spans="1:9">
      <c r="A18" s="663"/>
      <c r="B18" s="663"/>
      <c r="C18" s="663"/>
      <c r="D18" s="663"/>
      <c r="E18" s="663"/>
      <c r="F18" s="663"/>
      <c r="G18" s="663"/>
      <c r="H18" s="196"/>
      <c r="I18" s="201"/>
    </row>
    <row r="19" spans="1:9" ht="15.75">
      <c r="A19" s="595" t="s">
        <v>165</v>
      </c>
      <c r="B19" s="595"/>
      <c r="C19" s="595"/>
      <c r="D19" s="595"/>
      <c r="E19" s="595"/>
      <c r="F19" s="595"/>
      <c r="G19" s="595"/>
      <c r="H19" s="196"/>
      <c r="I19" s="201"/>
    </row>
    <row r="20" spans="1:9">
      <c r="A20" s="664" t="s">
        <v>164</v>
      </c>
      <c r="B20" s="665"/>
      <c r="C20" s="665"/>
      <c r="D20" s="665"/>
      <c r="E20" s="665"/>
      <c r="F20" s="666"/>
      <c r="G20" s="667"/>
      <c r="H20" s="196"/>
      <c r="I20" s="201"/>
    </row>
    <row r="21" spans="1:9">
      <c r="A21" s="668" t="s">
        <v>166</v>
      </c>
      <c r="B21" s="669"/>
      <c r="C21" s="669"/>
      <c r="D21" s="669"/>
      <c r="E21" s="669"/>
      <c r="F21" s="669"/>
      <c r="G21" s="670"/>
      <c r="H21" s="196"/>
      <c r="I21" s="201"/>
    </row>
    <row r="22" spans="1:9" ht="29.25" customHeight="1">
      <c r="A22" s="208">
        <v>1</v>
      </c>
      <c r="B22" s="686" t="s">
        <v>235</v>
      </c>
      <c r="C22" s="686"/>
      <c r="D22" s="419" t="s">
        <v>236</v>
      </c>
      <c r="E22" s="419"/>
      <c r="F22" s="419"/>
      <c r="G22" s="419"/>
      <c r="H22" s="196"/>
      <c r="I22" s="201"/>
    </row>
    <row r="23" spans="1:9">
      <c r="A23" s="208">
        <v>2</v>
      </c>
      <c r="B23" s="671" t="s">
        <v>48</v>
      </c>
      <c r="C23" s="671"/>
      <c r="D23" s="671"/>
      <c r="E23" s="671"/>
      <c r="F23" s="594"/>
      <c r="G23" s="104" t="s">
        <v>232</v>
      </c>
      <c r="H23" s="196"/>
      <c r="I23" s="201"/>
    </row>
    <row r="24" spans="1:9">
      <c r="A24" s="208">
        <v>3</v>
      </c>
      <c r="B24" s="680" t="s">
        <v>186</v>
      </c>
      <c r="C24" s="680"/>
      <c r="D24" s="680"/>
      <c r="E24" s="680"/>
      <c r="F24" s="680"/>
      <c r="G24" s="209">
        <v>1716</v>
      </c>
      <c r="H24" s="196"/>
      <c r="I24" s="210"/>
    </row>
    <row r="25" spans="1:9" ht="24.75" customHeight="1">
      <c r="A25" s="208">
        <v>4</v>
      </c>
      <c r="B25" s="671" t="s">
        <v>15</v>
      </c>
      <c r="C25" s="671"/>
      <c r="D25" s="420" t="s">
        <v>237</v>
      </c>
      <c r="E25" s="420"/>
      <c r="F25" s="420"/>
      <c r="G25" s="420"/>
      <c r="H25" s="196"/>
      <c r="I25" s="201"/>
    </row>
    <row r="26" spans="1:9">
      <c r="A26" s="208">
        <v>5</v>
      </c>
      <c r="B26" s="681" t="s">
        <v>16</v>
      </c>
      <c r="C26" s="501"/>
      <c r="D26" s="501"/>
      <c r="E26" s="501"/>
      <c r="F26" s="682"/>
      <c r="G26" s="211" t="s">
        <v>242</v>
      </c>
      <c r="H26" s="196"/>
      <c r="I26" s="201"/>
    </row>
    <row r="27" spans="1:9">
      <c r="A27" s="212">
        <v>6</v>
      </c>
      <c r="B27" s="671" t="s">
        <v>189</v>
      </c>
      <c r="C27" s="671"/>
      <c r="D27" s="671"/>
      <c r="E27" s="671"/>
      <c r="F27" s="671"/>
      <c r="G27" s="213">
        <v>1100</v>
      </c>
      <c r="H27" s="196"/>
      <c r="I27" s="201"/>
    </row>
    <row r="28" spans="1:9">
      <c r="A28" s="214" t="s">
        <v>61</v>
      </c>
      <c r="B28" s="683" t="s">
        <v>167</v>
      </c>
      <c r="C28" s="684"/>
      <c r="D28" s="684"/>
      <c r="E28" s="684"/>
      <c r="F28" s="684"/>
      <c r="G28" s="685"/>
      <c r="H28" s="196"/>
      <c r="I28" s="201"/>
    </row>
    <row r="29" spans="1:9">
      <c r="A29" s="215"/>
      <c r="B29" s="216"/>
      <c r="C29" s="216"/>
      <c r="D29" s="216"/>
      <c r="E29" s="216"/>
      <c r="F29" s="216"/>
      <c r="G29" s="216"/>
      <c r="H29" s="196"/>
      <c r="I29" s="201"/>
    </row>
    <row r="30" spans="1:9" ht="15.75">
      <c r="A30" s="662" t="s">
        <v>63</v>
      </c>
      <c r="B30" s="662"/>
      <c r="C30" s="662"/>
      <c r="D30" s="662"/>
      <c r="E30" s="662"/>
      <c r="F30" s="662"/>
      <c r="G30" s="662"/>
      <c r="H30" s="198"/>
      <c r="I30" s="201"/>
    </row>
    <row r="31" spans="1:9">
      <c r="A31" s="217">
        <v>1</v>
      </c>
      <c r="B31" s="577" t="s">
        <v>17</v>
      </c>
      <c r="C31" s="577"/>
      <c r="D31" s="577"/>
      <c r="E31" s="577" t="s">
        <v>19</v>
      </c>
      <c r="F31" s="577"/>
      <c r="G31" s="218" t="s">
        <v>18</v>
      </c>
      <c r="H31" s="196"/>
      <c r="I31" s="201"/>
    </row>
    <row r="32" spans="1:9">
      <c r="A32" s="219" t="s">
        <v>8</v>
      </c>
      <c r="B32" s="656" t="s">
        <v>252</v>
      </c>
      <c r="C32" s="657"/>
      <c r="D32" s="657"/>
      <c r="E32" s="657"/>
      <c r="F32" s="658"/>
      <c r="G32" s="160">
        <f>G24</f>
        <v>1716</v>
      </c>
      <c r="H32" s="220"/>
      <c r="I32" s="221"/>
    </row>
    <row r="33" spans="1:9">
      <c r="A33" s="659" t="s">
        <v>10</v>
      </c>
      <c r="B33" s="661" t="s">
        <v>190</v>
      </c>
      <c r="C33" s="661"/>
      <c r="D33" s="661"/>
      <c r="E33" s="222" t="s">
        <v>188</v>
      </c>
      <c r="F33" s="223">
        <f>G27</f>
        <v>1100</v>
      </c>
      <c r="G33" s="529">
        <f>F33*F34</f>
        <v>0</v>
      </c>
      <c r="H33" s="220"/>
      <c r="I33" s="221"/>
    </row>
    <row r="34" spans="1:9">
      <c r="A34" s="660"/>
      <c r="B34" s="661"/>
      <c r="C34" s="661"/>
      <c r="D34" s="661"/>
      <c r="E34" s="222" t="s">
        <v>19</v>
      </c>
      <c r="F34" s="224">
        <v>0</v>
      </c>
      <c r="G34" s="530"/>
      <c r="H34" s="220"/>
      <c r="I34" s="221"/>
    </row>
    <row r="35" spans="1:9">
      <c r="A35" s="225" t="s">
        <v>187</v>
      </c>
      <c r="B35" s="672" t="s">
        <v>64</v>
      </c>
      <c r="C35" s="672"/>
      <c r="D35" s="672"/>
      <c r="E35" s="672"/>
      <c r="F35" s="672"/>
      <c r="G35" s="165">
        <v>0</v>
      </c>
      <c r="H35" s="226"/>
      <c r="I35" s="227"/>
    </row>
    <row r="36" spans="1:9">
      <c r="A36" s="598" t="s">
        <v>91</v>
      </c>
      <c r="B36" s="598"/>
      <c r="C36" s="598"/>
      <c r="D36" s="598"/>
      <c r="E36" s="598"/>
      <c r="F36" s="598"/>
      <c r="G36" s="228">
        <f>SUM(G32:G35)</f>
        <v>1716</v>
      </c>
      <c r="H36" s="229"/>
      <c r="I36" s="230"/>
    </row>
    <row r="37" spans="1:9">
      <c r="A37" s="214" t="s">
        <v>62</v>
      </c>
      <c r="B37" s="560" t="s">
        <v>171</v>
      </c>
      <c r="C37" s="560"/>
      <c r="D37" s="560"/>
      <c r="E37" s="560"/>
      <c r="F37" s="560"/>
      <c r="G37" s="560"/>
      <c r="H37" s="229"/>
      <c r="I37" s="230"/>
    </row>
    <row r="38" spans="1:9">
      <c r="A38" s="231"/>
      <c r="B38" s="232"/>
      <c r="C38" s="232"/>
      <c r="D38" s="232"/>
      <c r="E38" s="232"/>
      <c r="F38" s="232"/>
      <c r="G38" s="232"/>
      <c r="H38" s="229"/>
      <c r="I38" s="230"/>
    </row>
    <row r="39" spans="1:9" ht="15.75">
      <c r="A39" s="653" t="s">
        <v>66</v>
      </c>
      <c r="B39" s="654"/>
      <c r="C39" s="654"/>
      <c r="D39" s="654"/>
      <c r="E39" s="654"/>
      <c r="F39" s="654"/>
      <c r="G39" s="655"/>
      <c r="H39" s="196"/>
      <c r="I39" s="201"/>
    </row>
    <row r="40" spans="1:9">
      <c r="A40" s="233" t="s">
        <v>32</v>
      </c>
      <c r="B40" s="436" t="s">
        <v>243</v>
      </c>
      <c r="C40" s="436"/>
      <c r="D40" s="436"/>
      <c r="E40" s="436"/>
      <c r="F40" s="437"/>
      <c r="G40" s="234" t="s">
        <v>18</v>
      </c>
      <c r="H40" s="196"/>
      <c r="I40" s="201"/>
    </row>
    <row r="41" spans="1:9">
      <c r="A41" s="235" t="s">
        <v>8</v>
      </c>
      <c r="B41" s="640" t="s">
        <v>168</v>
      </c>
      <c r="C41" s="641"/>
      <c r="D41" s="641"/>
      <c r="E41" s="641"/>
      <c r="F41" s="642"/>
      <c r="G41" s="236">
        <f>ROUND(G36/12,2)</f>
        <v>143</v>
      </c>
      <c r="H41" s="226"/>
      <c r="I41" s="237"/>
    </row>
    <row r="42" spans="1:9">
      <c r="A42" s="235" t="s">
        <v>10</v>
      </c>
      <c r="B42" s="640" t="s">
        <v>244</v>
      </c>
      <c r="C42" s="641"/>
      <c r="D42" s="641"/>
      <c r="E42" s="641"/>
      <c r="F42" s="642"/>
      <c r="G42" s="236">
        <f>ROUND((G36/3)/12,2)</f>
        <v>47.67</v>
      </c>
      <c r="H42" s="226"/>
      <c r="I42" s="237"/>
    </row>
    <row r="43" spans="1:9">
      <c r="A43" s="464" t="s">
        <v>67</v>
      </c>
      <c r="B43" s="645"/>
      <c r="C43" s="645"/>
      <c r="D43" s="645"/>
      <c r="E43" s="645"/>
      <c r="F43" s="646"/>
      <c r="G43" s="238">
        <f>SUM(G41:G42)</f>
        <v>190.67000000000002</v>
      </c>
      <c r="H43" s="226"/>
      <c r="I43" s="237"/>
    </row>
    <row r="44" spans="1:9" ht="27.75" customHeight="1">
      <c r="A44" s="117" t="s">
        <v>65</v>
      </c>
      <c r="B44" s="424" t="s">
        <v>245</v>
      </c>
      <c r="C44" s="424"/>
      <c r="D44" s="424"/>
      <c r="E44" s="424"/>
      <c r="F44" s="424"/>
      <c r="G44" s="424"/>
      <c r="H44" s="226"/>
      <c r="I44" s="237"/>
    </row>
    <row r="45" spans="1:9">
      <c r="A45" s="239"/>
      <c r="B45" s="41"/>
      <c r="C45" s="41"/>
      <c r="D45" s="41"/>
      <c r="E45" s="41"/>
      <c r="F45" s="41"/>
      <c r="G45" s="41"/>
      <c r="H45" s="226"/>
      <c r="I45" s="237"/>
    </row>
    <row r="46" spans="1:9" ht="27.75" customHeight="1">
      <c r="A46" s="147" t="s">
        <v>33</v>
      </c>
      <c r="B46" s="445" t="s">
        <v>136</v>
      </c>
      <c r="C46" s="445"/>
      <c r="D46" s="445"/>
      <c r="E46" s="445"/>
      <c r="F46" s="445"/>
      <c r="G46" s="445"/>
      <c r="H46" s="196"/>
      <c r="I46" s="201"/>
    </row>
    <row r="47" spans="1:9">
      <c r="A47" s="242"/>
      <c r="B47" s="446" t="s">
        <v>71</v>
      </c>
      <c r="C47" s="447"/>
      <c r="D47" s="448"/>
      <c r="E47" s="651" t="s">
        <v>19</v>
      </c>
      <c r="F47" s="652"/>
      <c r="G47" s="243" t="s">
        <v>18</v>
      </c>
      <c r="H47" s="196"/>
      <c r="I47" s="201"/>
    </row>
    <row r="48" spans="1:9">
      <c r="A48" s="235" t="s">
        <v>8</v>
      </c>
      <c r="B48" s="640" t="s">
        <v>25</v>
      </c>
      <c r="C48" s="641"/>
      <c r="D48" s="642"/>
      <c r="E48" s="649">
        <v>0.2</v>
      </c>
      <c r="F48" s="650"/>
      <c r="G48" s="244">
        <f>ROUND((G36+G43)*E48,2)</f>
        <v>381.33</v>
      </c>
      <c r="H48" s="245"/>
      <c r="I48" s="227"/>
    </row>
    <row r="49" spans="1:9">
      <c r="A49" s="235" t="s">
        <v>10</v>
      </c>
      <c r="B49" s="640" t="s">
        <v>34</v>
      </c>
      <c r="C49" s="641"/>
      <c r="D49" s="642"/>
      <c r="E49" s="643">
        <v>2.5000000000000001E-2</v>
      </c>
      <c r="F49" s="644"/>
      <c r="G49" s="244">
        <f>ROUND((G36+G43)*E49,2)</f>
        <v>47.67</v>
      </c>
      <c r="H49" s="245"/>
      <c r="I49" s="227"/>
    </row>
    <row r="50" spans="1:9">
      <c r="A50" s="235" t="s">
        <v>12</v>
      </c>
      <c r="B50" s="640" t="s">
        <v>78</v>
      </c>
      <c r="C50" s="641"/>
      <c r="D50" s="642"/>
      <c r="E50" s="649">
        <f>ROUND((H51*I51),6)</f>
        <v>0.03</v>
      </c>
      <c r="F50" s="650"/>
      <c r="G50" s="246">
        <f>ROUND((G36+G43)*E50,2)</f>
        <v>57.2</v>
      </c>
      <c r="H50" s="247" t="s">
        <v>72</v>
      </c>
      <c r="I50" s="248" t="s">
        <v>73</v>
      </c>
    </row>
    <row r="51" spans="1:9">
      <c r="A51" s="235" t="s">
        <v>13</v>
      </c>
      <c r="B51" s="640" t="s">
        <v>35</v>
      </c>
      <c r="C51" s="641"/>
      <c r="D51" s="642"/>
      <c r="E51" s="643">
        <v>1.4999999999999999E-2</v>
      </c>
      <c r="F51" s="644"/>
      <c r="G51" s="246">
        <f>ROUND((G36+G43)*E51,2)</f>
        <v>28.6</v>
      </c>
      <c r="H51" s="249">
        <v>0.03</v>
      </c>
      <c r="I51" s="250">
        <v>1</v>
      </c>
    </row>
    <row r="52" spans="1:9">
      <c r="A52" s="235" t="s">
        <v>20</v>
      </c>
      <c r="B52" s="640" t="s">
        <v>36</v>
      </c>
      <c r="C52" s="641"/>
      <c r="D52" s="642"/>
      <c r="E52" s="643">
        <v>0.01</v>
      </c>
      <c r="F52" s="644"/>
      <c r="G52" s="244">
        <f>ROUND((G36+G43)*E52,2)</f>
        <v>19.07</v>
      </c>
      <c r="H52" s="245"/>
      <c r="I52" s="227"/>
    </row>
    <row r="53" spans="1:9">
      <c r="A53" s="235" t="s">
        <v>21</v>
      </c>
      <c r="B53" s="640" t="s">
        <v>26</v>
      </c>
      <c r="C53" s="641"/>
      <c r="D53" s="642"/>
      <c r="E53" s="643">
        <v>6.0000000000000001E-3</v>
      </c>
      <c r="F53" s="644"/>
      <c r="G53" s="244">
        <f>ROUND((G36+G43)*E53,2)</f>
        <v>11.44</v>
      </c>
      <c r="H53" s="245"/>
      <c r="I53" s="227"/>
    </row>
    <row r="54" spans="1:9">
      <c r="A54" s="235" t="s">
        <v>22</v>
      </c>
      <c r="B54" s="640" t="s">
        <v>37</v>
      </c>
      <c r="C54" s="641"/>
      <c r="D54" s="642"/>
      <c r="E54" s="643">
        <v>2E-3</v>
      </c>
      <c r="F54" s="644"/>
      <c r="G54" s="244">
        <f>ROUND((G36+G43)*E54,2)</f>
        <v>3.81</v>
      </c>
      <c r="H54" s="245"/>
      <c r="I54" s="227"/>
    </row>
    <row r="55" spans="1:9">
      <c r="A55" s="235" t="s">
        <v>23</v>
      </c>
      <c r="B55" s="640" t="s">
        <v>38</v>
      </c>
      <c r="C55" s="641"/>
      <c r="D55" s="642"/>
      <c r="E55" s="643">
        <v>0.08</v>
      </c>
      <c r="F55" s="644"/>
      <c r="G55" s="244">
        <f>ROUND((G36+G43)*E55,2)</f>
        <v>152.53</v>
      </c>
      <c r="H55" s="245"/>
      <c r="I55" s="227"/>
    </row>
    <row r="56" spans="1:9">
      <c r="A56" s="464" t="s">
        <v>74</v>
      </c>
      <c r="B56" s="645"/>
      <c r="C56" s="645"/>
      <c r="D56" s="646"/>
      <c r="E56" s="647">
        <f>SUM(E48:F55)</f>
        <v>0.36800000000000005</v>
      </c>
      <c r="F56" s="648"/>
      <c r="G56" s="251">
        <f>SUM(G48:G55)</f>
        <v>701.65</v>
      </c>
      <c r="H56" s="229"/>
      <c r="I56" s="252"/>
    </row>
    <row r="57" spans="1:9">
      <c r="A57" s="117" t="s">
        <v>68</v>
      </c>
      <c r="B57" s="424" t="s">
        <v>76</v>
      </c>
      <c r="C57" s="424"/>
      <c r="D57" s="424"/>
      <c r="E57" s="424"/>
      <c r="F57" s="424"/>
      <c r="G57" s="424"/>
      <c r="H57" s="229"/>
      <c r="I57" s="252"/>
    </row>
    <row r="58" spans="1:9">
      <c r="A58" s="117" t="s">
        <v>69</v>
      </c>
      <c r="B58" s="424" t="s">
        <v>79</v>
      </c>
      <c r="C58" s="424"/>
      <c r="D58" s="424"/>
      <c r="E58" s="424"/>
      <c r="F58" s="424"/>
      <c r="G58" s="424"/>
      <c r="H58" s="229"/>
      <c r="I58" s="252"/>
    </row>
    <row r="59" spans="1:9">
      <c r="A59" s="34"/>
      <c r="B59" s="23"/>
      <c r="C59" s="23"/>
      <c r="D59" s="23"/>
      <c r="E59" s="23"/>
      <c r="F59" s="23"/>
      <c r="G59" s="23"/>
      <c r="H59" s="229"/>
      <c r="I59" s="252"/>
    </row>
    <row r="60" spans="1:9">
      <c r="A60" s="253" t="s">
        <v>39</v>
      </c>
      <c r="B60" s="473" t="s">
        <v>80</v>
      </c>
      <c r="C60" s="473"/>
      <c r="D60" s="473"/>
      <c r="E60" s="473"/>
      <c r="F60" s="473"/>
      <c r="G60" s="473"/>
      <c r="H60" s="196"/>
      <c r="I60" s="201"/>
    </row>
    <row r="61" spans="1:9">
      <c r="A61" s="254"/>
      <c r="B61" s="474" t="s">
        <v>80</v>
      </c>
      <c r="C61" s="475"/>
      <c r="D61" s="475"/>
      <c r="E61" s="475"/>
      <c r="F61" s="476"/>
      <c r="G61" s="255" t="s">
        <v>18</v>
      </c>
      <c r="H61" s="196"/>
      <c r="I61" s="201"/>
    </row>
    <row r="62" spans="1:9" ht="24" customHeight="1">
      <c r="A62" s="628" t="s">
        <v>8</v>
      </c>
      <c r="B62" s="454" t="s">
        <v>253</v>
      </c>
      <c r="C62" s="457" t="s">
        <v>81</v>
      </c>
      <c r="D62" s="458"/>
      <c r="E62" s="631">
        <v>3.5</v>
      </c>
      <c r="F62" s="632"/>
      <c r="G62" s="619">
        <f>IF(ROUND((E62*E64*E63)-(G32*E65),2)&lt;0,0,ROUND((E62*E64*E63)-(G32*E65),2))</f>
        <v>102.52</v>
      </c>
      <c r="H62" s="256"/>
      <c r="I62" s="257"/>
    </row>
    <row r="63" spans="1:9" ht="27.75" customHeight="1">
      <c r="A63" s="629"/>
      <c r="B63" s="455"/>
      <c r="C63" s="457" t="s">
        <v>82</v>
      </c>
      <c r="D63" s="458"/>
      <c r="E63" s="634">
        <v>2</v>
      </c>
      <c r="F63" s="635"/>
      <c r="G63" s="633"/>
      <c r="H63" s="256"/>
      <c r="I63" s="257"/>
    </row>
    <row r="64" spans="1:9" ht="25.5" customHeight="1">
      <c r="A64" s="629"/>
      <c r="B64" s="455"/>
      <c r="C64" s="457" t="s">
        <v>83</v>
      </c>
      <c r="D64" s="458"/>
      <c r="E64" s="636">
        <v>22</v>
      </c>
      <c r="F64" s="637"/>
      <c r="G64" s="633"/>
      <c r="H64" s="258"/>
      <c r="I64" s="259"/>
    </row>
    <row r="65" spans="1:9" ht="27" customHeight="1">
      <c r="A65" s="630"/>
      <c r="B65" s="456"/>
      <c r="C65" s="457" t="s">
        <v>176</v>
      </c>
      <c r="D65" s="458"/>
      <c r="E65" s="638">
        <v>0.03</v>
      </c>
      <c r="F65" s="639"/>
      <c r="G65" s="620"/>
      <c r="H65" s="256"/>
      <c r="I65" s="259"/>
    </row>
    <row r="66" spans="1:9" ht="32.25" customHeight="1">
      <c r="A66" s="622" t="s">
        <v>10</v>
      </c>
      <c r="B66" s="483" t="s">
        <v>250</v>
      </c>
      <c r="C66" s="457" t="s">
        <v>218</v>
      </c>
      <c r="D66" s="458"/>
      <c r="E66" s="623">
        <v>264.60000000000002</v>
      </c>
      <c r="F66" s="624"/>
      <c r="G66" s="619">
        <f>ROUND(E66*(1-E67),2)</f>
        <v>211.68</v>
      </c>
      <c r="H66" s="256"/>
      <c r="I66" s="257"/>
    </row>
    <row r="67" spans="1:9" ht="40.5" customHeight="1">
      <c r="A67" s="622"/>
      <c r="B67" s="483"/>
      <c r="C67" s="486" t="s">
        <v>219</v>
      </c>
      <c r="D67" s="486"/>
      <c r="E67" s="621">
        <v>0.2</v>
      </c>
      <c r="F67" s="621"/>
      <c r="G67" s="620"/>
      <c r="H67" s="256"/>
      <c r="I67" s="257"/>
    </row>
    <row r="68" spans="1:9">
      <c r="A68" s="212" t="s">
        <v>12</v>
      </c>
      <c r="B68" s="613" t="s">
        <v>84</v>
      </c>
      <c r="C68" s="613"/>
      <c r="D68" s="613"/>
      <c r="E68" s="613"/>
      <c r="F68" s="613"/>
      <c r="G68" s="260">
        <v>0</v>
      </c>
      <c r="H68" s="256"/>
      <c r="I68" s="257"/>
    </row>
    <row r="69" spans="1:9">
      <c r="A69" s="625" t="s">
        <v>85</v>
      </c>
      <c r="B69" s="626"/>
      <c r="C69" s="626"/>
      <c r="D69" s="626"/>
      <c r="E69" s="626"/>
      <c r="F69" s="627"/>
      <c r="G69" s="261">
        <f>SUM(G62:G68)</f>
        <v>314.2</v>
      </c>
      <c r="H69" s="196"/>
      <c r="I69" s="201"/>
    </row>
    <row r="70" spans="1:9">
      <c r="A70" s="214" t="s">
        <v>70</v>
      </c>
      <c r="B70" s="560" t="s">
        <v>52</v>
      </c>
      <c r="C70" s="560"/>
      <c r="D70" s="560"/>
      <c r="E70" s="560"/>
      <c r="F70" s="560"/>
      <c r="G70" s="560"/>
      <c r="H70" s="262"/>
      <c r="I70" s="201"/>
    </row>
    <row r="71" spans="1:9">
      <c r="A71" s="263"/>
      <c r="B71" s="264"/>
      <c r="C71" s="264"/>
      <c r="D71" s="264"/>
      <c r="E71" s="264"/>
      <c r="F71" s="264"/>
      <c r="G71" s="264"/>
      <c r="H71" s="262"/>
      <c r="I71" s="201"/>
    </row>
    <row r="72" spans="1:9">
      <c r="A72" s="601" t="s">
        <v>86</v>
      </c>
      <c r="B72" s="436"/>
      <c r="C72" s="436"/>
      <c r="D72" s="436"/>
      <c r="E72" s="436"/>
      <c r="F72" s="436"/>
      <c r="G72" s="437"/>
      <c r="H72" s="198"/>
      <c r="I72" s="201"/>
    </row>
    <row r="73" spans="1:9">
      <c r="A73" s="265" t="s">
        <v>87</v>
      </c>
      <c r="B73" s="615" t="s">
        <v>169</v>
      </c>
      <c r="C73" s="616"/>
      <c r="D73" s="616"/>
      <c r="E73" s="616"/>
      <c r="F73" s="617"/>
      <c r="G73" s="266" t="s">
        <v>18</v>
      </c>
      <c r="H73" s="256"/>
      <c r="I73" s="257"/>
    </row>
    <row r="74" spans="1:9">
      <c r="A74" s="208" t="s">
        <v>32</v>
      </c>
      <c r="B74" s="498" t="s">
        <v>247</v>
      </c>
      <c r="C74" s="499"/>
      <c r="D74" s="499"/>
      <c r="E74" s="499"/>
      <c r="F74" s="500"/>
      <c r="G74" s="267">
        <f>G43</f>
        <v>190.67000000000002</v>
      </c>
      <c r="H74" s="256"/>
      <c r="I74" s="257"/>
    </row>
    <row r="75" spans="1:9">
      <c r="A75" s="208" t="s">
        <v>33</v>
      </c>
      <c r="B75" s="498" t="s">
        <v>88</v>
      </c>
      <c r="C75" s="499"/>
      <c r="D75" s="499"/>
      <c r="E75" s="499"/>
      <c r="F75" s="500"/>
      <c r="G75" s="267">
        <f>G56</f>
        <v>701.65</v>
      </c>
      <c r="H75" s="256"/>
      <c r="I75" s="257"/>
    </row>
    <row r="76" spans="1:9">
      <c r="A76" s="212" t="s">
        <v>39</v>
      </c>
      <c r="B76" s="613" t="s">
        <v>89</v>
      </c>
      <c r="C76" s="613"/>
      <c r="D76" s="613"/>
      <c r="E76" s="613"/>
      <c r="F76" s="613"/>
      <c r="G76" s="268">
        <f>G69</f>
        <v>314.2</v>
      </c>
      <c r="H76" s="196"/>
      <c r="I76" s="201"/>
    </row>
    <row r="77" spans="1:9">
      <c r="A77" s="614" t="s">
        <v>92</v>
      </c>
      <c r="B77" s="614"/>
      <c r="C77" s="614"/>
      <c r="D77" s="614"/>
      <c r="E77" s="614"/>
      <c r="F77" s="614"/>
      <c r="G77" s="269">
        <f>SUM(G74:G76)</f>
        <v>1206.52</v>
      </c>
      <c r="H77" s="198"/>
      <c r="I77" s="270"/>
    </row>
    <row r="78" spans="1:9">
      <c r="A78" s="271"/>
      <c r="B78" s="271"/>
      <c r="C78" s="271"/>
      <c r="D78" s="271"/>
      <c r="E78" s="271"/>
      <c r="F78" s="271"/>
      <c r="G78" s="272"/>
      <c r="H78" s="198"/>
      <c r="I78" s="270"/>
    </row>
    <row r="79" spans="1:9" ht="15.75">
      <c r="A79" s="595" t="s">
        <v>93</v>
      </c>
      <c r="B79" s="595"/>
      <c r="C79" s="595"/>
      <c r="D79" s="595"/>
      <c r="E79" s="595"/>
      <c r="F79" s="595"/>
      <c r="G79" s="595"/>
      <c r="H79" s="198"/>
      <c r="I79" s="201"/>
    </row>
    <row r="80" spans="1:9">
      <c r="A80" s="273"/>
      <c r="B80" s="615" t="s">
        <v>94</v>
      </c>
      <c r="C80" s="616"/>
      <c r="D80" s="616"/>
      <c r="E80" s="616"/>
      <c r="F80" s="617"/>
      <c r="G80" s="274" t="s">
        <v>18</v>
      </c>
      <c r="H80" s="198"/>
      <c r="I80" s="201"/>
    </row>
    <row r="81" spans="1:9">
      <c r="A81" s="206" t="s">
        <v>8</v>
      </c>
      <c r="B81" s="498" t="s">
        <v>137</v>
      </c>
      <c r="C81" s="511"/>
      <c r="D81" s="511"/>
      <c r="E81" s="511"/>
      <c r="F81" s="512"/>
      <c r="G81" s="275">
        <f>ROUND(((G36/12)+($G$41/12)+($G$42/12))*(30/30)*0.05,2)</f>
        <v>7.94</v>
      </c>
      <c r="H81" s="198"/>
      <c r="I81" s="201"/>
    </row>
    <row r="82" spans="1:9">
      <c r="A82" s="206" t="s">
        <v>10</v>
      </c>
      <c r="B82" s="618" t="s">
        <v>28</v>
      </c>
      <c r="C82" s="511"/>
      <c r="D82" s="511"/>
      <c r="E82" s="511"/>
      <c r="F82" s="512"/>
      <c r="G82" s="275">
        <f>ROUND($E$55*G81,2)</f>
        <v>0.64</v>
      </c>
      <c r="H82" s="198"/>
      <c r="I82" s="201"/>
    </row>
    <row r="83" spans="1:9">
      <c r="A83" s="206" t="s">
        <v>12</v>
      </c>
      <c r="B83" s="498" t="s">
        <v>138</v>
      </c>
      <c r="C83" s="511"/>
      <c r="D83" s="511"/>
      <c r="E83" s="511"/>
      <c r="F83" s="512"/>
      <c r="G83" s="275">
        <f>ROUND((0.08*0.4*SUM(G36+$G$41+$G$42)*0.05),2)</f>
        <v>3.05</v>
      </c>
      <c r="H83" s="276"/>
      <c r="I83" s="201"/>
    </row>
    <row r="84" spans="1:9">
      <c r="A84" s="206" t="s">
        <v>13</v>
      </c>
      <c r="B84" s="498" t="s">
        <v>139</v>
      </c>
      <c r="C84" s="511"/>
      <c r="D84" s="511"/>
      <c r="E84" s="511"/>
      <c r="F84" s="512"/>
      <c r="G84" s="277">
        <f>ROUND(((7/30)/$G$13)*G36*1,2)</f>
        <v>33.369999999999997</v>
      </c>
      <c r="H84" s="198"/>
      <c r="I84" s="201"/>
    </row>
    <row r="85" spans="1:9">
      <c r="A85" s="206" t="s">
        <v>20</v>
      </c>
      <c r="B85" s="618" t="s">
        <v>95</v>
      </c>
      <c r="C85" s="511"/>
      <c r="D85" s="511"/>
      <c r="E85" s="511"/>
      <c r="F85" s="512"/>
      <c r="G85" s="275">
        <f>ROUND($E$56*G84,2)</f>
        <v>12.28</v>
      </c>
      <c r="H85" s="198"/>
      <c r="I85" s="201"/>
    </row>
    <row r="86" spans="1:9">
      <c r="A86" s="278" t="s">
        <v>21</v>
      </c>
      <c r="B86" s="489" t="s">
        <v>140</v>
      </c>
      <c r="C86" s="490"/>
      <c r="D86" s="490"/>
      <c r="E86" s="490"/>
      <c r="F86" s="490"/>
      <c r="G86" s="90">
        <f>ROUND((0.08*0.4*SUM(G36+$G$41+$G$42)*1),2)</f>
        <v>61.01</v>
      </c>
      <c r="H86" s="198"/>
      <c r="I86" s="270"/>
    </row>
    <row r="87" spans="1:9">
      <c r="A87" s="597" t="s">
        <v>172</v>
      </c>
      <c r="B87" s="597"/>
      <c r="C87" s="597"/>
      <c r="D87" s="597"/>
      <c r="E87" s="597"/>
      <c r="F87" s="597"/>
      <c r="G87" s="279">
        <f>SUM(G81:G86)</f>
        <v>118.28999999999999</v>
      </c>
      <c r="H87" s="198"/>
      <c r="I87" s="270"/>
    </row>
    <row r="88" spans="1:9">
      <c r="A88" s="271"/>
      <c r="B88" s="271"/>
      <c r="C88" s="271"/>
      <c r="D88" s="271"/>
      <c r="E88" s="271"/>
      <c r="F88" s="271"/>
      <c r="G88" s="272"/>
      <c r="H88" s="198"/>
      <c r="I88" s="270"/>
    </row>
    <row r="89" spans="1:9" ht="15.75">
      <c r="A89" s="595" t="s">
        <v>170</v>
      </c>
      <c r="B89" s="595"/>
      <c r="C89" s="595"/>
      <c r="D89" s="595"/>
      <c r="E89" s="595"/>
      <c r="F89" s="595"/>
      <c r="G89" s="595"/>
      <c r="H89" s="280"/>
      <c r="I89" s="230"/>
    </row>
    <row r="90" spans="1:9" ht="34.5" customHeight="1">
      <c r="A90" s="477" t="s">
        <v>191</v>
      </c>
      <c r="B90" s="477"/>
      <c r="C90" s="477"/>
      <c r="D90" s="477"/>
      <c r="E90" s="477"/>
      <c r="F90" s="477"/>
      <c r="G90" s="477"/>
      <c r="H90" s="280"/>
      <c r="I90" s="230"/>
    </row>
    <row r="91" spans="1:9" ht="31.5">
      <c r="A91" s="136" t="s">
        <v>192</v>
      </c>
      <c r="B91" s="281">
        <f>G36</f>
        <v>1716</v>
      </c>
      <c r="C91" s="136" t="s">
        <v>173</v>
      </c>
      <c r="D91" s="281">
        <f>G77-G62-G66</f>
        <v>892.31999999999994</v>
      </c>
      <c r="E91" s="136" t="s">
        <v>96</v>
      </c>
      <c r="F91" s="281">
        <f>G87</f>
        <v>118.28999999999999</v>
      </c>
      <c r="G91" s="282">
        <f>B91+D91+F91</f>
        <v>2726.6099999999997</v>
      </c>
      <c r="H91" s="280"/>
      <c r="I91" s="230"/>
    </row>
    <row r="92" spans="1:9" ht="15.75">
      <c r="A92" s="612" t="s">
        <v>97</v>
      </c>
      <c r="B92" s="612"/>
      <c r="C92" s="612"/>
      <c r="D92" s="612"/>
      <c r="E92" s="612" t="s">
        <v>98</v>
      </c>
      <c r="F92" s="612"/>
      <c r="G92" s="283">
        <f>ROUND(G91/30,2)</f>
        <v>90.89</v>
      </c>
      <c r="H92" s="280"/>
      <c r="I92" s="230"/>
    </row>
    <row r="93" spans="1:9" ht="15.75">
      <c r="A93" s="284"/>
      <c r="B93" s="284"/>
      <c r="C93" s="284"/>
      <c r="D93" s="284"/>
      <c r="E93" s="284"/>
      <c r="F93" s="285"/>
      <c r="G93" s="286"/>
      <c r="H93" s="280"/>
      <c r="I93" s="230"/>
    </row>
    <row r="94" spans="1:9">
      <c r="A94" s="287" t="s">
        <v>24</v>
      </c>
      <c r="B94" s="507" t="s">
        <v>107</v>
      </c>
      <c r="C94" s="508"/>
      <c r="D94" s="508"/>
      <c r="E94" s="508"/>
      <c r="F94" s="509"/>
      <c r="G94" s="288" t="s">
        <v>18</v>
      </c>
      <c r="H94" s="229"/>
      <c r="I94" s="230"/>
    </row>
    <row r="95" spans="1:9">
      <c r="A95" s="206" t="s">
        <v>8</v>
      </c>
      <c r="B95" s="498" t="s">
        <v>99</v>
      </c>
      <c r="C95" s="511"/>
      <c r="D95" s="511"/>
      <c r="E95" s="511"/>
      <c r="F95" s="512"/>
      <c r="G95" s="289">
        <f>ROUND($G$91/12,2)</f>
        <v>227.22</v>
      </c>
      <c r="H95" s="229"/>
      <c r="I95" s="230"/>
    </row>
    <row r="96" spans="1:9">
      <c r="A96" s="206" t="s">
        <v>10</v>
      </c>
      <c r="B96" s="457" t="s">
        <v>177</v>
      </c>
      <c r="C96" s="501"/>
      <c r="D96" s="501"/>
      <c r="E96" s="501"/>
      <c r="F96" s="502"/>
      <c r="G96" s="289">
        <f>ROUND((1/30)/12*($G$91),2)</f>
        <v>7.57</v>
      </c>
      <c r="H96" s="290"/>
      <c r="I96" s="230"/>
    </row>
    <row r="97" spans="1:9">
      <c r="A97" s="206" t="s">
        <v>12</v>
      </c>
      <c r="B97" s="498" t="s">
        <v>101</v>
      </c>
      <c r="C97" s="511"/>
      <c r="D97" s="511"/>
      <c r="E97" s="511"/>
      <c r="F97" s="512"/>
      <c r="G97" s="289">
        <f>ROUND((5/30)/12*0.015*($G$91),2)</f>
        <v>0.56999999999999995</v>
      </c>
      <c r="H97" s="229"/>
      <c r="I97" s="230"/>
    </row>
    <row r="98" spans="1:9">
      <c r="A98" s="206" t="s">
        <v>13</v>
      </c>
      <c r="B98" s="498" t="s">
        <v>100</v>
      </c>
      <c r="C98" s="511"/>
      <c r="D98" s="511"/>
      <c r="E98" s="511"/>
      <c r="F98" s="512"/>
      <c r="G98" s="289">
        <f>ROUND(((15/30)/12)*0.0078*($G$91),2)</f>
        <v>0.89</v>
      </c>
      <c r="H98" s="290"/>
      <c r="I98" s="230"/>
    </row>
    <row r="99" spans="1:9" ht="28.5" customHeight="1">
      <c r="A99" s="206" t="s">
        <v>20</v>
      </c>
      <c r="B99" s="457" t="s">
        <v>193</v>
      </c>
      <c r="C99" s="501"/>
      <c r="D99" s="501"/>
      <c r="E99" s="501"/>
      <c r="F99" s="502"/>
      <c r="G99" s="291">
        <f>ROUND((((G36+G36/3)/12+(G56+G69-G66-G62+G87))*4/12)*0.02,2)</f>
        <v>6.74</v>
      </c>
      <c r="H99" s="292"/>
      <c r="I99" s="293"/>
    </row>
    <row r="100" spans="1:9">
      <c r="A100" s="294" t="s">
        <v>21</v>
      </c>
      <c r="B100" s="608" t="s">
        <v>178</v>
      </c>
      <c r="C100" s="609"/>
      <c r="D100" s="609"/>
      <c r="E100" s="609"/>
      <c r="F100" s="610"/>
      <c r="G100" s="291">
        <f>ROUND(((5/30)/12)*($G$91),2)</f>
        <v>37.869999999999997</v>
      </c>
      <c r="H100" s="292"/>
      <c r="I100" s="293"/>
    </row>
    <row r="101" spans="1:9">
      <c r="A101" s="611" t="s">
        <v>102</v>
      </c>
      <c r="B101" s="611"/>
      <c r="C101" s="611"/>
      <c r="D101" s="611"/>
      <c r="E101" s="611"/>
      <c r="F101" s="611"/>
      <c r="G101" s="295">
        <f>SUM(G95:G100)</f>
        <v>280.85999999999996</v>
      </c>
      <c r="H101" s="198"/>
      <c r="I101" s="270"/>
    </row>
    <row r="102" spans="1:9">
      <c r="A102" s="240"/>
      <c r="B102" s="24"/>
      <c r="C102" s="24"/>
      <c r="D102" s="54"/>
      <c r="E102" s="296"/>
      <c r="F102" s="296"/>
      <c r="G102" s="297"/>
      <c r="H102" s="280"/>
      <c r="I102" s="270"/>
    </row>
    <row r="103" spans="1:9">
      <c r="A103" s="287" t="s">
        <v>27</v>
      </c>
      <c r="B103" s="507" t="s">
        <v>103</v>
      </c>
      <c r="C103" s="508"/>
      <c r="D103" s="508"/>
      <c r="E103" s="508"/>
      <c r="F103" s="509"/>
      <c r="G103" s="298" t="s">
        <v>18</v>
      </c>
      <c r="H103" s="196"/>
      <c r="I103" s="201"/>
    </row>
    <row r="104" spans="1:9">
      <c r="A104" s="206" t="s">
        <v>8</v>
      </c>
      <c r="B104" s="510" t="s">
        <v>142</v>
      </c>
      <c r="C104" s="511"/>
      <c r="D104" s="511"/>
      <c r="E104" s="511"/>
      <c r="F104" s="512"/>
      <c r="G104" s="299">
        <v>0</v>
      </c>
      <c r="H104" s="196"/>
      <c r="I104" s="201"/>
    </row>
    <row r="105" spans="1:9">
      <c r="A105" s="598" t="s">
        <v>104</v>
      </c>
      <c r="B105" s="598"/>
      <c r="C105" s="598"/>
      <c r="D105" s="598"/>
      <c r="E105" s="598"/>
      <c r="F105" s="598"/>
      <c r="G105" s="300">
        <f>SUM(G104:G104)</f>
        <v>0</v>
      </c>
      <c r="H105" s="196"/>
      <c r="I105" s="201"/>
    </row>
    <row r="106" spans="1:9">
      <c r="A106" s="301"/>
      <c r="B106" s="302"/>
      <c r="C106" s="241"/>
      <c r="D106" s="58"/>
      <c r="E106" s="58"/>
      <c r="F106" s="58"/>
      <c r="G106" s="59"/>
      <c r="H106" s="196"/>
      <c r="I106" s="201"/>
    </row>
    <row r="107" spans="1:9">
      <c r="A107" s="599" t="s">
        <v>105</v>
      </c>
      <c r="B107" s="508"/>
      <c r="C107" s="508"/>
      <c r="D107" s="508"/>
      <c r="E107" s="508"/>
      <c r="F107" s="508"/>
      <c r="G107" s="600"/>
      <c r="H107" s="196"/>
      <c r="I107" s="201"/>
    </row>
    <row r="108" spans="1:9">
      <c r="A108" s="233" t="s">
        <v>106</v>
      </c>
      <c r="B108" s="601" t="s">
        <v>94</v>
      </c>
      <c r="C108" s="436"/>
      <c r="D108" s="436"/>
      <c r="E108" s="436"/>
      <c r="F108" s="437"/>
      <c r="G108" s="303" t="s">
        <v>18</v>
      </c>
      <c r="H108" s="196"/>
      <c r="I108" s="201"/>
    </row>
    <row r="109" spans="1:9">
      <c r="A109" s="304" t="s">
        <v>24</v>
      </c>
      <c r="B109" s="602" t="s">
        <v>107</v>
      </c>
      <c r="C109" s="603"/>
      <c r="D109" s="603"/>
      <c r="E109" s="603"/>
      <c r="F109" s="604"/>
      <c r="G109" s="305">
        <f>G101</f>
        <v>280.85999999999996</v>
      </c>
      <c r="H109" s="196"/>
      <c r="I109" s="201"/>
    </row>
    <row r="110" spans="1:9">
      <c r="A110" s="306" t="s">
        <v>27</v>
      </c>
      <c r="B110" s="605" t="s">
        <v>103</v>
      </c>
      <c r="C110" s="606"/>
      <c r="D110" s="606"/>
      <c r="E110" s="606"/>
      <c r="F110" s="607"/>
      <c r="G110" s="90">
        <f>G105</f>
        <v>0</v>
      </c>
      <c r="H110" s="198"/>
      <c r="I110" s="270"/>
    </row>
    <row r="111" spans="1:9">
      <c r="A111" s="597" t="s">
        <v>108</v>
      </c>
      <c r="B111" s="597"/>
      <c r="C111" s="597"/>
      <c r="D111" s="597"/>
      <c r="E111" s="597"/>
      <c r="F111" s="597"/>
      <c r="G111" s="307">
        <f>SUM(G109:G110)</f>
        <v>280.85999999999996</v>
      </c>
      <c r="H111" s="196"/>
      <c r="I111" s="201"/>
    </row>
    <row r="112" spans="1:9" ht="27" customHeight="1">
      <c r="A112" s="214" t="s">
        <v>75</v>
      </c>
      <c r="B112" s="560" t="s">
        <v>141</v>
      </c>
      <c r="C112" s="560"/>
      <c r="D112" s="560"/>
      <c r="E112" s="560"/>
      <c r="F112" s="560"/>
      <c r="G112" s="560"/>
      <c r="H112" s="196"/>
      <c r="I112" s="201"/>
    </row>
    <row r="113" spans="1:9">
      <c r="A113" s="308"/>
      <c r="B113" s="308"/>
      <c r="C113" s="308"/>
      <c r="D113" s="24"/>
      <c r="E113" s="241"/>
      <c r="F113" s="241"/>
      <c r="G113" s="241"/>
      <c r="H113" s="280"/>
      <c r="I113" s="270"/>
    </row>
    <row r="114" spans="1:9" ht="15.75">
      <c r="A114" s="595" t="s">
        <v>115</v>
      </c>
      <c r="B114" s="595"/>
      <c r="C114" s="595"/>
      <c r="D114" s="595"/>
      <c r="E114" s="595"/>
      <c r="F114" s="595"/>
      <c r="G114" s="595"/>
      <c r="H114" s="196"/>
      <c r="I114" s="201"/>
    </row>
    <row r="115" spans="1:9">
      <c r="A115" s="309"/>
      <c r="B115" s="596" t="s">
        <v>94</v>
      </c>
      <c r="C115" s="596"/>
      <c r="D115" s="596"/>
      <c r="E115" s="596"/>
      <c r="F115" s="596"/>
      <c r="G115" s="300" t="s">
        <v>18</v>
      </c>
      <c r="H115" s="196"/>
      <c r="I115" s="201"/>
    </row>
    <row r="116" spans="1:9">
      <c r="A116" s="310" t="s">
        <v>8</v>
      </c>
      <c r="B116" s="583" t="s">
        <v>116</v>
      </c>
      <c r="C116" s="583"/>
      <c r="D116" s="583"/>
      <c r="E116" s="583"/>
      <c r="F116" s="583"/>
      <c r="G116" s="311">
        <f>'UNIFORMES-EQUIP. SEGURANÇA  '!G12</f>
        <v>96.495833333333323</v>
      </c>
      <c r="H116" s="196"/>
      <c r="I116" s="201"/>
    </row>
    <row r="117" spans="1:9">
      <c r="A117" s="310" t="s">
        <v>10</v>
      </c>
      <c r="B117" s="486" t="s">
        <v>214</v>
      </c>
      <c r="C117" s="486"/>
      <c r="D117" s="486"/>
      <c r="E117" s="486"/>
      <c r="F117" s="486"/>
      <c r="G117" s="268">
        <f>'UNIFORMES-EQUIP. SEGURANÇA  '!G29</f>
        <v>172.21333333333334</v>
      </c>
      <c r="H117" s="196"/>
      <c r="I117" s="201"/>
    </row>
    <row r="118" spans="1:9">
      <c r="A118" s="310" t="s">
        <v>12</v>
      </c>
      <c r="B118" s="457" t="s">
        <v>220</v>
      </c>
      <c r="C118" s="514"/>
      <c r="D118" s="514"/>
      <c r="E118" s="514"/>
      <c r="F118" s="458"/>
      <c r="G118" s="268">
        <v>0</v>
      </c>
      <c r="H118" s="196"/>
      <c r="I118" s="201"/>
    </row>
    <row r="119" spans="1:9">
      <c r="A119" s="586" t="s">
        <v>117</v>
      </c>
      <c r="B119" s="586"/>
      <c r="C119" s="586"/>
      <c r="D119" s="586"/>
      <c r="E119" s="586"/>
      <c r="F119" s="586"/>
      <c r="G119" s="279">
        <f>SUM(G116:G118)</f>
        <v>268.70916666666665</v>
      </c>
      <c r="H119" s="262"/>
      <c r="I119" s="201"/>
    </row>
    <row r="120" spans="1:9">
      <c r="A120" s="24"/>
      <c r="B120" s="312"/>
      <c r="C120" s="312"/>
      <c r="D120" s="24"/>
      <c r="E120" s="241"/>
      <c r="F120" s="241"/>
      <c r="G120" s="313"/>
      <c r="H120" s="280"/>
      <c r="I120" s="270"/>
    </row>
    <row r="121" spans="1:9" ht="15.75">
      <c r="A121" s="595" t="s">
        <v>118</v>
      </c>
      <c r="B121" s="595"/>
      <c r="C121" s="595"/>
      <c r="D121" s="595"/>
      <c r="E121" s="595"/>
      <c r="F121" s="595"/>
      <c r="G121" s="595"/>
      <c r="H121" s="280"/>
      <c r="I121" s="270"/>
    </row>
    <row r="122" spans="1:9">
      <c r="A122" s="309"/>
      <c r="B122" s="596" t="s">
        <v>40</v>
      </c>
      <c r="C122" s="596"/>
      <c r="D122" s="596"/>
      <c r="E122" s="596"/>
      <c r="F122" s="300" t="s">
        <v>19</v>
      </c>
      <c r="G122" s="300" t="s">
        <v>18</v>
      </c>
      <c r="H122" s="280"/>
      <c r="I122" s="201"/>
    </row>
    <row r="123" spans="1:9" ht="36" customHeight="1">
      <c r="A123" s="457" t="s">
        <v>119</v>
      </c>
      <c r="B123" s="514"/>
      <c r="C123" s="514"/>
      <c r="D123" s="514"/>
      <c r="E123" s="514"/>
      <c r="F123" s="458"/>
      <c r="G123" s="314">
        <f>SUM(G36+G77+G87+G111+G119)</f>
        <v>3590.3791666666666</v>
      </c>
      <c r="H123" s="280"/>
      <c r="I123" s="201"/>
    </row>
    <row r="124" spans="1:9">
      <c r="A124" s="315" t="s">
        <v>8</v>
      </c>
      <c r="B124" s="588" t="s">
        <v>41</v>
      </c>
      <c r="C124" s="588"/>
      <c r="D124" s="588"/>
      <c r="E124" s="588"/>
      <c r="F124" s="316">
        <v>7.2900000000000006E-2</v>
      </c>
      <c r="G124" s="317">
        <f>ROUND(F124*G123,2)</f>
        <v>261.74</v>
      </c>
      <c r="H124" s="280"/>
      <c r="I124" s="201"/>
    </row>
    <row r="125" spans="1:9" ht="36" customHeight="1">
      <c r="A125" s="457" t="s">
        <v>120</v>
      </c>
      <c r="B125" s="514"/>
      <c r="C125" s="514"/>
      <c r="D125" s="514"/>
      <c r="E125" s="514"/>
      <c r="F125" s="458"/>
      <c r="G125" s="318">
        <f>SUM(G36+G77+G87+G111+G119+G124)</f>
        <v>3852.1191666666664</v>
      </c>
      <c r="H125" s="280"/>
      <c r="I125" s="270"/>
    </row>
    <row r="126" spans="1:9">
      <c r="A126" s="315" t="s">
        <v>10</v>
      </c>
      <c r="B126" s="588" t="s">
        <v>42</v>
      </c>
      <c r="C126" s="588"/>
      <c r="D126" s="588"/>
      <c r="E126" s="588"/>
      <c r="F126" s="316">
        <v>4.5400000000000003E-2</v>
      </c>
      <c r="G126" s="319">
        <f>ROUND(F126*G125,2)</f>
        <v>174.89</v>
      </c>
      <c r="H126" s="280"/>
      <c r="I126" s="270"/>
    </row>
    <row r="127" spans="1:9" ht="36.75" customHeight="1">
      <c r="A127" s="457" t="s">
        <v>121</v>
      </c>
      <c r="B127" s="514"/>
      <c r="C127" s="514"/>
      <c r="D127" s="514"/>
      <c r="E127" s="514"/>
      <c r="F127" s="458"/>
      <c r="G127" s="320">
        <f>SUM(G36+G77+G87+G111+G119+G124+G126)</f>
        <v>4027.0091666666663</v>
      </c>
      <c r="H127" s="280"/>
      <c r="I127" s="270"/>
    </row>
    <row r="128" spans="1:9">
      <c r="A128" s="321" t="s">
        <v>12</v>
      </c>
      <c r="B128" s="589" t="s">
        <v>43</v>
      </c>
      <c r="C128" s="590"/>
      <c r="D128" s="590"/>
      <c r="E128" s="590"/>
      <c r="F128" s="322">
        <f>SUM(F129:F132)</f>
        <v>0.1225</v>
      </c>
      <c r="G128" s="323">
        <f>SUM(G129:G132)</f>
        <v>562.18000000000006</v>
      </c>
      <c r="H128" s="591" t="s">
        <v>143</v>
      </c>
      <c r="I128" s="591"/>
    </row>
    <row r="129" spans="1:9">
      <c r="A129" s="592" t="s">
        <v>124</v>
      </c>
      <c r="B129" s="583" t="s">
        <v>127</v>
      </c>
      <c r="C129" s="583"/>
      <c r="D129" s="585" t="s">
        <v>29</v>
      </c>
      <c r="E129" s="585"/>
      <c r="F129" s="324">
        <f>IF(E8=1,0.0165,IF(E8=2,0.0065,IF(E8=3,I131,IF(E8=4,I131,¨RT Indefinido¨))))</f>
        <v>1.6500000000000001E-2</v>
      </c>
      <c r="G129" s="314">
        <f>ROUND(($G$127/(1-$F$128))*F129,2)</f>
        <v>75.72</v>
      </c>
      <c r="H129" s="325" t="s">
        <v>144</v>
      </c>
      <c r="I129" s="325" t="s">
        <v>145</v>
      </c>
    </row>
    <row r="130" spans="1:9">
      <c r="A130" s="593"/>
      <c r="B130" s="583"/>
      <c r="C130" s="583"/>
      <c r="D130" s="594" t="s">
        <v>122</v>
      </c>
      <c r="E130" s="594"/>
      <c r="F130" s="324">
        <f>IF(E8=1,0.076,IF(E8=2,0.03,IF(E8=3,I130,IF(E8=4,I130,¨RT Indefinido¨))))</f>
        <v>7.5999999999999998E-2</v>
      </c>
      <c r="G130" s="314">
        <f>ROUND(($G$127/(1-$F$128))*F130,2)</f>
        <v>348.78</v>
      </c>
      <c r="H130" s="326" t="s">
        <v>122</v>
      </c>
      <c r="I130" s="327">
        <v>0</v>
      </c>
    </row>
    <row r="131" spans="1:9">
      <c r="A131" s="328" t="s">
        <v>125</v>
      </c>
      <c r="B131" s="583" t="s">
        <v>128</v>
      </c>
      <c r="C131" s="583"/>
      <c r="D131" s="584" t="s">
        <v>130</v>
      </c>
      <c r="E131" s="585"/>
      <c r="F131" s="324">
        <v>0</v>
      </c>
      <c r="G131" s="314">
        <v>0</v>
      </c>
      <c r="H131" s="326" t="s">
        <v>29</v>
      </c>
      <c r="I131" s="327">
        <v>0</v>
      </c>
    </row>
    <row r="132" spans="1:9">
      <c r="A132" s="328" t="s">
        <v>126</v>
      </c>
      <c r="B132" s="583" t="s">
        <v>129</v>
      </c>
      <c r="C132" s="583"/>
      <c r="D132" s="585" t="s">
        <v>123</v>
      </c>
      <c r="E132" s="585"/>
      <c r="F132" s="329">
        <v>0.03</v>
      </c>
      <c r="G132" s="268">
        <f>ROUND(($G$127/(1-$F$128))*F132,2)</f>
        <v>137.68</v>
      </c>
      <c r="H132" s="326" t="s">
        <v>146</v>
      </c>
      <c r="I132" s="327">
        <v>0</v>
      </c>
    </row>
    <row r="133" spans="1:9">
      <c r="A133" s="586" t="s">
        <v>131</v>
      </c>
      <c r="B133" s="586"/>
      <c r="C133" s="586"/>
      <c r="D133" s="586"/>
      <c r="E133" s="586"/>
      <c r="F133" s="586"/>
      <c r="G133" s="330">
        <f>SUM(G124+G126+G128)</f>
        <v>998.81000000000006</v>
      </c>
      <c r="H133" s="198"/>
      <c r="I133" s="270"/>
    </row>
    <row r="134" spans="1:9">
      <c r="A134" s="331" t="s">
        <v>77</v>
      </c>
      <c r="B134" s="587" t="s">
        <v>132</v>
      </c>
      <c r="C134" s="587"/>
      <c r="D134" s="587"/>
      <c r="E134" s="587"/>
      <c r="F134" s="587"/>
      <c r="G134" s="587"/>
      <c r="H134" s="198"/>
      <c r="I134" s="270"/>
    </row>
    <row r="135" spans="1:9" ht="15" customHeight="1">
      <c r="A135" s="581" t="s">
        <v>248</v>
      </c>
      <c r="B135" s="538" t="s">
        <v>133</v>
      </c>
      <c r="C135" s="539" t="s">
        <v>227</v>
      </c>
      <c r="D135" s="540"/>
      <c r="E135" s="545" t="s">
        <v>134</v>
      </c>
      <c r="F135" s="111"/>
      <c r="G135" s="112"/>
      <c r="H135" s="198"/>
      <c r="I135" s="270"/>
    </row>
    <row r="136" spans="1:9">
      <c r="A136" s="581"/>
      <c r="B136" s="538"/>
      <c r="C136" s="541"/>
      <c r="D136" s="542"/>
      <c r="E136" s="546"/>
      <c r="F136" s="113"/>
      <c r="G136" s="114"/>
      <c r="H136" s="198"/>
      <c r="I136" s="270"/>
    </row>
    <row r="137" spans="1:9" ht="15" customHeight="1">
      <c r="A137" s="581"/>
      <c r="B137" s="538"/>
      <c r="C137" s="543"/>
      <c r="D137" s="544"/>
      <c r="E137" s="547"/>
      <c r="F137" s="115"/>
      <c r="G137" s="116"/>
      <c r="H137" s="198"/>
      <c r="I137" s="270"/>
    </row>
    <row r="138" spans="1:9">
      <c r="A138" s="332"/>
      <c r="B138" s="87"/>
      <c r="C138" s="87"/>
      <c r="D138" s="87"/>
      <c r="E138" s="333"/>
      <c r="F138" s="334"/>
      <c r="G138" s="335"/>
      <c r="H138" s="198"/>
      <c r="I138" s="270"/>
    </row>
    <row r="139" spans="1:9">
      <c r="A139" s="582" t="s">
        <v>180</v>
      </c>
      <c r="B139" s="582"/>
      <c r="C139" s="582"/>
      <c r="D139" s="582"/>
      <c r="E139" s="582"/>
      <c r="F139" s="582"/>
      <c r="G139" s="582"/>
      <c r="H139" s="196"/>
      <c r="I139" s="201"/>
    </row>
    <row r="140" spans="1:9">
      <c r="A140" s="577" t="s">
        <v>181</v>
      </c>
      <c r="B140" s="577"/>
      <c r="C140" s="577"/>
      <c r="D140" s="577"/>
      <c r="E140" s="577"/>
      <c r="F140" s="577"/>
      <c r="G140" s="336" t="s">
        <v>90</v>
      </c>
      <c r="H140" s="196"/>
      <c r="I140" s="201"/>
    </row>
    <row r="141" spans="1:9">
      <c r="A141" s="337" t="s">
        <v>8</v>
      </c>
      <c r="B141" s="578" t="s">
        <v>50</v>
      </c>
      <c r="C141" s="579"/>
      <c r="D141" s="579"/>
      <c r="E141" s="579"/>
      <c r="F141" s="580"/>
      <c r="G141" s="267">
        <f>G36</f>
        <v>1716</v>
      </c>
      <c r="H141" s="196"/>
      <c r="I141" s="201"/>
    </row>
    <row r="142" spans="1:9">
      <c r="A142" s="337" t="s">
        <v>10</v>
      </c>
      <c r="B142" s="578" t="s">
        <v>135</v>
      </c>
      <c r="C142" s="579"/>
      <c r="D142" s="579"/>
      <c r="E142" s="579"/>
      <c r="F142" s="580"/>
      <c r="G142" s="267">
        <f>G77</f>
        <v>1206.52</v>
      </c>
      <c r="H142" s="196"/>
      <c r="I142" s="201"/>
    </row>
    <row r="143" spans="1:9">
      <c r="A143" s="337" t="s">
        <v>12</v>
      </c>
      <c r="B143" s="578" t="s">
        <v>45</v>
      </c>
      <c r="C143" s="579"/>
      <c r="D143" s="579"/>
      <c r="E143" s="579"/>
      <c r="F143" s="580"/>
      <c r="G143" s="267">
        <f>G87</f>
        <v>118.28999999999999</v>
      </c>
      <c r="H143" s="196"/>
      <c r="I143" s="201"/>
    </row>
    <row r="144" spans="1:9">
      <c r="A144" s="337" t="s">
        <v>13</v>
      </c>
      <c r="B144" s="578" t="s">
        <v>46</v>
      </c>
      <c r="C144" s="579"/>
      <c r="D144" s="579"/>
      <c r="E144" s="579"/>
      <c r="F144" s="580"/>
      <c r="G144" s="267">
        <f>G111</f>
        <v>280.85999999999996</v>
      </c>
      <c r="H144" s="198"/>
      <c r="I144" s="270"/>
    </row>
    <row r="145" spans="1:9">
      <c r="A145" s="328" t="s">
        <v>20</v>
      </c>
      <c r="B145" s="578" t="s">
        <v>47</v>
      </c>
      <c r="C145" s="579"/>
      <c r="D145" s="579"/>
      <c r="E145" s="579"/>
      <c r="F145" s="580"/>
      <c r="G145" s="267">
        <f>G119</f>
        <v>268.70916666666665</v>
      </c>
      <c r="H145" s="198"/>
      <c r="I145" s="270"/>
    </row>
    <row r="146" spans="1:9">
      <c r="A146" s="569" t="s">
        <v>44</v>
      </c>
      <c r="B146" s="570"/>
      <c r="C146" s="570"/>
      <c r="D146" s="570"/>
      <c r="E146" s="570"/>
      <c r="F146" s="571"/>
      <c r="G146" s="338">
        <f>SUM(G141:G145)</f>
        <v>3590.3791666666666</v>
      </c>
      <c r="H146" s="198"/>
      <c r="I146" s="270"/>
    </row>
    <row r="147" spans="1:9">
      <c r="A147" s="339" t="s">
        <v>21</v>
      </c>
      <c r="B147" s="572" t="s">
        <v>49</v>
      </c>
      <c r="C147" s="573"/>
      <c r="D147" s="573"/>
      <c r="E147" s="573"/>
      <c r="F147" s="574"/>
      <c r="G147" s="340">
        <f>G133</f>
        <v>998.81000000000006</v>
      </c>
      <c r="H147" s="198"/>
      <c r="I147" s="270"/>
    </row>
    <row r="148" spans="1:9">
      <c r="A148" s="575" t="s">
        <v>233</v>
      </c>
      <c r="B148" s="575"/>
      <c r="C148" s="575"/>
      <c r="D148" s="575"/>
      <c r="E148" s="575"/>
      <c r="F148" s="575"/>
      <c r="G148" s="341">
        <f>TRUNC(ROUND(SUM(G146:G147),2),2)</f>
        <v>4589.1899999999996</v>
      </c>
      <c r="H148" s="262"/>
      <c r="I148" s="201"/>
    </row>
    <row r="149" spans="1:9" ht="15.75">
      <c r="A149" s="576" t="s">
        <v>234</v>
      </c>
      <c r="B149" s="576"/>
      <c r="C149" s="576"/>
      <c r="D149" s="576"/>
      <c r="E149" s="576"/>
      <c r="F149" s="576"/>
      <c r="G149" s="342">
        <f>G148*F16</f>
        <v>4589.1899999999996</v>
      </c>
    </row>
  </sheetData>
  <mergeCells count="178">
    <mergeCell ref="B118:F118"/>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C22"/>
    <mergeCell ref="D22:G22"/>
    <mergeCell ref="B25:C25"/>
    <mergeCell ref="D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8:D48"/>
    <mergeCell ref="E48:F48"/>
    <mergeCell ref="B49:D49"/>
    <mergeCell ref="E49:F49"/>
    <mergeCell ref="B50:D50"/>
    <mergeCell ref="E50:F50"/>
    <mergeCell ref="B42:F42"/>
    <mergeCell ref="A43:F43"/>
    <mergeCell ref="B44:G44"/>
    <mergeCell ref="B46:G46"/>
    <mergeCell ref="B47:D47"/>
    <mergeCell ref="E47:F47"/>
    <mergeCell ref="B54:D54"/>
    <mergeCell ref="E54:F54"/>
    <mergeCell ref="B55:D55"/>
    <mergeCell ref="E55:F55"/>
    <mergeCell ref="A56:D56"/>
    <mergeCell ref="E56:F56"/>
    <mergeCell ref="B51:D51"/>
    <mergeCell ref="E51:F51"/>
    <mergeCell ref="B52:D52"/>
    <mergeCell ref="E52:F52"/>
    <mergeCell ref="B53:D53"/>
    <mergeCell ref="E53:F53"/>
    <mergeCell ref="B57:G57"/>
    <mergeCell ref="B58:G58"/>
    <mergeCell ref="B60:G60"/>
    <mergeCell ref="B61:F61"/>
    <mergeCell ref="A62:A65"/>
    <mergeCell ref="B62:B65"/>
    <mergeCell ref="C62:D62"/>
    <mergeCell ref="E62:F62"/>
    <mergeCell ref="G62:G65"/>
    <mergeCell ref="C63:D63"/>
    <mergeCell ref="E63:F63"/>
    <mergeCell ref="C64:D64"/>
    <mergeCell ref="E64:F64"/>
    <mergeCell ref="C65:D65"/>
    <mergeCell ref="E65:F65"/>
    <mergeCell ref="A66:A67"/>
    <mergeCell ref="B66:B67"/>
    <mergeCell ref="C66:D66"/>
    <mergeCell ref="E66:F66"/>
    <mergeCell ref="A69:F69"/>
    <mergeCell ref="B70:G70"/>
    <mergeCell ref="A72:G72"/>
    <mergeCell ref="B73:F73"/>
    <mergeCell ref="B74:F74"/>
    <mergeCell ref="B75:F75"/>
    <mergeCell ref="G66:G67"/>
    <mergeCell ref="C67:D67"/>
    <mergeCell ref="E67:F67"/>
    <mergeCell ref="B68:F68"/>
    <mergeCell ref="B83:F83"/>
    <mergeCell ref="B84:F84"/>
    <mergeCell ref="B85:F85"/>
    <mergeCell ref="B86:F86"/>
    <mergeCell ref="A87:F87"/>
    <mergeCell ref="A89:G89"/>
    <mergeCell ref="B76:F76"/>
    <mergeCell ref="A77:F77"/>
    <mergeCell ref="A79:G79"/>
    <mergeCell ref="B80:F80"/>
    <mergeCell ref="B81:F81"/>
    <mergeCell ref="B82:F82"/>
    <mergeCell ref="B97:F97"/>
    <mergeCell ref="B98:F98"/>
    <mergeCell ref="B99:F99"/>
    <mergeCell ref="B100:F100"/>
    <mergeCell ref="A101:F101"/>
    <mergeCell ref="B103:F103"/>
    <mergeCell ref="A90:G90"/>
    <mergeCell ref="A92:D92"/>
    <mergeCell ref="E92:F92"/>
    <mergeCell ref="B94:F94"/>
    <mergeCell ref="B95:F95"/>
    <mergeCell ref="B96:F96"/>
    <mergeCell ref="A111:F111"/>
    <mergeCell ref="B112:G112"/>
    <mergeCell ref="A114:G114"/>
    <mergeCell ref="B115:F115"/>
    <mergeCell ref="B116:F116"/>
    <mergeCell ref="B117:F117"/>
    <mergeCell ref="B104:F104"/>
    <mergeCell ref="A105:F105"/>
    <mergeCell ref="A107:G107"/>
    <mergeCell ref="B108:F108"/>
    <mergeCell ref="B109:F109"/>
    <mergeCell ref="B110:F110"/>
    <mergeCell ref="B126:E126"/>
    <mergeCell ref="A127:F127"/>
    <mergeCell ref="B128:E128"/>
    <mergeCell ref="H128:I128"/>
    <mergeCell ref="A129:A130"/>
    <mergeCell ref="B129:C130"/>
    <mergeCell ref="D129:E129"/>
    <mergeCell ref="D130:E130"/>
    <mergeCell ref="A119:F119"/>
    <mergeCell ref="A121:G121"/>
    <mergeCell ref="B122:E122"/>
    <mergeCell ref="A123:F123"/>
    <mergeCell ref="B124:E124"/>
    <mergeCell ref="A125:F125"/>
    <mergeCell ref="A135:A137"/>
    <mergeCell ref="B135:B137"/>
    <mergeCell ref="A139:G139"/>
    <mergeCell ref="B131:C131"/>
    <mergeCell ref="D131:E131"/>
    <mergeCell ref="B132:C132"/>
    <mergeCell ref="D132:E132"/>
    <mergeCell ref="A133:F133"/>
    <mergeCell ref="B134:G134"/>
    <mergeCell ref="C135:D137"/>
    <mergeCell ref="E135:E137"/>
    <mergeCell ref="A146:F146"/>
    <mergeCell ref="B147:F147"/>
    <mergeCell ref="A148:F148"/>
    <mergeCell ref="A149:F149"/>
    <mergeCell ref="A140:F140"/>
    <mergeCell ref="B141:F141"/>
    <mergeCell ref="B142:F142"/>
    <mergeCell ref="B143:F143"/>
    <mergeCell ref="B144:F144"/>
    <mergeCell ref="B145:F145"/>
  </mergeCells>
  <pageMargins left="0.51181102362204722" right="0.51181102362204722" top="0.78740157480314965" bottom="0.78740157480314965" header="0.31496062992125984" footer="0.31496062992125984"/>
  <pageSetup paperSize="9" scale="60" orientation="portrait" r:id="rId1"/>
  <headerFooter>
    <oddHeader>&amp;L&amp;F</oddHeader>
    <oddFooter>&amp;L&amp;F&amp;C&amp;A&amp;R&amp;P de &amp;N</oddFooter>
  </headerFooter>
  <rowBreaks count="2" manualBreakCount="2">
    <brk id="71" max="8" man="1"/>
    <brk id="138"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715" t="s">
        <v>202</v>
      </c>
      <c r="B1" s="715"/>
      <c r="C1" s="715"/>
      <c r="D1" s="715"/>
      <c r="E1" s="715"/>
      <c r="F1" s="715"/>
      <c r="G1" s="715"/>
    </row>
    <row r="2" spans="1:7" ht="15.75">
      <c r="A2" s="716" t="s">
        <v>238</v>
      </c>
      <c r="B2" s="716"/>
      <c r="C2" s="716"/>
      <c r="D2" s="716"/>
      <c r="E2" s="716"/>
      <c r="F2" s="716"/>
      <c r="G2" s="716"/>
    </row>
    <row r="3" spans="1:7">
      <c r="A3" s="717" t="s">
        <v>51</v>
      </c>
      <c r="B3" s="717" t="s">
        <v>109</v>
      </c>
      <c r="C3" s="718" t="s">
        <v>110</v>
      </c>
      <c r="D3" s="718" t="s">
        <v>111</v>
      </c>
      <c r="E3" s="717" t="s">
        <v>112</v>
      </c>
      <c r="F3" s="718" t="s">
        <v>179</v>
      </c>
      <c r="G3" s="718" t="s">
        <v>113</v>
      </c>
    </row>
    <row r="4" spans="1:7">
      <c r="A4" s="717"/>
      <c r="B4" s="717"/>
      <c r="C4" s="718"/>
      <c r="D4" s="718"/>
      <c r="E4" s="717"/>
      <c r="F4" s="718"/>
      <c r="G4" s="718"/>
    </row>
    <row r="5" spans="1:7" ht="49.5" customHeight="1">
      <c r="A5" s="142" t="s">
        <v>194</v>
      </c>
      <c r="B5" s="134" t="s">
        <v>184</v>
      </c>
      <c r="C5" s="343" t="s">
        <v>30</v>
      </c>
      <c r="D5" s="344">
        <v>87.63</v>
      </c>
      <c r="E5" s="345">
        <v>12</v>
      </c>
      <c r="F5" s="346">
        <v>2</v>
      </c>
      <c r="G5" s="347">
        <f>(D5*F5)/12</f>
        <v>14.604999999999999</v>
      </c>
    </row>
    <row r="6" spans="1:7" ht="75">
      <c r="A6" s="142" t="s">
        <v>195</v>
      </c>
      <c r="B6" s="64" t="s">
        <v>184</v>
      </c>
      <c r="C6" s="343" t="s">
        <v>196</v>
      </c>
      <c r="D6" s="348">
        <v>76.17</v>
      </c>
      <c r="E6" s="343">
        <v>12</v>
      </c>
      <c r="F6" s="346">
        <v>3</v>
      </c>
      <c r="G6" s="347">
        <f t="shared" ref="G6:G11" si="0">(D6*F6)/12</f>
        <v>19.0425</v>
      </c>
    </row>
    <row r="7" spans="1:7" ht="60">
      <c r="A7" s="142" t="s">
        <v>197</v>
      </c>
      <c r="B7" s="64" t="s">
        <v>184</v>
      </c>
      <c r="C7" s="343" t="s">
        <v>30</v>
      </c>
      <c r="D7" s="348">
        <v>42.17</v>
      </c>
      <c r="E7" s="343">
        <v>12</v>
      </c>
      <c r="F7" s="346">
        <v>4</v>
      </c>
      <c r="G7" s="347">
        <f t="shared" si="0"/>
        <v>14.056666666666667</v>
      </c>
    </row>
    <row r="8" spans="1:7" ht="60">
      <c r="A8" s="142" t="s">
        <v>198</v>
      </c>
      <c r="B8" s="64" t="s">
        <v>184</v>
      </c>
      <c r="C8" s="343" t="s">
        <v>30</v>
      </c>
      <c r="D8" s="348">
        <v>34.880000000000003</v>
      </c>
      <c r="E8" s="343">
        <v>12</v>
      </c>
      <c r="F8" s="346">
        <v>6</v>
      </c>
      <c r="G8" s="347">
        <f t="shared" si="0"/>
        <v>17.440000000000001</v>
      </c>
    </row>
    <row r="9" spans="1:7" ht="45">
      <c r="A9" s="142" t="s">
        <v>199</v>
      </c>
      <c r="B9" s="64" t="s">
        <v>184</v>
      </c>
      <c r="C9" s="343" t="s">
        <v>30</v>
      </c>
      <c r="D9" s="348">
        <v>20.21</v>
      </c>
      <c r="E9" s="343">
        <v>12</v>
      </c>
      <c r="F9" s="346">
        <v>6</v>
      </c>
      <c r="G9" s="347">
        <f t="shared" si="0"/>
        <v>10.105</v>
      </c>
    </row>
    <row r="10" spans="1:7" ht="106.5" customHeight="1">
      <c r="A10" s="142" t="s">
        <v>200</v>
      </c>
      <c r="B10" s="64" t="s">
        <v>184</v>
      </c>
      <c r="C10" s="343" t="s">
        <v>30</v>
      </c>
      <c r="D10" s="348">
        <v>96.98</v>
      </c>
      <c r="E10" s="343">
        <v>12</v>
      </c>
      <c r="F10" s="346">
        <v>2</v>
      </c>
      <c r="G10" s="347">
        <f t="shared" si="0"/>
        <v>16.163333333333334</v>
      </c>
    </row>
    <row r="11" spans="1:7" ht="132.75" customHeight="1">
      <c r="A11" s="142" t="s">
        <v>201</v>
      </c>
      <c r="B11" s="64" t="s">
        <v>184</v>
      </c>
      <c r="C11" s="343" t="s">
        <v>30</v>
      </c>
      <c r="D11" s="348">
        <v>30.5</v>
      </c>
      <c r="E11" s="343">
        <v>12</v>
      </c>
      <c r="F11" s="346">
        <v>2</v>
      </c>
      <c r="G11" s="347">
        <f t="shared" si="0"/>
        <v>5.083333333333333</v>
      </c>
    </row>
    <row r="12" spans="1:7">
      <c r="A12" s="713" t="s">
        <v>182</v>
      </c>
      <c r="B12" s="713"/>
      <c r="C12" s="713"/>
      <c r="D12" s="713"/>
      <c r="E12" s="713"/>
      <c r="F12" s="713"/>
      <c r="G12" s="349">
        <f>SUM(G5:G11)</f>
        <v>96.495833333333323</v>
      </c>
    </row>
    <row r="13" spans="1:7">
      <c r="A13" s="714" t="s">
        <v>114</v>
      </c>
      <c r="B13" s="714"/>
      <c r="C13" s="714"/>
      <c r="D13" s="714"/>
      <c r="E13" s="714"/>
      <c r="F13" s="714"/>
      <c r="G13" s="714"/>
    </row>
    <row r="14" spans="1:7">
      <c r="A14" s="350"/>
      <c r="B14" s="350"/>
      <c r="C14" s="350"/>
      <c r="D14" s="350"/>
      <c r="E14" s="350"/>
      <c r="F14" s="350"/>
      <c r="G14" s="350"/>
    </row>
    <row r="15" spans="1:7" ht="15.75">
      <c r="A15" s="715" t="s">
        <v>203</v>
      </c>
      <c r="B15" s="715"/>
      <c r="C15" s="715"/>
      <c r="D15" s="715"/>
      <c r="E15" s="715"/>
      <c r="F15" s="715"/>
      <c r="G15" s="715"/>
    </row>
    <row r="16" spans="1:7" ht="15.75">
      <c r="A16" s="716" t="str">
        <f>A2</f>
        <v>Postos de Trabalho: Trabalhador da Manutenção de Edificações e Eletricista de Instalação</v>
      </c>
      <c r="B16" s="716"/>
      <c r="C16" s="716"/>
      <c r="D16" s="716"/>
      <c r="E16" s="716"/>
      <c r="F16" s="716"/>
      <c r="G16" s="716"/>
    </row>
    <row r="17" spans="1:7">
      <c r="A17" s="717" t="s">
        <v>51</v>
      </c>
      <c r="B17" s="717" t="s">
        <v>109</v>
      </c>
      <c r="C17" s="718" t="s">
        <v>110</v>
      </c>
      <c r="D17" s="718" t="s">
        <v>111</v>
      </c>
      <c r="E17" s="717" t="s">
        <v>112</v>
      </c>
      <c r="F17" s="718" t="s">
        <v>179</v>
      </c>
      <c r="G17" s="718" t="s">
        <v>113</v>
      </c>
    </row>
    <row r="18" spans="1:7">
      <c r="A18" s="717"/>
      <c r="B18" s="717"/>
      <c r="C18" s="718"/>
      <c r="D18" s="718"/>
      <c r="E18" s="717"/>
      <c r="F18" s="718"/>
      <c r="G18" s="718"/>
    </row>
    <row r="19" spans="1:7" ht="195">
      <c r="A19" s="142" t="s">
        <v>204</v>
      </c>
      <c r="B19" s="134" t="s">
        <v>184</v>
      </c>
      <c r="C19" s="343" t="s">
        <v>30</v>
      </c>
      <c r="D19" s="344">
        <v>164.29</v>
      </c>
      <c r="E19" s="345">
        <v>12</v>
      </c>
      <c r="F19" s="346">
        <v>1</v>
      </c>
      <c r="G19" s="347">
        <f>(D19*F19)/E19</f>
        <v>13.690833333333332</v>
      </c>
    </row>
    <row r="20" spans="1:7" ht="135">
      <c r="A20" s="142" t="s">
        <v>205</v>
      </c>
      <c r="B20" s="64" t="s">
        <v>184</v>
      </c>
      <c r="C20" s="343" t="s">
        <v>196</v>
      </c>
      <c r="D20" s="348">
        <v>436.3</v>
      </c>
      <c r="E20" s="343">
        <v>12</v>
      </c>
      <c r="F20" s="346">
        <v>1</v>
      </c>
      <c r="G20" s="347">
        <f t="shared" ref="G20:G28" si="1">(D20*F20)/E20</f>
        <v>36.358333333333334</v>
      </c>
    </row>
    <row r="21" spans="1:7" ht="195">
      <c r="A21" s="143" t="s">
        <v>206</v>
      </c>
      <c r="B21" s="64" t="s">
        <v>184</v>
      </c>
      <c r="C21" s="343" t="s">
        <v>196</v>
      </c>
      <c r="D21" s="348">
        <v>26.36</v>
      </c>
      <c r="E21" s="343">
        <v>12</v>
      </c>
      <c r="F21" s="346">
        <v>1</v>
      </c>
      <c r="G21" s="347">
        <f t="shared" si="1"/>
        <v>2.1966666666666668</v>
      </c>
    </row>
    <row r="22" spans="1:7" ht="105.75" customHeight="1">
      <c r="A22" s="142" t="s">
        <v>207</v>
      </c>
      <c r="B22" s="64" t="s">
        <v>184</v>
      </c>
      <c r="C22" s="343" t="s">
        <v>196</v>
      </c>
      <c r="D22" s="348">
        <v>270.93</v>
      </c>
      <c r="E22" s="343">
        <v>12</v>
      </c>
      <c r="F22" s="346">
        <v>1</v>
      </c>
      <c r="G22" s="347">
        <f t="shared" si="1"/>
        <v>22.577500000000001</v>
      </c>
    </row>
    <row r="23" spans="1:7" ht="90">
      <c r="A23" s="142" t="s">
        <v>208</v>
      </c>
      <c r="B23" s="64" t="s">
        <v>184</v>
      </c>
      <c r="C23" s="343" t="s">
        <v>196</v>
      </c>
      <c r="D23" s="348">
        <v>7.5</v>
      </c>
      <c r="E23" s="343">
        <v>12</v>
      </c>
      <c r="F23" s="346">
        <v>10</v>
      </c>
      <c r="G23" s="347">
        <f t="shared" si="1"/>
        <v>6.25</v>
      </c>
    </row>
    <row r="24" spans="1:7" ht="90">
      <c r="A24" s="142" t="s">
        <v>209</v>
      </c>
      <c r="B24" s="64" t="s">
        <v>184</v>
      </c>
      <c r="C24" s="343" t="s">
        <v>196</v>
      </c>
      <c r="D24" s="348">
        <v>6.6</v>
      </c>
      <c r="E24" s="343">
        <v>12</v>
      </c>
      <c r="F24" s="346">
        <v>8</v>
      </c>
      <c r="G24" s="347">
        <f t="shared" si="1"/>
        <v>4.3999999999999995</v>
      </c>
    </row>
    <row r="25" spans="1:7" ht="150">
      <c r="A25" s="142" t="s">
        <v>210</v>
      </c>
      <c r="B25" s="64" t="s">
        <v>184</v>
      </c>
      <c r="C25" s="343" t="s">
        <v>30</v>
      </c>
      <c r="D25" s="348">
        <v>73.52</v>
      </c>
      <c r="E25" s="343">
        <v>12</v>
      </c>
      <c r="F25" s="346">
        <v>1</v>
      </c>
      <c r="G25" s="347">
        <f t="shared" si="1"/>
        <v>6.126666666666666</v>
      </c>
    </row>
    <row r="26" spans="1:7" ht="135">
      <c r="A26" s="142" t="s">
        <v>211</v>
      </c>
      <c r="B26" s="64" t="s">
        <v>184</v>
      </c>
      <c r="C26" s="343" t="s">
        <v>30</v>
      </c>
      <c r="D26" s="348">
        <v>6.07</v>
      </c>
      <c r="E26" s="343">
        <v>12</v>
      </c>
      <c r="F26" s="346">
        <v>4</v>
      </c>
      <c r="G26" s="347">
        <f t="shared" si="1"/>
        <v>2.0233333333333334</v>
      </c>
    </row>
    <row r="27" spans="1:7" ht="74.25" customHeight="1">
      <c r="A27" s="142" t="s">
        <v>212</v>
      </c>
      <c r="B27" s="64" t="s">
        <v>184</v>
      </c>
      <c r="C27" s="343" t="s">
        <v>30</v>
      </c>
      <c r="D27" s="348">
        <v>29.44</v>
      </c>
      <c r="E27" s="343">
        <v>12</v>
      </c>
      <c r="F27" s="346">
        <v>6</v>
      </c>
      <c r="G27" s="347">
        <f t="shared" si="1"/>
        <v>14.72</v>
      </c>
    </row>
    <row r="28" spans="1:7" ht="74.25" customHeight="1">
      <c r="A28" s="142" t="s">
        <v>213</v>
      </c>
      <c r="B28" s="64" t="s">
        <v>184</v>
      </c>
      <c r="C28" s="343" t="s">
        <v>30</v>
      </c>
      <c r="D28" s="348">
        <v>63.87</v>
      </c>
      <c r="E28" s="343">
        <v>12</v>
      </c>
      <c r="F28" s="346">
        <v>12</v>
      </c>
      <c r="G28" s="347">
        <f t="shared" si="1"/>
        <v>63.87</v>
      </c>
    </row>
    <row r="29" spans="1:7">
      <c r="A29" s="713" t="s">
        <v>182</v>
      </c>
      <c r="B29" s="713"/>
      <c r="C29" s="713"/>
      <c r="D29" s="713"/>
      <c r="E29" s="713"/>
      <c r="F29" s="713"/>
      <c r="G29" s="349">
        <f>SUM(G19:G28)</f>
        <v>172.21333333333334</v>
      </c>
    </row>
    <row r="30" spans="1:7">
      <c r="A30" s="714" t="s">
        <v>114</v>
      </c>
      <c r="B30" s="714"/>
      <c r="C30" s="714"/>
      <c r="D30" s="714"/>
      <c r="E30" s="714"/>
      <c r="F30" s="714"/>
      <c r="G30" s="714"/>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5"/>
  <sheetViews>
    <sheetView tabSelected="1" zoomScaleNormal="100" workbookViewId="0">
      <selection activeCell="I19" sqref="I19:I20"/>
    </sheetView>
  </sheetViews>
  <sheetFormatPr defaultRowHeight="12"/>
  <cols>
    <col min="1" max="1" width="11.7109375" style="1" customWidth="1"/>
    <col min="2" max="2" width="13.85546875" style="1" customWidth="1"/>
    <col min="3" max="3" width="24.710937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14" width="9.140625" style="1"/>
    <col min="15" max="15" width="0" style="1" hidden="1" customWidth="1"/>
    <col min="16"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724" t="s">
        <v>53</v>
      </c>
      <c r="B1" s="724"/>
      <c r="C1" s="724"/>
      <c r="D1" s="724"/>
      <c r="E1" s="724"/>
      <c r="F1" s="724"/>
      <c r="G1" s="724"/>
      <c r="H1" s="724"/>
      <c r="I1" s="724"/>
    </row>
    <row r="2" spans="1:9" ht="12.75">
      <c r="A2" s="724" t="s">
        <v>148</v>
      </c>
      <c r="B2" s="724"/>
      <c r="C2" s="724"/>
      <c r="D2" s="724"/>
      <c r="E2" s="724"/>
      <c r="F2" s="724"/>
      <c r="G2" s="724"/>
      <c r="H2" s="724"/>
      <c r="I2" s="724"/>
    </row>
    <row r="3" spans="1:9" ht="12.75">
      <c r="A3" s="119"/>
      <c r="B3" s="119"/>
      <c r="C3" s="119"/>
      <c r="D3" s="119"/>
      <c r="E3" s="119"/>
      <c r="F3" s="119"/>
      <c r="G3" s="119"/>
      <c r="H3" s="119"/>
      <c r="I3" s="119"/>
    </row>
    <row r="4" spans="1:9" ht="44.25" customHeight="1">
      <c r="A4" s="725" t="s">
        <v>149</v>
      </c>
      <c r="B4" s="725"/>
      <c r="C4" s="725"/>
      <c r="D4" s="725" t="s">
        <v>174</v>
      </c>
      <c r="E4" s="725"/>
      <c r="F4" s="725" t="s">
        <v>150</v>
      </c>
      <c r="G4" s="725"/>
      <c r="H4" s="725" t="s">
        <v>175</v>
      </c>
      <c r="I4" s="725"/>
    </row>
    <row r="5" spans="1:9" ht="39" customHeight="1">
      <c r="A5" s="120" t="s">
        <v>151</v>
      </c>
      <c r="B5" s="738" t="str">
        <f>'MANUTENÇÃO DE EDIFICAÇÕES - 44h'!A16</f>
        <v>Apoio Administrativo - Trabalhador da Manutenção de Edificações - 44hs semanais - SÃO BORJA</v>
      </c>
      <c r="C5" s="739"/>
      <c r="D5" s="722">
        <f>'MANUTENÇÃO DE EDIFICAÇÕES - 44h'!G148</f>
        <v>4589.1899999999996</v>
      </c>
      <c r="E5" s="723"/>
      <c r="F5" s="735">
        <f>'MANUTENÇÃO DE EDIFICAÇÕES - 44h'!F16</f>
        <v>1</v>
      </c>
      <c r="G5" s="736"/>
      <c r="H5" s="722">
        <f>D5*F5</f>
        <v>4589.1899999999996</v>
      </c>
      <c r="I5" s="723"/>
    </row>
    <row r="6" spans="1:9" ht="43.5" customHeight="1">
      <c r="A6" s="120" t="s">
        <v>152</v>
      </c>
      <c r="B6" s="738" t="str">
        <f>'ELETRICISTA DE INSTALAÇÃO - 44h'!A16</f>
        <v>Apoio Administrativo - Eletricista de Instalação - 44hs semanais - SÃO BORJA</v>
      </c>
      <c r="C6" s="739"/>
      <c r="D6" s="722">
        <f>'ELETRICISTA DE INSTALAÇÃO - 44h'!G148</f>
        <v>4589.1899999999996</v>
      </c>
      <c r="E6" s="723"/>
      <c r="F6" s="735">
        <f>'ELETRICISTA DE INSTALAÇÃO - 44h'!F16</f>
        <v>1</v>
      </c>
      <c r="G6" s="736"/>
      <c r="H6" s="722">
        <f>D6*F6</f>
        <v>4589.1899999999996</v>
      </c>
      <c r="I6" s="723"/>
    </row>
    <row r="7" spans="1:9" ht="12.75">
      <c r="A7" s="728" t="s">
        <v>183</v>
      </c>
      <c r="B7" s="728"/>
      <c r="C7" s="728"/>
      <c r="D7" s="728"/>
      <c r="E7" s="728"/>
      <c r="F7" s="728"/>
      <c r="G7" s="728"/>
      <c r="H7" s="729">
        <f>SUM(H5:H6)</f>
        <v>9178.3799999999992</v>
      </c>
      <c r="I7" s="729"/>
    </row>
    <row r="8" spans="1:9" ht="29.25" customHeight="1">
      <c r="A8" s="121"/>
      <c r="B8" s="121"/>
      <c r="C8" s="121"/>
      <c r="D8" s="122"/>
      <c r="E8" s="122"/>
      <c r="F8" s="121"/>
      <c r="G8" s="121"/>
      <c r="H8" s="122"/>
      <c r="I8" s="123"/>
    </row>
    <row r="9" spans="1:9" ht="19.5" customHeight="1">
      <c r="A9" s="730" t="s">
        <v>158</v>
      </c>
      <c r="B9" s="730"/>
      <c r="C9" s="730"/>
      <c r="D9" s="730"/>
      <c r="E9" s="730"/>
      <c r="F9" s="730"/>
      <c r="G9" s="730"/>
      <c r="H9" s="730"/>
      <c r="I9" s="730"/>
    </row>
    <row r="10" spans="1:9" ht="19.5" customHeight="1">
      <c r="A10" s="728" t="s">
        <v>94</v>
      </c>
      <c r="B10" s="728"/>
      <c r="C10" s="728"/>
      <c r="D10" s="728"/>
      <c r="E10" s="728"/>
      <c r="F10" s="728"/>
      <c r="G10" s="728"/>
      <c r="H10" s="728"/>
      <c r="I10" s="124" t="s">
        <v>18</v>
      </c>
    </row>
    <row r="11" spans="1:9" ht="45.75" customHeight="1">
      <c r="A11" s="726" t="s">
        <v>8</v>
      </c>
      <c r="B11" s="737" t="s">
        <v>159</v>
      </c>
      <c r="C11" s="737"/>
      <c r="D11" s="737"/>
      <c r="E11" s="740" t="str">
        <f>B5</f>
        <v>Apoio Administrativo - Trabalhador da Manutenção de Edificações - 44hs semanais - SÃO BORJA</v>
      </c>
      <c r="F11" s="740"/>
      <c r="G11" s="740"/>
      <c r="H11" s="740"/>
      <c r="I11" s="125">
        <f>H5</f>
        <v>4589.1899999999996</v>
      </c>
    </row>
    <row r="12" spans="1:9" ht="39" customHeight="1">
      <c r="A12" s="726"/>
      <c r="B12" s="737"/>
      <c r="C12" s="737"/>
      <c r="D12" s="737"/>
      <c r="E12" s="740" t="str">
        <f>B6</f>
        <v>Apoio Administrativo - Eletricista de Instalação - 44hs semanais - SÃO BORJA</v>
      </c>
      <c r="F12" s="740"/>
      <c r="G12" s="740"/>
      <c r="H12" s="740"/>
      <c r="I12" s="125">
        <f>H6</f>
        <v>4589.1899999999996</v>
      </c>
    </row>
    <row r="13" spans="1:9" ht="20.25" customHeight="1">
      <c r="A13" s="126" t="s">
        <v>10</v>
      </c>
      <c r="B13" s="727" t="s">
        <v>160</v>
      </c>
      <c r="C13" s="727"/>
      <c r="D13" s="727"/>
      <c r="E13" s="727"/>
      <c r="F13" s="727"/>
      <c r="G13" s="727"/>
      <c r="H13" s="727"/>
      <c r="I13" s="127">
        <f>SUM(I11:I12)</f>
        <v>9178.3799999999992</v>
      </c>
    </row>
    <row r="14" spans="1:9" ht="20.25" customHeight="1">
      <c r="A14" s="126" t="s">
        <v>12</v>
      </c>
      <c r="B14" s="737" t="s">
        <v>161</v>
      </c>
      <c r="C14" s="737"/>
      <c r="D14" s="737"/>
      <c r="E14" s="737"/>
      <c r="F14" s="737"/>
      <c r="G14" s="737"/>
      <c r="H14" s="737"/>
      <c r="I14" s="128">
        <f>'MANUTENÇÃO DE EDIFICAÇÕES - 44h'!G13</f>
        <v>12</v>
      </c>
    </row>
    <row r="15" spans="1:9" ht="36" customHeight="1">
      <c r="A15" s="741" t="s">
        <v>13</v>
      </c>
      <c r="B15" s="743" t="s">
        <v>228</v>
      </c>
      <c r="C15" s="743"/>
      <c r="D15" s="744" t="str">
        <f>B5</f>
        <v>Apoio Administrativo - Trabalhador da Manutenção de Edificações - 44hs semanais - SÃO BORJA</v>
      </c>
      <c r="E15" s="745"/>
      <c r="F15" s="745"/>
      <c r="G15" s="745"/>
      <c r="H15" s="746"/>
      <c r="I15" s="761">
        <f>D5</f>
        <v>4589.1899999999996</v>
      </c>
    </row>
    <row r="16" spans="1:9" ht="30" customHeight="1">
      <c r="A16" s="742"/>
      <c r="B16" s="743"/>
      <c r="C16" s="743"/>
      <c r="D16" s="744" t="str">
        <f>B6</f>
        <v>Apoio Administrativo - Eletricista de Instalação - 44hs semanais - SÃO BORJA</v>
      </c>
      <c r="E16" s="745"/>
      <c r="F16" s="745"/>
      <c r="G16" s="745"/>
      <c r="H16" s="746"/>
      <c r="I16" s="761">
        <f>D6</f>
        <v>4589.1899999999996</v>
      </c>
    </row>
    <row r="17" spans="1:9" ht="29.25" customHeight="1">
      <c r="A17" s="747" t="s">
        <v>20</v>
      </c>
      <c r="B17" s="749" t="s">
        <v>229</v>
      </c>
      <c r="C17" s="750"/>
      <c r="D17" s="753" t="str">
        <f>D15</f>
        <v>Apoio Administrativo - Trabalhador da Manutenção de Edificações - 44hs semanais - SÃO BORJA</v>
      </c>
      <c r="E17" s="754"/>
      <c r="F17" s="754"/>
      <c r="G17" s="754"/>
      <c r="H17" s="755"/>
      <c r="I17" s="351">
        <f>F5*I14</f>
        <v>12</v>
      </c>
    </row>
    <row r="18" spans="1:9" ht="30.75" customHeight="1">
      <c r="A18" s="748"/>
      <c r="B18" s="751"/>
      <c r="C18" s="752"/>
      <c r="D18" s="753" t="str">
        <f>D16</f>
        <v>Apoio Administrativo - Eletricista de Instalação - 44hs semanais - SÃO BORJA</v>
      </c>
      <c r="E18" s="754"/>
      <c r="F18" s="754"/>
      <c r="G18" s="754"/>
      <c r="H18" s="755"/>
      <c r="I18" s="351">
        <f>F6*I14</f>
        <v>12</v>
      </c>
    </row>
    <row r="19" spans="1:9" ht="33" customHeight="1">
      <c r="A19" s="756" t="s">
        <v>21</v>
      </c>
      <c r="B19" s="756" t="s">
        <v>230</v>
      </c>
      <c r="C19" s="756"/>
      <c r="D19" s="757" t="str">
        <f>D15</f>
        <v>Apoio Administrativo - Trabalhador da Manutenção de Edificações - 44hs semanais - SÃO BORJA</v>
      </c>
      <c r="E19" s="758"/>
      <c r="F19" s="758"/>
      <c r="G19" s="758"/>
      <c r="H19" s="759"/>
      <c r="I19" s="762">
        <f>I15*I17</f>
        <v>55070.28</v>
      </c>
    </row>
    <row r="20" spans="1:9" ht="31.5" customHeight="1">
      <c r="A20" s="756"/>
      <c r="B20" s="756"/>
      <c r="C20" s="756"/>
      <c r="D20" s="757" t="str">
        <f>D16</f>
        <v>Apoio Administrativo - Eletricista de Instalação - 44hs semanais - SÃO BORJA</v>
      </c>
      <c r="E20" s="758"/>
      <c r="F20" s="758"/>
      <c r="G20" s="758"/>
      <c r="H20" s="759"/>
      <c r="I20" s="762">
        <f>I16*I18</f>
        <v>55070.28</v>
      </c>
    </row>
    <row r="21" spans="1:9" ht="32.25" customHeight="1">
      <c r="A21" s="352" t="s">
        <v>22</v>
      </c>
      <c r="B21" s="760" t="s">
        <v>231</v>
      </c>
      <c r="C21" s="760"/>
      <c r="D21" s="760"/>
      <c r="E21" s="760"/>
      <c r="F21" s="760"/>
      <c r="G21" s="760"/>
      <c r="H21" s="760"/>
      <c r="I21" s="353">
        <f>SUM(I19:I20)</f>
        <v>110140.56</v>
      </c>
    </row>
    <row r="22" spans="1:9" ht="17.25" customHeight="1">
      <c r="A22" s="129"/>
      <c r="B22" s="129"/>
      <c r="C22" s="129"/>
      <c r="D22" s="130"/>
      <c r="E22" s="130"/>
      <c r="F22" s="131"/>
      <c r="G22" s="131"/>
      <c r="H22" s="130"/>
      <c r="I22" s="130"/>
    </row>
    <row r="23" spans="1:9" ht="12.75">
      <c r="A23" s="720" t="s">
        <v>54</v>
      </c>
      <c r="B23" s="720"/>
      <c r="C23" s="720"/>
      <c r="D23" s="720"/>
      <c r="E23" s="720"/>
      <c r="F23" s="720"/>
      <c r="G23" s="720"/>
      <c r="H23" s="720"/>
      <c r="I23" s="720"/>
    </row>
    <row r="24" spans="1:9" ht="27.75" customHeight="1">
      <c r="A24" s="132"/>
      <c r="B24" s="132"/>
      <c r="C24" s="132"/>
      <c r="D24" s="132"/>
      <c r="E24" s="132"/>
      <c r="F24" s="132"/>
      <c r="G24" s="132"/>
      <c r="H24" s="132"/>
      <c r="I24" s="132"/>
    </row>
    <row r="25" spans="1:9" ht="12.75">
      <c r="A25" s="721" t="s">
        <v>162</v>
      </c>
      <c r="B25" s="721"/>
      <c r="C25" s="721"/>
      <c r="D25" s="721"/>
      <c r="E25" s="721"/>
      <c r="F25" s="721"/>
      <c r="G25" s="721"/>
      <c r="H25" s="721"/>
      <c r="I25" s="721"/>
    </row>
    <row r="26" spans="1:9" ht="16.5" customHeight="1">
      <c r="A26" s="132"/>
      <c r="B26" s="132"/>
      <c r="C26" s="132"/>
      <c r="D26" s="132"/>
      <c r="E26" s="132"/>
      <c r="F26" s="132"/>
      <c r="G26" s="132"/>
      <c r="H26" s="132"/>
      <c r="I26" s="132"/>
    </row>
    <row r="27" spans="1:9" ht="12.75">
      <c r="A27" s="731" t="s">
        <v>55</v>
      </c>
      <c r="B27" s="731"/>
      <c r="C27" s="731"/>
      <c r="D27" s="731"/>
      <c r="E27" s="731"/>
      <c r="F27" s="731"/>
      <c r="G27" s="731"/>
      <c r="H27" s="731"/>
      <c r="I27" s="731"/>
    </row>
    <row r="28" spans="1:9" ht="12.75">
      <c r="A28" s="132"/>
      <c r="B28" s="132"/>
      <c r="C28" s="132"/>
      <c r="D28" s="132"/>
      <c r="E28" s="132"/>
      <c r="F28" s="132"/>
      <c r="G28" s="132"/>
      <c r="H28" s="132"/>
      <c r="I28" s="132"/>
    </row>
    <row r="29" spans="1:9" ht="12.75">
      <c r="A29" s="732" t="s">
        <v>56</v>
      </c>
      <c r="B29" s="732"/>
      <c r="C29" s="732"/>
      <c r="D29" s="732"/>
      <c r="E29" s="732"/>
      <c r="F29" s="732"/>
      <c r="G29" s="732"/>
      <c r="H29" s="732"/>
      <c r="I29" s="732"/>
    </row>
    <row r="30" spans="1:9" ht="12.75">
      <c r="A30" s="132"/>
      <c r="B30" s="132"/>
      <c r="C30" s="132"/>
      <c r="D30" s="132"/>
      <c r="E30" s="132"/>
      <c r="F30" s="132"/>
      <c r="G30" s="132"/>
      <c r="H30" s="132"/>
      <c r="I30" s="132"/>
    </row>
    <row r="31" spans="1:9" ht="12.75">
      <c r="A31" s="732" t="s">
        <v>57</v>
      </c>
      <c r="B31" s="732"/>
      <c r="C31" s="732"/>
      <c r="D31" s="732"/>
      <c r="E31" s="732"/>
      <c r="F31" s="732"/>
      <c r="G31" s="732"/>
      <c r="H31" s="732"/>
      <c r="I31" s="732"/>
    </row>
    <row r="32" spans="1:9" ht="12.75">
      <c r="A32" s="132"/>
      <c r="B32" s="132"/>
      <c r="C32" s="132"/>
      <c r="D32" s="132"/>
      <c r="E32" s="132"/>
      <c r="F32" s="132"/>
      <c r="G32" s="132"/>
      <c r="H32" s="132"/>
      <c r="I32" s="132"/>
    </row>
    <row r="33" spans="1:9" ht="12.75">
      <c r="A33" s="721" t="s">
        <v>58</v>
      </c>
      <c r="B33" s="721"/>
      <c r="C33" s="721"/>
      <c r="D33" s="721"/>
      <c r="E33" s="721"/>
      <c r="F33" s="721"/>
      <c r="G33" s="721"/>
      <c r="H33" s="721"/>
      <c r="I33" s="721"/>
    </row>
    <row r="34" spans="1:9" ht="12.75">
      <c r="A34" s="132"/>
      <c r="B34" s="132"/>
      <c r="C34" s="132"/>
      <c r="D34" s="132"/>
      <c r="E34" s="132"/>
      <c r="F34" s="132"/>
      <c r="G34" s="132"/>
      <c r="H34" s="132"/>
      <c r="I34" s="132"/>
    </row>
    <row r="35" spans="1:9" ht="12.75">
      <c r="A35" s="132" t="s">
        <v>59</v>
      </c>
      <c r="B35" s="132"/>
      <c r="C35" s="132"/>
      <c r="D35" s="132"/>
      <c r="E35" s="132"/>
      <c r="F35" s="132"/>
      <c r="G35" s="132"/>
      <c r="H35" s="132"/>
      <c r="I35" s="132"/>
    </row>
    <row r="36" spans="1:9" ht="12.75">
      <c r="A36" s="132"/>
      <c r="B36" s="132"/>
      <c r="C36" s="132"/>
      <c r="D36" s="132"/>
      <c r="E36" s="132"/>
      <c r="F36" s="132"/>
      <c r="G36" s="132"/>
      <c r="H36" s="132"/>
      <c r="I36" s="132"/>
    </row>
    <row r="37" spans="1:9" ht="12.75">
      <c r="A37" s="733" t="s">
        <v>163</v>
      </c>
      <c r="B37" s="733"/>
      <c r="C37" s="734"/>
      <c r="D37" s="734"/>
      <c r="E37" s="734"/>
      <c r="F37" s="734"/>
      <c r="G37" s="734"/>
      <c r="H37" s="734"/>
      <c r="I37" s="734"/>
    </row>
    <row r="38" spans="1:9">
      <c r="A38" s="354"/>
      <c r="B38" s="354"/>
      <c r="C38" s="354"/>
      <c r="D38" s="354"/>
      <c r="E38" s="354"/>
      <c r="F38" s="354"/>
      <c r="G38" s="355"/>
      <c r="H38" s="355"/>
      <c r="I38" s="355"/>
    </row>
    <row r="39" spans="1:9" ht="25.5" customHeight="1">
      <c r="A39" s="355"/>
      <c r="B39" s="355"/>
      <c r="C39" s="355"/>
      <c r="D39" s="355"/>
      <c r="E39" s="355"/>
      <c r="F39" s="355"/>
      <c r="G39" s="355"/>
      <c r="H39" s="355"/>
      <c r="I39" s="355"/>
    </row>
    <row r="40" spans="1:9">
      <c r="A40" s="719" t="s">
        <v>60</v>
      </c>
      <c r="B40" s="719"/>
      <c r="C40" s="719"/>
      <c r="D40" s="719"/>
      <c r="E40" s="719"/>
      <c r="F40" s="719"/>
      <c r="G40" s="355"/>
      <c r="H40" s="355"/>
      <c r="I40" s="355"/>
    </row>
    <row r="41" spans="1:9">
      <c r="A41" s="719"/>
      <c r="B41" s="719"/>
      <c r="C41" s="719"/>
      <c r="D41" s="719"/>
      <c r="E41" s="719"/>
      <c r="F41" s="719"/>
      <c r="G41" s="355"/>
      <c r="H41" s="355"/>
      <c r="I41" s="355"/>
    </row>
    <row r="42" spans="1:9">
      <c r="A42" s="719"/>
      <c r="B42" s="719"/>
      <c r="C42" s="719"/>
      <c r="D42" s="719"/>
      <c r="E42" s="719"/>
      <c r="F42" s="719"/>
      <c r="G42" s="355"/>
      <c r="H42" s="355"/>
      <c r="I42" s="355"/>
    </row>
    <row r="43" spans="1:9">
      <c r="A43" s="719"/>
      <c r="B43" s="719"/>
      <c r="C43" s="719"/>
      <c r="D43" s="719"/>
      <c r="E43" s="719"/>
      <c r="F43" s="719"/>
      <c r="G43" s="355"/>
      <c r="H43" s="355"/>
      <c r="I43" s="355"/>
    </row>
    <row r="44" spans="1:9">
      <c r="A44" s="719"/>
      <c r="B44" s="719"/>
      <c r="C44" s="719"/>
      <c r="D44" s="719"/>
      <c r="E44" s="719"/>
      <c r="F44" s="719"/>
      <c r="G44" s="355"/>
      <c r="H44" s="355"/>
      <c r="I44" s="355"/>
    </row>
    <row r="45" spans="1:9">
      <c r="A45" s="719"/>
      <c r="B45" s="719"/>
      <c r="C45" s="719"/>
      <c r="D45" s="719"/>
      <c r="E45" s="719"/>
      <c r="F45" s="719"/>
      <c r="G45" s="355"/>
      <c r="H45" s="355"/>
      <c r="I45" s="355"/>
    </row>
  </sheetData>
  <mergeCells count="47">
    <mergeCell ref="A19:A20"/>
    <mergeCell ref="B19:C20"/>
    <mergeCell ref="D19:H19"/>
    <mergeCell ref="D20:H20"/>
    <mergeCell ref="B21:H21"/>
    <mergeCell ref="A15:A16"/>
    <mergeCell ref="B15:C16"/>
    <mergeCell ref="D15:H15"/>
    <mergeCell ref="D16:H16"/>
    <mergeCell ref="A17:A18"/>
    <mergeCell ref="B17:C18"/>
    <mergeCell ref="D17:H17"/>
    <mergeCell ref="D18:H18"/>
    <mergeCell ref="D6:E6"/>
    <mergeCell ref="F6:G6"/>
    <mergeCell ref="B14:H14"/>
    <mergeCell ref="B5:C5"/>
    <mergeCell ref="B6:C6"/>
    <mergeCell ref="E11:H11"/>
    <mergeCell ref="E12:H12"/>
    <mergeCell ref="B11:D12"/>
    <mergeCell ref="D5:E5"/>
    <mergeCell ref="F5:G5"/>
    <mergeCell ref="A10:H10"/>
    <mergeCell ref="A27:I27"/>
    <mergeCell ref="A29:I29"/>
    <mergeCell ref="A31:I31"/>
    <mergeCell ref="A33:I33"/>
    <mergeCell ref="A37:B37"/>
    <mergeCell ref="C37:G37"/>
    <mergeCell ref="H37:I37"/>
    <mergeCell ref="A40:F45"/>
    <mergeCell ref="A23:I23"/>
    <mergeCell ref="A25:I25"/>
    <mergeCell ref="H5:I5"/>
    <mergeCell ref="A1:I1"/>
    <mergeCell ref="A2:I2"/>
    <mergeCell ref="A4:C4"/>
    <mergeCell ref="D4:E4"/>
    <mergeCell ref="F4:G4"/>
    <mergeCell ref="H4:I4"/>
    <mergeCell ref="A11:A12"/>
    <mergeCell ref="B13:H13"/>
    <mergeCell ref="H6:I6"/>
    <mergeCell ref="A7:G7"/>
    <mergeCell ref="H7:I7"/>
    <mergeCell ref="A9:I9"/>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MANUTENÇÃO DE EDIFICAÇÕES - 44h</vt:lpstr>
      <vt:lpstr>ELETRICISTA DE INSTALAÇÃO - 44h</vt:lpstr>
      <vt:lpstr>UNIFORMES-EQUIP. SEGURANÇA  </vt:lpstr>
      <vt:lpstr>RESUMO DA PROPOSTA</vt:lpstr>
      <vt:lpstr>'ELETRICISTA DE INSTALAÇÃO - 44h'!Area_de_impressao</vt:lpstr>
      <vt:lpstr>'MANUTENÇÃO DE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2021-09-28T18:49:58Z</cp:lastPrinted>
  <dcterms:created xsi:type="dcterms:W3CDTF">2013-09-30T16:27:09Z</dcterms:created>
  <dcterms:modified xsi:type="dcterms:W3CDTF">2021-09-28T19:25:27Z</dcterms:modified>
  <dc:language>pt-BR</dc:language>
</cp:coreProperties>
</file>