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UBL.AGO" sheetId="1" r:id="rId1"/>
  </sheets>
  <calcPr calcId="144525" iterateDelta="1E-4"/>
</workbook>
</file>

<file path=xl/calcChain.xml><?xml version="1.0" encoding="utf-8"?>
<calcChain xmlns="http://schemas.openxmlformats.org/spreadsheetml/2006/main">
  <c r="Y168" i="1" l="1"/>
  <c r="Y167" i="1" s="1"/>
  <c r="N168" i="1"/>
  <c r="M168" i="1"/>
  <c r="L168" i="1"/>
  <c r="K168" i="1"/>
  <c r="T168" i="1" s="1"/>
  <c r="I168" i="1"/>
  <c r="O168" i="1" s="1"/>
  <c r="F168" i="1"/>
  <c r="F167" i="1" s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X167" i="1"/>
  <c r="W167" i="1"/>
  <c r="V167" i="1"/>
  <c r="U167" i="1"/>
  <c r="H167" i="1"/>
  <c r="E167" i="1"/>
  <c r="N166" i="1"/>
  <c r="M166" i="1"/>
  <c r="L166" i="1"/>
  <c r="K166" i="1"/>
  <c r="Q166" i="1" s="1"/>
  <c r="J166" i="1"/>
  <c r="P166" i="1" s="1"/>
  <c r="I166" i="1"/>
  <c r="R166" i="1" s="1"/>
  <c r="T165" i="1"/>
  <c r="N165" i="1"/>
  <c r="M165" i="1"/>
  <c r="L165" i="1"/>
  <c r="K165" i="1"/>
  <c r="Q165" i="1" s="1"/>
  <c r="J165" i="1"/>
  <c r="S165" i="1" s="1"/>
  <c r="I165" i="1"/>
  <c r="O165" i="1" s="1"/>
  <c r="T164" i="1"/>
  <c r="N164" i="1"/>
  <c r="M164" i="1"/>
  <c r="L164" i="1"/>
  <c r="K164" i="1"/>
  <c r="Q164" i="1" s="1"/>
  <c r="J164" i="1"/>
  <c r="S164" i="1" s="1"/>
  <c r="I164" i="1"/>
  <c r="O164" i="1" s="1"/>
  <c r="N163" i="1"/>
  <c r="M163" i="1"/>
  <c r="L163" i="1"/>
  <c r="K163" i="1"/>
  <c r="Q163" i="1" s="1"/>
  <c r="J163" i="1"/>
  <c r="S163" i="1" s="1"/>
  <c r="I163" i="1"/>
  <c r="O163" i="1" s="1"/>
  <c r="N162" i="1"/>
  <c r="M162" i="1"/>
  <c r="L162" i="1"/>
  <c r="K162" i="1"/>
  <c r="T162" i="1" s="1"/>
  <c r="J162" i="1"/>
  <c r="S162" i="1" s="1"/>
  <c r="I162" i="1"/>
  <c r="O162" i="1" s="1"/>
  <c r="N161" i="1"/>
  <c r="M161" i="1"/>
  <c r="L161" i="1"/>
  <c r="K161" i="1"/>
  <c r="Q161" i="1" s="1"/>
  <c r="J161" i="1"/>
  <c r="S161" i="1" s="1"/>
  <c r="I161" i="1"/>
  <c r="O161" i="1" s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H160" i="1"/>
  <c r="F160" i="1"/>
  <c r="E160" i="1"/>
  <c r="N159" i="1"/>
  <c r="M159" i="1"/>
  <c r="L159" i="1"/>
  <c r="K159" i="1"/>
  <c r="Q159" i="1" s="1"/>
  <c r="J159" i="1"/>
  <c r="S159" i="1" s="1"/>
  <c r="I159" i="1"/>
  <c r="O159" i="1" s="1"/>
  <c r="F159" i="1"/>
  <c r="AJ158" i="1"/>
  <c r="S158" i="1"/>
  <c r="O158" i="1"/>
  <c r="N158" i="1"/>
  <c r="M158" i="1"/>
  <c r="L158" i="1"/>
  <c r="K158" i="1"/>
  <c r="Q158" i="1" s="1"/>
  <c r="J158" i="1"/>
  <c r="I158" i="1"/>
  <c r="R158" i="1" s="1"/>
  <c r="AG157" i="1"/>
  <c r="L157" i="1" s="1"/>
  <c r="T157" i="1"/>
  <c r="N157" i="1"/>
  <c r="M157" i="1"/>
  <c r="K157" i="1"/>
  <c r="Q157" i="1" s="1"/>
  <c r="J157" i="1"/>
  <c r="P157" i="1" s="1"/>
  <c r="E157" i="1"/>
  <c r="P156" i="1"/>
  <c r="N156" i="1"/>
  <c r="M156" i="1"/>
  <c r="L156" i="1"/>
  <c r="K156" i="1"/>
  <c r="Q156" i="1" s="1"/>
  <c r="J156" i="1"/>
  <c r="S156" i="1" s="1"/>
  <c r="I156" i="1"/>
  <c r="R156" i="1" s="1"/>
  <c r="E154" i="1"/>
  <c r="BG153" i="1"/>
  <c r="BF153" i="1"/>
  <c r="BE153" i="1"/>
  <c r="BD153" i="1"/>
  <c r="BD152" i="1" s="1"/>
  <c r="BC153" i="1"/>
  <c r="BB153" i="1"/>
  <c r="BA153" i="1"/>
  <c r="BA152" i="1" s="1"/>
  <c r="AZ153" i="1"/>
  <c r="AZ152" i="1" s="1"/>
  <c r="AY153" i="1"/>
  <c r="AY152" i="1" s="1"/>
  <c r="AY143" i="1" s="1"/>
  <c r="AX153" i="1"/>
  <c r="AX152" i="1" s="1"/>
  <c r="AW153" i="1"/>
  <c r="AV153" i="1"/>
  <c r="AV152" i="1" s="1"/>
  <c r="AU153" i="1"/>
  <c r="AT153" i="1"/>
  <c r="AS153" i="1"/>
  <c r="AS152" i="1" s="1"/>
  <c r="AR153" i="1"/>
  <c r="AR152" i="1" s="1"/>
  <c r="AQ153" i="1"/>
  <c r="AP153" i="1"/>
  <c r="AO153" i="1"/>
  <c r="AN153" i="1"/>
  <c r="AN152" i="1" s="1"/>
  <c r="AM153" i="1"/>
  <c r="AL153" i="1"/>
  <c r="AK153" i="1"/>
  <c r="AJ153" i="1"/>
  <c r="AJ152" i="1" s="1"/>
  <c r="AI153" i="1"/>
  <c r="AI152" i="1" s="1"/>
  <c r="AH153" i="1"/>
  <c r="AH152" i="1" s="1"/>
  <c r="AG153" i="1"/>
  <c r="AF153" i="1"/>
  <c r="AF152" i="1" s="1"/>
  <c r="AE153" i="1"/>
  <c r="AD153" i="1"/>
  <c r="AC153" i="1"/>
  <c r="AC152" i="1" s="1"/>
  <c r="AB153" i="1"/>
  <c r="M153" i="1" s="1"/>
  <c r="AA153" i="1"/>
  <c r="Z153" i="1"/>
  <c r="Y153" i="1"/>
  <c r="Y152" i="1" s="1"/>
  <c r="X153" i="1"/>
  <c r="X152" i="1" s="1"/>
  <c r="W153" i="1"/>
  <c r="V153" i="1"/>
  <c r="U153" i="1"/>
  <c r="L153" i="1"/>
  <c r="H153" i="1"/>
  <c r="G153" i="1"/>
  <c r="BF152" i="1"/>
  <c r="BE152" i="1"/>
  <c r="BB152" i="1"/>
  <c r="AW152" i="1"/>
  <c r="AT152" i="1"/>
  <c r="AP152" i="1"/>
  <c r="AO152" i="1"/>
  <c r="AL152" i="1"/>
  <c r="AK152" i="1"/>
  <c r="AG152" i="1"/>
  <c r="AD152" i="1"/>
  <c r="Z152" i="1"/>
  <c r="V152" i="1"/>
  <c r="U152" i="1"/>
  <c r="G152" i="1"/>
  <c r="R151" i="1"/>
  <c r="O151" i="1"/>
  <c r="N151" i="1"/>
  <c r="M151" i="1"/>
  <c r="L151" i="1"/>
  <c r="K151" i="1"/>
  <c r="J151" i="1"/>
  <c r="P151" i="1" s="1"/>
  <c r="N150" i="1"/>
  <c r="M150" i="1"/>
  <c r="L150" i="1"/>
  <c r="K150" i="1"/>
  <c r="T150" i="1" s="1"/>
  <c r="J150" i="1"/>
  <c r="S150" i="1" s="1"/>
  <c r="I150" i="1"/>
  <c r="R150" i="1" s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M149" i="1" s="1"/>
  <c r="X149" i="1"/>
  <c r="W149" i="1"/>
  <c r="V149" i="1"/>
  <c r="U149" i="1"/>
  <c r="H149" i="1"/>
  <c r="G149" i="1"/>
  <c r="F149" i="1"/>
  <c r="E149" i="1"/>
  <c r="N148" i="1"/>
  <c r="M148" i="1"/>
  <c r="L148" i="1"/>
  <c r="K148" i="1"/>
  <c r="T148" i="1" s="1"/>
  <c r="J148" i="1"/>
  <c r="S148" i="1" s="1"/>
  <c r="I148" i="1"/>
  <c r="O147" i="1"/>
  <c r="N147" i="1"/>
  <c r="M147" i="1"/>
  <c r="L147" i="1"/>
  <c r="K147" i="1"/>
  <c r="J147" i="1"/>
  <c r="I147" i="1"/>
  <c r="R147" i="1" s="1"/>
  <c r="N146" i="1"/>
  <c r="M146" i="1"/>
  <c r="L146" i="1"/>
  <c r="K146" i="1"/>
  <c r="K145" i="1" s="1"/>
  <c r="J146" i="1"/>
  <c r="S146" i="1" s="1"/>
  <c r="I146" i="1"/>
  <c r="BG145" i="1"/>
  <c r="BF145" i="1"/>
  <c r="BF144" i="1" s="1"/>
  <c r="BE145" i="1"/>
  <c r="BD145" i="1"/>
  <c r="BD144" i="1" s="1"/>
  <c r="BD143" i="1" s="1"/>
  <c r="BC145" i="1"/>
  <c r="BC144" i="1" s="1"/>
  <c r="BB145" i="1"/>
  <c r="BA145" i="1"/>
  <c r="AZ145" i="1"/>
  <c r="AY145" i="1"/>
  <c r="AY144" i="1" s="1"/>
  <c r="AX145" i="1"/>
  <c r="AX144" i="1" s="1"/>
  <c r="AW145" i="1"/>
  <c r="AV145" i="1"/>
  <c r="AV144" i="1" s="1"/>
  <c r="AU145" i="1"/>
  <c r="AU144" i="1" s="1"/>
  <c r="AT145" i="1"/>
  <c r="AT144" i="1" s="1"/>
  <c r="AS145" i="1"/>
  <c r="AR145" i="1"/>
  <c r="AQ145" i="1"/>
  <c r="AQ144" i="1" s="1"/>
  <c r="AP145" i="1"/>
  <c r="AO145" i="1"/>
  <c r="AN145" i="1"/>
  <c r="AM145" i="1"/>
  <c r="AM144" i="1" s="1"/>
  <c r="AL145" i="1"/>
  <c r="AL144" i="1" s="1"/>
  <c r="AK145" i="1"/>
  <c r="AJ145" i="1"/>
  <c r="AI145" i="1"/>
  <c r="AI144" i="1" s="1"/>
  <c r="AH145" i="1"/>
  <c r="AH144" i="1" s="1"/>
  <c r="AG145" i="1"/>
  <c r="AF145" i="1"/>
  <c r="AE145" i="1"/>
  <c r="AE144" i="1" s="1"/>
  <c r="AD145" i="1"/>
  <c r="AD144" i="1" s="1"/>
  <c r="AC145" i="1"/>
  <c r="AB145" i="1"/>
  <c r="AA145" i="1"/>
  <c r="AA144" i="1" s="1"/>
  <c r="Z145" i="1"/>
  <c r="Z144" i="1" s="1"/>
  <c r="Y145" i="1"/>
  <c r="X145" i="1"/>
  <c r="W145" i="1"/>
  <c r="W144" i="1" s="1"/>
  <c r="V145" i="1"/>
  <c r="U145" i="1"/>
  <c r="H145" i="1"/>
  <c r="H144" i="1" s="1"/>
  <c r="F145" i="1"/>
  <c r="E145" i="1"/>
  <c r="BB144" i="1"/>
  <c r="AZ144" i="1"/>
  <c r="AZ143" i="1" s="1"/>
  <c r="AR144" i="1"/>
  <c r="AP144" i="1"/>
  <c r="AN144" i="1"/>
  <c r="AK144" i="1"/>
  <c r="AK143" i="1" s="1"/>
  <c r="AF144" i="1"/>
  <c r="AB144" i="1"/>
  <c r="X144" i="1"/>
  <c r="V144" i="1"/>
  <c r="U144" i="1"/>
  <c r="G144" i="1"/>
  <c r="F144" i="1"/>
  <c r="X143" i="1"/>
  <c r="G143" i="1"/>
  <c r="N142" i="1"/>
  <c r="M142" i="1"/>
  <c r="L142" i="1"/>
  <c r="K142" i="1"/>
  <c r="T142" i="1" s="1"/>
  <c r="J142" i="1"/>
  <c r="I142" i="1"/>
  <c r="R142" i="1" s="1"/>
  <c r="AB141" i="1"/>
  <c r="J141" i="1" s="1"/>
  <c r="N141" i="1"/>
  <c r="M141" i="1"/>
  <c r="L141" i="1"/>
  <c r="K141" i="1"/>
  <c r="Q141" i="1" s="1"/>
  <c r="I141" i="1"/>
  <c r="R141" i="1" s="1"/>
  <c r="F141" i="1"/>
  <c r="O140" i="1"/>
  <c r="N140" i="1"/>
  <c r="M140" i="1"/>
  <c r="L140" i="1"/>
  <c r="K140" i="1"/>
  <c r="T140" i="1" s="1"/>
  <c r="J140" i="1"/>
  <c r="P140" i="1" s="1"/>
  <c r="I140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A139" i="1"/>
  <c r="Z139" i="1"/>
  <c r="Y139" i="1"/>
  <c r="X139" i="1"/>
  <c r="W139" i="1"/>
  <c r="V139" i="1"/>
  <c r="U139" i="1"/>
  <c r="H139" i="1"/>
  <c r="E139" i="1"/>
  <c r="N138" i="1"/>
  <c r="M138" i="1"/>
  <c r="L138" i="1"/>
  <c r="K138" i="1"/>
  <c r="T138" i="1" s="1"/>
  <c r="J138" i="1"/>
  <c r="P138" i="1" s="1"/>
  <c r="I138" i="1"/>
  <c r="AN136" i="1"/>
  <c r="AN135" i="1" s="1"/>
  <c r="AH136" i="1"/>
  <c r="AH135" i="1" s="1"/>
  <c r="AB136" i="1"/>
  <c r="AB135" i="1" s="1"/>
  <c r="Y136" i="1"/>
  <c r="N136" i="1"/>
  <c r="L136" i="1"/>
  <c r="K136" i="1"/>
  <c r="Q136" i="1" s="1"/>
  <c r="I136" i="1"/>
  <c r="O136" i="1" s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M135" i="1"/>
  <c r="AL135" i="1"/>
  <c r="AK135" i="1"/>
  <c r="AJ135" i="1"/>
  <c r="AI135" i="1"/>
  <c r="AG135" i="1"/>
  <c r="AF135" i="1"/>
  <c r="AE135" i="1"/>
  <c r="AD135" i="1"/>
  <c r="AC135" i="1"/>
  <c r="AA135" i="1"/>
  <c r="Z135" i="1"/>
  <c r="X135" i="1"/>
  <c r="W135" i="1"/>
  <c r="V135" i="1"/>
  <c r="U135" i="1"/>
  <c r="H135" i="1"/>
  <c r="F135" i="1"/>
  <c r="E135" i="1"/>
  <c r="N134" i="1"/>
  <c r="M134" i="1"/>
  <c r="L134" i="1"/>
  <c r="K134" i="1"/>
  <c r="T134" i="1" s="1"/>
  <c r="J134" i="1"/>
  <c r="S134" i="1" s="1"/>
  <c r="I134" i="1"/>
  <c r="O134" i="1" s="1"/>
  <c r="O133" i="1"/>
  <c r="N133" i="1"/>
  <c r="M133" i="1"/>
  <c r="L133" i="1"/>
  <c r="K133" i="1"/>
  <c r="Q133" i="1" s="1"/>
  <c r="J133" i="1"/>
  <c r="S133" i="1" s="1"/>
  <c r="I133" i="1"/>
  <c r="R133" i="1" s="1"/>
  <c r="N132" i="1"/>
  <c r="M132" i="1"/>
  <c r="L132" i="1"/>
  <c r="K132" i="1"/>
  <c r="J132" i="1"/>
  <c r="S132" i="1" s="1"/>
  <c r="I132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J131" i="1"/>
  <c r="S131" i="1" s="1"/>
  <c r="H131" i="1"/>
  <c r="F131" i="1"/>
  <c r="E131" i="1"/>
  <c r="N130" i="1"/>
  <c r="M130" i="1"/>
  <c r="L130" i="1"/>
  <c r="K130" i="1"/>
  <c r="T130" i="1" s="1"/>
  <c r="J130" i="1"/>
  <c r="P130" i="1" s="1"/>
  <c r="I130" i="1"/>
  <c r="N129" i="1"/>
  <c r="M129" i="1"/>
  <c r="L129" i="1"/>
  <c r="K129" i="1"/>
  <c r="T129" i="1" s="1"/>
  <c r="J129" i="1"/>
  <c r="S129" i="1" s="1"/>
  <c r="I129" i="1"/>
  <c r="R129" i="1" s="1"/>
  <c r="N128" i="1"/>
  <c r="M128" i="1"/>
  <c r="L128" i="1"/>
  <c r="K128" i="1"/>
  <c r="T128" i="1" s="1"/>
  <c r="T127" i="1" s="1"/>
  <c r="J128" i="1"/>
  <c r="P128" i="1" s="1"/>
  <c r="I128" i="1"/>
  <c r="O128" i="1" s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N127" i="1" s="1"/>
  <c r="Y127" i="1"/>
  <c r="X127" i="1"/>
  <c r="W127" i="1"/>
  <c r="V127" i="1"/>
  <c r="U127" i="1"/>
  <c r="H127" i="1"/>
  <c r="F127" i="1"/>
  <c r="E127" i="1"/>
  <c r="N126" i="1"/>
  <c r="M126" i="1"/>
  <c r="L126" i="1"/>
  <c r="K126" i="1"/>
  <c r="T126" i="1" s="1"/>
  <c r="J126" i="1"/>
  <c r="P126" i="1" s="1"/>
  <c r="I126" i="1"/>
  <c r="N125" i="1"/>
  <c r="M125" i="1"/>
  <c r="L125" i="1"/>
  <c r="K125" i="1"/>
  <c r="J125" i="1"/>
  <c r="S125" i="1" s="1"/>
  <c r="I125" i="1"/>
  <c r="O125" i="1" s="1"/>
  <c r="N124" i="1"/>
  <c r="M124" i="1"/>
  <c r="L124" i="1"/>
  <c r="K124" i="1"/>
  <c r="Q124" i="1" s="1"/>
  <c r="J124" i="1"/>
  <c r="S124" i="1" s="1"/>
  <c r="S123" i="1" s="1"/>
  <c r="I124" i="1"/>
  <c r="R124" i="1" s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R123" i="1"/>
  <c r="H123" i="1"/>
  <c r="F123" i="1"/>
  <c r="E123" i="1"/>
  <c r="N122" i="1"/>
  <c r="M122" i="1"/>
  <c r="L122" i="1"/>
  <c r="K122" i="1"/>
  <c r="Q122" i="1" s="1"/>
  <c r="J122" i="1"/>
  <c r="S122" i="1" s="1"/>
  <c r="I122" i="1"/>
  <c r="O122" i="1" s="1"/>
  <c r="N121" i="1"/>
  <c r="M121" i="1"/>
  <c r="L121" i="1"/>
  <c r="K121" i="1"/>
  <c r="T121" i="1" s="1"/>
  <c r="J121" i="1"/>
  <c r="I121" i="1"/>
  <c r="R121" i="1" s="1"/>
  <c r="S120" i="1"/>
  <c r="O120" i="1"/>
  <c r="N120" i="1"/>
  <c r="M120" i="1"/>
  <c r="L120" i="1"/>
  <c r="K120" i="1"/>
  <c r="T120" i="1" s="1"/>
  <c r="J120" i="1"/>
  <c r="P120" i="1" s="1"/>
  <c r="I120" i="1"/>
  <c r="R120" i="1" s="1"/>
  <c r="N119" i="1"/>
  <c r="M119" i="1"/>
  <c r="L119" i="1"/>
  <c r="K119" i="1"/>
  <c r="T119" i="1" s="1"/>
  <c r="J119" i="1"/>
  <c r="S119" i="1" s="1"/>
  <c r="I119" i="1"/>
  <c r="R119" i="1" s="1"/>
  <c r="AI118" i="1"/>
  <c r="AF118" i="1"/>
  <c r="M118" i="1"/>
  <c r="L118" i="1"/>
  <c r="J118" i="1"/>
  <c r="S118" i="1" s="1"/>
  <c r="S117" i="1" s="1"/>
  <c r="I118" i="1"/>
  <c r="R118" i="1" s="1"/>
  <c r="R117" i="1" s="1"/>
  <c r="H118" i="1"/>
  <c r="H117" i="1" s="1"/>
  <c r="BG117" i="1"/>
  <c r="BF117" i="1"/>
  <c r="BE117" i="1"/>
  <c r="BD117" i="1"/>
  <c r="BC117" i="1"/>
  <c r="BB117" i="1"/>
  <c r="BA117" i="1"/>
  <c r="AZ117" i="1"/>
  <c r="AY117" i="1"/>
  <c r="AX117" i="1"/>
  <c r="AX107" i="1" s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E117" i="1"/>
  <c r="AD117" i="1"/>
  <c r="AC117" i="1"/>
  <c r="AC107" i="1" s="1"/>
  <c r="AB117" i="1"/>
  <c r="AA117" i="1"/>
  <c r="Z117" i="1"/>
  <c r="Y117" i="1"/>
  <c r="X117" i="1"/>
  <c r="W117" i="1"/>
  <c r="V117" i="1"/>
  <c r="U117" i="1"/>
  <c r="F117" i="1"/>
  <c r="E117" i="1"/>
  <c r="N116" i="1"/>
  <c r="M116" i="1"/>
  <c r="L116" i="1"/>
  <c r="K116" i="1"/>
  <c r="T116" i="1" s="1"/>
  <c r="J116" i="1"/>
  <c r="S116" i="1" s="1"/>
  <c r="I116" i="1"/>
  <c r="O115" i="1"/>
  <c r="N115" i="1"/>
  <c r="M115" i="1"/>
  <c r="L115" i="1"/>
  <c r="K115" i="1"/>
  <c r="J115" i="1"/>
  <c r="P115" i="1" s="1"/>
  <c r="I115" i="1"/>
  <c r="R115" i="1" s="1"/>
  <c r="N114" i="1"/>
  <c r="M114" i="1"/>
  <c r="L114" i="1"/>
  <c r="K114" i="1"/>
  <c r="T114" i="1" s="1"/>
  <c r="J114" i="1"/>
  <c r="S114" i="1" s="1"/>
  <c r="I114" i="1"/>
  <c r="O114" i="1" s="1"/>
  <c r="AH113" i="1"/>
  <c r="AB113" i="1"/>
  <c r="AB108" i="1" s="1"/>
  <c r="Y113" i="1"/>
  <c r="N113" i="1"/>
  <c r="L113" i="1"/>
  <c r="K113" i="1"/>
  <c r="Q113" i="1" s="1"/>
  <c r="I113" i="1"/>
  <c r="R113" i="1" s="1"/>
  <c r="F113" i="1"/>
  <c r="F108" i="1" s="1"/>
  <c r="N112" i="1"/>
  <c r="M112" i="1"/>
  <c r="L112" i="1"/>
  <c r="K112" i="1"/>
  <c r="Q112" i="1" s="1"/>
  <c r="J112" i="1"/>
  <c r="I112" i="1"/>
  <c r="F112" i="1"/>
  <c r="P111" i="1"/>
  <c r="N111" i="1"/>
  <c r="M111" i="1"/>
  <c r="L111" i="1"/>
  <c r="K111" i="1"/>
  <c r="Q111" i="1" s="1"/>
  <c r="J111" i="1"/>
  <c r="S111" i="1" s="1"/>
  <c r="I111" i="1"/>
  <c r="R111" i="1" s="1"/>
  <c r="N110" i="1"/>
  <c r="M110" i="1"/>
  <c r="L110" i="1"/>
  <c r="K110" i="1"/>
  <c r="T110" i="1" s="1"/>
  <c r="J110" i="1"/>
  <c r="P110" i="1" s="1"/>
  <c r="I110" i="1"/>
  <c r="N109" i="1"/>
  <c r="M109" i="1"/>
  <c r="L109" i="1"/>
  <c r="K109" i="1"/>
  <c r="T109" i="1" s="1"/>
  <c r="J109" i="1"/>
  <c r="S109" i="1" s="1"/>
  <c r="I109" i="1"/>
  <c r="BG108" i="1"/>
  <c r="BF108" i="1"/>
  <c r="BE108" i="1"/>
  <c r="BE107" i="1" s="1"/>
  <c r="BD108" i="1"/>
  <c r="BD107" i="1" s="1"/>
  <c r="BC108" i="1"/>
  <c r="BB108" i="1"/>
  <c r="BA108" i="1"/>
  <c r="AZ108" i="1"/>
  <c r="AZ107" i="1" s="1"/>
  <c r="AY108" i="1"/>
  <c r="AX108" i="1"/>
  <c r="AW108" i="1"/>
  <c r="AW107" i="1" s="1"/>
  <c r="AV108" i="1"/>
  <c r="AV107" i="1" s="1"/>
  <c r="AU108" i="1"/>
  <c r="AT108" i="1"/>
  <c r="AS108" i="1"/>
  <c r="AR108" i="1"/>
  <c r="AR107" i="1" s="1"/>
  <c r="AQ108" i="1"/>
  <c r="AP108" i="1"/>
  <c r="AO108" i="1"/>
  <c r="AO107" i="1" s="1"/>
  <c r="AN108" i="1"/>
  <c r="AN107" i="1" s="1"/>
  <c r="AM108" i="1"/>
  <c r="AL108" i="1"/>
  <c r="AK108" i="1"/>
  <c r="AJ108" i="1"/>
  <c r="AJ107" i="1" s="1"/>
  <c r="AI108" i="1"/>
  <c r="AG108" i="1"/>
  <c r="AF108" i="1"/>
  <c r="AE108" i="1"/>
  <c r="AD108" i="1"/>
  <c r="AC108" i="1"/>
  <c r="AA108" i="1"/>
  <c r="Z108" i="1"/>
  <c r="Y108" i="1"/>
  <c r="Y107" i="1" s="1"/>
  <c r="X108" i="1"/>
  <c r="W108" i="1"/>
  <c r="V108" i="1"/>
  <c r="U108" i="1"/>
  <c r="L108" i="1" s="1"/>
  <c r="H108" i="1"/>
  <c r="E108" i="1"/>
  <c r="BF107" i="1"/>
  <c r="BA107" i="1"/>
  <c r="AS107" i="1"/>
  <c r="AP107" i="1"/>
  <c r="AK107" i="1"/>
  <c r="AG107" i="1"/>
  <c r="U107" i="1"/>
  <c r="N106" i="1"/>
  <c r="M106" i="1"/>
  <c r="L106" i="1"/>
  <c r="K106" i="1"/>
  <c r="Q106" i="1" s="1"/>
  <c r="J106" i="1"/>
  <c r="S106" i="1" s="1"/>
  <c r="I106" i="1"/>
  <c r="R106" i="1" s="1"/>
  <c r="S104" i="1"/>
  <c r="N104" i="1"/>
  <c r="M104" i="1"/>
  <c r="L104" i="1"/>
  <c r="K104" i="1"/>
  <c r="J104" i="1"/>
  <c r="P104" i="1" s="1"/>
  <c r="I104" i="1"/>
  <c r="R104" i="1" s="1"/>
  <c r="N103" i="1"/>
  <c r="M103" i="1"/>
  <c r="L103" i="1"/>
  <c r="K103" i="1"/>
  <c r="T103" i="1" s="1"/>
  <c r="J103" i="1"/>
  <c r="P103" i="1" s="1"/>
  <c r="I103" i="1"/>
  <c r="O103" i="1" s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H102" i="1"/>
  <c r="F102" i="1"/>
  <c r="E102" i="1"/>
  <c r="N101" i="1"/>
  <c r="M101" i="1"/>
  <c r="L101" i="1"/>
  <c r="K101" i="1"/>
  <c r="Q101" i="1" s="1"/>
  <c r="J101" i="1"/>
  <c r="S101" i="1" s="1"/>
  <c r="I101" i="1"/>
  <c r="R101" i="1" s="1"/>
  <c r="R100" i="1"/>
  <c r="N100" i="1"/>
  <c r="M100" i="1"/>
  <c r="L100" i="1"/>
  <c r="K100" i="1"/>
  <c r="T100" i="1" s="1"/>
  <c r="J100" i="1"/>
  <c r="S100" i="1" s="1"/>
  <c r="I100" i="1"/>
  <c r="O100" i="1" s="1"/>
  <c r="S99" i="1"/>
  <c r="N99" i="1"/>
  <c r="M99" i="1"/>
  <c r="L99" i="1"/>
  <c r="K99" i="1"/>
  <c r="Q99" i="1" s="1"/>
  <c r="J99" i="1"/>
  <c r="P99" i="1" s="1"/>
  <c r="I99" i="1"/>
  <c r="R98" i="1"/>
  <c r="N98" i="1"/>
  <c r="M98" i="1"/>
  <c r="L98" i="1"/>
  <c r="K98" i="1"/>
  <c r="J98" i="1"/>
  <c r="S98" i="1" s="1"/>
  <c r="I98" i="1"/>
  <c r="O98" i="1" s="1"/>
  <c r="N97" i="1"/>
  <c r="M97" i="1"/>
  <c r="L97" i="1"/>
  <c r="K97" i="1"/>
  <c r="Q97" i="1" s="1"/>
  <c r="J97" i="1"/>
  <c r="S97" i="1" s="1"/>
  <c r="I97" i="1"/>
  <c r="R97" i="1" s="1"/>
  <c r="N96" i="1"/>
  <c r="M96" i="1"/>
  <c r="L96" i="1"/>
  <c r="K96" i="1"/>
  <c r="T96" i="1" s="1"/>
  <c r="J96" i="1"/>
  <c r="S96" i="1" s="1"/>
  <c r="I96" i="1"/>
  <c r="O96" i="1" s="1"/>
  <c r="T95" i="1"/>
  <c r="N95" i="1"/>
  <c r="M95" i="1"/>
  <c r="L95" i="1"/>
  <c r="K95" i="1"/>
  <c r="Q95" i="1" s="1"/>
  <c r="J95" i="1"/>
  <c r="S95" i="1" s="1"/>
  <c r="I95" i="1"/>
  <c r="S94" i="1"/>
  <c r="N94" i="1"/>
  <c r="M94" i="1"/>
  <c r="L94" i="1"/>
  <c r="K94" i="1"/>
  <c r="Q94" i="1" s="1"/>
  <c r="J94" i="1"/>
  <c r="P94" i="1" s="1"/>
  <c r="I94" i="1"/>
  <c r="R94" i="1" s="1"/>
  <c r="R93" i="1"/>
  <c r="N93" i="1"/>
  <c r="M93" i="1"/>
  <c r="L93" i="1"/>
  <c r="K93" i="1"/>
  <c r="J93" i="1"/>
  <c r="P93" i="1" s="1"/>
  <c r="I93" i="1"/>
  <c r="O93" i="1" s="1"/>
  <c r="R92" i="1"/>
  <c r="N92" i="1"/>
  <c r="M92" i="1"/>
  <c r="L92" i="1"/>
  <c r="K92" i="1"/>
  <c r="T92" i="1" s="1"/>
  <c r="J92" i="1"/>
  <c r="I92" i="1"/>
  <c r="R90" i="1"/>
  <c r="N90" i="1"/>
  <c r="M90" i="1"/>
  <c r="L90" i="1"/>
  <c r="K90" i="1"/>
  <c r="T90" i="1" s="1"/>
  <c r="J90" i="1"/>
  <c r="I90" i="1"/>
  <c r="N89" i="1"/>
  <c r="M89" i="1"/>
  <c r="L89" i="1"/>
  <c r="K89" i="1"/>
  <c r="Q89" i="1" s="1"/>
  <c r="J89" i="1"/>
  <c r="S89" i="1" s="1"/>
  <c r="I89" i="1"/>
  <c r="R89" i="1" s="1"/>
  <c r="N88" i="1"/>
  <c r="M88" i="1"/>
  <c r="L88" i="1"/>
  <c r="K88" i="1"/>
  <c r="T88" i="1" s="1"/>
  <c r="J88" i="1"/>
  <c r="I88" i="1"/>
  <c r="R88" i="1" s="1"/>
  <c r="S87" i="1"/>
  <c r="N87" i="1"/>
  <c r="M87" i="1"/>
  <c r="L87" i="1"/>
  <c r="K87" i="1"/>
  <c r="Q87" i="1" s="1"/>
  <c r="J87" i="1"/>
  <c r="P87" i="1" s="1"/>
  <c r="I87" i="1"/>
  <c r="R87" i="1" s="1"/>
  <c r="N86" i="1"/>
  <c r="M86" i="1"/>
  <c r="L86" i="1"/>
  <c r="K86" i="1"/>
  <c r="T86" i="1" s="1"/>
  <c r="J86" i="1"/>
  <c r="J85" i="1" s="1"/>
  <c r="S85" i="1" s="1"/>
  <c r="I86" i="1"/>
  <c r="R86" i="1" s="1"/>
  <c r="BG85" i="1"/>
  <c r="BF85" i="1"/>
  <c r="BF84" i="1" s="1"/>
  <c r="BE85" i="1"/>
  <c r="BE84" i="1" s="1"/>
  <c r="BD85" i="1"/>
  <c r="BD84" i="1" s="1"/>
  <c r="BC85" i="1"/>
  <c r="BB85" i="1"/>
  <c r="BA85" i="1"/>
  <c r="BA84" i="1" s="1"/>
  <c r="AZ85" i="1"/>
  <c r="AZ84" i="1" s="1"/>
  <c r="AY85" i="1"/>
  <c r="AX85" i="1"/>
  <c r="AW85" i="1"/>
  <c r="AW84" i="1" s="1"/>
  <c r="AV85" i="1"/>
  <c r="AV84" i="1" s="1"/>
  <c r="AU85" i="1"/>
  <c r="AT85" i="1"/>
  <c r="AS85" i="1"/>
  <c r="AR85" i="1"/>
  <c r="AR84" i="1" s="1"/>
  <c r="AQ85" i="1"/>
  <c r="AP85" i="1"/>
  <c r="AO85" i="1"/>
  <c r="AO84" i="1" s="1"/>
  <c r="AN85" i="1"/>
  <c r="AN84" i="1" s="1"/>
  <c r="AM85" i="1"/>
  <c r="AL85" i="1"/>
  <c r="AK85" i="1"/>
  <c r="AK84" i="1" s="1"/>
  <c r="AJ85" i="1"/>
  <c r="AJ84" i="1" s="1"/>
  <c r="AI85" i="1"/>
  <c r="AH85" i="1"/>
  <c r="AG85" i="1"/>
  <c r="AG84" i="1" s="1"/>
  <c r="AF85" i="1"/>
  <c r="AE85" i="1"/>
  <c r="AD85" i="1"/>
  <c r="AC85" i="1"/>
  <c r="AB85" i="1"/>
  <c r="AA85" i="1"/>
  <c r="Z85" i="1"/>
  <c r="Y85" i="1"/>
  <c r="X85" i="1"/>
  <c r="W85" i="1"/>
  <c r="V85" i="1"/>
  <c r="U85" i="1"/>
  <c r="U84" i="1" s="1"/>
  <c r="H85" i="1"/>
  <c r="G85" i="1"/>
  <c r="G84" i="1" s="1"/>
  <c r="F85" i="1"/>
  <c r="E85" i="1"/>
  <c r="AS84" i="1"/>
  <c r="N83" i="1"/>
  <c r="M83" i="1"/>
  <c r="L83" i="1"/>
  <c r="K83" i="1"/>
  <c r="T83" i="1" s="1"/>
  <c r="J83" i="1"/>
  <c r="I83" i="1"/>
  <c r="R83" i="1" s="1"/>
  <c r="S82" i="1"/>
  <c r="N82" i="1"/>
  <c r="M82" i="1"/>
  <c r="L82" i="1"/>
  <c r="K82" i="1"/>
  <c r="Q82" i="1" s="1"/>
  <c r="J82" i="1"/>
  <c r="P82" i="1" s="1"/>
  <c r="I82" i="1"/>
  <c r="R82" i="1" s="1"/>
  <c r="AB79" i="1"/>
  <c r="J79" i="1" s="1"/>
  <c r="S79" i="1" s="1"/>
  <c r="N79" i="1"/>
  <c r="L79" i="1"/>
  <c r="K79" i="1"/>
  <c r="I79" i="1"/>
  <c r="R79" i="1" s="1"/>
  <c r="F79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H77" i="1"/>
  <c r="E77" i="1"/>
  <c r="O76" i="1"/>
  <c r="N76" i="1"/>
  <c r="M76" i="1"/>
  <c r="L76" i="1"/>
  <c r="K76" i="1"/>
  <c r="Q76" i="1" s="1"/>
  <c r="J76" i="1"/>
  <c r="P76" i="1" s="1"/>
  <c r="I76" i="1"/>
  <c r="AK75" i="1"/>
  <c r="AK72" i="1" s="1"/>
  <c r="AJ75" i="1"/>
  <c r="L75" i="1" s="1"/>
  <c r="AE75" i="1"/>
  <c r="AE72" i="1" s="1"/>
  <c r="AB75" i="1"/>
  <c r="Y75" i="1"/>
  <c r="N75" i="1"/>
  <c r="K75" i="1"/>
  <c r="T75" i="1" s="1"/>
  <c r="F75" i="1"/>
  <c r="F72" i="1" s="1"/>
  <c r="E75" i="1"/>
  <c r="R74" i="1"/>
  <c r="O74" i="1"/>
  <c r="N74" i="1"/>
  <c r="M74" i="1"/>
  <c r="L74" i="1"/>
  <c r="K74" i="1"/>
  <c r="Q74" i="1" s="1"/>
  <c r="J74" i="1"/>
  <c r="P74" i="1" s="1"/>
  <c r="I74" i="1"/>
  <c r="O73" i="1"/>
  <c r="N73" i="1"/>
  <c r="M73" i="1"/>
  <c r="L73" i="1"/>
  <c r="K73" i="1"/>
  <c r="T73" i="1" s="1"/>
  <c r="J73" i="1"/>
  <c r="I73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J72" i="1"/>
  <c r="AI72" i="1"/>
  <c r="AH72" i="1"/>
  <c r="AG72" i="1"/>
  <c r="AF72" i="1"/>
  <c r="AD72" i="1"/>
  <c r="AC72" i="1"/>
  <c r="AB72" i="1"/>
  <c r="AA72" i="1"/>
  <c r="Z72" i="1"/>
  <c r="X72" i="1"/>
  <c r="W72" i="1"/>
  <c r="V72" i="1"/>
  <c r="U72" i="1"/>
  <c r="H72" i="1"/>
  <c r="E72" i="1"/>
  <c r="N71" i="1"/>
  <c r="M71" i="1"/>
  <c r="L71" i="1"/>
  <c r="K71" i="1"/>
  <c r="Q71" i="1" s="1"/>
  <c r="J71" i="1"/>
  <c r="P71" i="1" s="1"/>
  <c r="I71" i="1"/>
  <c r="R71" i="1" s="1"/>
  <c r="N70" i="1"/>
  <c r="M70" i="1"/>
  <c r="L70" i="1"/>
  <c r="K70" i="1"/>
  <c r="T70" i="1" s="1"/>
  <c r="J70" i="1"/>
  <c r="S70" i="1" s="1"/>
  <c r="I70" i="1"/>
  <c r="O70" i="1" s="1"/>
  <c r="N69" i="1"/>
  <c r="M69" i="1"/>
  <c r="L69" i="1"/>
  <c r="K69" i="1"/>
  <c r="J69" i="1"/>
  <c r="S69" i="1" s="1"/>
  <c r="I69" i="1"/>
  <c r="R69" i="1" s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H68" i="1"/>
  <c r="F68" i="1"/>
  <c r="E68" i="1"/>
  <c r="S67" i="1"/>
  <c r="P67" i="1"/>
  <c r="N67" i="1"/>
  <c r="M67" i="1"/>
  <c r="L67" i="1"/>
  <c r="K67" i="1"/>
  <c r="T67" i="1" s="1"/>
  <c r="J67" i="1"/>
  <c r="I67" i="1"/>
  <c r="R67" i="1" s="1"/>
  <c r="N66" i="1"/>
  <c r="M66" i="1"/>
  <c r="L66" i="1"/>
  <c r="K66" i="1"/>
  <c r="T66" i="1" s="1"/>
  <c r="J66" i="1"/>
  <c r="P66" i="1" s="1"/>
  <c r="I66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H65" i="1"/>
  <c r="F65" i="1"/>
  <c r="E65" i="1"/>
  <c r="N64" i="1"/>
  <c r="M64" i="1"/>
  <c r="L64" i="1"/>
  <c r="K64" i="1"/>
  <c r="T64" i="1" s="1"/>
  <c r="J64" i="1"/>
  <c r="S64" i="1" s="1"/>
  <c r="I64" i="1"/>
  <c r="O64" i="1" s="1"/>
  <c r="O63" i="1"/>
  <c r="N63" i="1"/>
  <c r="M63" i="1"/>
  <c r="L63" i="1"/>
  <c r="K63" i="1"/>
  <c r="Q63" i="1" s="1"/>
  <c r="J63" i="1"/>
  <c r="P63" i="1" s="1"/>
  <c r="I63" i="1"/>
  <c r="R63" i="1" s="1"/>
  <c r="N62" i="1"/>
  <c r="M62" i="1"/>
  <c r="L62" i="1"/>
  <c r="K62" i="1"/>
  <c r="T62" i="1" s="1"/>
  <c r="J62" i="1"/>
  <c r="S62" i="1" s="1"/>
  <c r="I62" i="1"/>
  <c r="O62" i="1" s="1"/>
  <c r="S61" i="1"/>
  <c r="N61" i="1"/>
  <c r="M61" i="1"/>
  <c r="L61" i="1"/>
  <c r="K61" i="1"/>
  <c r="Q61" i="1" s="1"/>
  <c r="J61" i="1"/>
  <c r="P61" i="1" s="1"/>
  <c r="I61" i="1"/>
  <c r="R61" i="1" s="1"/>
  <c r="AQ60" i="1"/>
  <c r="AQ56" i="1" s="1"/>
  <c r="AQ55" i="1" s="1"/>
  <c r="AB60" i="1"/>
  <c r="N60" i="1"/>
  <c r="L60" i="1"/>
  <c r="K60" i="1"/>
  <c r="Q60" i="1" s="1"/>
  <c r="I60" i="1"/>
  <c r="R60" i="1" s="1"/>
  <c r="AP59" i="1"/>
  <c r="M59" i="1" s="1"/>
  <c r="AG59" i="1"/>
  <c r="AA59" i="1"/>
  <c r="AA56" i="1" s="1"/>
  <c r="AA55" i="1" s="1"/>
  <c r="N59" i="1"/>
  <c r="K59" i="1"/>
  <c r="T59" i="1" s="1"/>
  <c r="J59" i="1"/>
  <c r="P59" i="1" s="1"/>
  <c r="E59" i="1"/>
  <c r="AG58" i="1"/>
  <c r="L58" i="1" s="1"/>
  <c r="AA58" i="1"/>
  <c r="N58" i="1"/>
  <c r="M58" i="1"/>
  <c r="K58" i="1"/>
  <c r="Q58" i="1" s="1"/>
  <c r="J58" i="1"/>
  <c r="S58" i="1" s="1"/>
  <c r="I58" i="1"/>
  <c r="R58" i="1" s="1"/>
  <c r="E58" i="1"/>
  <c r="AN57" i="1"/>
  <c r="AN56" i="1" s="1"/>
  <c r="AN55" i="1" s="1"/>
  <c r="AJ57" i="1"/>
  <c r="I57" i="1" s="1"/>
  <c r="R57" i="1" s="1"/>
  <c r="N57" i="1"/>
  <c r="K57" i="1"/>
  <c r="T57" i="1" s="1"/>
  <c r="F57" i="1"/>
  <c r="E57" i="1"/>
  <c r="BG56" i="1"/>
  <c r="BG55" i="1" s="1"/>
  <c r="BF56" i="1"/>
  <c r="BF55" i="1" s="1"/>
  <c r="BE56" i="1"/>
  <c r="BD56" i="1"/>
  <c r="BC56" i="1"/>
  <c r="BC55" i="1" s="1"/>
  <c r="BB56" i="1"/>
  <c r="BA56" i="1"/>
  <c r="BA55" i="1" s="1"/>
  <c r="AZ56" i="1"/>
  <c r="AY56" i="1"/>
  <c r="AY55" i="1" s="1"/>
  <c r="AX56" i="1"/>
  <c r="AX55" i="1" s="1"/>
  <c r="AW56" i="1"/>
  <c r="AV56" i="1"/>
  <c r="AU56" i="1"/>
  <c r="AU55" i="1" s="1"/>
  <c r="AT56" i="1"/>
  <c r="AS56" i="1"/>
  <c r="AS55" i="1" s="1"/>
  <c r="AR56" i="1"/>
  <c r="AO56" i="1"/>
  <c r="AM56" i="1"/>
  <c r="AM55" i="1" s="1"/>
  <c r="AL56" i="1"/>
  <c r="AL55" i="1" s="1"/>
  <c r="AK56" i="1"/>
  <c r="AI56" i="1"/>
  <c r="AI55" i="1" s="1"/>
  <c r="AH56" i="1"/>
  <c r="AH55" i="1" s="1"/>
  <c r="AF56" i="1"/>
  <c r="AF55" i="1" s="1"/>
  <c r="AE56" i="1"/>
  <c r="AD56" i="1"/>
  <c r="AD55" i="1" s="1"/>
  <c r="AC56" i="1"/>
  <c r="AB56" i="1"/>
  <c r="Z56" i="1"/>
  <c r="Z55" i="1" s="1"/>
  <c r="Y56" i="1"/>
  <c r="X56" i="1"/>
  <c r="X55" i="1" s="1"/>
  <c r="W56" i="1"/>
  <c r="W55" i="1" s="1"/>
  <c r="V56" i="1"/>
  <c r="V55" i="1" s="1"/>
  <c r="U56" i="1"/>
  <c r="U55" i="1" s="1"/>
  <c r="H56" i="1"/>
  <c r="F56" i="1"/>
  <c r="BE55" i="1"/>
  <c r="BB55" i="1"/>
  <c r="AW55" i="1"/>
  <c r="AT55" i="1"/>
  <c r="AC55" i="1"/>
  <c r="G55" i="1"/>
  <c r="N54" i="1"/>
  <c r="M54" i="1"/>
  <c r="L54" i="1"/>
  <c r="K54" i="1"/>
  <c r="T54" i="1" s="1"/>
  <c r="J54" i="1"/>
  <c r="S54" i="1" s="1"/>
  <c r="I54" i="1"/>
  <c r="O54" i="1" s="1"/>
  <c r="AJ53" i="1"/>
  <c r="AD53" i="1"/>
  <c r="U53" i="1"/>
  <c r="N53" i="1"/>
  <c r="M53" i="1"/>
  <c r="K53" i="1"/>
  <c r="Q53" i="1" s="1"/>
  <c r="J53" i="1"/>
  <c r="P53" i="1" s="1"/>
  <c r="E53" i="1"/>
  <c r="O52" i="1"/>
  <c r="N52" i="1"/>
  <c r="M52" i="1"/>
  <c r="L52" i="1"/>
  <c r="K52" i="1"/>
  <c r="Q52" i="1" s="1"/>
  <c r="J52" i="1"/>
  <c r="S52" i="1" s="1"/>
  <c r="I52" i="1"/>
  <c r="R52" i="1" s="1"/>
  <c r="O51" i="1"/>
  <c r="N51" i="1"/>
  <c r="M51" i="1"/>
  <c r="L51" i="1"/>
  <c r="K51" i="1"/>
  <c r="T51" i="1" s="1"/>
  <c r="J51" i="1"/>
  <c r="P51" i="1" s="1"/>
  <c r="I51" i="1"/>
  <c r="R51" i="1" s="1"/>
  <c r="N50" i="1"/>
  <c r="M50" i="1"/>
  <c r="L50" i="1"/>
  <c r="K50" i="1"/>
  <c r="T50" i="1" s="1"/>
  <c r="J50" i="1"/>
  <c r="S50" i="1" s="1"/>
  <c r="I50" i="1"/>
  <c r="O50" i="1" s="1"/>
  <c r="N49" i="1"/>
  <c r="M49" i="1"/>
  <c r="L49" i="1"/>
  <c r="K49" i="1"/>
  <c r="T49" i="1" s="1"/>
  <c r="J49" i="1"/>
  <c r="S49" i="1" s="1"/>
  <c r="I49" i="1"/>
  <c r="R49" i="1" s="1"/>
  <c r="S48" i="1"/>
  <c r="P48" i="1"/>
  <c r="N48" i="1"/>
  <c r="M48" i="1"/>
  <c r="L48" i="1"/>
  <c r="K48" i="1"/>
  <c r="Q48" i="1" s="1"/>
  <c r="J48" i="1"/>
  <c r="I48" i="1"/>
  <c r="R48" i="1" s="1"/>
  <c r="N47" i="1"/>
  <c r="M47" i="1"/>
  <c r="L47" i="1"/>
  <c r="K47" i="1"/>
  <c r="T47" i="1" s="1"/>
  <c r="J47" i="1"/>
  <c r="P47" i="1" s="1"/>
  <c r="I47" i="1"/>
  <c r="R47" i="1" s="1"/>
  <c r="N46" i="1"/>
  <c r="M46" i="1"/>
  <c r="L46" i="1"/>
  <c r="K46" i="1"/>
  <c r="T46" i="1" s="1"/>
  <c r="J46" i="1"/>
  <c r="S46" i="1" s="1"/>
  <c r="I46" i="1"/>
  <c r="O46" i="1" s="1"/>
  <c r="P45" i="1"/>
  <c r="N45" i="1"/>
  <c r="M45" i="1"/>
  <c r="L45" i="1"/>
  <c r="K45" i="1"/>
  <c r="Q45" i="1" s="1"/>
  <c r="J45" i="1"/>
  <c r="S45" i="1" s="1"/>
  <c r="I45" i="1"/>
  <c r="R45" i="1" s="1"/>
  <c r="AQ44" i="1"/>
  <c r="L44" i="1" s="1"/>
  <c r="AE44" i="1"/>
  <c r="M44" i="1" s="1"/>
  <c r="AB44" i="1"/>
  <c r="N44" i="1"/>
  <c r="K44" i="1"/>
  <c r="T44" i="1" s="1"/>
  <c r="J44" i="1"/>
  <c r="P44" i="1" s="1"/>
  <c r="AH43" i="1"/>
  <c r="AE43" i="1"/>
  <c r="N43" i="1"/>
  <c r="L43" i="1"/>
  <c r="K43" i="1"/>
  <c r="Q43" i="1" s="1"/>
  <c r="I43" i="1"/>
  <c r="R43" i="1" s="1"/>
  <c r="AP42" i="1"/>
  <c r="AM42" i="1"/>
  <c r="AJ42" i="1"/>
  <c r="N42" i="1"/>
  <c r="M42" i="1"/>
  <c r="K42" i="1"/>
  <c r="T42" i="1" s="1"/>
  <c r="J42" i="1"/>
  <c r="F42" i="1"/>
  <c r="P42" i="1" s="1"/>
  <c r="E42" i="1"/>
  <c r="N41" i="1"/>
  <c r="M41" i="1"/>
  <c r="L41" i="1"/>
  <c r="K41" i="1"/>
  <c r="T41" i="1" s="1"/>
  <c r="J41" i="1"/>
  <c r="P41" i="1" s="1"/>
  <c r="I41" i="1"/>
  <c r="O41" i="1" s="1"/>
  <c r="AB40" i="1"/>
  <c r="Y40" i="1"/>
  <c r="V40" i="1"/>
  <c r="N40" i="1"/>
  <c r="M40" i="1"/>
  <c r="L40" i="1"/>
  <c r="K40" i="1"/>
  <c r="T40" i="1" s="1"/>
  <c r="I40" i="1"/>
  <c r="R40" i="1" s="1"/>
  <c r="F40" i="1"/>
  <c r="N39" i="1"/>
  <c r="M39" i="1"/>
  <c r="L39" i="1"/>
  <c r="K39" i="1"/>
  <c r="T39" i="1" s="1"/>
  <c r="J39" i="1"/>
  <c r="S39" i="1" s="1"/>
  <c r="I39" i="1"/>
  <c r="E39" i="1"/>
  <c r="N38" i="1"/>
  <c r="M38" i="1"/>
  <c r="L38" i="1"/>
  <c r="K38" i="1"/>
  <c r="T38" i="1" s="1"/>
  <c r="J38" i="1"/>
  <c r="P38" i="1" s="1"/>
  <c r="I38" i="1"/>
  <c r="R38" i="1" s="1"/>
  <c r="AJ37" i="1"/>
  <c r="X37" i="1"/>
  <c r="I37" i="1" s="1"/>
  <c r="R37" i="1" s="1"/>
  <c r="N37" i="1"/>
  <c r="M37" i="1"/>
  <c r="K37" i="1"/>
  <c r="Q37" i="1" s="1"/>
  <c r="J37" i="1"/>
  <c r="S37" i="1" s="1"/>
  <c r="F37" i="1"/>
  <c r="S76" i="1" s="1"/>
  <c r="E37" i="1"/>
  <c r="P36" i="1"/>
  <c r="N36" i="1"/>
  <c r="M36" i="1"/>
  <c r="L36" i="1"/>
  <c r="K36" i="1"/>
  <c r="Q36" i="1" s="1"/>
  <c r="J36" i="1"/>
  <c r="S36" i="1" s="1"/>
  <c r="I36" i="1"/>
  <c r="R36" i="1" s="1"/>
  <c r="AG35" i="1"/>
  <c r="L35" i="1" s="1"/>
  <c r="N35" i="1"/>
  <c r="M35" i="1"/>
  <c r="K35" i="1"/>
  <c r="T35" i="1" s="1"/>
  <c r="J35" i="1"/>
  <c r="S35" i="1" s="1"/>
  <c r="E35" i="1"/>
  <c r="N34" i="1"/>
  <c r="M34" i="1"/>
  <c r="L34" i="1"/>
  <c r="K34" i="1"/>
  <c r="T34" i="1" s="1"/>
  <c r="J34" i="1"/>
  <c r="S34" i="1" s="1"/>
  <c r="I34" i="1"/>
  <c r="O34" i="1" s="1"/>
  <c r="F34" i="1"/>
  <c r="Y33" i="1"/>
  <c r="J33" i="1" s="1"/>
  <c r="N33" i="1"/>
  <c r="L33" i="1"/>
  <c r="K33" i="1"/>
  <c r="T33" i="1" s="1"/>
  <c r="I33" i="1"/>
  <c r="R33" i="1" s="1"/>
  <c r="F33" i="1"/>
  <c r="R32" i="1"/>
  <c r="N32" i="1"/>
  <c r="M32" i="1"/>
  <c r="L32" i="1"/>
  <c r="K32" i="1"/>
  <c r="T32" i="1" s="1"/>
  <c r="J32" i="1"/>
  <c r="P32" i="1" s="1"/>
  <c r="I32" i="1"/>
  <c r="O32" i="1" s="1"/>
  <c r="N31" i="1"/>
  <c r="M31" i="1"/>
  <c r="L31" i="1"/>
  <c r="K31" i="1"/>
  <c r="T31" i="1" s="1"/>
  <c r="J31" i="1"/>
  <c r="S31" i="1" s="1"/>
  <c r="I31" i="1"/>
  <c r="O31" i="1" s="1"/>
  <c r="T30" i="1"/>
  <c r="N30" i="1"/>
  <c r="M30" i="1"/>
  <c r="L30" i="1"/>
  <c r="K30" i="1"/>
  <c r="Q30" i="1" s="1"/>
  <c r="J30" i="1"/>
  <c r="S30" i="1" s="1"/>
  <c r="I30" i="1"/>
  <c r="R30" i="1" s="1"/>
  <c r="N29" i="1"/>
  <c r="M29" i="1"/>
  <c r="L29" i="1"/>
  <c r="K29" i="1"/>
  <c r="Q29" i="1" s="1"/>
  <c r="J29" i="1"/>
  <c r="P29" i="1" s="1"/>
  <c r="I29" i="1"/>
  <c r="R29" i="1" s="1"/>
  <c r="N28" i="1"/>
  <c r="M28" i="1"/>
  <c r="L28" i="1"/>
  <c r="K28" i="1"/>
  <c r="T28" i="1" s="1"/>
  <c r="J28" i="1"/>
  <c r="P28" i="1" s="1"/>
  <c r="I28" i="1"/>
  <c r="R28" i="1" s="1"/>
  <c r="N27" i="1"/>
  <c r="M27" i="1"/>
  <c r="L27" i="1"/>
  <c r="K27" i="1"/>
  <c r="T27" i="1" s="1"/>
  <c r="J27" i="1"/>
  <c r="S27" i="1" s="1"/>
  <c r="I27" i="1"/>
  <c r="N26" i="1"/>
  <c r="M26" i="1"/>
  <c r="L26" i="1"/>
  <c r="K26" i="1"/>
  <c r="T26" i="1" s="1"/>
  <c r="J26" i="1"/>
  <c r="S26" i="1" s="1"/>
  <c r="I26" i="1"/>
  <c r="T25" i="1"/>
  <c r="N25" i="1"/>
  <c r="M25" i="1"/>
  <c r="L25" i="1"/>
  <c r="K25" i="1"/>
  <c r="Q25" i="1" s="1"/>
  <c r="J25" i="1"/>
  <c r="S25" i="1" s="1"/>
  <c r="I25" i="1"/>
  <c r="R25" i="1" s="1"/>
  <c r="S24" i="1"/>
  <c r="N24" i="1"/>
  <c r="M24" i="1"/>
  <c r="L24" i="1"/>
  <c r="K24" i="1"/>
  <c r="J24" i="1"/>
  <c r="P24" i="1" s="1"/>
  <c r="I24" i="1"/>
  <c r="E24" i="1"/>
  <c r="O24" i="1" s="1"/>
  <c r="AG23" i="1"/>
  <c r="L23" i="1" s="1"/>
  <c r="V23" i="1"/>
  <c r="J23" i="1" s="1"/>
  <c r="Q23" i="1"/>
  <c r="N23" i="1"/>
  <c r="M23" i="1"/>
  <c r="K23" i="1"/>
  <c r="T23" i="1" s="1"/>
  <c r="E23" i="1"/>
  <c r="N22" i="1"/>
  <c r="M22" i="1"/>
  <c r="L22" i="1"/>
  <c r="K22" i="1"/>
  <c r="T22" i="1" s="1"/>
  <c r="J22" i="1"/>
  <c r="S22" i="1" s="1"/>
  <c r="I22" i="1"/>
  <c r="AG21" i="1"/>
  <c r="L21" i="1" s="1"/>
  <c r="Q21" i="1"/>
  <c r="N21" i="1"/>
  <c r="M21" i="1"/>
  <c r="K21" i="1"/>
  <c r="T21" i="1" s="1"/>
  <c r="J21" i="1"/>
  <c r="S21" i="1" s="1"/>
  <c r="E21" i="1"/>
  <c r="AJ20" i="1"/>
  <c r="AG20" i="1"/>
  <c r="V20" i="1"/>
  <c r="J20" i="1" s="1"/>
  <c r="S20" i="1" s="1"/>
  <c r="N20" i="1"/>
  <c r="K20" i="1"/>
  <c r="T20" i="1" s="1"/>
  <c r="E20" i="1"/>
  <c r="T19" i="1"/>
  <c r="N19" i="1"/>
  <c r="M19" i="1"/>
  <c r="L19" i="1"/>
  <c r="K19" i="1"/>
  <c r="Q19" i="1" s="1"/>
  <c r="J19" i="1"/>
  <c r="S19" i="1" s="1"/>
  <c r="I19" i="1"/>
  <c r="R19" i="1" s="1"/>
  <c r="S18" i="1"/>
  <c r="N18" i="1"/>
  <c r="M18" i="1"/>
  <c r="L18" i="1"/>
  <c r="K18" i="1"/>
  <c r="J18" i="1"/>
  <c r="P18" i="1" s="1"/>
  <c r="I18" i="1"/>
  <c r="R18" i="1" s="1"/>
  <c r="AJ17" i="1"/>
  <c r="AG17" i="1"/>
  <c r="Y17" i="1"/>
  <c r="J17" i="1" s="1"/>
  <c r="N17" i="1"/>
  <c r="M17" i="1"/>
  <c r="K17" i="1"/>
  <c r="T17" i="1" s="1"/>
  <c r="E17" i="1"/>
  <c r="AK16" i="1"/>
  <c r="AK14" i="1" s="1"/>
  <c r="AB16" i="1"/>
  <c r="AB14" i="1" s="1"/>
  <c r="Y16" i="1"/>
  <c r="N16" i="1"/>
  <c r="L16" i="1"/>
  <c r="K16" i="1"/>
  <c r="Q16" i="1" s="1"/>
  <c r="I16" i="1"/>
  <c r="F16" i="1"/>
  <c r="F14" i="1" s="1"/>
  <c r="AJ15" i="1"/>
  <c r="AD15" i="1"/>
  <c r="AD14" i="1" s="1"/>
  <c r="X15" i="1"/>
  <c r="X14" i="1" s="1"/>
  <c r="T15" i="1"/>
  <c r="N15" i="1"/>
  <c r="M15" i="1"/>
  <c r="K15" i="1"/>
  <c r="Q15" i="1" s="1"/>
  <c r="J15" i="1"/>
  <c r="S15" i="1" s="1"/>
  <c r="E15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J14" i="1"/>
  <c r="AI14" i="1"/>
  <c r="AH14" i="1"/>
  <c r="AF14" i="1"/>
  <c r="AE14" i="1"/>
  <c r="AC14" i="1"/>
  <c r="AA14" i="1"/>
  <c r="Z14" i="1"/>
  <c r="W14" i="1"/>
  <c r="U14" i="1"/>
  <c r="H14" i="1"/>
  <c r="G14" i="1"/>
  <c r="G3" i="1" s="1"/>
  <c r="N13" i="1"/>
  <c r="M13" i="1"/>
  <c r="L13" i="1"/>
  <c r="K13" i="1"/>
  <c r="Q13" i="1" s="1"/>
  <c r="J13" i="1"/>
  <c r="S13" i="1" s="1"/>
  <c r="I13" i="1"/>
  <c r="R13" i="1" s="1"/>
  <c r="R12" i="1"/>
  <c r="N12" i="1"/>
  <c r="M12" i="1"/>
  <c r="L12" i="1"/>
  <c r="K12" i="1"/>
  <c r="J12" i="1"/>
  <c r="P12" i="1" s="1"/>
  <c r="I12" i="1"/>
  <c r="O12" i="1" s="1"/>
  <c r="O11" i="1"/>
  <c r="N11" i="1"/>
  <c r="M11" i="1"/>
  <c r="L11" i="1"/>
  <c r="K11" i="1"/>
  <c r="J11" i="1"/>
  <c r="P11" i="1" s="1"/>
  <c r="I11" i="1"/>
  <c r="R11" i="1" s="1"/>
  <c r="R10" i="1"/>
  <c r="O10" i="1"/>
  <c r="N10" i="1"/>
  <c r="M10" i="1"/>
  <c r="L10" i="1"/>
  <c r="K10" i="1"/>
  <c r="J10" i="1"/>
  <c r="P10" i="1" s="1"/>
  <c r="I10" i="1"/>
  <c r="N9" i="1"/>
  <c r="M9" i="1"/>
  <c r="L9" i="1"/>
  <c r="K9" i="1"/>
  <c r="J9" i="1"/>
  <c r="P9" i="1" s="1"/>
  <c r="I9" i="1"/>
  <c r="R9" i="1" s="1"/>
  <c r="N8" i="1"/>
  <c r="M8" i="1"/>
  <c r="L8" i="1"/>
  <c r="K8" i="1"/>
  <c r="J8" i="1"/>
  <c r="P8" i="1" s="1"/>
  <c r="I8" i="1"/>
  <c r="R8" i="1" s="1"/>
  <c r="N7" i="1"/>
  <c r="M7" i="1"/>
  <c r="L7" i="1"/>
  <c r="K7" i="1"/>
  <c r="T7" i="1" s="1"/>
  <c r="J7" i="1"/>
  <c r="I7" i="1"/>
  <c r="R7" i="1" s="1"/>
  <c r="N6" i="1"/>
  <c r="M6" i="1"/>
  <c r="L6" i="1"/>
  <c r="K6" i="1"/>
  <c r="Q6" i="1" s="1"/>
  <c r="J6" i="1"/>
  <c r="S6" i="1" s="1"/>
  <c r="I6" i="1"/>
  <c r="AJ5" i="1"/>
  <c r="L5" i="1" s="1"/>
  <c r="N5" i="1"/>
  <c r="M5" i="1"/>
  <c r="K5" i="1"/>
  <c r="T5" i="1" s="1"/>
  <c r="J5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H4" i="1"/>
  <c r="F4" i="1"/>
  <c r="E4" i="1"/>
  <c r="S9" i="1" l="1"/>
  <c r="AJ4" i="1"/>
  <c r="Q5" i="1"/>
  <c r="Q4" i="1" s="1"/>
  <c r="T6" i="1"/>
  <c r="I17" i="1"/>
  <c r="R17" i="1" s="1"/>
  <c r="O18" i="1"/>
  <c r="M20" i="1"/>
  <c r="L20" i="1"/>
  <c r="O28" i="1"/>
  <c r="S29" i="1"/>
  <c r="I35" i="1"/>
  <c r="R35" i="1" s="1"/>
  <c r="R41" i="1"/>
  <c r="I42" i="1"/>
  <c r="R42" i="1" s="1"/>
  <c r="K56" i="1"/>
  <c r="M56" i="1"/>
  <c r="AK55" i="1"/>
  <c r="AK3" i="1" s="1"/>
  <c r="J57" i="1"/>
  <c r="S57" i="1" s="1"/>
  <c r="J60" i="1"/>
  <c r="O61" i="1"/>
  <c r="O82" i="1"/>
  <c r="O87" i="1"/>
  <c r="O94" i="1"/>
  <c r="P95" i="1"/>
  <c r="O101" i="1"/>
  <c r="M102" i="1"/>
  <c r="N102" i="1"/>
  <c r="T106" i="1"/>
  <c r="X107" i="1"/>
  <c r="S115" i="1"/>
  <c r="P118" i="1"/>
  <c r="P122" i="1"/>
  <c r="J123" i="1"/>
  <c r="M136" i="1"/>
  <c r="I135" i="1"/>
  <c r="R135" i="1" s="1"/>
  <c r="O141" i="1"/>
  <c r="Q142" i="1"/>
  <c r="AC144" i="1"/>
  <c r="AG144" i="1"/>
  <c r="AS144" i="1"/>
  <c r="AW144" i="1"/>
  <c r="BA144" i="1"/>
  <c r="L145" i="1"/>
  <c r="P148" i="1"/>
  <c r="S151" i="1"/>
  <c r="I157" i="1"/>
  <c r="R157" i="1" s="1"/>
  <c r="P159" i="1"/>
  <c r="R161" i="1"/>
  <c r="P164" i="1"/>
  <c r="O166" i="1"/>
  <c r="P35" i="1"/>
  <c r="Q49" i="1"/>
  <c r="S53" i="1"/>
  <c r="P58" i="1"/>
  <c r="P79" i="1"/>
  <c r="AC84" i="1"/>
  <c r="Q119" i="1"/>
  <c r="Q121" i="1"/>
  <c r="AL107" i="1"/>
  <c r="AL84" i="1" s="1"/>
  <c r="AT107" i="1"/>
  <c r="AT84" i="1" s="1"/>
  <c r="BB107" i="1"/>
  <c r="BB84" i="1" s="1"/>
  <c r="N139" i="1"/>
  <c r="Q146" i="1"/>
  <c r="W152" i="1"/>
  <c r="AA152" i="1"/>
  <c r="AE152" i="1"/>
  <c r="AE143" i="1" s="1"/>
  <c r="AM152" i="1"/>
  <c r="AQ152" i="1"/>
  <c r="AU152" i="1"/>
  <c r="AU143" i="1" s="1"/>
  <c r="BC152" i="1"/>
  <c r="AR143" i="1"/>
  <c r="R24" i="1"/>
  <c r="T36" i="1"/>
  <c r="T45" i="1"/>
  <c r="L57" i="1"/>
  <c r="T58" i="1"/>
  <c r="L59" i="1"/>
  <c r="M77" i="1"/>
  <c r="N77" i="1"/>
  <c r="M79" i="1"/>
  <c r="P97" i="1"/>
  <c r="T99" i="1"/>
  <c r="S110" i="1"/>
  <c r="T111" i="1"/>
  <c r="V107" i="1"/>
  <c r="V84" i="1" s="1"/>
  <c r="Z107" i="1"/>
  <c r="AD107" i="1"/>
  <c r="AD84" i="1" s="1"/>
  <c r="T146" i="1"/>
  <c r="T156" i="1"/>
  <c r="T13" i="1"/>
  <c r="S11" i="1"/>
  <c r="O29" i="1"/>
  <c r="S33" i="1"/>
  <c r="L37" i="1"/>
  <c r="J40" i="1"/>
  <c r="S40" i="1" s="1"/>
  <c r="Q42" i="1"/>
  <c r="J43" i="1"/>
  <c r="P52" i="1"/>
  <c r="AJ56" i="1"/>
  <c r="AJ55" i="1" s="1"/>
  <c r="AO55" i="1"/>
  <c r="S63" i="1"/>
  <c r="M75" i="1"/>
  <c r="T89" i="1"/>
  <c r="O104" i="1"/>
  <c r="E107" i="1"/>
  <c r="E84" i="1" s="1"/>
  <c r="P124" i="1"/>
  <c r="K127" i="1"/>
  <c r="Q129" i="1"/>
  <c r="K135" i="1"/>
  <c r="AB139" i="1"/>
  <c r="P150" i="1"/>
  <c r="P149" i="1" s="1"/>
  <c r="R159" i="1"/>
  <c r="L160" i="1"/>
  <c r="P162" i="1"/>
  <c r="BB143" i="1"/>
  <c r="W143" i="1"/>
  <c r="AA143" i="1"/>
  <c r="AI143" i="1"/>
  <c r="AM143" i="1"/>
  <c r="BC143" i="1"/>
  <c r="AN143" i="1"/>
  <c r="AN3" i="1"/>
  <c r="O167" i="1"/>
  <c r="AL143" i="1"/>
  <c r="AC143" i="1"/>
  <c r="AC3" i="1" s="1"/>
  <c r="AG143" i="1"/>
  <c r="AS143" i="1"/>
  <c r="AS3" i="1" s="1"/>
  <c r="AW143" i="1"/>
  <c r="AW3" i="1" s="1"/>
  <c r="BA143" i="1"/>
  <c r="BA3" i="1" s="1"/>
  <c r="L167" i="1"/>
  <c r="U143" i="1"/>
  <c r="U3" i="1" s="1"/>
  <c r="P15" i="1"/>
  <c r="M33" i="1"/>
  <c r="Q34" i="1"/>
  <c r="Q50" i="1"/>
  <c r="P65" i="1"/>
  <c r="L68" i="1"/>
  <c r="L77" i="1"/>
  <c r="T98" i="1"/>
  <c r="Q98" i="1"/>
  <c r="Q100" i="1"/>
  <c r="L102" i="1"/>
  <c r="S121" i="1"/>
  <c r="J117" i="1"/>
  <c r="P121" i="1"/>
  <c r="N123" i="1"/>
  <c r="Q130" i="1"/>
  <c r="Q134" i="1"/>
  <c r="S141" i="1"/>
  <c r="J139" i="1"/>
  <c r="T16" i="1"/>
  <c r="Q22" i="1"/>
  <c r="K4" i="1"/>
  <c r="T4" i="1" s="1"/>
  <c r="S10" i="1"/>
  <c r="O13" i="1"/>
  <c r="I15" i="1"/>
  <c r="M16" i="1"/>
  <c r="Q17" i="1"/>
  <c r="P19" i="1"/>
  <c r="I20" i="1"/>
  <c r="R20" i="1" s="1"/>
  <c r="P25" i="1"/>
  <c r="Q27" i="1"/>
  <c r="P30" i="1"/>
  <c r="P34" i="1"/>
  <c r="Q35" i="1"/>
  <c r="O39" i="1"/>
  <c r="M43" i="1"/>
  <c r="AR55" i="1"/>
  <c r="AR3" i="1" s="1"/>
  <c r="AV55" i="1"/>
  <c r="AZ55" i="1"/>
  <c r="BD55" i="1"/>
  <c r="BD3" i="1" s="1"/>
  <c r="O57" i="1"/>
  <c r="M60" i="1"/>
  <c r="Q62" i="1"/>
  <c r="Q64" i="1"/>
  <c r="J65" i="1"/>
  <c r="S65" i="1" s="1"/>
  <c r="N65" i="1"/>
  <c r="Q66" i="1"/>
  <c r="Q67" i="1"/>
  <c r="N68" i="1"/>
  <c r="M68" i="1"/>
  <c r="O69" i="1"/>
  <c r="Q83" i="1"/>
  <c r="Z84" i="1"/>
  <c r="AP84" i="1"/>
  <c r="AX84" i="1"/>
  <c r="Q86" i="1"/>
  <c r="Q88" i="1"/>
  <c r="O89" i="1"/>
  <c r="S93" i="1"/>
  <c r="T97" i="1"/>
  <c r="R99" i="1"/>
  <c r="O99" i="1"/>
  <c r="P101" i="1"/>
  <c r="R103" i="1"/>
  <c r="Q104" i="1"/>
  <c r="T104" i="1"/>
  <c r="AE107" i="1"/>
  <c r="O109" i="1"/>
  <c r="R109" i="1"/>
  <c r="F107" i="1"/>
  <c r="O116" i="1"/>
  <c r="R116" i="1"/>
  <c r="Y135" i="1"/>
  <c r="Y84" i="1" s="1"/>
  <c r="O8" i="1"/>
  <c r="O9" i="1"/>
  <c r="P13" i="1"/>
  <c r="Q20" i="1"/>
  <c r="I23" i="1"/>
  <c r="Q26" i="1"/>
  <c r="Q31" i="1"/>
  <c r="O33" i="1"/>
  <c r="O38" i="1"/>
  <c r="Q40" i="1"/>
  <c r="S42" i="1"/>
  <c r="O47" i="1"/>
  <c r="O48" i="1"/>
  <c r="Q54" i="1"/>
  <c r="P57" i="1"/>
  <c r="K65" i="1"/>
  <c r="T65" i="1" s="1"/>
  <c r="I68" i="1"/>
  <c r="R68" i="1" s="1"/>
  <c r="P69" i="1"/>
  <c r="Q70" i="1"/>
  <c r="O71" i="1"/>
  <c r="Q75" i="1"/>
  <c r="O79" i="1"/>
  <c r="AE84" i="1"/>
  <c r="P89" i="1"/>
  <c r="O97" i="1"/>
  <c r="T101" i="1"/>
  <c r="I102" i="1"/>
  <c r="R102" i="1" s="1"/>
  <c r="S103" i="1"/>
  <c r="W107" i="1"/>
  <c r="W84" i="1" s="1"/>
  <c r="W3" i="1" s="1"/>
  <c r="AA107" i="1"/>
  <c r="Q115" i="1"/>
  <c r="T115" i="1"/>
  <c r="T125" i="1"/>
  <c r="K123" i="1"/>
  <c r="Q125" i="1"/>
  <c r="Q128" i="1"/>
  <c r="T132" i="1"/>
  <c r="K131" i="1"/>
  <c r="T131" i="1" s="1"/>
  <c r="Q132" i="1"/>
  <c r="M135" i="1"/>
  <c r="P142" i="1"/>
  <c r="S142" i="1"/>
  <c r="AZ3" i="1"/>
  <c r="M4" i="1"/>
  <c r="L4" i="1"/>
  <c r="Q7" i="1"/>
  <c r="P33" i="1"/>
  <c r="Q39" i="1"/>
  <c r="O42" i="1"/>
  <c r="L42" i="1"/>
  <c r="O43" i="1"/>
  <c r="Q46" i="1"/>
  <c r="P49" i="1"/>
  <c r="I53" i="1"/>
  <c r="O53" i="1" s="1"/>
  <c r="H55" i="1"/>
  <c r="AE55" i="1"/>
  <c r="O60" i="1"/>
  <c r="L65" i="1"/>
  <c r="J68" i="1"/>
  <c r="S68" i="1" s="1"/>
  <c r="Y72" i="1"/>
  <c r="L72" i="1"/>
  <c r="J75" i="1"/>
  <c r="S75" i="1" s="1"/>
  <c r="Q90" i="1"/>
  <c r="Q92" i="1"/>
  <c r="T94" i="1"/>
  <c r="Q96" i="1"/>
  <c r="K108" i="1"/>
  <c r="T108" i="1" s="1"/>
  <c r="O110" i="1"/>
  <c r="R110" i="1"/>
  <c r="R112" i="1"/>
  <c r="O112" i="1"/>
  <c r="Q114" i="1"/>
  <c r="BF143" i="1"/>
  <c r="BF3" i="1" s="1"/>
  <c r="AI107" i="1"/>
  <c r="AI84" i="1" s="1"/>
  <c r="AI3" i="1" s="1"/>
  <c r="AM107" i="1"/>
  <c r="AM84" i="1" s="1"/>
  <c r="AQ107" i="1"/>
  <c r="AQ84" i="1" s="1"/>
  <c r="AU107" i="1"/>
  <c r="AU84" i="1" s="1"/>
  <c r="AU3" i="1" s="1"/>
  <c r="AY107" i="1"/>
  <c r="AY84" i="1" s="1"/>
  <c r="AY3" i="1" s="1"/>
  <c r="BC107" i="1"/>
  <c r="BC84" i="1" s="1"/>
  <c r="BC3" i="1" s="1"/>
  <c r="BG107" i="1"/>
  <c r="BG84" i="1" s="1"/>
  <c r="O111" i="1"/>
  <c r="P112" i="1"/>
  <c r="T112" i="1"/>
  <c r="J113" i="1"/>
  <c r="S113" i="1" s="1"/>
  <c r="M117" i="1"/>
  <c r="N118" i="1"/>
  <c r="P119" i="1"/>
  <c r="M123" i="1"/>
  <c r="O124" i="1"/>
  <c r="J127" i="1"/>
  <c r="P129" i="1"/>
  <c r="P127" i="1" s="1"/>
  <c r="T136" i="1"/>
  <c r="Z143" i="1"/>
  <c r="AP143" i="1"/>
  <c r="AD143" i="1"/>
  <c r="AD3" i="1" s="1"/>
  <c r="AH143" i="1"/>
  <c r="AT143" i="1"/>
  <c r="AT3" i="1" s="1"/>
  <c r="AX143" i="1"/>
  <c r="AX3" i="1" s="1"/>
  <c r="P146" i="1"/>
  <c r="I149" i="1"/>
  <c r="K149" i="1"/>
  <c r="T149" i="1" s="1"/>
  <c r="O150" i="1"/>
  <c r="O149" i="1" s="1"/>
  <c r="F153" i="1"/>
  <c r="F152" i="1" s="1"/>
  <c r="F143" i="1" s="1"/>
  <c r="K153" i="1"/>
  <c r="T153" i="1" s="1"/>
  <c r="N153" i="1"/>
  <c r="Q153" i="1"/>
  <c r="Q152" i="1" s="1"/>
  <c r="O156" i="1"/>
  <c r="S157" i="1"/>
  <c r="J153" i="1"/>
  <c r="T163" i="1"/>
  <c r="P165" i="1"/>
  <c r="J168" i="1"/>
  <c r="J167" i="1" s="1"/>
  <c r="S167" i="1" s="1"/>
  <c r="AQ143" i="1"/>
  <c r="L152" i="1"/>
  <c r="N160" i="1"/>
  <c r="N167" i="1"/>
  <c r="Q168" i="1"/>
  <c r="O113" i="1"/>
  <c r="M113" i="1"/>
  <c r="R114" i="1"/>
  <c r="L117" i="1"/>
  <c r="P141" i="1"/>
  <c r="P139" i="1" s="1"/>
  <c r="V143" i="1"/>
  <c r="Q148" i="1"/>
  <c r="AJ144" i="1"/>
  <c r="AJ143" i="1" s="1"/>
  <c r="AJ3" i="1" s="1"/>
  <c r="H152" i="1"/>
  <c r="H143" i="1" s="1"/>
  <c r="M160" i="1"/>
  <c r="Q162" i="1"/>
  <c r="Q160" i="1" s="1"/>
  <c r="P163" i="1"/>
  <c r="K167" i="1"/>
  <c r="T167" i="1" s="1"/>
  <c r="P168" i="1"/>
  <c r="M167" i="1"/>
  <c r="P106" i="1"/>
  <c r="P102" i="1" s="1"/>
  <c r="Q109" i="1"/>
  <c r="T113" i="1"/>
  <c r="Q116" i="1"/>
  <c r="P117" i="1"/>
  <c r="L127" i="1"/>
  <c r="L131" i="1"/>
  <c r="N131" i="1"/>
  <c r="T135" i="1"/>
  <c r="N135" i="1"/>
  <c r="Q138" i="1"/>
  <c r="Q135" i="1" s="1"/>
  <c r="L139" i="1"/>
  <c r="AF143" i="1"/>
  <c r="AV143" i="1"/>
  <c r="AV3" i="1" s="1"/>
  <c r="Y144" i="1"/>
  <c r="Y143" i="1" s="1"/>
  <c r="N149" i="1"/>
  <c r="AO144" i="1"/>
  <c r="AO143" i="1" s="1"/>
  <c r="AO3" i="1" s="1"/>
  <c r="L149" i="1"/>
  <c r="BG152" i="1"/>
  <c r="I153" i="1"/>
  <c r="J160" i="1"/>
  <c r="S160" i="1" s="1"/>
  <c r="S17" i="1"/>
  <c r="P17" i="1"/>
  <c r="T9" i="1"/>
  <c r="Q9" i="1"/>
  <c r="Q8" i="1"/>
  <c r="T8" i="1"/>
  <c r="Q12" i="1"/>
  <c r="T12" i="1"/>
  <c r="Q11" i="1"/>
  <c r="T11" i="1"/>
  <c r="P20" i="1"/>
  <c r="O23" i="1"/>
  <c r="R23" i="1"/>
  <c r="N4" i="1"/>
  <c r="I5" i="1"/>
  <c r="P6" i="1"/>
  <c r="S8" i="1"/>
  <c r="T10" i="1"/>
  <c r="Q10" i="1"/>
  <c r="S12" i="1"/>
  <c r="K14" i="1"/>
  <c r="L15" i="1"/>
  <c r="I21" i="1"/>
  <c r="S23" i="1"/>
  <c r="P23" i="1"/>
  <c r="O27" i="1"/>
  <c r="R27" i="1"/>
  <c r="N14" i="1"/>
  <c r="E14" i="1"/>
  <c r="R15" i="1"/>
  <c r="R16" i="1"/>
  <c r="O16" i="1"/>
  <c r="J16" i="1"/>
  <c r="Y14" i="1"/>
  <c r="O22" i="1"/>
  <c r="R22" i="1"/>
  <c r="R53" i="1"/>
  <c r="P60" i="1"/>
  <c r="P56" i="1" s="1"/>
  <c r="S60" i="1"/>
  <c r="S5" i="1"/>
  <c r="J4" i="1"/>
  <c r="P5" i="1"/>
  <c r="P4" i="1" s="1"/>
  <c r="P7" i="1"/>
  <c r="S7" i="1"/>
  <c r="Q18" i="1"/>
  <c r="T18" i="1"/>
  <c r="Q24" i="1"/>
  <c r="T24" i="1"/>
  <c r="P43" i="1"/>
  <c r="S43" i="1"/>
  <c r="O7" i="1"/>
  <c r="O6" i="1"/>
  <c r="R6" i="1"/>
  <c r="O15" i="1"/>
  <c r="O17" i="1"/>
  <c r="L17" i="1"/>
  <c r="AG14" i="1"/>
  <c r="O26" i="1"/>
  <c r="R26" i="1"/>
  <c r="P40" i="1"/>
  <c r="V14" i="1"/>
  <c r="O19" i="1"/>
  <c r="P21" i="1"/>
  <c r="P22" i="1"/>
  <c r="O25" i="1"/>
  <c r="P26" i="1"/>
  <c r="P27" i="1"/>
  <c r="Q28" i="1"/>
  <c r="O30" i="1"/>
  <c r="P31" i="1"/>
  <c r="Q32" i="1"/>
  <c r="Q33" i="1"/>
  <c r="O35" i="1"/>
  <c r="O36" i="1"/>
  <c r="Q38" i="1"/>
  <c r="P39" i="1"/>
  <c r="O40" i="1"/>
  <c r="Q41" i="1"/>
  <c r="I44" i="1"/>
  <c r="Q44" i="1"/>
  <c r="O45" i="1"/>
  <c r="P46" i="1"/>
  <c r="Q47" i="1"/>
  <c r="O49" i="1"/>
  <c r="P50" i="1"/>
  <c r="Q51" i="1"/>
  <c r="P54" i="1"/>
  <c r="AB55" i="1"/>
  <c r="E56" i="1"/>
  <c r="J56" i="1"/>
  <c r="N56" i="1"/>
  <c r="AP56" i="1"/>
  <c r="AP55" i="1" s="1"/>
  <c r="AP3" i="1" s="1"/>
  <c r="M57" i="1"/>
  <c r="Q57" i="1"/>
  <c r="O58" i="1"/>
  <c r="I59" i="1"/>
  <c r="Q59" i="1"/>
  <c r="P62" i="1"/>
  <c r="P64" i="1"/>
  <c r="I65" i="1"/>
  <c r="O66" i="1"/>
  <c r="O67" i="1"/>
  <c r="R70" i="1"/>
  <c r="N72" i="1"/>
  <c r="P73" i="1"/>
  <c r="J72" i="1"/>
  <c r="S72" i="1" s="1"/>
  <c r="S73" i="1"/>
  <c r="I75" i="1"/>
  <c r="O75" i="1" s="1"/>
  <c r="O72" i="1" s="1"/>
  <c r="T76" i="1"/>
  <c r="J77" i="1"/>
  <c r="T82" i="1"/>
  <c r="K85" i="1"/>
  <c r="X84" i="1"/>
  <c r="X3" i="1" s="1"/>
  <c r="T87" i="1"/>
  <c r="S90" i="1"/>
  <c r="P90" i="1"/>
  <c r="O37" i="1"/>
  <c r="Q69" i="1"/>
  <c r="K68" i="1"/>
  <c r="T68" i="1" s="1"/>
  <c r="T69" i="1"/>
  <c r="S71" i="1"/>
  <c r="S74" i="1"/>
  <c r="T79" i="1"/>
  <c r="Q79" i="1"/>
  <c r="Q77" i="1" s="1"/>
  <c r="K77" i="1"/>
  <c r="T77" i="1" s="1"/>
  <c r="N85" i="1"/>
  <c r="O86" i="1"/>
  <c r="I85" i="1"/>
  <c r="R95" i="1"/>
  <c r="O95" i="1"/>
  <c r="S28" i="1"/>
  <c r="T29" i="1"/>
  <c r="R31" i="1"/>
  <c r="S32" i="1"/>
  <c r="R34" i="1"/>
  <c r="P37" i="1"/>
  <c r="T37" i="1"/>
  <c r="S38" i="1"/>
  <c r="R39" i="1"/>
  <c r="S41" i="1"/>
  <c r="T43" i="1"/>
  <c r="S44" i="1"/>
  <c r="R46" i="1"/>
  <c r="S47" i="1"/>
  <c r="T48" i="1"/>
  <c r="R50" i="1"/>
  <c r="S51" i="1"/>
  <c r="T52" i="1"/>
  <c r="L53" i="1"/>
  <c r="T53" i="1"/>
  <c r="R54" i="1"/>
  <c r="T56" i="1"/>
  <c r="S59" i="1"/>
  <c r="T60" i="1"/>
  <c r="T61" i="1"/>
  <c r="R62" i="1"/>
  <c r="T63" i="1"/>
  <c r="R64" i="1"/>
  <c r="R66" i="1"/>
  <c r="P70" i="1"/>
  <c r="P68" i="1" s="1"/>
  <c r="T71" i="1"/>
  <c r="K72" i="1"/>
  <c r="T72" i="1" s="1"/>
  <c r="Q73" i="1"/>
  <c r="Q72" i="1" s="1"/>
  <c r="T74" i="1"/>
  <c r="P75" i="1"/>
  <c r="O83" i="1"/>
  <c r="O77" i="1" s="1"/>
  <c r="M85" i="1"/>
  <c r="S86" i="1"/>
  <c r="P86" i="1"/>
  <c r="O88" i="1"/>
  <c r="O92" i="1"/>
  <c r="I56" i="1"/>
  <c r="AG56" i="1"/>
  <c r="AG55" i="1" s="1"/>
  <c r="M65" i="1"/>
  <c r="S66" i="1"/>
  <c r="R73" i="1"/>
  <c r="R76" i="1"/>
  <c r="I77" i="1"/>
  <c r="S83" i="1"/>
  <c r="P83" i="1"/>
  <c r="P77" i="1" s="1"/>
  <c r="L85" i="1"/>
  <c r="AA84" i="1"/>
  <c r="AA3" i="1" s="1"/>
  <c r="S88" i="1"/>
  <c r="P88" i="1"/>
  <c r="O90" i="1"/>
  <c r="S92" i="1"/>
  <c r="P92" i="1"/>
  <c r="T93" i="1"/>
  <c r="Q93" i="1"/>
  <c r="F77" i="1"/>
  <c r="F55" i="1" s="1"/>
  <c r="P96" i="1"/>
  <c r="P98" i="1"/>
  <c r="P100" i="1"/>
  <c r="K102" i="1"/>
  <c r="T102" i="1" s="1"/>
  <c r="Q103" i="1"/>
  <c r="Q102" i="1" s="1"/>
  <c r="O106" i="1"/>
  <c r="O102" i="1" s="1"/>
  <c r="H107" i="1"/>
  <c r="H84" i="1" s="1"/>
  <c r="AB107" i="1"/>
  <c r="AB84" i="1" s="1"/>
  <c r="N108" i="1"/>
  <c r="AH108" i="1"/>
  <c r="AH107" i="1" s="1"/>
  <c r="AH84" i="1" s="1"/>
  <c r="P109" i="1"/>
  <c r="Q110" i="1"/>
  <c r="P114" i="1"/>
  <c r="P116" i="1"/>
  <c r="I117" i="1"/>
  <c r="K118" i="1"/>
  <c r="O118" i="1"/>
  <c r="O119" i="1"/>
  <c r="Q120" i="1"/>
  <c r="O121" i="1"/>
  <c r="R122" i="1"/>
  <c r="I123" i="1"/>
  <c r="Q126" i="1"/>
  <c r="Q123" i="1" s="1"/>
  <c r="O129" i="1"/>
  <c r="O130" i="1"/>
  <c r="M131" i="1"/>
  <c r="Q131" i="1"/>
  <c r="P133" i="1"/>
  <c r="P134" i="1"/>
  <c r="O138" i="1"/>
  <c r="O135" i="1" s="1"/>
  <c r="F139" i="1"/>
  <c r="M139" i="1"/>
  <c r="S140" i="1"/>
  <c r="O142" i="1"/>
  <c r="O139" i="1" s="1"/>
  <c r="BG144" i="1"/>
  <c r="N145" i="1"/>
  <c r="S112" i="1"/>
  <c r="T122" i="1"/>
  <c r="L123" i="1"/>
  <c r="T124" i="1"/>
  <c r="T123" i="1" s="1"/>
  <c r="R125" i="1"/>
  <c r="R126" i="1"/>
  <c r="Q127" i="1"/>
  <c r="O132" i="1"/>
  <c r="O131" i="1" s="1"/>
  <c r="I131" i="1"/>
  <c r="R132" i="1"/>
  <c r="L135" i="1"/>
  <c r="R96" i="1"/>
  <c r="S126" i="1"/>
  <c r="I127" i="1"/>
  <c r="R128" i="1"/>
  <c r="R127" i="1" s="1"/>
  <c r="R130" i="1"/>
  <c r="R134" i="1"/>
  <c r="R136" i="1"/>
  <c r="R138" i="1"/>
  <c r="Q140" i="1"/>
  <c r="Q139" i="1" s="1"/>
  <c r="T141" i="1"/>
  <c r="K144" i="1"/>
  <c r="T145" i="1"/>
  <c r="J102" i="1"/>
  <c r="I108" i="1"/>
  <c r="AF117" i="1"/>
  <c r="AF107" i="1" s="1"/>
  <c r="AF84" i="1" s="1"/>
  <c r="P125" i="1"/>
  <c r="P123" i="1" s="1"/>
  <c r="O126" i="1"/>
  <c r="O123" i="1" s="1"/>
  <c r="M127" i="1"/>
  <c r="S128" i="1"/>
  <c r="S127" i="1" s="1"/>
  <c r="S130" i="1"/>
  <c r="P132" i="1"/>
  <c r="T133" i="1"/>
  <c r="J136" i="1"/>
  <c r="S138" i="1"/>
  <c r="K139" i="1"/>
  <c r="T139" i="1" s="1"/>
  <c r="I139" i="1"/>
  <c r="R140" i="1"/>
  <c r="E144" i="1"/>
  <c r="O146" i="1"/>
  <c r="I145" i="1"/>
  <c r="R146" i="1"/>
  <c r="P147" i="1"/>
  <c r="S147" i="1"/>
  <c r="J145" i="1"/>
  <c r="BE144" i="1"/>
  <c r="O148" i="1"/>
  <c r="R148" i="1"/>
  <c r="R149" i="1"/>
  <c r="Q151" i="1"/>
  <c r="T151" i="1"/>
  <c r="M145" i="1"/>
  <c r="O160" i="1"/>
  <c r="Q167" i="1"/>
  <c r="Q147" i="1"/>
  <c r="Q145" i="1" s="1"/>
  <c r="T147" i="1"/>
  <c r="N152" i="1"/>
  <c r="S153" i="1"/>
  <c r="O157" i="1"/>
  <c r="O153" i="1" s="1"/>
  <c r="K160" i="1"/>
  <c r="S166" i="1"/>
  <c r="R168" i="1"/>
  <c r="J149" i="1"/>
  <c r="S149" i="1" s="1"/>
  <c r="Q150" i="1"/>
  <c r="AB152" i="1"/>
  <c r="AB143" i="1" s="1"/>
  <c r="E153" i="1"/>
  <c r="P158" i="1"/>
  <c r="P153" i="1" s="1"/>
  <c r="T158" i="1"/>
  <c r="T159" i="1"/>
  <c r="I160" i="1"/>
  <c r="P161" i="1"/>
  <c r="T161" i="1"/>
  <c r="R162" i="1"/>
  <c r="R163" i="1"/>
  <c r="R164" i="1"/>
  <c r="R165" i="1"/>
  <c r="T166" i="1"/>
  <c r="I167" i="1"/>
  <c r="S168" i="1"/>
  <c r="J152" i="1" l="1"/>
  <c r="S152" i="1" s="1"/>
  <c r="P145" i="1"/>
  <c r="P144" i="1" s="1"/>
  <c r="L107" i="1"/>
  <c r="Q85" i="1"/>
  <c r="N55" i="1"/>
  <c r="O20" i="1"/>
  <c r="AQ3" i="1"/>
  <c r="M143" i="1"/>
  <c r="BB3" i="1"/>
  <c r="O117" i="1"/>
  <c r="M144" i="1"/>
  <c r="AE3" i="1"/>
  <c r="AL3" i="1"/>
  <c r="AM3" i="1"/>
  <c r="AH3" i="1"/>
  <c r="Z3" i="1"/>
  <c r="P160" i="1"/>
  <c r="P152" i="1" s="1"/>
  <c r="O127" i="1"/>
  <c r="Q108" i="1"/>
  <c r="J108" i="1"/>
  <c r="P113" i="1"/>
  <c r="P108" i="1" s="1"/>
  <c r="P107" i="1" s="1"/>
  <c r="Q68" i="1"/>
  <c r="I14" i="1"/>
  <c r="R14" i="1" s="1"/>
  <c r="O68" i="1"/>
  <c r="Q65" i="1"/>
  <c r="O152" i="1"/>
  <c r="Q14" i="1"/>
  <c r="P167" i="1"/>
  <c r="M72" i="1"/>
  <c r="Y55" i="1"/>
  <c r="M55" i="1" s="1"/>
  <c r="M108" i="1"/>
  <c r="M107" i="1" s="1"/>
  <c r="O108" i="1"/>
  <c r="AF3" i="1"/>
  <c r="N84" i="1"/>
  <c r="H3" i="1"/>
  <c r="M84" i="1"/>
  <c r="O107" i="1"/>
  <c r="E152" i="1"/>
  <c r="E143" i="1" s="1"/>
  <c r="R153" i="1"/>
  <c r="S145" i="1"/>
  <c r="J144" i="1"/>
  <c r="P131" i="1"/>
  <c r="S102" i="1"/>
  <c r="P85" i="1"/>
  <c r="L84" i="1"/>
  <c r="L56" i="1"/>
  <c r="N117" i="1"/>
  <c r="I72" i="1"/>
  <c r="R75" i="1"/>
  <c r="P72" i="1"/>
  <c r="P55" i="1" s="1"/>
  <c r="O65" i="1"/>
  <c r="E55" i="1"/>
  <c r="M14" i="1"/>
  <c r="V3" i="1"/>
  <c r="AB3" i="1"/>
  <c r="S16" i="1"/>
  <c r="J14" i="1"/>
  <c r="S14" i="1" s="1"/>
  <c r="P16" i="1"/>
  <c r="P14" i="1" s="1"/>
  <c r="O21" i="1"/>
  <c r="R21" i="1"/>
  <c r="T160" i="1"/>
  <c r="K152" i="1"/>
  <c r="T152" i="1" s="1"/>
  <c r="I144" i="1"/>
  <c r="R145" i="1"/>
  <c r="N107" i="1"/>
  <c r="R77" i="1"/>
  <c r="R56" i="1"/>
  <c r="O85" i="1"/>
  <c r="R65" i="1"/>
  <c r="K55" i="1"/>
  <c r="T55" i="1" s="1"/>
  <c r="R167" i="1"/>
  <c r="R160" i="1"/>
  <c r="O145" i="1"/>
  <c r="O144" i="1" s="1"/>
  <c r="O143" i="1" s="1"/>
  <c r="R139" i="1"/>
  <c r="S136" i="1"/>
  <c r="J135" i="1"/>
  <c r="S135" i="1" s="1"/>
  <c r="P136" i="1"/>
  <c r="P135" i="1" s="1"/>
  <c r="T144" i="1"/>
  <c r="N144" i="1"/>
  <c r="BG143" i="1"/>
  <c r="S139" i="1"/>
  <c r="F84" i="1"/>
  <c r="F3" i="1" s="1"/>
  <c r="Q118" i="1"/>
  <c r="Q117" i="1" s="1"/>
  <c r="K117" i="1"/>
  <c r="K107" i="1" s="1"/>
  <c r="T107" i="1" s="1"/>
  <c r="T118" i="1"/>
  <c r="T117" i="1" s="1"/>
  <c r="J107" i="1"/>
  <c r="S107" i="1" s="1"/>
  <c r="S108" i="1"/>
  <c r="S77" i="1"/>
  <c r="Q56" i="1"/>
  <c r="O44" i="1"/>
  <c r="R44" i="1"/>
  <c r="S4" i="1"/>
  <c r="L55" i="1"/>
  <c r="T14" i="1"/>
  <c r="O5" i="1"/>
  <c r="O4" i="1" s="1"/>
  <c r="I4" i="1"/>
  <c r="R5" i="1"/>
  <c r="I152" i="1"/>
  <c r="Q149" i="1"/>
  <c r="Q144" i="1" s="1"/>
  <c r="Q143" i="1" s="1"/>
  <c r="M152" i="1"/>
  <c r="L144" i="1"/>
  <c r="BE143" i="1"/>
  <c r="I107" i="1"/>
  <c r="R108" i="1"/>
  <c r="R131" i="1"/>
  <c r="R85" i="1"/>
  <c r="I84" i="1"/>
  <c r="T85" i="1"/>
  <c r="O59" i="1"/>
  <c r="O56" i="1" s="1"/>
  <c r="O55" i="1" s="1"/>
  <c r="R59" i="1"/>
  <c r="J55" i="1"/>
  <c r="S55" i="1" s="1"/>
  <c r="S56" i="1"/>
  <c r="AG3" i="1"/>
  <c r="L14" i="1"/>
  <c r="Q107" i="1" l="1"/>
  <c r="Q84" i="1" s="1"/>
  <c r="E3" i="1"/>
  <c r="P143" i="1"/>
  <c r="Q55" i="1"/>
  <c r="K143" i="1"/>
  <c r="T143" i="1" s="1"/>
  <c r="O84" i="1"/>
  <c r="Y3" i="1"/>
  <c r="M3" i="1" s="1"/>
  <c r="O14" i="1"/>
  <c r="K84" i="1"/>
  <c r="R107" i="1"/>
  <c r="L143" i="1"/>
  <c r="BE3" i="1"/>
  <c r="L3" i="1" s="1"/>
  <c r="R152" i="1"/>
  <c r="J84" i="1"/>
  <c r="R144" i="1"/>
  <c r="I143" i="1"/>
  <c r="R84" i="1"/>
  <c r="N143" i="1"/>
  <c r="BG3" i="1"/>
  <c r="N3" i="1" s="1"/>
  <c r="R72" i="1"/>
  <c r="R4" i="1"/>
  <c r="I55" i="1"/>
  <c r="P84" i="1"/>
  <c r="S144" i="1"/>
  <c r="J143" i="1"/>
  <c r="S143" i="1" s="1"/>
  <c r="O3" i="1" l="1"/>
  <c r="Q3" i="1"/>
  <c r="P3" i="1"/>
  <c r="R55" i="1"/>
  <c r="T84" i="1"/>
  <c r="K3" i="1"/>
  <c r="T3" i="1" s="1"/>
  <c r="I3" i="1"/>
  <c r="R143" i="1"/>
  <c r="S84" i="1"/>
  <c r="J3" i="1"/>
  <c r="S3" i="1" s="1"/>
  <c r="R3" i="1" l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H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D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V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AB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D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G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G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Laboratórios de Ensino, Pesquisa, Extensão e Produção (LEPEPs)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09-PARA REITORIA-Empenhar ref.aquisição de 10totens p/alcool gel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DELFOS ENGENHARIA
</t>
        </r>
      </text>
    </comment>
    <comment ref="AJ5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D5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C6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D61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D62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D65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NC10-PARA REITORIA-REFERENTE CURSO APOSENTADORIA PARA ANA LORENZON</t>
        </r>
      </text>
    </comment>
    <comment ref="D78" authorId="1">
      <text>
        <r>
          <rPr>
            <sz val="11"/>
            <color rgb="FF000000"/>
            <rFont val="Calibri"/>
            <family val="2"/>
          </rPr>
          <t>======
ID#AAAAL2Miso8
Gilson Parodes    (2021-03-26 01:33:15)
(Reitoria) 
(Reserva Institucional 2,5%)
(R$ X,XX) 
(Despesa de capital)</t>
        </r>
      </text>
    </comment>
    <comment ref="D9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na reitoria, até maio/21=</t>
        </r>
      </text>
    </comment>
    <comment ref="D102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D10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MATERIAL DE CONSUMO
</t>
        </r>
      </text>
    </comment>
    <comment ref="AF1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D131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B13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GD Distribuidora de Livros
</t>
        </r>
      </text>
    </comment>
    <comment ref="D145" authorId="1">
      <text>
        <r>
          <rPr>
            <sz val="11"/>
            <color rgb="FF000000"/>
            <rFont val="Calibri"/>
            <family val="2"/>
          </rPr>
          <t>======
ID#AAAAL2Misqw
Gilson Parodes    (2021-03-26 01:45:44)
(Reserva Institucional 1,5%)
(R$ X,XX)</t>
        </r>
      </text>
    </comment>
    <comment ref="E14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10- PARA REITORIA - EDITAL 224-2021-DPPGI</t>
        </r>
      </text>
    </comment>
    <comment ref="D15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E15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FALTOU DESCONTAR 7224,52 DE UMA ESTAGIARIA</t>
        </r>
      </text>
    </comment>
    <comment ref="AB15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<sst xmlns="http://schemas.openxmlformats.org/spreadsheetml/2006/main" count="425" uniqueCount="299">
  <si>
    <t xml:space="preserve"> PLANEJAMENTO E CONTROLE DA EXECUÇÃO ORÇAMENTÁRIA - ACUMULADO ATÉ AGOSTO/2021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</si>
  <si>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</si>
  <si>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</si>
  <si>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</si>
  <si>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</si>
  <si>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</si>
  <si>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</si>
  <si>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</si>
  <si>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</si>
  <si>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</si>
  <si>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</si>
  <si>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</si>
  <si>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</si>
  <si>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</si>
  <si>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</si>
  <si>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</si>
  <si>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</si>
  <si>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</si>
  <si>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</si>
  <si>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</si>
  <si>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</si>
  <si>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OUTROS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</si>
  <si>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</si>
  <si>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</si>
  <si>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</si>
  <si>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</si>
  <si>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</si>
  <si>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</si>
  <si>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</si>
  <si>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</si>
  <si>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</si>
  <si>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RUBRICA</t>
  </si>
  <si>
    <t>TOTAL</t>
  </si>
  <si>
    <t>DG - DIREÇÃO GERAL</t>
  </si>
  <si>
    <t>33.90.14-14</t>
  </si>
  <si>
    <t>Deslocamento - Diárias a servidores</t>
  </si>
  <si>
    <t>33.90.33-01</t>
  </si>
  <si>
    <t>Reembolso de Passagens (terrestres, aéreas, ...)</t>
  </si>
  <si>
    <t>33.90.39-10</t>
  </si>
  <si>
    <t>Aluguel de Sala</t>
  </si>
  <si>
    <t>33.90.39-12</t>
  </si>
  <si>
    <t>Sonorização</t>
  </si>
  <si>
    <t>33.90.39-14</t>
  </si>
  <si>
    <t>Confecções, instalações e locações de bens imóveis</t>
  </si>
  <si>
    <t>33.90.39-23</t>
  </si>
  <si>
    <t>Fornecimento de coofebreak em eventos</t>
  </si>
  <si>
    <t>33.90.36-63</t>
  </si>
  <si>
    <t>Contratação de servições gráficos</t>
  </si>
  <si>
    <t>33.90.39-22</t>
  </si>
  <si>
    <t>Participação em feiras e eventos</t>
  </si>
  <si>
    <t>Contratação de serviços gráficos</t>
  </si>
  <si>
    <t>DAD - DIRETORIA DE ADMINISTRAÇÃO</t>
  </si>
  <si>
    <t>2021NE000002</t>
  </si>
  <si>
    <t>2020NE800124</t>
  </si>
  <si>
    <t>33.90.39-43</t>
  </si>
  <si>
    <t xml:space="preserve">Energia elétrica </t>
  </si>
  <si>
    <t>2020NE800011-2020NE800236</t>
  </si>
  <si>
    <t>33.90.39-47</t>
  </si>
  <si>
    <t>Serviços postais, Correios</t>
  </si>
  <si>
    <t>2021NE000010</t>
  </si>
  <si>
    <t>2020NE800121</t>
  </si>
  <si>
    <t>33.90.37-03</t>
  </si>
  <si>
    <t>Vigilância Predial</t>
  </si>
  <si>
    <t>33.91.39-05</t>
  </si>
  <si>
    <t>Projeto para vídeo segurança</t>
  </si>
  <si>
    <t>33.90.30-28</t>
  </si>
  <si>
    <t>Aquisição de Câmeras e materais de vídeo segurança</t>
  </si>
  <si>
    <t>2021NE000007</t>
  </si>
  <si>
    <t>2020NE800120</t>
  </si>
  <si>
    <t>33.90.37-02</t>
  </si>
  <si>
    <t xml:space="preserve">Limpeza </t>
  </si>
  <si>
    <t>2021NE000008</t>
  </si>
  <si>
    <t>2020NE800122</t>
  </si>
  <si>
    <t>33.90.37-01</t>
  </si>
  <si>
    <t xml:space="preserve">Jardinagem </t>
  </si>
  <si>
    <t>2021NE000041</t>
  </si>
  <si>
    <t>2019NE800015</t>
  </si>
  <si>
    <t>33.90.39-78</t>
  </si>
  <si>
    <t>Coleta de Resíduos</t>
  </si>
  <si>
    <t>2021NE000009</t>
  </si>
  <si>
    <t>2020NE800118</t>
  </si>
  <si>
    <t>Manutenção predial Infraestrutura</t>
  </si>
  <si>
    <t>2021NE000006</t>
  </si>
  <si>
    <t>2020NE800123</t>
  </si>
  <si>
    <t xml:space="preserve">Manutenção Agropecuária </t>
  </si>
  <si>
    <t>2020NE800190</t>
  </si>
  <si>
    <t>33.90.39-17</t>
  </si>
  <si>
    <t xml:space="preserve">Manutenção extintores e mangueiras </t>
  </si>
  <si>
    <t>2021NE000040</t>
  </si>
  <si>
    <t>33.90.39-16</t>
  </si>
  <si>
    <t xml:space="preserve">Manutenção elétrica </t>
  </si>
  <si>
    <t>33.90.39-20</t>
  </si>
  <si>
    <t>Manutenção persianas e cortinas</t>
  </si>
  <si>
    <t>Manutenção de ar condicionado</t>
  </si>
  <si>
    <t>2020NE800168</t>
  </si>
  <si>
    <t>Manutenção e conservação de bens móveis- hidráulica-reparos</t>
  </si>
  <si>
    <t>2021NE000035</t>
  </si>
  <si>
    <t xml:space="preserve">Manutenção de equipamentos de laboratório </t>
  </si>
  <si>
    <t>Manutenção de maquinários agrícolas- HM</t>
  </si>
  <si>
    <t>Manutenção do serviço de detetização</t>
  </si>
  <si>
    <t>2020NE800240</t>
  </si>
  <si>
    <t>44.90.52-99</t>
  </si>
  <si>
    <t>Aquisição de equipamentos de uso geral</t>
  </si>
  <si>
    <t>2020NE800172-2020NE800173</t>
  </si>
  <si>
    <t>44.90.52-42</t>
  </si>
  <si>
    <t>Aquisição de mobiliário</t>
  </si>
  <si>
    <t>33.90.30-01</t>
  </si>
  <si>
    <t>Manutenção de frotas - Combustível</t>
  </si>
  <si>
    <t>33.90.39-19</t>
  </si>
  <si>
    <t>Manutenção frota prestação de serviços</t>
  </si>
  <si>
    <t>2021NE000004</t>
  </si>
  <si>
    <t>2020NE800134</t>
  </si>
  <si>
    <t>Publicidade legal em jornais</t>
  </si>
  <si>
    <t>33.90.47-10</t>
  </si>
  <si>
    <t>Obrigações tributárias</t>
  </si>
  <si>
    <t>2021NE000039</t>
  </si>
  <si>
    <t>33.90.39-69</t>
  </si>
  <si>
    <t>Seguro veicular e IPVA</t>
  </si>
  <si>
    <t>2020NE800131-2020NE800136-2020NE800137-2020NE800139-2020NE800144-2020NE800146</t>
  </si>
  <si>
    <t>33.90.30-99</t>
  </si>
  <si>
    <t>Material de Consumo conservação infraestrutura</t>
  </si>
  <si>
    <t>Material consumo LEPEPs Ensino(totens alcool gel)</t>
  </si>
  <si>
    <t>2021NE000001+NE000017+NE000019+NE000020+NE000021+NE000022+NE000024+NE000025+NE000026+NE000027+NE000028+NE000029+NE000030+NE000031+NE000032+NE000033</t>
  </si>
  <si>
    <t>2020NE800153-2020NE800155-2020NE800170</t>
  </si>
  <si>
    <t>Material consumo LEPEPs  Produção</t>
  </si>
  <si>
    <t>2020NE800177</t>
  </si>
  <si>
    <t>44.90.51-91</t>
  </si>
  <si>
    <t>Ampliação do Prédio Administrativo - Prédio D</t>
  </si>
  <si>
    <t>2020NE800193</t>
  </si>
  <si>
    <t xml:space="preserve">Reforma do refeitório e rede de gás </t>
  </si>
  <si>
    <t>33.90.30-21</t>
  </si>
  <si>
    <t>Aquisição materiais e utensílios para refeitório</t>
  </si>
  <si>
    <t>Aquisição de materiais para enfrentamento COVID 19</t>
  </si>
  <si>
    <t>44.90.51-92</t>
  </si>
  <si>
    <t>Ampliação Prédio Administrativo - Aditivo</t>
  </si>
  <si>
    <t>Serviços de manutenção tabela SINAPI</t>
  </si>
  <si>
    <t>44.90.51-99</t>
  </si>
  <si>
    <t>Execução dos Projetos de PPCI</t>
  </si>
  <si>
    <t>Auxiliar Administrativo terceirizado</t>
  </si>
  <si>
    <t>2020NE800019</t>
  </si>
  <si>
    <t>33.90.39-05</t>
  </si>
  <si>
    <t>Serv.Tec.Profissionais-Projeto de Plano de Prevenção contra incêndio</t>
  </si>
  <si>
    <t>2020ne800181</t>
  </si>
  <si>
    <t>Serv.Tec.Profissionais-Adequação do lab.de Alimentos</t>
  </si>
  <si>
    <t>2021NE000016-2021NE000015</t>
  </si>
  <si>
    <t>33.90.47-16</t>
  </si>
  <si>
    <t>Juros e Multa / taxa e afins (isbn- art)</t>
  </si>
  <si>
    <t>2021NE000014</t>
  </si>
  <si>
    <t>33.90.33-99</t>
  </si>
  <si>
    <t>Reembolso</t>
  </si>
  <si>
    <t>DPDI - DIRETORIA DE PLANEJ E DESENV INSTITUCIONAL</t>
  </si>
  <si>
    <t>GERAL</t>
  </si>
  <si>
    <t>21NE000037</t>
  </si>
  <si>
    <t>2020NE800068; 2020ne800069</t>
  </si>
  <si>
    <t>33.90.39-58</t>
  </si>
  <si>
    <t xml:space="preserve">Telefonia e Internet - Telefonia Fixa </t>
  </si>
  <si>
    <t>2021NE000011</t>
  </si>
  <si>
    <t>2020NE800126</t>
  </si>
  <si>
    <t>33.90.40-13</t>
  </si>
  <si>
    <t xml:space="preserve">Telefonia e Internet - Link Internet </t>
  </si>
  <si>
    <t>2021NE000012</t>
  </si>
  <si>
    <t>2020NE800125</t>
  </si>
  <si>
    <t>Telefonia e Internet - Manutenção central telefônica</t>
  </si>
  <si>
    <t>2020NE800119</t>
  </si>
  <si>
    <t>33.90.40-16</t>
  </si>
  <si>
    <t xml:space="preserve">Manutenção de Impressoras/Outsourcing de Impressão </t>
  </si>
  <si>
    <t>PIIQP (reserva institucional  1%=21.187,92)</t>
  </si>
  <si>
    <t>PIIQPPE (reserva institucional  1%=21.187,92)</t>
  </si>
  <si>
    <t>PID (reserva Institucional 1%= R$ 21.187,92)</t>
  </si>
  <si>
    <t>Material de consumo</t>
  </si>
  <si>
    <t>33.90.36-28</t>
  </si>
  <si>
    <t>Horas Curso/Concurso</t>
  </si>
  <si>
    <t>CAPACITAÇÃO DE SERVIDORES</t>
  </si>
  <si>
    <t>Diárias a servidores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</si>
  <si>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</si>
  <si>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</si>
  <si>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</si>
  <si>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</si>
  <si>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</si>
  <si>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2021NE000036</t>
  </si>
  <si>
    <t>2020NE800176-2020NE800180-2019NE800012</t>
  </si>
  <si>
    <t>33.90.39-90</t>
  </si>
  <si>
    <t>EBC</t>
  </si>
  <si>
    <t xml:space="preserve">Processo Seletivo - Carro de Som </t>
  </si>
  <si>
    <t>TI</t>
  </si>
  <si>
    <t>FUNDO DE TI (reserva instit. 2,5%= 44.219,80) + 10.000,00 INVESTIMENTO</t>
  </si>
  <si>
    <t>2020NE800225+NE800226+NE800227+NE800239</t>
  </si>
  <si>
    <t>44.90.52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</si>
  <si>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</si>
  <si>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 xml:space="preserve">Locação e Manutenção Impressoras </t>
    </r>
    <r>
      <rPr>
        <b/>
        <sz val="12"/>
        <color theme="1"/>
        <rFont val="Calibri"/>
        <family val="2"/>
      </rPr>
      <t xml:space="preserve"> </t>
    </r>
  </si>
  <si>
    <t xml:space="preserve">Manutenção de Equipamentos de Informática </t>
  </si>
  <si>
    <t>33.90.39-11</t>
  </si>
  <si>
    <t xml:space="preserve">Licença de softwares </t>
  </si>
  <si>
    <t>33.90.30</t>
  </si>
  <si>
    <t>DE - DIRETORIA DE ENSINO</t>
  </si>
  <si>
    <t>33.90.36-02</t>
  </si>
  <si>
    <t>Diárias a colaboradores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</si>
  <si>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</si>
  <si>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(DJ Serviços- elp - mega)</t>
    </r>
  </si>
  <si>
    <t>21NE000045</t>
  </si>
  <si>
    <t>Locação de software</t>
  </si>
  <si>
    <t>33.90.40-21</t>
  </si>
  <si>
    <t xml:space="preserve">Outros Serviços de Terceiros P.J. </t>
  </si>
  <si>
    <t>Seguro de vida estudantes</t>
  </si>
  <si>
    <t>2020NE800133</t>
  </si>
  <si>
    <t>Ações inclusivas - (cuidadores,...)</t>
  </si>
  <si>
    <t>Pagamento horas a palestrantes</t>
  </si>
  <si>
    <t>33.90.33-09</t>
  </si>
  <si>
    <t>Fretamento de ônibus</t>
  </si>
  <si>
    <t>2020NE800235</t>
  </si>
  <si>
    <t>44.90.52-35</t>
  </si>
  <si>
    <t xml:space="preserve">Material de Tic Permanente </t>
  </si>
  <si>
    <t>33.90.47</t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</si>
  <si>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</si>
  <si>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– Laboratorista, Palestrante, Seleção e Treinamento, Arbitragem de Jogos (I</t>
    </r>
    <r>
      <rPr>
        <b/>
        <sz val="12"/>
        <color rgb="FF000000"/>
        <rFont val="Calibri"/>
        <family val="2"/>
      </rPr>
      <t>guaçu Desenvolvimento-marceneiro)</t>
    </r>
  </si>
  <si>
    <t>33.90.33</t>
  </si>
  <si>
    <t xml:space="preserve">Transporte - Visitas técnicas </t>
  </si>
  <si>
    <t>33.90.36-69</t>
  </si>
  <si>
    <t>Seguro alunos (Reitoria)</t>
  </si>
  <si>
    <t>PROJETOS DE ENSINO (reserva institucional 1%=21.187,92)</t>
  </si>
  <si>
    <t>2021NE000042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</si>
  <si>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</si>
  <si>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</si>
  <si>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</si>
  <si>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</si>
  <si>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</si>
  <si>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</si>
  <si>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</si>
  <si>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</si>
  <si>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Reserva Assistência Estudantil</t>
  </si>
  <si>
    <t xml:space="preserve">Monitor de Aluno Especial </t>
  </si>
  <si>
    <t>33.90.47-18</t>
  </si>
  <si>
    <t>Patronal Monitores</t>
  </si>
  <si>
    <t>2019NE800219</t>
  </si>
  <si>
    <t xml:space="preserve">Material Saúde Consumo </t>
  </si>
  <si>
    <t>2020NE800194 A NE800223+NE800192</t>
  </si>
  <si>
    <t>2020NE800241</t>
  </si>
  <si>
    <t>44.90.52.35</t>
  </si>
  <si>
    <t>Equipamentos para Áudio-Projetor Multimidia</t>
  </si>
  <si>
    <t>Material Saúde Permanente (camara fria - equipamentos TI)</t>
  </si>
  <si>
    <t>PNAES</t>
  </si>
  <si>
    <t>2021NE000018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</si>
  <si>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</si>
  <si>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</si>
  <si>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</si>
  <si>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</si>
  <si>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</si>
  <si>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</si>
  <si>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</si>
  <si>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</si>
  <si>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</si>
  <si>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</si>
  <si>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</si>
  <si>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FNDE</t>
  </si>
  <si>
    <t xml:space="preserve">Alimentação Escolar </t>
  </si>
  <si>
    <t>Alimentação Escolar (Agricultura Familiar) -chamada Pública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</si>
  <si>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</si>
  <si>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</si>
  <si>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</si>
  <si>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</si>
  <si>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</si>
  <si>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2020NE800067</t>
  </si>
  <si>
    <t>44.90.52-18</t>
  </si>
  <si>
    <t>Material Permanente (móveis / livros)</t>
  </si>
  <si>
    <t>21NE000043</t>
  </si>
  <si>
    <t>Biblioteca- Etiquetas RFD</t>
  </si>
  <si>
    <t>33.90.39</t>
  </si>
  <si>
    <t>Biblioteca Virtual (serviço )</t>
  </si>
  <si>
    <t>COORDENAÇÕES EIXOS/CURSOS</t>
  </si>
  <si>
    <t>Material de Consumo</t>
  </si>
  <si>
    <t>2020NE800228+NE800229+NE800230</t>
  </si>
  <si>
    <t>Material permanente (equipamentos para laboratório) (NUGEDI, NUGEA)</t>
  </si>
  <si>
    <t xml:space="preserve">Material Permanente (Aquisição Bibliográfica) </t>
  </si>
  <si>
    <t>DPEP - DIRETORIA DE PESQUISA, EXTENSÃO E PRODUÇÃO</t>
  </si>
  <si>
    <t xml:space="preserve">PESQUISA </t>
  </si>
  <si>
    <t>PROJETOS DE PESQUISA (reserva 1,5% = 31.781,88)</t>
  </si>
  <si>
    <t xml:space="preserve">Bolsas de Iniciação Científica e Tecn. </t>
  </si>
  <si>
    <t>OUTRAS DESPESAS COM PESQUISA</t>
  </si>
  <si>
    <t>2021NE000005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</si>
  <si>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</si>
  <si>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</si>
  <si>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</si>
  <si>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</si>
  <si>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</si>
  <si>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</si>
  <si>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</si>
  <si>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Bolsa Coordenação Pós</t>
  </si>
  <si>
    <t>Serviços Gráficos</t>
  </si>
  <si>
    <t>OUTRAS DESPESAS COM EXTENSÃO</t>
  </si>
  <si>
    <t>2020NE800073</t>
  </si>
  <si>
    <t xml:space="preserve">Nugedis </t>
  </si>
  <si>
    <t>NUGEA</t>
  </si>
  <si>
    <t>33.90.30-16</t>
  </si>
  <si>
    <t>NIT</t>
  </si>
  <si>
    <t>33.90.36-99</t>
  </si>
  <si>
    <r>
      <rPr>
        <sz val="12"/>
        <color rgb="FF000000"/>
        <rFont val="Calibri"/>
        <family val="2"/>
      </rPr>
      <t xml:space="preserve">Gráfica - </t>
    </r>
    <r>
      <rPr>
        <b/>
        <sz val="12"/>
        <color rgb="FF000000"/>
        <rFont val="Calibri"/>
        <family val="2"/>
      </rPr>
      <t>emenda parlamentar -</t>
    </r>
    <r>
      <rPr>
        <sz val="12"/>
        <color rgb="FF000000"/>
        <rFont val="Calibri"/>
        <family val="2"/>
      </rPr>
      <t xml:space="preserve"> </t>
    </r>
  </si>
  <si>
    <t>PRODUÇÃO</t>
  </si>
  <si>
    <t>2020NE800231 A NE800234</t>
  </si>
  <si>
    <t>Material de Construção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</si>
</sst>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37" x14ac:knownFonts="1">
    <font>
      <sz val="11"/>
      <color rgb="FF000000"/>
      <name val="Calibri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2"/>
      <name val="Calibri"/>
      <family val="2"/>
    </font>
    <font>
      <sz val="11"/>
      <color rgb="FF444444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sz val="12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FF"/>
      <name val="Calibri"/>
      <family val="2"/>
    </font>
    <font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9C765"/>
      </patternFill>
    </fill>
    <fill>
      <patternFill patternType="solid">
        <fgColor rgb="FFD5A6BD"/>
        <bgColor rgb="FFD5A6BD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2" tint="-4.9989318521683403E-2"/>
        <bgColor rgb="FFFABF8F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theme="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4" fillId="0" borderId="0"/>
    <xf numFmtId="0" fontId="5" fillId="0" borderId="0"/>
    <xf numFmtId="0" fontId="35" fillId="0" borderId="0"/>
    <xf numFmtId="0" fontId="36" fillId="0" borderId="0"/>
    <xf numFmtId="43" fontId="34" fillId="0" borderId="0" applyFont="0" applyFill="0" applyBorder="0" applyAlignment="0" applyProtection="0"/>
  </cellStyleXfs>
  <cellXfs count="20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164" fontId="3" fillId="4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10" fontId="3" fillId="3" borderId="4" xfId="0" applyNumberFormat="1" applyFont="1" applyFill="1" applyBorder="1" applyAlignment="1">
      <alignment horizontal="center" vertical="center"/>
    </xf>
    <xf numFmtId="44" fontId="3" fillId="4" borderId="4" xfId="1" applyFont="1" applyFill="1" applyBorder="1" applyAlignment="1">
      <alignment horizontal="center" vertical="center"/>
    </xf>
    <xf numFmtId="44" fontId="3" fillId="3" borderId="4" xfId="1" applyFont="1" applyFill="1" applyBorder="1" applyAlignment="1">
      <alignment horizontal="center" vertical="center"/>
    </xf>
    <xf numFmtId="44" fontId="3" fillId="0" borderId="4" xfId="1" applyFont="1" applyBorder="1" applyAlignment="1">
      <alignment horizontal="center" vertical="center"/>
    </xf>
    <xf numFmtId="44" fontId="6" fillId="0" borderId="0" xfId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7" borderId="4" xfId="0" applyFont="1" applyFill="1" applyBorder="1" applyAlignment="1">
      <alignment horizontal="left" vertical="center"/>
    </xf>
    <xf numFmtId="44" fontId="3" fillId="7" borderId="4" xfId="1" applyFont="1" applyFill="1" applyBorder="1" applyAlignment="1">
      <alignment horizontal="center" vertical="center"/>
    </xf>
    <xf numFmtId="10" fontId="3" fillId="7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8" fillId="9" borderId="4" xfId="3" applyFont="1" applyFill="1" applyBorder="1" applyAlignment="1">
      <alignment vertical="center" wrapText="1"/>
    </xf>
    <xf numFmtId="10" fontId="8" fillId="3" borderId="4" xfId="0" applyNumberFormat="1" applyFont="1" applyFill="1" applyBorder="1" applyAlignment="1">
      <alignment horizontal="center" vertical="center" wrapText="1"/>
    </xf>
    <xf numFmtId="44" fontId="8" fillId="0" borderId="4" xfId="1" applyFont="1" applyBorder="1" applyAlignment="1">
      <alignment horizontal="center" vertical="center"/>
    </xf>
    <xf numFmtId="44" fontId="8" fillId="10" borderId="4" xfId="1" applyFont="1" applyFill="1" applyBorder="1" applyAlignment="1">
      <alignment horizontal="center" vertical="center"/>
    </xf>
    <xf numFmtId="44" fontId="8" fillId="3" borderId="4" xfId="1" applyFont="1" applyFill="1" applyBorder="1" applyAlignment="1">
      <alignment horizontal="center" vertical="center"/>
    </xf>
    <xf numFmtId="9" fontId="8" fillId="3" borderId="4" xfId="2" applyFont="1" applyFill="1" applyBorder="1" applyAlignment="1">
      <alignment horizontal="center" vertical="center"/>
    </xf>
    <xf numFmtId="10" fontId="8" fillId="3" borderId="4" xfId="0" applyNumberFormat="1" applyFont="1" applyFill="1" applyBorder="1" applyAlignment="1">
      <alignment horizontal="center" vertical="center"/>
    </xf>
    <xf numFmtId="44" fontId="8" fillId="0" borderId="0" xfId="1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8" fillId="8" borderId="4" xfId="0" applyFont="1" applyFill="1" applyBorder="1" applyAlignment="1">
      <alignment horizontal="center" vertical="center"/>
    </xf>
    <xf numFmtId="3" fontId="8" fillId="9" borderId="4" xfId="3" applyNumberFormat="1" applyFont="1" applyFill="1" applyBorder="1" applyAlignment="1">
      <alignment horizontal="left" vertical="center" wrapText="1"/>
    </xf>
    <xf numFmtId="0" fontId="9" fillId="9" borderId="4" xfId="3" applyFont="1" applyFill="1" applyBorder="1" applyAlignment="1">
      <alignment vertical="center" wrapText="1"/>
    </xf>
    <xf numFmtId="164" fontId="7" fillId="7" borderId="4" xfId="0" applyNumberFormat="1" applyFont="1" applyFill="1" applyBorder="1" applyAlignment="1">
      <alignment horizontal="left" vertical="center"/>
    </xf>
    <xf numFmtId="164" fontId="7" fillId="7" borderId="4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/>
    </xf>
    <xf numFmtId="44" fontId="7" fillId="0" borderId="0" xfId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0" fillId="8" borderId="4" xfId="3" applyFont="1" applyFill="1" applyBorder="1" applyAlignment="1">
      <alignment horizontal="center" vertical="center" wrapText="1"/>
    </xf>
    <xf numFmtId="0" fontId="10" fillId="8" borderId="4" xfId="3" applyFont="1" applyFill="1" applyBorder="1" applyAlignment="1"/>
    <xf numFmtId="44" fontId="8" fillId="0" borderId="4" xfId="1" applyFont="1" applyBorder="1" applyAlignment="1">
      <alignment horizontal="right" vertical="center"/>
    </xf>
    <xf numFmtId="44" fontId="13" fillId="0" borderId="4" xfId="1" applyFont="1" applyFill="1" applyBorder="1" applyAlignment="1">
      <alignment horizontal="center" vertical="center"/>
    </xf>
    <xf numFmtId="44" fontId="14" fillId="0" borderId="4" xfId="1" applyFont="1" applyBorder="1" applyAlignment="1">
      <alignment horizontal="center" vertical="center"/>
    </xf>
    <xf numFmtId="0" fontId="10" fillId="8" borderId="4" xfId="3" applyFont="1" applyFill="1" applyBorder="1" applyAlignment="1">
      <alignment horizontal="center" vertical="center"/>
    </xf>
    <xf numFmtId="0" fontId="10" fillId="9" borderId="4" xfId="3" applyFont="1" applyFill="1" applyBorder="1" applyAlignment="1">
      <alignment horizontal="center" vertical="center"/>
    </xf>
    <xf numFmtId="44" fontId="15" fillId="11" borderId="4" xfId="1" applyFont="1" applyFill="1" applyBorder="1" applyAlignment="1"/>
    <xf numFmtId="44" fontId="0" fillId="0" borderId="4" xfId="1" applyFont="1" applyBorder="1" applyAlignment="1"/>
    <xf numFmtId="44" fontId="0" fillId="12" borderId="4" xfId="1" applyFont="1" applyFill="1" applyBorder="1" applyAlignment="1"/>
    <xf numFmtId="44" fontId="8" fillId="12" borderId="4" xfId="1" applyFont="1" applyFill="1" applyBorder="1" applyAlignment="1">
      <alignment horizontal="center" vertical="center"/>
    </xf>
    <xf numFmtId="44" fontId="8" fillId="11" borderId="4" xfId="1" applyFont="1" applyFill="1" applyBorder="1" applyAlignment="1">
      <alignment horizontal="center" vertical="center"/>
    </xf>
    <xf numFmtId="44" fontId="11" fillId="0" borderId="4" xfId="1" applyFont="1" applyBorder="1" applyAlignment="1">
      <alignment horizontal="center" vertical="center"/>
    </xf>
    <xf numFmtId="44" fontId="8" fillId="13" borderId="4" xfId="1" applyFont="1" applyFill="1" applyBorder="1" applyAlignment="1">
      <alignment horizontal="center" vertical="center"/>
    </xf>
    <xf numFmtId="0" fontId="8" fillId="8" borderId="4" xfId="3" applyFont="1" applyFill="1" applyBorder="1" applyAlignment="1">
      <alignment horizontal="center" vertical="center"/>
    </xf>
    <xf numFmtId="0" fontId="5" fillId="8" borderId="4" xfId="3" applyFont="1" applyFill="1" applyBorder="1" applyAlignment="1"/>
    <xf numFmtId="0" fontId="10" fillId="14" borderId="4" xfId="3" applyFont="1" applyFill="1" applyBorder="1" applyAlignment="1">
      <alignment horizontal="center" vertical="center"/>
    </xf>
    <xf numFmtId="44" fontId="8" fillId="15" borderId="4" xfId="1" applyFont="1" applyFill="1" applyBorder="1" applyAlignment="1">
      <alignment horizontal="center" vertical="center"/>
    </xf>
    <xf numFmtId="44" fontId="14" fillId="0" borderId="4" xfId="1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 wrapText="1"/>
    </xf>
    <xf numFmtId="0" fontId="0" fillId="8" borderId="4" xfId="3" applyFont="1" applyFill="1" applyBorder="1" applyAlignment="1"/>
    <xf numFmtId="0" fontId="8" fillId="16" borderId="4" xfId="0" applyFont="1" applyFill="1" applyBorder="1" applyAlignment="1">
      <alignment horizontal="center" vertical="center"/>
    </xf>
    <xf numFmtId="44" fontId="8" fillId="0" borderId="4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right" vertical="center"/>
    </xf>
    <xf numFmtId="44" fontId="8" fillId="0" borderId="4" xfId="1" applyFont="1" applyFill="1" applyBorder="1" applyAlignment="1">
      <alignment horizontal="center" vertical="center"/>
    </xf>
    <xf numFmtId="44" fontId="8" fillId="10" borderId="4" xfId="1" applyFont="1" applyFill="1" applyBorder="1" applyAlignment="1">
      <alignment horizontal="right" vertical="center"/>
    </xf>
    <xf numFmtId="0" fontId="8" fillId="8" borderId="4" xfId="0" applyFont="1" applyFill="1" applyBorder="1" applyAlignment="1">
      <alignment vertical="center" wrapText="1"/>
    </xf>
    <xf numFmtId="44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3" fillId="17" borderId="4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left" vertical="center" wrapText="1"/>
    </xf>
    <xf numFmtId="0" fontId="3" fillId="17" borderId="4" xfId="0" applyFont="1" applyFill="1" applyBorder="1" applyAlignment="1">
      <alignment vertical="center" wrapText="1"/>
    </xf>
    <xf numFmtId="44" fontId="3" fillId="17" borderId="4" xfId="1" applyFont="1" applyFill="1" applyBorder="1" applyAlignment="1">
      <alignment horizontal="center" vertical="center" wrapText="1"/>
    </xf>
    <xf numFmtId="10" fontId="3" fillId="17" borderId="4" xfId="0" applyNumberFormat="1" applyFont="1" applyFill="1" applyBorder="1" applyAlignment="1">
      <alignment horizontal="center" vertical="center"/>
    </xf>
    <xf numFmtId="44" fontId="3" fillId="0" borderId="0" xfId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8" fillId="8" borderId="4" xfId="3" applyFont="1" applyFill="1" applyBorder="1" applyAlignment="1">
      <alignment horizontal="center" vertical="center" wrapText="1"/>
    </xf>
    <xf numFmtId="44" fontId="8" fillId="0" borderId="4" xfId="1" applyFont="1" applyBorder="1" applyAlignment="1">
      <alignment horizontal="center" vertical="center" wrapText="1"/>
    </xf>
    <xf numFmtId="44" fontId="13" fillId="0" borderId="4" xfId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16" fillId="18" borderId="4" xfId="0" applyFont="1" applyFill="1" applyBorder="1" applyAlignment="1">
      <alignment horizontal="center" vertical="center"/>
    </xf>
    <xf numFmtId="0" fontId="17" fillId="18" borderId="4" xfId="0" applyFont="1" applyFill="1" applyBorder="1" applyAlignment="1">
      <alignment horizontal="left" vertical="center" wrapText="1"/>
    </xf>
    <xf numFmtId="0" fontId="17" fillId="18" borderId="4" xfId="0" applyFont="1" applyFill="1" applyBorder="1" applyAlignment="1">
      <alignment vertical="center" wrapText="1"/>
    </xf>
    <xf numFmtId="44" fontId="17" fillId="18" borderId="4" xfId="1" applyFont="1" applyFill="1" applyBorder="1" applyAlignment="1">
      <alignment horizontal="center" vertical="center" wrapText="1"/>
    </xf>
    <xf numFmtId="44" fontId="16" fillId="18" borderId="4" xfId="1" applyFont="1" applyFill="1" applyBorder="1" applyAlignment="1">
      <alignment vertical="center" wrapText="1"/>
    </xf>
    <xf numFmtId="44" fontId="16" fillId="18" borderId="4" xfId="1" applyFont="1" applyFill="1" applyBorder="1" applyAlignment="1">
      <alignment horizontal="center" vertical="center"/>
    </xf>
    <xf numFmtId="44" fontId="16" fillId="3" borderId="4" xfId="1" applyFont="1" applyFill="1" applyBorder="1" applyAlignment="1">
      <alignment horizontal="center" vertical="center"/>
    </xf>
    <xf numFmtId="10" fontId="17" fillId="3" borderId="4" xfId="0" applyNumberFormat="1" applyFont="1" applyFill="1" applyBorder="1" applyAlignment="1">
      <alignment horizontal="center" vertical="center" wrapText="1"/>
    </xf>
    <xf numFmtId="44" fontId="18" fillId="18" borderId="4" xfId="1" applyFont="1" applyFill="1" applyBorder="1" applyAlignment="1">
      <alignment horizontal="center" vertical="center" wrapText="1"/>
    </xf>
    <xf numFmtId="44" fontId="17" fillId="15" borderId="4" xfId="1" applyFont="1" applyFill="1" applyBorder="1" applyAlignment="1">
      <alignment horizontal="center" vertical="center" wrapText="1"/>
    </xf>
    <xf numFmtId="44" fontId="16" fillId="15" borderId="4" xfId="1" applyFont="1" applyFill="1" applyBorder="1" applyAlignment="1">
      <alignment horizontal="center" vertical="center" wrapText="1"/>
    </xf>
    <xf numFmtId="44" fontId="19" fillId="15" borderId="0" xfId="1" applyFont="1" applyFill="1" applyAlignment="1">
      <alignment horizontal="center"/>
    </xf>
    <xf numFmtId="164" fontId="19" fillId="15" borderId="0" xfId="0" applyNumberFormat="1" applyFont="1" applyFill="1" applyAlignment="1">
      <alignment horizontal="center"/>
    </xf>
    <xf numFmtId="0" fontId="3" fillId="16" borderId="4" xfId="0" applyFont="1" applyFill="1" applyBorder="1" applyAlignment="1">
      <alignment horizontal="left" vertical="center" wrapText="1"/>
    </xf>
    <xf numFmtId="0" fontId="0" fillId="8" borderId="0" xfId="0" applyFont="1" applyFill="1" applyAlignment="1"/>
    <xf numFmtId="44" fontId="20" fillId="18" borderId="4" xfId="1" applyFont="1" applyFill="1" applyBorder="1" applyAlignment="1">
      <alignment horizontal="center" vertical="center" wrapText="1"/>
    </xf>
    <xf numFmtId="44" fontId="20" fillId="15" borderId="4" xfId="1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vertical="center" wrapText="1"/>
    </xf>
    <xf numFmtId="44" fontId="3" fillId="15" borderId="4" xfId="1" applyFont="1" applyFill="1" applyBorder="1" applyAlignment="1">
      <alignment horizontal="center" vertical="center"/>
    </xf>
    <xf numFmtId="44" fontId="21" fillId="15" borderId="4" xfId="1" applyFont="1" applyFill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 wrapText="1"/>
    </xf>
    <xf numFmtId="0" fontId="17" fillId="17" borderId="4" xfId="0" applyFont="1" applyFill="1" applyBorder="1" applyAlignment="1">
      <alignment vertical="center" wrapText="1"/>
    </xf>
    <xf numFmtId="44" fontId="17" fillId="17" borderId="4" xfId="1" applyFont="1" applyFill="1" applyBorder="1" applyAlignment="1">
      <alignment horizontal="center" vertical="center" wrapText="1"/>
    </xf>
    <xf numFmtId="10" fontId="22" fillId="2" borderId="4" xfId="0" applyNumberFormat="1" applyFont="1" applyFill="1" applyBorder="1" applyAlignment="1">
      <alignment horizontal="center" vertical="center" wrapText="1"/>
    </xf>
    <xf numFmtId="10" fontId="17" fillId="17" borderId="4" xfId="0" applyNumberFormat="1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left" vertical="center" wrapText="1"/>
    </xf>
    <xf numFmtId="0" fontId="8" fillId="13" borderId="4" xfId="0" applyFont="1" applyFill="1" applyBorder="1" applyAlignment="1">
      <alignment vertical="center" wrapText="1"/>
    </xf>
    <xf numFmtId="44" fontId="8" fillId="19" borderId="4" xfId="1" applyFont="1" applyFill="1" applyBorder="1" applyAlignment="1">
      <alignment horizontal="center" vertical="center"/>
    </xf>
    <xf numFmtId="0" fontId="8" fillId="9" borderId="4" xfId="0" applyFont="1" applyFill="1" applyBorder="1" applyAlignment="1">
      <alignment vertical="center" wrapText="1"/>
    </xf>
    <xf numFmtId="44" fontId="3" fillId="10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10" fontId="3" fillId="17" borderId="4" xfId="0" applyNumberFormat="1" applyFont="1" applyFill="1" applyBorder="1" applyAlignment="1">
      <alignment horizontal="center" vertical="center" wrapText="1"/>
    </xf>
    <xf numFmtId="0" fontId="0" fillId="8" borderId="4" xfId="0" applyFont="1" applyFill="1" applyBorder="1" applyAlignment="1"/>
    <xf numFmtId="164" fontId="8" fillId="3" borderId="4" xfId="1" applyNumberFormat="1" applyFont="1" applyFill="1" applyBorder="1" applyAlignment="1">
      <alignment horizontal="center" vertical="center"/>
    </xf>
    <xf numFmtId="0" fontId="14" fillId="18" borderId="4" xfId="0" applyFont="1" applyFill="1" applyBorder="1" applyAlignment="1">
      <alignment horizontal="center" vertical="center"/>
    </xf>
    <xf numFmtId="0" fontId="14" fillId="18" borderId="4" xfId="0" applyFont="1" applyFill="1" applyBorder="1" applyAlignment="1">
      <alignment horizontal="left" vertical="center" wrapText="1"/>
    </xf>
    <xf numFmtId="0" fontId="0" fillId="20" borderId="4" xfId="3" applyFont="1" applyFill="1" applyBorder="1" applyAlignment="1"/>
    <xf numFmtId="0" fontId="11" fillId="8" borderId="4" xfId="0" applyFont="1" applyFill="1" applyBorder="1" applyAlignment="1">
      <alignment vertical="center" wrapText="1"/>
    </xf>
    <xf numFmtId="44" fontId="20" fillId="0" borderId="4" xfId="1" applyFont="1" applyBorder="1" applyAlignment="1">
      <alignment horizontal="center" vertical="center"/>
    </xf>
    <xf numFmtId="44" fontId="23" fillId="0" borderId="4" xfId="1" applyFont="1" applyBorder="1" applyAlignment="1">
      <alignment horizontal="right" vertical="center"/>
    </xf>
    <xf numFmtId="44" fontId="23" fillId="0" borderId="4" xfId="1" applyFont="1" applyBorder="1" applyAlignment="1">
      <alignment horizontal="center" vertical="center"/>
    </xf>
    <xf numFmtId="0" fontId="23" fillId="8" borderId="4" xfId="0" applyFont="1" applyFill="1" applyBorder="1" applyAlignment="1">
      <alignment vertical="center" wrapText="1"/>
    </xf>
    <xf numFmtId="44" fontId="23" fillId="10" borderId="4" xfId="1" applyFont="1" applyFill="1" applyBorder="1" applyAlignment="1">
      <alignment horizontal="center" vertical="center"/>
    </xf>
    <xf numFmtId="3" fontId="8" fillId="9" borderId="4" xfId="4" applyNumberFormat="1" applyFont="1" applyFill="1" applyBorder="1" applyAlignment="1">
      <alignment horizontal="left" vertical="center" wrapText="1"/>
    </xf>
    <xf numFmtId="0" fontId="9" fillId="9" borderId="4" xfId="4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44" fontId="24" fillId="0" borderId="4" xfId="1" applyFont="1" applyBorder="1" applyAlignment="1">
      <alignment horizontal="center" vertical="center"/>
    </xf>
    <xf numFmtId="44" fontId="9" fillId="0" borderId="4" xfId="1" applyFont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44" fontId="3" fillId="15" borderId="4" xfId="1" applyFont="1" applyFill="1" applyBorder="1" applyAlignment="1">
      <alignment horizontal="center" vertical="center" wrapText="1"/>
    </xf>
    <xf numFmtId="44" fontId="3" fillId="15" borderId="0" xfId="1" applyFont="1" applyFill="1" applyAlignment="1">
      <alignment horizontal="center"/>
    </xf>
    <xf numFmtId="10" fontId="3" fillId="15" borderId="0" xfId="0" applyNumberFormat="1" applyFont="1" applyFill="1" applyAlignment="1">
      <alignment horizontal="center"/>
    </xf>
    <xf numFmtId="0" fontId="17" fillId="17" borderId="4" xfId="0" applyFont="1" applyFill="1" applyBorder="1" applyAlignment="1">
      <alignment horizontal="left" vertical="center" wrapText="1"/>
    </xf>
    <xf numFmtId="44" fontId="3" fillId="0" borderId="0" xfId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vertical="center" wrapText="1"/>
    </xf>
    <xf numFmtId="44" fontId="22" fillId="2" borderId="4" xfId="1" applyFont="1" applyFill="1" applyBorder="1" applyAlignment="1">
      <alignment horizontal="center" vertical="center" wrapText="1"/>
    </xf>
    <xf numFmtId="44" fontId="22" fillId="3" borderId="4" xfId="1" applyFont="1" applyFill="1" applyBorder="1" applyAlignment="1">
      <alignment horizontal="center" vertical="center"/>
    </xf>
    <xf numFmtId="44" fontId="22" fillId="0" borderId="0" xfId="1" applyFont="1" applyAlignment="1">
      <alignment horizontal="center"/>
    </xf>
    <xf numFmtId="10" fontId="22" fillId="0" borderId="0" xfId="0" applyNumberFormat="1" applyFont="1" applyAlignment="1">
      <alignment horizontal="center"/>
    </xf>
    <xf numFmtId="44" fontId="22" fillId="4" borderId="4" xfId="1" applyFont="1" applyFill="1" applyBorder="1" applyAlignment="1">
      <alignment horizontal="center" vertical="center"/>
    </xf>
    <xf numFmtId="44" fontId="25" fillId="0" borderId="4" xfId="1" applyFont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vertical="center" wrapText="1"/>
    </xf>
    <xf numFmtId="44" fontId="22" fillId="3" borderId="4" xfId="1" applyFont="1" applyFill="1" applyBorder="1" applyAlignment="1">
      <alignment horizontal="center" vertical="center" wrapText="1"/>
    </xf>
    <xf numFmtId="44" fontId="26" fillId="4" borderId="4" xfId="1" applyFont="1" applyFill="1" applyBorder="1" applyAlignment="1">
      <alignment horizontal="center" vertical="center"/>
    </xf>
    <xf numFmtId="44" fontId="27" fillId="0" borderId="4" xfId="1" applyFont="1" applyBorder="1" applyAlignment="1">
      <alignment horizontal="center" vertical="center"/>
    </xf>
    <xf numFmtId="44" fontId="8" fillId="4" borderId="4" xfId="1" applyFont="1" applyFill="1" applyBorder="1" applyAlignment="1">
      <alignment horizontal="center" vertical="center"/>
    </xf>
    <xf numFmtId="0" fontId="22" fillId="17" borderId="4" xfId="0" applyFont="1" applyFill="1" applyBorder="1" applyAlignment="1">
      <alignment horizontal="center" vertical="center"/>
    </xf>
    <xf numFmtId="0" fontId="22" fillId="17" borderId="4" xfId="0" applyFont="1" applyFill="1" applyBorder="1" applyAlignment="1">
      <alignment horizontal="left" vertical="center" wrapText="1"/>
    </xf>
    <xf numFmtId="0" fontId="22" fillId="17" borderId="4" xfId="0" applyFont="1" applyFill="1" applyBorder="1" applyAlignment="1">
      <alignment vertical="center" wrapText="1"/>
    </xf>
    <xf numFmtId="44" fontId="22" fillId="17" borderId="4" xfId="1" applyFont="1" applyFill="1" applyBorder="1" applyAlignment="1">
      <alignment horizontal="center" vertical="center" wrapText="1"/>
    </xf>
    <xf numFmtId="10" fontId="22" fillId="17" borderId="4" xfId="0" applyNumberFormat="1" applyFont="1" applyFill="1" applyBorder="1" applyAlignment="1">
      <alignment horizontal="center" vertical="center" wrapText="1"/>
    </xf>
    <xf numFmtId="44" fontId="28" fillId="0" borderId="4" xfId="1" applyFont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center" wrapText="1"/>
    </xf>
    <xf numFmtId="44" fontId="17" fillId="4" borderId="4" xfId="1" applyFont="1" applyFill="1" applyBorder="1" applyAlignment="1">
      <alignment horizontal="center" vertical="center" wrapText="1"/>
    </xf>
    <xf numFmtId="10" fontId="17" fillId="4" borderId="4" xfId="0" applyNumberFormat="1" applyFont="1" applyFill="1" applyBorder="1" applyAlignment="1">
      <alignment horizontal="center" vertical="center" wrapText="1"/>
    </xf>
    <xf numFmtId="44" fontId="26" fillId="3" borderId="4" xfId="1" applyFont="1" applyFill="1" applyBorder="1" applyAlignment="1">
      <alignment horizontal="center" vertical="center"/>
    </xf>
    <xf numFmtId="10" fontId="22" fillId="2" borderId="4" xfId="0" applyNumberFormat="1" applyFont="1" applyFill="1" applyBorder="1" applyAlignment="1">
      <alignment horizontal="center" vertical="center"/>
    </xf>
    <xf numFmtId="44" fontId="29" fillId="10" borderId="4" xfId="1" applyFont="1" applyFill="1" applyBorder="1" applyAlignment="1">
      <alignment horizontal="center" vertical="center"/>
    </xf>
    <xf numFmtId="0" fontId="8" fillId="9" borderId="4" xfId="4" applyFont="1" applyFill="1" applyBorder="1" applyAlignment="1">
      <alignment vertical="center" wrapText="1"/>
    </xf>
    <xf numFmtId="44" fontId="30" fillId="0" borderId="4" xfId="1" applyFont="1" applyBorder="1" applyAlignment="1">
      <alignment horizontal="center" vertical="center"/>
    </xf>
    <xf numFmtId="44" fontId="31" fillId="0" borderId="4" xfId="1" applyFont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vertical="center" wrapText="1"/>
    </xf>
    <xf numFmtId="44" fontId="22" fillId="4" borderId="4" xfId="1" applyFont="1" applyFill="1" applyBorder="1" applyAlignment="1">
      <alignment horizontal="center" vertical="center" wrapText="1"/>
    </xf>
    <xf numFmtId="10" fontId="22" fillId="4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0" fontId="12" fillId="0" borderId="0" xfId="0" applyNumberFormat="1" applyFont="1"/>
    <xf numFmtId="164" fontId="3" fillId="21" borderId="4" xfId="0" applyNumberFormat="1" applyFont="1" applyFill="1" applyBorder="1" applyAlignment="1">
      <alignment horizontal="center" vertical="center"/>
    </xf>
    <xf numFmtId="0" fontId="2" fillId="12" borderId="4" xfId="0" applyFont="1" applyFill="1" applyBorder="1"/>
    <xf numFmtId="164" fontId="3" fillId="22" borderId="4" xfId="0" applyNumberFormat="1" applyFont="1" applyFill="1" applyBorder="1" applyAlignment="1">
      <alignment horizontal="center" vertical="center"/>
    </xf>
    <xf numFmtId="164" fontId="3" fillId="22" borderId="4" xfId="0" applyNumberFormat="1" applyFont="1" applyFill="1" applyBorder="1" applyAlignment="1">
      <alignment horizontal="center" vertical="center"/>
    </xf>
    <xf numFmtId="44" fontId="3" fillId="22" borderId="4" xfId="1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left" vertical="center" wrapText="1"/>
    </xf>
    <xf numFmtId="0" fontId="8" fillId="23" borderId="4" xfId="3" applyFont="1" applyFill="1" applyBorder="1" applyAlignment="1">
      <alignment vertical="center" wrapText="1"/>
    </xf>
    <xf numFmtId="3" fontId="8" fillId="23" borderId="4" xfId="3" applyNumberFormat="1" applyFont="1" applyFill="1" applyBorder="1" applyAlignment="1">
      <alignment horizontal="left" vertical="center" wrapText="1"/>
    </xf>
    <xf numFmtId="0" fontId="11" fillId="23" borderId="4" xfId="3" applyFont="1" applyFill="1" applyBorder="1" applyAlignment="1">
      <alignment horizontal="left" vertical="center" wrapText="1"/>
    </xf>
    <xf numFmtId="0" fontId="11" fillId="23" borderId="4" xfId="3" applyFont="1" applyFill="1" applyBorder="1" applyAlignment="1">
      <alignment vertical="center" wrapText="1"/>
    </xf>
    <xf numFmtId="0" fontId="9" fillId="23" borderId="4" xfId="3" applyFont="1" applyFill="1" applyBorder="1" applyAlignment="1">
      <alignment vertical="center" wrapText="1"/>
    </xf>
    <xf numFmtId="0" fontId="14" fillId="23" borderId="4" xfId="3" applyFont="1" applyFill="1" applyBorder="1" applyAlignment="1">
      <alignment vertical="center" wrapText="1"/>
    </xf>
    <xf numFmtId="0" fontId="8" fillId="12" borderId="4" xfId="3" applyFont="1" applyFill="1" applyBorder="1" applyAlignment="1">
      <alignment horizontal="left" vertical="center" wrapText="1"/>
    </xf>
    <xf numFmtId="0" fontId="8" fillId="12" borderId="4" xfId="3" applyFont="1" applyFill="1" applyBorder="1" applyAlignment="1">
      <alignment vertical="center" wrapText="1"/>
    </xf>
    <xf numFmtId="0" fontId="8" fillId="12" borderId="4" xfId="0" applyFont="1" applyFill="1" applyBorder="1" applyAlignment="1">
      <alignment vertical="center" wrapText="1"/>
    </xf>
    <xf numFmtId="3" fontId="8" fillId="23" borderId="4" xfId="4" applyNumberFormat="1" applyFont="1" applyFill="1" applyBorder="1" applyAlignment="1">
      <alignment horizontal="left" vertical="center" wrapText="1"/>
    </xf>
    <xf numFmtId="0" fontId="9" fillId="23" borderId="4" xfId="4" applyFont="1" applyFill="1" applyBorder="1" applyAlignment="1">
      <alignment vertical="center" wrapText="1"/>
    </xf>
    <xf numFmtId="0" fontId="8" fillId="24" borderId="4" xfId="3" applyFont="1" applyFill="1" applyBorder="1" applyAlignment="1">
      <alignment horizontal="left" vertical="center" wrapText="1"/>
    </xf>
    <xf numFmtId="0" fontId="12" fillId="12" borderId="4" xfId="3" applyFont="1" applyFill="1" applyBorder="1" applyAlignment="1"/>
    <xf numFmtId="0" fontId="8" fillId="23" borderId="4" xfId="0" applyFont="1" applyFill="1" applyBorder="1" applyAlignment="1">
      <alignment vertical="center" wrapText="1"/>
    </xf>
    <xf numFmtId="0" fontId="8" fillId="23" borderId="4" xfId="4" applyFont="1" applyFill="1" applyBorder="1" applyAlignment="1">
      <alignment vertical="center" wrapText="1"/>
    </xf>
    <xf numFmtId="0" fontId="3" fillId="12" borderId="4" xfId="0" applyFont="1" applyFill="1" applyBorder="1" applyAlignment="1">
      <alignment vertical="center" wrapText="1"/>
    </xf>
  </cellXfs>
  <cellStyles count="10">
    <cellStyle name="Moeda" xfId="1" builtinId="4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Normal 6" xfId="8"/>
    <cellStyle name="Porcentagem" xfId="2" builtinId="5"/>
    <cellStyle name="Vírgula 2" xfId="9"/>
  </cellStyles>
  <dxfs count="2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532"/>
  <sheetViews>
    <sheetView showGridLines="0"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7" sqref="E17"/>
    </sheetView>
  </sheetViews>
  <sheetFormatPr defaultColWidth="14.42578125" defaultRowHeight="15" customHeight="1" x14ac:dyDescent="0.25"/>
  <cols>
    <col min="1" max="1" width="14.85546875" style="10" hidden="1" customWidth="1"/>
    <col min="2" max="2" width="14.7109375" style="10" hidden="1" customWidth="1"/>
    <col min="3" max="3" width="14.85546875" style="183" customWidth="1"/>
    <col min="4" max="4" width="52.140625" style="10" customWidth="1"/>
    <col min="5" max="5" width="18.7109375" style="10" customWidth="1"/>
    <col min="6" max="6" width="18.85546875" style="10" customWidth="1"/>
    <col min="7" max="7" width="16.28515625" style="10" customWidth="1"/>
    <col min="8" max="8" width="15.85546875" style="10" customWidth="1"/>
    <col min="9" max="9" width="17.42578125" style="10" customWidth="1"/>
    <col min="10" max="10" width="18.42578125" style="10" customWidth="1"/>
    <col min="11" max="11" width="16.7109375" style="10" customWidth="1"/>
    <col min="12" max="12" width="15.5703125" style="10" customWidth="1"/>
    <col min="13" max="13" width="19.140625" style="10" customWidth="1"/>
    <col min="14" max="14" width="15.5703125" style="10" customWidth="1"/>
    <col min="15" max="15" width="23.5703125" style="10" hidden="1" customWidth="1"/>
    <col min="16" max="16" width="18.140625" style="10" hidden="1" customWidth="1"/>
    <col min="17" max="17" width="16.7109375" style="10" hidden="1" customWidth="1"/>
    <col min="18" max="18" width="12.28515625" style="10" hidden="1" customWidth="1"/>
    <col min="19" max="19" width="11.42578125" style="10" hidden="1" customWidth="1"/>
    <col min="20" max="20" width="12.140625" style="10" hidden="1" customWidth="1"/>
    <col min="21" max="21" width="16" style="10" hidden="1" customWidth="1"/>
    <col min="22" max="25" width="15.7109375" style="10" hidden="1" customWidth="1"/>
    <col min="26" max="26" width="16.85546875" style="10" hidden="1" customWidth="1"/>
    <col min="27" max="28" width="15.7109375" style="10" hidden="1" customWidth="1"/>
    <col min="29" max="29" width="16.42578125" style="10" hidden="1" customWidth="1"/>
    <col min="30" max="31" width="15.7109375" style="10" hidden="1" customWidth="1"/>
    <col min="32" max="32" width="17.7109375" style="10" hidden="1" customWidth="1"/>
    <col min="33" max="34" width="15.7109375" style="10" hidden="1" customWidth="1"/>
    <col min="35" max="35" width="14.7109375" style="10" hidden="1" customWidth="1"/>
    <col min="36" max="59" width="15.7109375" style="10" hidden="1" customWidth="1"/>
    <col min="60" max="16384" width="14.42578125" style="10"/>
  </cols>
  <sheetData>
    <row r="1" spans="1:64" ht="45.75" customHeight="1" x14ac:dyDescent="0.25">
      <c r="A1" s="1" t="s">
        <v>0</v>
      </c>
      <c r="B1" s="2"/>
      <c r="C1" s="2"/>
      <c r="D1" s="3"/>
      <c r="E1" s="187" t="s">
        <v>1</v>
      </c>
      <c r="F1" s="186"/>
      <c r="G1" s="186"/>
      <c r="H1" s="186"/>
      <c r="I1" s="5" t="s">
        <v>2</v>
      </c>
      <c r="J1" s="4"/>
      <c r="K1" s="4"/>
      <c r="L1" s="185" t="s">
        <v>3</v>
      </c>
      <c r="M1" s="186"/>
      <c r="N1" s="186"/>
      <c r="O1" s="5" t="s">
        <v>4</v>
      </c>
      <c r="P1" s="4"/>
      <c r="Q1" s="4"/>
      <c r="R1" s="7" t="s">
        <v>5</v>
      </c>
      <c r="S1" s="4"/>
      <c r="T1" s="4"/>
      <c r="U1" s="8" t="s">
        <v>6</v>
      </c>
      <c r="V1" s="6"/>
      <c r="W1" s="6"/>
      <c r="X1" s="8" t="s">
        <v>7</v>
      </c>
      <c r="Y1" s="6"/>
      <c r="Z1" s="6"/>
      <c r="AA1" s="8" t="s">
        <v>8</v>
      </c>
      <c r="AB1" s="6"/>
      <c r="AC1" s="6"/>
      <c r="AD1" s="8" t="s">
        <v>9</v>
      </c>
      <c r="AE1" s="6"/>
      <c r="AF1" s="6"/>
      <c r="AG1" s="8" t="s">
        <v>10</v>
      </c>
      <c r="AH1" s="6"/>
      <c r="AI1" s="6"/>
      <c r="AJ1" s="8" t="s">
        <v>11</v>
      </c>
      <c r="AK1" s="6"/>
      <c r="AL1" s="6"/>
      <c r="AM1" s="8" t="s">
        <v>12</v>
      </c>
      <c r="AN1" s="6"/>
      <c r="AO1" s="6"/>
      <c r="AP1" s="8" t="s">
        <v>13</v>
      </c>
      <c r="AQ1" s="6"/>
      <c r="AR1" s="6"/>
      <c r="AS1" s="8" t="s">
        <v>14</v>
      </c>
      <c r="AT1" s="6"/>
      <c r="AU1" s="6"/>
      <c r="AV1" s="8" t="s">
        <v>15</v>
      </c>
      <c r="AW1" s="6"/>
      <c r="AX1" s="6"/>
      <c r="AY1" s="8" t="s">
        <v>16</v>
      </c>
      <c r="AZ1" s="6"/>
      <c r="BA1" s="6"/>
      <c r="BB1" s="8" t="s">
        <v>17</v>
      </c>
      <c r="BC1" s="6"/>
      <c r="BD1" s="6"/>
      <c r="BE1" s="8" t="s">
        <v>18</v>
      </c>
      <c r="BF1" s="6"/>
      <c r="BG1" s="6"/>
      <c r="BH1" s="9"/>
      <c r="BI1" s="9"/>
      <c r="BJ1" s="9"/>
      <c r="BK1" s="9"/>
      <c r="BL1" s="9"/>
    </row>
    <row r="2" spans="1:64" ht="45.75" customHeight="1" x14ac:dyDescent="0.25">
      <c r="A2" s="11" t="s">
        <v>19</v>
      </c>
      <c r="B2" s="4"/>
      <c r="C2" s="4"/>
      <c r="D2" s="12" t="s">
        <v>20</v>
      </c>
      <c r="E2" s="188" t="s">
        <v>22</v>
      </c>
      <c r="F2" s="188" t="s">
        <v>23</v>
      </c>
      <c r="G2" s="188" t="s">
        <v>24</v>
      </c>
      <c r="H2" s="188" t="s">
        <v>21</v>
      </c>
      <c r="I2" s="14" t="s">
        <v>22</v>
      </c>
      <c r="J2" s="14" t="s">
        <v>23</v>
      </c>
      <c r="K2" s="14" t="s">
        <v>21</v>
      </c>
      <c r="L2" s="13" t="s">
        <v>22</v>
      </c>
      <c r="M2" s="13" t="s">
        <v>23</v>
      </c>
      <c r="N2" s="13" t="s">
        <v>21</v>
      </c>
      <c r="O2" s="14" t="s">
        <v>25</v>
      </c>
      <c r="P2" s="14" t="s">
        <v>23</v>
      </c>
      <c r="Q2" s="14" t="s">
        <v>26</v>
      </c>
      <c r="R2" s="15" t="s">
        <v>27</v>
      </c>
      <c r="S2" s="16" t="s">
        <v>23</v>
      </c>
      <c r="T2" s="15" t="s">
        <v>28</v>
      </c>
      <c r="U2" s="17" t="s">
        <v>22</v>
      </c>
      <c r="V2" s="17" t="s">
        <v>23</v>
      </c>
      <c r="W2" s="17" t="s">
        <v>21</v>
      </c>
      <c r="X2" s="17" t="s">
        <v>22</v>
      </c>
      <c r="Y2" s="17" t="s">
        <v>23</v>
      </c>
      <c r="Z2" s="17" t="s">
        <v>21</v>
      </c>
      <c r="AA2" s="17" t="s">
        <v>22</v>
      </c>
      <c r="AB2" s="17" t="s">
        <v>23</v>
      </c>
      <c r="AC2" s="17" t="s">
        <v>21</v>
      </c>
      <c r="AD2" s="17" t="s">
        <v>22</v>
      </c>
      <c r="AE2" s="17" t="s">
        <v>23</v>
      </c>
      <c r="AF2" s="17" t="s">
        <v>21</v>
      </c>
      <c r="AG2" s="17" t="s">
        <v>22</v>
      </c>
      <c r="AH2" s="17" t="s">
        <v>23</v>
      </c>
      <c r="AI2" s="17" t="s">
        <v>21</v>
      </c>
      <c r="AJ2" s="17" t="s">
        <v>22</v>
      </c>
      <c r="AK2" s="17" t="s">
        <v>23</v>
      </c>
      <c r="AL2" s="17" t="s">
        <v>21</v>
      </c>
      <c r="AM2" s="17" t="s">
        <v>22</v>
      </c>
      <c r="AN2" s="17" t="s">
        <v>23</v>
      </c>
      <c r="AO2" s="17" t="s">
        <v>21</v>
      </c>
      <c r="AP2" s="17" t="s">
        <v>22</v>
      </c>
      <c r="AQ2" s="17" t="s">
        <v>23</v>
      </c>
      <c r="AR2" s="17" t="s">
        <v>21</v>
      </c>
      <c r="AS2" s="17" t="s">
        <v>22</v>
      </c>
      <c r="AT2" s="17" t="s">
        <v>23</v>
      </c>
      <c r="AU2" s="17" t="s">
        <v>21</v>
      </c>
      <c r="AV2" s="17" t="s">
        <v>22</v>
      </c>
      <c r="AW2" s="17" t="s">
        <v>23</v>
      </c>
      <c r="AX2" s="17" t="s">
        <v>21</v>
      </c>
      <c r="AY2" s="17" t="s">
        <v>22</v>
      </c>
      <c r="AZ2" s="17" t="s">
        <v>23</v>
      </c>
      <c r="BA2" s="17" t="s">
        <v>21</v>
      </c>
      <c r="BB2" s="17" t="s">
        <v>22</v>
      </c>
      <c r="BC2" s="17" t="s">
        <v>23</v>
      </c>
      <c r="BD2" s="17" t="s">
        <v>21</v>
      </c>
      <c r="BE2" s="17" t="s">
        <v>22</v>
      </c>
      <c r="BF2" s="17" t="s">
        <v>23</v>
      </c>
      <c r="BG2" s="17" t="s">
        <v>21</v>
      </c>
      <c r="BH2" s="9"/>
      <c r="BI2" s="9"/>
      <c r="BJ2" s="9"/>
      <c r="BK2" s="9"/>
      <c r="BL2" s="9"/>
    </row>
    <row r="3" spans="1:64" ht="21" x14ac:dyDescent="0.25">
      <c r="A3" s="18" t="s">
        <v>29</v>
      </c>
      <c r="B3" s="19" t="s">
        <v>30</v>
      </c>
      <c r="C3" s="20" t="s">
        <v>31</v>
      </c>
      <c r="D3" s="18" t="s">
        <v>32</v>
      </c>
      <c r="E3" s="189">
        <f t="shared" ref="E3:K3" si="0">E4+E14+E55+E84+E143</f>
        <v>973127.23999999987</v>
      </c>
      <c r="F3" s="189">
        <f t="shared" si="0"/>
        <v>2340309.29</v>
      </c>
      <c r="G3" s="189">
        <f t="shared" si="0"/>
        <v>6706.7800000000007</v>
      </c>
      <c r="H3" s="189">
        <f t="shared" si="0"/>
        <v>142873.54999999999</v>
      </c>
      <c r="I3" s="22">
        <f t="shared" si="0"/>
        <v>651543.73000000021</v>
      </c>
      <c r="J3" s="22">
        <f t="shared" si="0"/>
        <v>1917526.6</v>
      </c>
      <c r="K3" s="22">
        <f t="shared" si="0"/>
        <v>39920</v>
      </c>
      <c r="L3" s="23">
        <f t="shared" ref="L3:N13" si="1">IF(BE3=0,SUM(U3+X3+AA3+AD3+AG3+AJ3+AM3+AP3+AS3+AV3+AY3+BB3),BE3)</f>
        <v>503769.63999999996</v>
      </c>
      <c r="M3" s="23">
        <f t="shared" si="1"/>
        <v>1917099.8699999999</v>
      </c>
      <c r="N3" s="13">
        <f t="shared" si="1"/>
        <v>39920</v>
      </c>
      <c r="O3" s="14">
        <f>O4+O14+O55+O84+O143</f>
        <v>290253.51</v>
      </c>
      <c r="P3" s="14">
        <f>P4+P14+P55+P84+P143</f>
        <v>416075.91</v>
      </c>
      <c r="Q3" s="14">
        <f>Q4+Q14+Q55+Q84+Q143</f>
        <v>102953.54999999999</v>
      </c>
      <c r="R3" s="16">
        <f t="shared" ref="R3:S18" si="2">I3/E3</f>
        <v>0.66953601052211864</v>
      </c>
      <c r="S3" s="16">
        <f t="shared" si="2"/>
        <v>0.81934751453300436</v>
      </c>
      <c r="T3" s="16">
        <f t="shared" ref="T3:T66" si="3">K3/H3</f>
        <v>0.27940791000153636</v>
      </c>
      <c r="U3" s="24">
        <f t="shared" ref="U3:BG3" si="4">U4+U14+U55+U84+U143</f>
        <v>27.08</v>
      </c>
      <c r="V3" s="24">
        <f t="shared" si="4"/>
        <v>82979.189999999988</v>
      </c>
      <c r="W3" s="24">
        <f t="shared" si="4"/>
        <v>0</v>
      </c>
      <c r="X3" s="24">
        <f t="shared" si="4"/>
        <v>3450.05</v>
      </c>
      <c r="Y3" s="24">
        <f t="shared" si="4"/>
        <v>139830.27000000002</v>
      </c>
      <c r="Z3" s="24">
        <f t="shared" si="4"/>
        <v>0</v>
      </c>
      <c r="AA3" s="24">
        <f t="shared" si="4"/>
        <v>57131.609999999993</v>
      </c>
      <c r="AB3" s="24">
        <f t="shared" si="4"/>
        <v>344883.05</v>
      </c>
      <c r="AC3" s="24">
        <f t="shared" si="4"/>
        <v>0</v>
      </c>
      <c r="AD3" s="24">
        <f t="shared" si="4"/>
        <v>54225.499999999993</v>
      </c>
      <c r="AE3" s="24">
        <f t="shared" si="4"/>
        <v>470977.24</v>
      </c>
      <c r="AF3" s="24">
        <f t="shared" si="4"/>
        <v>11360</v>
      </c>
      <c r="AG3" s="24">
        <f t="shared" si="4"/>
        <v>118041.46</v>
      </c>
      <c r="AH3" s="24">
        <f t="shared" si="4"/>
        <v>176628.82</v>
      </c>
      <c r="AI3" s="24">
        <f t="shared" si="4"/>
        <v>13760</v>
      </c>
      <c r="AJ3" s="24">
        <f t="shared" si="4"/>
        <v>101219.86</v>
      </c>
      <c r="AK3" s="24">
        <f t="shared" si="4"/>
        <v>301272.18</v>
      </c>
      <c r="AL3" s="24">
        <f t="shared" si="4"/>
        <v>14800</v>
      </c>
      <c r="AM3" s="24">
        <f t="shared" si="4"/>
        <v>84319.670000000013</v>
      </c>
      <c r="AN3" s="24">
        <f t="shared" si="4"/>
        <v>240449.38</v>
      </c>
      <c r="AO3" s="24">
        <f t="shared" si="4"/>
        <v>0</v>
      </c>
      <c r="AP3" s="24">
        <f t="shared" si="4"/>
        <v>85354.409999999989</v>
      </c>
      <c r="AQ3" s="24">
        <f t="shared" si="4"/>
        <v>160079.74</v>
      </c>
      <c r="AR3" s="24">
        <f t="shared" si="4"/>
        <v>0</v>
      </c>
      <c r="AS3" s="24">
        <f t="shared" si="4"/>
        <v>0</v>
      </c>
      <c r="AT3" s="24">
        <f t="shared" si="4"/>
        <v>0</v>
      </c>
      <c r="AU3" s="24">
        <f t="shared" si="4"/>
        <v>0</v>
      </c>
      <c r="AV3" s="24">
        <f t="shared" si="4"/>
        <v>0</v>
      </c>
      <c r="AW3" s="24">
        <f t="shared" si="4"/>
        <v>0</v>
      </c>
      <c r="AX3" s="24">
        <f t="shared" si="4"/>
        <v>0</v>
      </c>
      <c r="AY3" s="24">
        <f t="shared" si="4"/>
        <v>0</v>
      </c>
      <c r="AZ3" s="24">
        <f t="shared" si="4"/>
        <v>0</v>
      </c>
      <c r="BA3" s="24">
        <f t="shared" si="4"/>
        <v>0</v>
      </c>
      <c r="BB3" s="24">
        <f t="shared" si="4"/>
        <v>0</v>
      </c>
      <c r="BC3" s="24">
        <f t="shared" si="4"/>
        <v>0</v>
      </c>
      <c r="BD3" s="24">
        <f t="shared" si="4"/>
        <v>0</v>
      </c>
      <c r="BE3" s="24">
        <f t="shared" si="4"/>
        <v>0</v>
      </c>
      <c r="BF3" s="24">
        <f t="shared" si="4"/>
        <v>0</v>
      </c>
      <c r="BG3" s="24">
        <f t="shared" si="4"/>
        <v>0</v>
      </c>
      <c r="BH3" s="25"/>
      <c r="BI3" s="26"/>
      <c r="BJ3" s="26"/>
      <c r="BK3" s="26"/>
      <c r="BL3" s="26"/>
    </row>
    <row r="4" spans="1:64" ht="21" x14ac:dyDescent="0.25">
      <c r="A4" s="27"/>
      <c r="B4" s="27" t="s">
        <v>33</v>
      </c>
      <c r="C4" s="28"/>
      <c r="D4" s="27"/>
      <c r="E4" s="29">
        <f t="shared" ref="E4:K4" si="5">SUM(E5:E6)</f>
        <v>1000</v>
      </c>
      <c r="F4" s="29">
        <f t="shared" si="5"/>
        <v>0</v>
      </c>
      <c r="G4" s="29"/>
      <c r="H4" s="29">
        <f t="shared" si="5"/>
        <v>0</v>
      </c>
      <c r="I4" s="29">
        <f t="shared" si="5"/>
        <v>344.64</v>
      </c>
      <c r="J4" s="29">
        <f t="shared" si="5"/>
        <v>0</v>
      </c>
      <c r="K4" s="29">
        <f t="shared" si="5"/>
        <v>0</v>
      </c>
      <c r="L4" s="29">
        <f t="shared" si="1"/>
        <v>344.64</v>
      </c>
      <c r="M4" s="29">
        <f t="shared" si="1"/>
        <v>0</v>
      </c>
      <c r="N4" s="29">
        <f t="shared" si="1"/>
        <v>0</v>
      </c>
      <c r="O4" s="29">
        <f>SUM(O5:O6)</f>
        <v>655.36</v>
      </c>
      <c r="P4" s="29">
        <f>SUM(P5:P6)</f>
        <v>0</v>
      </c>
      <c r="Q4" s="29">
        <f>SUM(Q5:Q6)</f>
        <v>0</v>
      </c>
      <c r="R4" s="29">
        <f t="shared" si="2"/>
        <v>0.34464</v>
      </c>
      <c r="S4" s="30" t="e">
        <f t="shared" si="2"/>
        <v>#DIV/0!</v>
      </c>
      <c r="T4" s="30" t="e">
        <f t="shared" si="3"/>
        <v>#DIV/0!</v>
      </c>
      <c r="U4" s="29">
        <f t="shared" ref="U4:BG4" si="6">SUM(U5:U6)</f>
        <v>0</v>
      </c>
      <c r="V4" s="29">
        <f t="shared" si="6"/>
        <v>0</v>
      </c>
      <c r="W4" s="29">
        <f t="shared" si="6"/>
        <v>0</v>
      </c>
      <c r="X4" s="29">
        <f t="shared" si="6"/>
        <v>0</v>
      </c>
      <c r="Y4" s="29">
        <f t="shared" si="6"/>
        <v>0</v>
      </c>
      <c r="Z4" s="29">
        <f t="shared" si="6"/>
        <v>0</v>
      </c>
      <c r="AA4" s="29">
        <f t="shared" si="6"/>
        <v>0</v>
      </c>
      <c r="AB4" s="29">
        <f t="shared" si="6"/>
        <v>0</v>
      </c>
      <c r="AC4" s="29">
        <f t="shared" si="6"/>
        <v>0</v>
      </c>
      <c r="AD4" s="29">
        <f t="shared" si="6"/>
        <v>0</v>
      </c>
      <c r="AE4" s="29">
        <f t="shared" si="6"/>
        <v>0</v>
      </c>
      <c r="AF4" s="29">
        <f t="shared" si="6"/>
        <v>0</v>
      </c>
      <c r="AG4" s="29">
        <f t="shared" si="6"/>
        <v>0</v>
      </c>
      <c r="AH4" s="29">
        <f t="shared" si="6"/>
        <v>0</v>
      </c>
      <c r="AI4" s="29">
        <f t="shared" si="6"/>
        <v>0</v>
      </c>
      <c r="AJ4" s="29">
        <f t="shared" si="6"/>
        <v>344.64</v>
      </c>
      <c r="AK4" s="29">
        <f t="shared" si="6"/>
        <v>0</v>
      </c>
      <c r="AL4" s="29">
        <f t="shared" si="6"/>
        <v>0</v>
      </c>
      <c r="AM4" s="29">
        <f t="shared" si="6"/>
        <v>0</v>
      </c>
      <c r="AN4" s="29">
        <f t="shared" si="6"/>
        <v>0</v>
      </c>
      <c r="AO4" s="29">
        <f t="shared" si="6"/>
        <v>0</v>
      </c>
      <c r="AP4" s="29">
        <f t="shared" si="6"/>
        <v>0</v>
      </c>
      <c r="AQ4" s="29">
        <f t="shared" si="6"/>
        <v>0</v>
      </c>
      <c r="AR4" s="29">
        <f t="shared" si="6"/>
        <v>0</v>
      </c>
      <c r="AS4" s="29">
        <f t="shared" si="6"/>
        <v>0</v>
      </c>
      <c r="AT4" s="29">
        <f t="shared" si="6"/>
        <v>0</v>
      </c>
      <c r="AU4" s="29">
        <f t="shared" si="6"/>
        <v>0</v>
      </c>
      <c r="AV4" s="29">
        <f t="shared" si="6"/>
        <v>0</v>
      </c>
      <c r="AW4" s="29">
        <f t="shared" si="6"/>
        <v>0</v>
      </c>
      <c r="AX4" s="29">
        <f t="shared" si="6"/>
        <v>0</v>
      </c>
      <c r="AY4" s="29">
        <f t="shared" si="6"/>
        <v>0</v>
      </c>
      <c r="AZ4" s="29">
        <f t="shared" si="6"/>
        <v>0</v>
      </c>
      <c r="BA4" s="29">
        <f t="shared" si="6"/>
        <v>0</v>
      </c>
      <c r="BB4" s="29">
        <f t="shared" si="6"/>
        <v>0</v>
      </c>
      <c r="BC4" s="29">
        <f t="shared" si="6"/>
        <v>0</v>
      </c>
      <c r="BD4" s="29">
        <f t="shared" si="6"/>
        <v>0</v>
      </c>
      <c r="BE4" s="29">
        <f t="shared" si="6"/>
        <v>0</v>
      </c>
      <c r="BF4" s="29">
        <f t="shared" si="6"/>
        <v>0</v>
      </c>
      <c r="BG4" s="29">
        <f t="shared" si="6"/>
        <v>0</v>
      </c>
      <c r="BH4" s="25"/>
      <c r="BI4" s="26"/>
      <c r="BJ4" s="26"/>
      <c r="BK4" s="26"/>
      <c r="BL4" s="26"/>
    </row>
    <row r="5" spans="1:64" ht="15.75" x14ac:dyDescent="0.25">
      <c r="A5" s="31"/>
      <c r="B5" s="31"/>
      <c r="C5" s="190" t="s">
        <v>34</v>
      </c>
      <c r="D5" s="191" t="s">
        <v>35</v>
      </c>
      <c r="E5" s="35">
        <v>1000</v>
      </c>
      <c r="F5" s="35"/>
      <c r="G5" s="35"/>
      <c r="H5" s="36"/>
      <c r="I5" s="37">
        <f t="shared" ref="I5:K13" si="7">U5+X5+AA5+AD5+AG5+AJ5+AM5+AP5+AS5+AV5+AY5+BB5</f>
        <v>344.64</v>
      </c>
      <c r="J5" s="37">
        <f t="shared" si="7"/>
        <v>0</v>
      </c>
      <c r="K5" s="37">
        <f t="shared" si="7"/>
        <v>0</v>
      </c>
      <c r="L5" s="23">
        <f t="shared" si="1"/>
        <v>344.64</v>
      </c>
      <c r="M5" s="23">
        <f t="shared" si="1"/>
        <v>0</v>
      </c>
      <c r="N5" s="23">
        <f t="shared" si="1"/>
        <v>0</v>
      </c>
      <c r="O5" s="37">
        <f>E5-I5</f>
        <v>655.36</v>
      </c>
      <c r="P5" s="37">
        <f>F5-J5</f>
        <v>0</v>
      </c>
      <c r="Q5" s="37">
        <f t="shared" ref="Q5:Q13" si="8">H5-K5</f>
        <v>0</v>
      </c>
      <c r="R5" s="38">
        <f t="shared" si="2"/>
        <v>0.34464</v>
      </c>
      <c r="S5" s="39" t="e">
        <f t="shared" si="2"/>
        <v>#DIV/0!</v>
      </c>
      <c r="T5" s="39" t="e">
        <f t="shared" si="3"/>
        <v>#DIV/0!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>
        <f>67.68+276.96</f>
        <v>344.64</v>
      </c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40"/>
      <c r="BI5" s="41"/>
      <c r="BJ5" s="41"/>
      <c r="BK5" s="41"/>
      <c r="BL5" s="41"/>
    </row>
    <row r="6" spans="1:64" ht="15.75" hidden="1" customHeight="1" x14ac:dyDescent="0.25">
      <c r="A6" s="42"/>
      <c r="B6" s="42"/>
      <c r="C6" s="32" t="s">
        <v>36</v>
      </c>
      <c r="D6" s="33" t="s">
        <v>37</v>
      </c>
      <c r="E6" s="36"/>
      <c r="F6" s="35"/>
      <c r="G6" s="35"/>
      <c r="H6" s="36"/>
      <c r="I6" s="37">
        <f t="shared" si="7"/>
        <v>0</v>
      </c>
      <c r="J6" s="37">
        <f t="shared" si="7"/>
        <v>0</v>
      </c>
      <c r="K6" s="37">
        <f t="shared" si="7"/>
        <v>0</v>
      </c>
      <c r="L6" s="23">
        <f t="shared" si="1"/>
        <v>0</v>
      </c>
      <c r="M6" s="23">
        <f t="shared" si="1"/>
        <v>0</v>
      </c>
      <c r="N6" s="23">
        <f t="shared" si="1"/>
        <v>0</v>
      </c>
      <c r="O6" s="37">
        <f>E6-I6</f>
        <v>0</v>
      </c>
      <c r="P6" s="37">
        <f>F6-J6</f>
        <v>0</v>
      </c>
      <c r="Q6" s="37">
        <f t="shared" si="8"/>
        <v>0</v>
      </c>
      <c r="R6" s="37" t="e">
        <f t="shared" si="2"/>
        <v>#DIV/0!</v>
      </c>
      <c r="S6" s="39" t="e">
        <f t="shared" si="2"/>
        <v>#DIV/0!</v>
      </c>
      <c r="T6" s="39" t="e">
        <f t="shared" si="3"/>
        <v>#DIV/0!</v>
      </c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40"/>
      <c r="BI6" s="41"/>
      <c r="BJ6" s="41"/>
      <c r="BK6" s="41"/>
      <c r="BL6" s="41"/>
    </row>
    <row r="7" spans="1:64" ht="15.75" hidden="1" customHeight="1" x14ac:dyDescent="0.25">
      <c r="A7" s="42"/>
      <c r="B7" s="42"/>
      <c r="C7" s="43" t="s">
        <v>38</v>
      </c>
      <c r="D7" s="33" t="s">
        <v>39</v>
      </c>
      <c r="E7" s="36"/>
      <c r="F7" s="35"/>
      <c r="G7" s="35"/>
      <c r="H7" s="36"/>
      <c r="I7" s="37">
        <f t="shared" si="7"/>
        <v>0</v>
      </c>
      <c r="J7" s="37">
        <f t="shared" si="7"/>
        <v>0</v>
      </c>
      <c r="K7" s="37">
        <f t="shared" si="7"/>
        <v>0</v>
      </c>
      <c r="L7" s="23">
        <f t="shared" si="1"/>
        <v>0</v>
      </c>
      <c r="M7" s="23">
        <f t="shared" si="1"/>
        <v>0</v>
      </c>
      <c r="N7" s="23">
        <f t="shared" si="1"/>
        <v>0</v>
      </c>
      <c r="O7" s="37">
        <f t="shared" ref="O7:P13" si="9">E7-I7</f>
        <v>0</v>
      </c>
      <c r="P7" s="37">
        <f t="shared" si="9"/>
        <v>0</v>
      </c>
      <c r="Q7" s="37">
        <f t="shared" si="8"/>
        <v>0</v>
      </c>
      <c r="R7" s="37" t="e">
        <f t="shared" si="2"/>
        <v>#DIV/0!</v>
      </c>
      <c r="S7" s="39" t="e">
        <f t="shared" si="2"/>
        <v>#DIV/0!</v>
      </c>
      <c r="T7" s="39" t="e">
        <f t="shared" si="3"/>
        <v>#DIV/0!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40"/>
      <c r="BI7" s="41"/>
      <c r="BJ7" s="41"/>
      <c r="BK7" s="41"/>
      <c r="BL7" s="41"/>
    </row>
    <row r="8" spans="1:64" ht="15.75" hidden="1" customHeight="1" x14ac:dyDescent="0.25">
      <c r="A8" s="42"/>
      <c r="B8" s="42"/>
      <c r="C8" s="43" t="s">
        <v>40</v>
      </c>
      <c r="D8" s="33" t="s">
        <v>41</v>
      </c>
      <c r="E8" s="36"/>
      <c r="F8" s="35"/>
      <c r="G8" s="35"/>
      <c r="H8" s="36"/>
      <c r="I8" s="37">
        <f t="shared" si="7"/>
        <v>0</v>
      </c>
      <c r="J8" s="37">
        <f t="shared" si="7"/>
        <v>0</v>
      </c>
      <c r="K8" s="37">
        <f t="shared" si="7"/>
        <v>0</v>
      </c>
      <c r="L8" s="23">
        <f t="shared" si="1"/>
        <v>0</v>
      </c>
      <c r="M8" s="23">
        <f t="shared" si="1"/>
        <v>0</v>
      </c>
      <c r="N8" s="23">
        <f t="shared" si="1"/>
        <v>0</v>
      </c>
      <c r="O8" s="37">
        <f t="shared" si="9"/>
        <v>0</v>
      </c>
      <c r="P8" s="37">
        <f t="shared" si="9"/>
        <v>0</v>
      </c>
      <c r="Q8" s="37">
        <f t="shared" si="8"/>
        <v>0</v>
      </c>
      <c r="R8" s="37" t="e">
        <f t="shared" si="2"/>
        <v>#DIV/0!</v>
      </c>
      <c r="S8" s="39" t="e">
        <f t="shared" si="2"/>
        <v>#DIV/0!</v>
      </c>
      <c r="T8" s="39" t="e">
        <f t="shared" si="3"/>
        <v>#DIV/0!</v>
      </c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40"/>
      <c r="BI8" s="41"/>
      <c r="BJ8" s="41"/>
      <c r="BK8" s="41"/>
      <c r="BL8" s="41"/>
    </row>
    <row r="9" spans="1:64" ht="15.75" hidden="1" customHeight="1" x14ac:dyDescent="0.25">
      <c r="A9" s="42"/>
      <c r="B9" s="42"/>
      <c r="C9" s="43" t="s">
        <v>42</v>
      </c>
      <c r="D9" s="33" t="s">
        <v>43</v>
      </c>
      <c r="E9" s="36"/>
      <c r="F9" s="35"/>
      <c r="G9" s="35"/>
      <c r="H9" s="36"/>
      <c r="I9" s="37">
        <f t="shared" si="7"/>
        <v>0</v>
      </c>
      <c r="J9" s="37">
        <f t="shared" si="7"/>
        <v>0</v>
      </c>
      <c r="K9" s="37">
        <f t="shared" si="7"/>
        <v>0</v>
      </c>
      <c r="L9" s="23">
        <f t="shared" si="1"/>
        <v>0</v>
      </c>
      <c r="M9" s="23">
        <f t="shared" si="1"/>
        <v>0</v>
      </c>
      <c r="N9" s="23">
        <f t="shared" si="1"/>
        <v>0</v>
      </c>
      <c r="O9" s="37">
        <f t="shared" si="9"/>
        <v>0</v>
      </c>
      <c r="P9" s="37">
        <f t="shared" si="9"/>
        <v>0</v>
      </c>
      <c r="Q9" s="37">
        <f t="shared" si="8"/>
        <v>0</v>
      </c>
      <c r="R9" s="37" t="e">
        <f t="shared" si="2"/>
        <v>#DIV/0!</v>
      </c>
      <c r="S9" s="39" t="e">
        <f t="shared" si="2"/>
        <v>#DIV/0!</v>
      </c>
      <c r="T9" s="39" t="e">
        <f t="shared" si="3"/>
        <v>#DIV/0!</v>
      </c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40"/>
      <c r="BI9" s="41"/>
      <c r="BJ9" s="41"/>
      <c r="BK9" s="41"/>
      <c r="BL9" s="41"/>
    </row>
    <row r="10" spans="1:64" ht="15.75" hidden="1" customHeight="1" x14ac:dyDescent="0.25">
      <c r="A10" s="42"/>
      <c r="B10" s="42"/>
      <c r="C10" s="43" t="s">
        <v>44</v>
      </c>
      <c r="D10" s="33" t="s">
        <v>45</v>
      </c>
      <c r="E10" s="36"/>
      <c r="F10" s="35"/>
      <c r="G10" s="35"/>
      <c r="H10" s="36"/>
      <c r="I10" s="37">
        <f t="shared" si="7"/>
        <v>0</v>
      </c>
      <c r="J10" s="37">
        <f t="shared" si="7"/>
        <v>0</v>
      </c>
      <c r="K10" s="37">
        <f t="shared" si="7"/>
        <v>0</v>
      </c>
      <c r="L10" s="23">
        <f t="shared" si="1"/>
        <v>0</v>
      </c>
      <c r="M10" s="23">
        <f t="shared" si="1"/>
        <v>0</v>
      </c>
      <c r="N10" s="23">
        <f t="shared" si="1"/>
        <v>0</v>
      </c>
      <c r="O10" s="37">
        <f t="shared" si="9"/>
        <v>0</v>
      </c>
      <c r="P10" s="37">
        <f t="shared" si="9"/>
        <v>0</v>
      </c>
      <c r="Q10" s="37">
        <f t="shared" si="8"/>
        <v>0</v>
      </c>
      <c r="R10" s="37" t="e">
        <f t="shared" si="2"/>
        <v>#DIV/0!</v>
      </c>
      <c r="S10" s="39" t="e">
        <f t="shared" si="2"/>
        <v>#DIV/0!</v>
      </c>
      <c r="T10" s="39" t="e">
        <f t="shared" si="3"/>
        <v>#DIV/0!</v>
      </c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40"/>
      <c r="BI10" s="41"/>
      <c r="BJ10" s="41"/>
      <c r="BK10" s="41"/>
      <c r="BL10" s="41"/>
    </row>
    <row r="11" spans="1:64" ht="15.75" hidden="1" customHeight="1" x14ac:dyDescent="0.25">
      <c r="A11" s="42"/>
      <c r="B11" s="42"/>
      <c r="C11" s="43" t="s">
        <v>46</v>
      </c>
      <c r="D11" s="33" t="s">
        <v>47</v>
      </c>
      <c r="E11" s="36"/>
      <c r="F11" s="35"/>
      <c r="G11" s="35"/>
      <c r="H11" s="36"/>
      <c r="I11" s="37">
        <f t="shared" si="7"/>
        <v>0</v>
      </c>
      <c r="J11" s="37">
        <f t="shared" si="7"/>
        <v>0</v>
      </c>
      <c r="K11" s="37">
        <f t="shared" si="7"/>
        <v>0</v>
      </c>
      <c r="L11" s="23">
        <f t="shared" si="1"/>
        <v>0</v>
      </c>
      <c r="M11" s="23">
        <f t="shared" si="1"/>
        <v>0</v>
      </c>
      <c r="N11" s="23">
        <f t="shared" si="1"/>
        <v>0</v>
      </c>
      <c r="O11" s="37">
        <f t="shared" si="9"/>
        <v>0</v>
      </c>
      <c r="P11" s="37">
        <f t="shared" si="9"/>
        <v>0</v>
      </c>
      <c r="Q11" s="37">
        <f t="shared" si="8"/>
        <v>0</v>
      </c>
      <c r="R11" s="37" t="e">
        <f t="shared" si="2"/>
        <v>#DIV/0!</v>
      </c>
      <c r="S11" s="39" t="e">
        <f t="shared" si="2"/>
        <v>#DIV/0!</v>
      </c>
      <c r="T11" s="39" t="e">
        <f t="shared" si="3"/>
        <v>#DIV/0!</v>
      </c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40"/>
      <c r="BI11" s="41"/>
      <c r="BJ11" s="41"/>
      <c r="BK11" s="41"/>
      <c r="BL11" s="41"/>
    </row>
    <row r="12" spans="1:64" ht="15.75" hidden="1" customHeight="1" x14ac:dyDescent="0.25">
      <c r="A12" s="42"/>
      <c r="B12" s="42"/>
      <c r="C12" s="43" t="s">
        <v>48</v>
      </c>
      <c r="D12" s="33" t="s">
        <v>49</v>
      </c>
      <c r="E12" s="36"/>
      <c r="F12" s="35"/>
      <c r="G12" s="35"/>
      <c r="H12" s="36"/>
      <c r="I12" s="37">
        <f t="shared" si="7"/>
        <v>0</v>
      </c>
      <c r="J12" s="37">
        <f t="shared" si="7"/>
        <v>0</v>
      </c>
      <c r="K12" s="37">
        <f t="shared" si="7"/>
        <v>0</v>
      </c>
      <c r="L12" s="23">
        <f t="shared" si="1"/>
        <v>0</v>
      </c>
      <c r="M12" s="23">
        <f t="shared" si="1"/>
        <v>0</v>
      </c>
      <c r="N12" s="23">
        <f t="shared" si="1"/>
        <v>0</v>
      </c>
      <c r="O12" s="37">
        <f t="shared" si="9"/>
        <v>0</v>
      </c>
      <c r="P12" s="37">
        <f t="shared" si="9"/>
        <v>0</v>
      </c>
      <c r="Q12" s="37">
        <f t="shared" si="8"/>
        <v>0</v>
      </c>
      <c r="R12" s="37" t="e">
        <f t="shared" si="2"/>
        <v>#DIV/0!</v>
      </c>
      <c r="S12" s="39" t="e">
        <f t="shared" si="2"/>
        <v>#DIV/0!</v>
      </c>
      <c r="T12" s="39" t="e">
        <f t="shared" si="3"/>
        <v>#DIV/0!</v>
      </c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40"/>
      <c r="BI12" s="41"/>
      <c r="BJ12" s="41"/>
      <c r="BK12" s="41"/>
      <c r="BL12" s="41"/>
    </row>
    <row r="13" spans="1:64" ht="15.75" hidden="1" customHeight="1" x14ac:dyDescent="0.25">
      <c r="A13" s="42"/>
      <c r="B13" s="42"/>
      <c r="C13" s="43" t="s">
        <v>46</v>
      </c>
      <c r="D13" s="44" t="s">
        <v>50</v>
      </c>
      <c r="E13" s="36"/>
      <c r="F13" s="35"/>
      <c r="G13" s="35"/>
      <c r="H13" s="36"/>
      <c r="I13" s="37">
        <f t="shared" si="7"/>
        <v>0</v>
      </c>
      <c r="J13" s="37">
        <f t="shared" si="7"/>
        <v>0</v>
      </c>
      <c r="K13" s="37">
        <f t="shared" si="7"/>
        <v>0</v>
      </c>
      <c r="L13" s="23">
        <f t="shared" si="1"/>
        <v>0</v>
      </c>
      <c r="M13" s="23">
        <f t="shared" si="1"/>
        <v>0</v>
      </c>
      <c r="N13" s="23">
        <f t="shared" si="1"/>
        <v>0</v>
      </c>
      <c r="O13" s="37">
        <f t="shared" si="9"/>
        <v>0</v>
      </c>
      <c r="P13" s="37">
        <f t="shared" si="9"/>
        <v>0</v>
      </c>
      <c r="Q13" s="37">
        <f t="shared" si="8"/>
        <v>0</v>
      </c>
      <c r="R13" s="37" t="e">
        <f t="shared" si="2"/>
        <v>#DIV/0!</v>
      </c>
      <c r="S13" s="39" t="e">
        <f t="shared" si="2"/>
        <v>#DIV/0!</v>
      </c>
      <c r="T13" s="39" t="e">
        <f t="shared" si="3"/>
        <v>#DIV/0!</v>
      </c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40"/>
      <c r="BI13" s="41"/>
      <c r="BJ13" s="41"/>
      <c r="BK13" s="41"/>
      <c r="BL13" s="41"/>
    </row>
    <row r="14" spans="1:64" ht="21" x14ac:dyDescent="0.35">
      <c r="A14" s="45"/>
      <c r="B14" s="45" t="s">
        <v>51</v>
      </c>
      <c r="C14" s="45"/>
      <c r="D14" s="46"/>
      <c r="E14" s="29">
        <f>SUM(E15:E54)</f>
        <v>860173.24999999988</v>
      </c>
      <c r="F14" s="29">
        <f>SUM(F15:F54)</f>
        <v>1553537.26</v>
      </c>
      <c r="G14" s="29">
        <f>SUM(G15:G54)</f>
        <v>0</v>
      </c>
      <c r="H14" s="29">
        <f>SUM(H15:H51)</f>
        <v>0</v>
      </c>
      <c r="I14" s="29">
        <f>SUM(I15:I54)</f>
        <v>590111.40000000014</v>
      </c>
      <c r="J14" s="29">
        <f>SUM(J15:J54)</f>
        <v>1160047.56</v>
      </c>
      <c r="K14" s="47">
        <f>SUM(K15:K51)</f>
        <v>0</v>
      </c>
      <c r="L14" s="29">
        <f>IF(BE14=0,SUM(U14+X14+AA14+AD14+AG14+AJ14+AM14+AP14+AS14+AV14+AY14+BB14),BE14)</f>
        <v>431707.30999999994</v>
      </c>
      <c r="M14" s="29">
        <f t="shared" ref="M14:N42" si="10">IF(BF14=0,SUM(V14+Y14+AB14+AE14+AH14+AK14+AN14+AQ14+AT14+AW14+AZ14+BC14),BF14)</f>
        <v>1160047.56</v>
      </c>
      <c r="N14" s="47">
        <f t="shared" si="10"/>
        <v>0</v>
      </c>
      <c r="O14" s="29">
        <f>SUM(O15:O54)</f>
        <v>270061.85000000003</v>
      </c>
      <c r="P14" s="29">
        <f>SUM(P15:P54)</f>
        <v>393489.69999999995</v>
      </c>
      <c r="Q14" s="47">
        <f>SUM(Q15:Q54)</f>
        <v>0</v>
      </c>
      <c r="R14" s="30">
        <f t="shared" si="2"/>
        <v>0.6860378417952433</v>
      </c>
      <c r="S14" s="30">
        <f t="shared" si="2"/>
        <v>0.7467137028950307</v>
      </c>
      <c r="T14" s="30" t="e">
        <f t="shared" si="3"/>
        <v>#DIV/0!</v>
      </c>
      <c r="U14" s="29">
        <f>SUM(U15:U54)</f>
        <v>27.08</v>
      </c>
      <c r="V14" s="29">
        <f>SUM(V15:V53)</f>
        <v>75551.12</v>
      </c>
      <c r="W14" s="29">
        <f>SUM(W15:W54)</f>
        <v>0</v>
      </c>
      <c r="X14" s="29">
        <f>SUM(X15:X54)</f>
        <v>1828.43</v>
      </c>
      <c r="Y14" s="29">
        <f>SUM(Y15:Y54)</f>
        <v>89502.900000000009</v>
      </c>
      <c r="Z14" s="29">
        <f>SUM(Z15:Z51)</f>
        <v>0</v>
      </c>
      <c r="AA14" s="29">
        <f>SUM(AA15:AA54)</f>
        <v>54213.289999999994</v>
      </c>
      <c r="AB14" s="29">
        <f>SUM(AB15:AB53)</f>
        <v>182708.91</v>
      </c>
      <c r="AC14" s="29">
        <f>SUM(AC15:AC51)</f>
        <v>0</v>
      </c>
      <c r="AD14" s="29">
        <f>SUM(AD15:AD54)</f>
        <v>50496.369999999995</v>
      </c>
      <c r="AE14" s="29">
        <f>SUM(AE15:AE54)</f>
        <v>159260.24</v>
      </c>
      <c r="AF14" s="29">
        <f>SUM(AF15:AF51)</f>
        <v>0</v>
      </c>
      <c r="AG14" s="29">
        <f>SUM(AG15:AG54)</f>
        <v>84305.43</v>
      </c>
      <c r="AH14" s="29">
        <f>SUM(AH15:AH54)</f>
        <v>116175.06999999999</v>
      </c>
      <c r="AI14" s="29">
        <f>SUM(AI15:AI51)</f>
        <v>0</v>
      </c>
      <c r="AJ14" s="29">
        <f>SUM(AJ15:AJ54)</f>
        <v>94979.49</v>
      </c>
      <c r="AK14" s="29">
        <f>SUM(AK15:AK54)</f>
        <v>144107.38</v>
      </c>
      <c r="AL14" s="29">
        <f>SUM(AL15:AL51)</f>
        <v>0</v>
      </c>
      <c r="AM14" s="29">
        <f>SUM(AM15:AM54)</f>
        <v>74410.820000000007</v>
      </c>
      <c r="AN14" s="29">
        <f>SUM(AN15:AN54)</f>
        <v>234237.12</v>
      </c>
      <c r="AO14" s="29">
        <f>SUM(AO15:AO51)</f>
        <v>0</v>
      </c>
      <c r="AP14" s="29">
        <f>SUM(AP15:AP54)</f>
        <v>71446.399999999994</v>
      </c>
      <c r="AQ14" s="29">
        <f t="shared" ref="AQ14:BG14" si="11">SUM(AQ15:AQ51)</f>
        <v>158504.82</v>
      </c>
      <c r="AR14" s="29">
        <f t="shared" si="11"/>
        <v>0</v>
      </c>
      <c r="AS14" s="29">
        <f t="shared" si="11"/>
        <v>0</v>
      </c>
      <c r="AT14" s="29">
        <f t="shared" si="11"/>
        <v>0</v>
      </c>
      <c r="AU14" s="29">
        <f t="shared" si="11"/>
        <v>0</v>
      </c>
      <c r="AV14" s="29">
        <f t="shared" si="11"/>
        <v>0</v>
      </c>
      <c r="AW14" s="29">
        <f t="shared" si="11"/>
        <v>0</v>
      </c>
      <c r="AX14" s="29">
        <f t="shared" si="11"/>
        <v>0</v>
      </c>
      <c r="AY14" s="29">
        <f t="shared" si="11"/>
        <v>0</v>
      </c>
      <c r="AZ14" s="29">
        <f t="shared" si="11"/>
        <v>0</v>
      </c>
      <c r="BA14" s="29">
        <f t="shared" si="11"/>
        <v>0</v>
      </c>
      <c r="BB14" s="29">
        <f t="shared" si="11"/>
        <v>0</v>
      </c>
      <c r="BC14" s="29">
        <f t="shared" si="11"/>
        <v>0</v>
      </c>
      <c r="BD14" s="29">
        <f t="shared" si="11"/>
        <v>0</v>
      </c>
      <c r="BE14" s="29">
        <f t="shared" si="11"/>
        <v>0</v>
      </c>
      <c r="BF14" s="29">
        <f t="shared" si="11"/>
        <v>0</v>
      </c>
      <c r="BG14" s="29">
        <f t="shared" si="11"/>
        <v>0</v>
      </c>
      <c r="BH14" s="48"/>
      <c r="BI14" s="49"/>
      <c r="BJ14" s="49"/>
      <c r="BK14" s="49"/>
      <c r="BL14" s="49"/>
    </row>
    <row r="15" spans="1:64" ht="15.75" customHeight="1" x14ac:dyDescent="0.25">
      <c r="A15" s="50" t="s">
        <v>52</v>
      </c>
      <c r="B15" s="51" t="s">
        <v>53</v>
      </c>
      <c r="C15" s="192" t="s">
        <v>54</v>
      </c>
      <c r="D15" s="193" t="s">
        <v>55</v>
      </c>
      <c r="E15" s="35">
        <f>1366.43+19000+11614.11+15690.95+17000+17000+17000+125000</f>
        <v>223671.49</v>
      </c>
      <c r="F15" s="52">
        <v>33392.69</v>
      </c>
      <c r="G15" s="52"/>
      <c r="H15" s="53"/>
      <c r="I15" s="37">
        <f t="shared" ref="I15:K30" si="12">U15+X15+AA15+AD15+AG15+AJ15+AM15+AP15+AS15+AV15+AY15+BB15</f>
        <v>94741.680000000008</v>
      </c>
      <c r="J15" s="37">
        <f t="shared" si="12"/>
        <v>33392.69</v>
      </c>
      <c r="K15" s="37">
        <f t="shared" si="12"/>
        <v>0</v>
      </c>
      <c r="L15" s="23">
        <f t="shared" ref="L15:L42" si="13">IF(BE15=0,SUM(U15+X15+AA15+AD15+AG15+AJ15+AM15+AP15+AS15+AV15+AY15+BB15),BE15)</f>
        <v>94741.680000000008</v>
      </c>
      <c r="M15" s="23">
        <f t="shared" si="10"/>
        <v>33392.69</v>
      </c>
      <c r="N15" s="23">
        <f t="shared" si="10"/>
        <v>0</v>
      </c>
      <c r="O15" s="37">
        <f t="shared" ref="O15:P44" si="14">E15-I15</f>
        <v>128929.80999999998</v>
      </c>
      <c r="P15" s="37">
        <f t="shared" si="14"/>
        <v>0</v>
      </c>
      <c r="Q15" s="37">
        <f t="shared" ref="Q15:Q54" si="15">H15-K15</f>
        <v>0</v>
      </c>
      <c r="R15" s="39">
        <f t="shared" si="2"/>
        <v>0.42357512797004221</v>
      </c>
      <c r="S15" s="39">
        <f t="shared" si="2"/>
        <v>1</v>
      </c>
      <c r="T15" s="39" t="e">
        <f t="shared" si="3"/>
        <v>#DIV/0!</v>
      </c>
      <c r="U15" s="35"/>
      <c r="V15" s="35">
        <v>18090.669999999998</v>
      </c>
      <c r="W15" s="35"/>
      <c r="X15" s="54">
        <f>1366.43</f>
        <v>1366.43</v>
      </c>
      <c r="Y15" s="54">
        <v>15302.02</v>
      </c>
      <c r="Z15" s="35"/>
      <c r="AA15" s="35">
        <v>15086.89</v>
      </c>
      <c r="AB15" s="35"/>
      <c r="AC15" s="35"/>
      <c r="AD15" s="35">
        <f>16009.2-481.98</f>
        <v>15527.220000000001</v>
      </c>
      <c r="AE15" s="35"/>
      <c r="AF15" s="35"/>
      <c r="AG15" s="35"/>
      <c r="AH15" s="35"/>
      <c r="AI15" s="35"/>
      <c r="AJ15" s="35">
        <f>15690.95+14468.24-902.65-115.52</f>
        <v>29141.02</v>
      </c>
      <c r="AK15" s="35"/>
      <c r="AL15" s="35"/>
      <c r="AM15" s="35">
        <v>16382.32</v>
      </c>
      <c r="AN15" s="35"/>
      <c r="AO15" s="35"/>
      <c r="AP15" s="35">
        <v>17237.8</v>
      </c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40"/>
      <c r="BI15" s="41"/>
      <c r="BJ15" s="41"/>
      <c r="BK15" s="41"/>
      <c r="BL15" s="41"/>
    </row>
    <row r="16" spans="1:64" ht="15.75" customHeight="1" x14ac:dyDescent="0.25">
      <c r="A16" s="55"/>
      <c r="B16" s="51" t="s">
        <v>56</v>
      </c>
      <c r="C16" s="192" t="s">
        <v>57</v>
      </c>
      <c r="D16" s="194" t="s">
        <v>58</v>
      </c>
      <c r="E16" s="35"/>
      <c r="F16" s="52">
        <f>236.29+3000</f>
        <v>3236.29</v>
      </c>
      <c r="G16" s="52"/>
      <c r="H16" s="53"/>
      <c r="I16" s="37">
        <f t="shared" si="12"/>
        <v>0</v>
      </c>
      <c r="J16" s="37">
        <f t="shared" si="12"/>
        <v>471.95000000000005</v>
      </c>
      <c r="K16" s="37">
        <f t="shared" si="12"/>
        <v>0</v>
      </c>
      <c r="L16" s="23">
        <f t="shared" si="13"/>
        <v>0</v>
      </c>
      <c r="M16" s="23">
        <f t="shared" si="10"/>
        <v>471.95000000000005</v>
      </c>
      <c r="N16" s="23">
        <f t="shared" si="10"/>
        <v>0</v>
      </c>
      <c r="O16" s="37">
        <f t="shared" si="14"/>
        <v>0</v>
      </c>
      <c r="P16" s="37">
        <f t="shared" si="14"/>
        <v>2764.34</v>
      </c>
      <c r="Q16" s="37">
        <f t="shared" si="15"/>
        <v>0</v>
      </c>
      <c r="R16" s="39" t="e">
        <f t="shared" si="2"/>
        <v>#DIV/0!</v>
      </c>
      <c r="S16" s="39">
        <f t="shared" si="2"/>
        <v>0.14583056524600702</v>
      </c>
      <c r="T16" s="39" t="e">
        <f t="shared" si="3"/>
        <v>#DIV/0!</v>
      </c>
      <c r="U16" s="35"/>
      <c r="V16" s="35">
        <v>15.55</v>
      </c>
      <c r="W16" s="35"/>
      <c r="X16" s="54"/>
      <c r="Y16" s="54">
        <f>0.31+27.85</f>
        <v>28.16</v>
      </c>
      <c r="Z16" s="35"/>
      <c r="AA16" s="35"/>
      <c r="AB16" s="35">
        <f>122.06</f>
        <v>122.06</v>
      </c>
      <c r="AC16" s="35"/>
      <c r="AD16" s="35"/>
      <c r="AE16" s="35"/>
      <c r="AF16" s="35"/>
      <c r="AG16" s="35"/>
      <c r="AH16" s="35"/>
      <c r="AI16" s="35"/>
      <c r="AJ16" s="35"/>
      <c r="AK16" s="35">
        <f>205.45</f>
        <v>205.45</v>
      </c>
      <c r="AL16" s="35"/>
      <c r="AM16" s="35"/>
      <c r="AN16" s="35"/>
      <c r="AO16" s="35"/>
      <c r="AP16" s="35"/>
      <c r="AQ16" s="35">
        <v>100.73</v>
      </c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40"/>
      <c r="BI16" s="41"/>
      <c r="BJ16" s="41"/>
      <c r="BK16" s="41"/>
      <c r="BL16" s="41"/>
    </row>
    <row r="17" spans="1:64" ht="15.75" customHeight="1" x14ac:dyDescent="0.25">
      <c r="A17" s="55" t="s">
        <v>59</v>
      </c>
      <c r="B17" s="51" t="s">
        <v>60</v>
      </c>
      <c r="C17" s="192" t="s">
        <v>61</v>
      </c>
      <c r="D17" s="194" t="s">
        <v>62</v>
      </c>
      <c r="E17" s="35">
        <f>21932.34+21932.34+21932.34+21932.34+21932.34+21932.34+43864.68</f>
        <v>175458.72</v>
      </c>
      <c r="F17" s="52">
        <v>43864.68</v>
      </c>
      <c r="G17" s="52"/>
      <c r="H17" s="53"/>
      <c r="I17" s="37">
        <f t="shared" si="12"/>
        <v>131594.04</v>
      </c>
      <c r="J17" s="37">
        <f t="shared" si="12"/>
        <v>43864.68</v>
      </c>
      <c r="K17" s="37">
        <f t="shared" si="12"/>
        <v>0</v>
      </c>
      <c r="L17" s="23">
        <f t="shared" si="13"/>
        <v>131594.04</v>
      </c>
      <c r="M17" s="23">
        <f t="shared" si="10"/>
        <v>43864.68</v>
      </c>
      <c r="N17" s="23">
        <f t="shared" si="10"/>
        <v>0</v>
      </c>
      <c r="O17" s="37">
        <f t="shared" si="14"/>
        <v>43864.679999999993</v>
      </c>
      <c r="P17" s="37">
        <f t="shared" si="14"/>
        <v>0</v>
      </c>
      <c r="Q17" s="37">
        <f t="shared" si="15"/>
        <v>0</v>
      </c>
      <c r="R17" s="39">
        <f t="shared" si="2"/>
        <v>0.75</v>
      </c>
      <c r="S17" s="39">
        <f t="shared" si="2"/>
        <v>1</v>
      </c>
      <c r="T17" s="39" t="e">
        <f t="shared" si="3"/>
        <v>#DIV/0!</v>
      </c>
      <c r="U17" s="35"/>
      <c r="V17" s="35">
        <v>21932.34</v>
      </c>
      <c r="W17" s="35"/>
      <c r="X17" s="54"/>
      <c r="Y17" s="54">
        <f>43864.68-V17</f>
        <v>21932.34</v>
      </c>
      <c r="Z17" s="35"/>
      <c r="AA17" s="35">
        <v>21932.34</v>
      </c>
      <c r="AB17" s="35"/>
      <c r="AC17" s="35"/>
      <c r="AD17" s="35">
        <v>21932.34</v>
      </c>
      <c r="AE17" s="35"/>
      <c r="AF17" s="35"/>
      <c r="AG17" s="35">
        <f>21932.34</f>
        <v>21932.34</v>
      </c>
      <c r="AH17" s="35"/>
      <c r="AI17" s="35"/>
      <c r="AJ17" s="35">
        <f>21932.34</f>
        <v>21932.34</v>
      </c>
      <c r="AK17" s="35"/>
      <c r="AL17" s="35"/>
      <c r="AM17" s="35">
        <v>21932.34</v>
      </c>
      <c r="AN17" s="35"/>
      <c r="AO17" s="35"/>
      <c r="AP17" s="35">
        <v>21932.34</v>
      </c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40"/>
      <c r="BI17" s="41"/>
      <c r="BJ17" s="41"/>
      <c r="BK17" s="41"/>
      <c r="BL17" s="41"/>
    </row>
    <row r="18" spans="1:64" ht="15.75" hidden="1" customHeight="1" x14ac:dyDescent="0.25">
      <c r="A18" s="55"/>
      <c r="B18" s="51"/>
      <c r="C18" s="192" t="s">
        <v>63</v>
      </c>
      <c r="D18" s="195" t="s">
        <v>64</v>
      </c>
      <c r="E18" s="35"/>
      <c r="F18" s="52"/>
      <c r="G18" s="52"/>
      <c r="H18" s="53"/>
      <c r="I18" s="37">
        <f t="shared" si="12"/>
        <v>0</v>
      </c>
      <c r="J18" s="37">
        <f t="shared" si="12"/>
        <v>0</v>
      </c>
      <c r="K18" s="37">
        <f t="shared" si="12"/>
        <v>0</v>
      </c>
      <c r="L18" s="23">
        <f t="shared" si="13"/>
        <v>0</v>
      </c>
      <c r="M18" s="23">
        <f t="shared" si="10"/>
        <v>0</v>
      </c>
      <c r="N18" s="23">
        <f t="shared" si="10"/>
        <v>0</v>
      </c>
      <c r="O18" s="37">
        <f t="shared" si="14"/>
        <v>0</v>
      </c>
      <c r="P18" s="37">
        <f t="shared" si="14"/>
        <v>0</v>
      </c>
      <c r="Q18" s="37">
        <f t="shared" si="15"/>
        <v>0</v>
      </c>
      <c r="R18" s="39" t="e">
        <f t="shared" si="2"/>
        <v>#DIV/0!</v>
      </c>
      <c r="S18" s="39" t="e">
        <f t="shared" si="2"/>
        <v>#DIV/0!</v>
      </c>
      <c r="T18" s="39" t="e">
        <f t="shared" si="3"/>
        <v>#DIV/0!</v>
      </c>
      <c r="U18" s="35"/>
      <c r="V18" s="35"/>
      <c r="W18" s="35"/>
      <c r="X18" s="54"/>
      <c r="Y18" s="54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40"/>
      <c r="BI18" s="41"/>
      <c r="BJ18" s="41"/>
      <c r="BK18" s="41"/>
      <c r="BL18" s="41"/>
    </row>
    <row r="19" spans="1:64" ht="15.75" hidden="1" customHeight="1" x14ac:dyDescent="0.25">
      <c r="A19" s="56"/>
      <c r="B19" s="51"/>
      <c r="C19" s="192" t="s">
        <v>65</v>
      </c>
      <c r="D19" s="195" t="s">
        <v>66</v>
      </c>
      <c r="E19" s="35"/>
      <c r="F19" s="52"/>
      <c r="G19" s="52"/>
      <c r="H19" s="53"/>
      <c r="I19" s="37">
        <f t="shared" si="12"/>
        <v>0</v>
      </c>
      <c r="J19" s="37">
        <f t="shared" si="12"/>
        <v>0</v>
      </c>
      <c r="K19" s="37">
        <f t="shared" si="12"/>
        <v>0</v>
      </c>
      <c r="L19" s="23">
        <f t="shared" si="13"/>
        <v>0</v>
      </c>
      <c r="M19" s="23">
        <f t="shared" si="10"/>
        <v>0</v>
      </c>
      <c r="N19" s="23">
        <f t="shared" si="10"/>
        <v>0</v>
      </c>
      <c r="O19" s="37">
        <f t="shared" si="14"/>
        <v>0</v>
      </c>
      <c r="P19" s="37">
        <f t="shared" si="14"/>
        <v>0</v>
      </c>
      <c r="Q19" s="37">
        <f t="shared" si="15"/>
        <v>0</v>
      </c>
      <c r="R19" s="39" t="e">
        <f t="shared" ref="R19:S49" si="16">I19/E19</f>
        <v>#DIV/0!</v>
      </c>
      <c r="S19" s="39" t="e">
        <f t="shared" si="16"/>
        <v>#DIV/0!</v>
      </c>
      <c r="T19" s="39" t="e">
        <f t="shared" si="3"/>
        <v>#DIV/0!</v>
      </c>
      <c r="U19" s="35"/>
      <c r="V19" s="35"/>
      <c r="W19" s="35"/>
      <c r="X19" s="54"/>
      <c r="Y19" s="54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40"/>
      <c r="BI19" s="41"/>
      <c r="BJ19" s="41"/>
      <c r="BK19" s="41"/>
      <c r="BL19" s="41"/>
    </row>
    <row r="20" spans="1:64" ht="15.75" customHeight="1" x14ac:dyDescent="0.25">
      <c r="A20" s="55" t="s">
        <v>67</v>
      </c>
      <c r="B20" s="51" t="s">
        <v>68</v>
      </c>
      <c r="C20" s="192" t="s">
        <v>69</v>
      </c>
      <c r="D20" s="194" t="s">
        <v>70</v>
      </c>
      <c r="E20" s="35">
        <f>10747.76+19190.52+22508.68+20020.06+20020.06+20020.06+200200.6</f>
        <v>312707.74</v>
      </c>
      <c r="F20" s="52">
        <v>38381.040000000001</v>
      </c>
      <c r="G20" s="52"/>
      <c r="H20" s="53"/>
      <c r="I20" s="37">
        <f>U20+X20+AA20+AD20+AG20+AJ20+AM20+AP20+AS20+AV20+AY20+BB20</f>
        <v>112507.14</v>
      </c>
      <c r="J20" s="37">
        <f>V20+Y20+AE20+AK20+AN20+AQ20+AT20+AW20+AZ20+BC20</f>
        <v>38381.040000000001</v>
      </c>
      <c r="K20" s="37">
        <f>W20+Z20+AC20+AF20+AI20+AL20+AO20+AR20+AU20+AX20+BA20+BD20</f>
        <v>0</v>
      </c>
      <c r="L20" s="23">
        <f>IF(BE20=0,SUM(U20+X20+AA20+AD20+AG20+AJ20+AM20+AP20+AS20+AV20+AY20+BB20),BE20)</f>
        <v>112507.14</v>
      </c>
      <c r="M20" s="23">
        <f>IF(BF20=0,SUM(V20+Y20+AE20+AK20+AN20+AQ20+AT20+AW20+AZ20+BC20),BF20)</f>
        <v>38381.040000000001</v>
      </c>
      <c r="N20" s="23">
        <f t="shared" si="10"/>
        <v>0</v>
      </c>
      <c r="O20" s="37">
        <f t="shared" si="14"/>
        <v>200200.59999999998</v>
      </c>
      <c r="P20" s="37">
        <f t="shared" si="14"/>
        <v>0</v>
      </c>
      <c r="Q20" s="37">
        <f t="shared" si="15"/>
        <v>0</v>
      </c>
      <c r="R20" s="39">
        <f t="shared" si="16"/>
        <v>0.35978367532572109</v>
      </c>
      <c r="S20" s="39">
        <f t="shared" si="16"/>
        <v>1</v>
      </c>
      <c r="T20" s="39" t="e">
        <f t="shared" si="3"/>
        <v>#DIV/0!</v>
      </c>
      <c r="U20" s="35"/>
      <c r="V20" s="35">
        <f>19190.52</f>
        <v>19190.52</v>
      </c>
      <c r="W20" s="57"/>
      <c r="X20" s="54"/>
      <c r="Y20" s="54">
        <v>19190.52</v>
      </c>
      <c r="Z20" s="35"/>
      <c r="AA20" s="35">
        <v>10747.76</v>
      </c>
      <c r="AB20" s="35"/>
      <c r="AC20" s="35"/>
      <c r="AD20" s="35">
        <v>0</v>
      </c>
      <c r="AE20" s="35"/>
      <c r="AF20" s="35"/>
      <c r="AG20" s="35">
        <f>19190.52+22508.68</f>
        <v>41699.199999999997</v>
      </c>
      <c r="AH20" s="58"/>
      <c r="AI20" s="35"/>
      <c r="AJ20" s="35">
        <f>20020.06</f>
        <v>20020.060000000001</v>
      </c>
      <c r="AK20" s="35"/>
      <c r="AL20" s="35"/>
      <c r="AM20" s="35">
        <v>20020.060000000001</v>
      </c>
      <c r="AN20" s="35"/>
      <c r="AO20" s="35"/>
      <c r="AP20" s="35">
        <v>20020.060000000001</v>
      </c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40"/>
      <c r="BI20" s="41"/>
      <c r="BJ20" s="41"/>
      <c r="BK20" s="41"/>
      <c r="BL20" s="41"/>
    </row>
    <row r="21" spans="1:64" ht="15.75" x14ac:dyDescent="0.25">
      <c r="A21" s="55" t="s">
        <v>71</v>
      </c>
      <c r="B21" s="51" t="s">
        <v>72</v>
      </c>
      <c r="C21" s="192" t="s">
        <v>73</v>
      </c>
      <c r="D21" s="191" t="s">
        <v>74</v>
      </c>
      <c r="E21" s="35">
        <f>3269.52+3269.52+3902.04+3427.65+3427.65+3427.65+17138.25</f>
        <v>37862.28</v>
      </c>
      <c r="F21" s="52">
        <v>6539.04</v>
      </c>
      <c r="G21" s="52"/>
      <c r="H21" s="53"/>
      <c r="I21" s="37">
        <f t="shared" si="12"/>
        <v>20724.030000000002</v>
      </c>
      <c r="J21" s="37">
        <f>V21+Y21+AB21+AE21+AH21+AK21+AN21+AQ21+AT21+AW21+AZ21+BC21</f>
        <v>6539.04</v>
      </c>
      <c r="K21" s="37">
        <f t="shared" ref="I21:K45" si="17">W21+Z21+AC21+AF21+AI21+AL21+AO21+AR21+AU21+AX21+BA21+BD21</f>
        <v>0</v>
      </c>
      <c r="L21" s="23">
        <f t="shared" si="13"/>
        <v>20724.030000000002</v>
      </c>
      <c r="M21" s="23">
        <f>IF(BF21=0,SUM(V21+Y21+AA21+AE21+AH21+AK21+AN21+AQ21+AT21+AW21+AZ21+BC21),BF21)</f>
        <v>9808.56</v>
      </c>
      <c r="N21" s="23">
        <f t="shared" si="10"/>
        <v>0</v>
      </c>
      <c r="O21" s="37">
        <f t="shared" si="14"/>
        <v>17138.249999999996</v>
      </c>
      <c r="P21" s="37">
        <f>F21-J21</f>
        <v>0</v>
      </c>
      <c r="Q21" s="37">
        <f t="shared" si="15"/>
        <v>0</v>
      </c>
      <c r="R21" s="39">
        <f t="shared" si="16"/>
        <v>0.54735293278693209</v>
      </c>
      <c r="S21" s="39">
        <f t="shared" si="16"/>
        <v>1</v>
      </c>
      <c r="T21" s="39" t="e">
        <f t="shared" si="3"/>
        <v>#DIV/0!</v>
      </c>
      <c r="U21" s="35"/>
      <c r="V21" s="35">
        <v>3269.52</v>
      </c>
      <c r="W21" s="35"/>
      <c r="X21" s="54"/>
      <c r="Y21" s="54">
        <v>3269.52</v>
      </c>
      <c r="Z21" s="35"/>
      <c r="AA21" s="35">
        <v>3269.52</v>
      </c>
      <c r="AB21" s="58"/>
      <c r="AC21" s="35"/>
      <c r="AD21" s="35">
        <v>3269.52</v>
      </c>
      <c r="AE21" s="35"/>
      <c r="AF21" s="35"/>
      <c r="AG21" s="35">
        <f>3902.04</f>
        <v>3902.04</v>
      </c>
      <c r="AH21" s="35"/>
      <c r="AI21" s="35"/>
      <c r="AJ21" s="35">
        <v>3427.65</v>
      </c>
      <c r="AK21" s="35"/>
      <c r="AL21" s="35"/>
      <c r="AM21" s="35">
        <v>3427.65</v>
      </c>
      <c r="AN21" s="35"/>
      <c r="AO21" s="35"/>
      <c r="AP21" s="35">
        <v>3427.65</v>
      </c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40"/>
      <c r="BI21" s="41"/>
      <c r="BJ21" s="41"/>
      <c r="BK21" s="41"/>
      <c r="BL21" s="41"/>
    </row>
    <row r="22" spans="1:64" ht="15.75" customHeight="1" x14ac:dyDescent="0.25">
      <c r="A22" s="56" t="s">
        <v>75</v>
      </c>
      <c r="B22" s="51" t="s">
        <v>76</v>
      </c>
      <c r="C22" s="192" t="s">
        <v>77</v>
      </c>
      <c r="D22" s="191" t="s">
        <v>78</v>
      </c>
      <c r="E22" s="35">
        <v>170.69</v>
      </c>
      <c r="F22" s="52">
        <v>1870.11</v>
      </c>
      <c r="G22" s="52"/>
      <c r="H22" s="53"/>
      <c r="I22" s="37">
        <f t="shared" si="12"/>
        <v>0</v>
      </c>
      <c r="J22" s="37">
        <f t="shared" si="12"/>
        <v>0</v>
      </c>
      <c r="K22" s="37">
        <f t="shared" si="17"/>
        <v>0</v>
      </c>
      <c r="L22" s="23">
        <f t="shared" si="13"/>
        <v>0</v>
      </c>
      <c r="M22" s="23">
        <f t="shared" si="10"/>
        <v>0</v>
      </c>
      <c r="N22" s="23">
        <f t="shared" si="10"/>
        <v>0</v>
      </c>
      <c r="O22" s="37">
        <f t="shared" si="14"/>
        <v>170.69</v>
      </c>
      <c r="P22" s="37">
        <f t="shared" si="14"/>
        <v>1870.11</v>
      </c>
      <c r="Q22" s="37">
        <f t="shared" si="15"/>
        <v>0</v>
      </c>
      <c r="R22" s="39">
        <f t="shared" si="16"/>
        <v>0</v>
      </c>
      <c r="S22" s="39">
        <f t="shared" si="16"/>
        <v>0</v>
      </c>
      <c r="T22" s="39" t="e">
        <f t="shared" si="3"/>
        <v>#DIV/0!</v>
      </c>
      <c r="U22" s="35"/>
      <c r="V22" s="35"/>
      <c r="W22" s="35"/>
      <c r="X22" s="54"/>
      <c r="Y22" s="54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40"/>
      <c r="BI22" s="41"/>
      <c r="BJ22" s="41"/>
      <c r="BK22" s="41"/>
      <c r="BL22" s="41"/>
    </row>
    <row r="23" spans="1:64" ht="15.75" customHeight="1" x14ac:dyDescent="0.25">
      <c r="A23" s="56" t="s">
        <v>79</v>
      </c>
      <c r="B23" s="51" t="s">
        <v>80</v>
      </c>
      <c r="C23" s="192" t="s">
        <v>73</v>
      </c>
      <c r="D23" s="194" t="s">
        <v>81</v>
      </c>
      <c r="E23" s="35">
        <f>3725.61+3725.61+3725.61+3725.61+3725.61+3725.61+18628.05</f>
        <v>40981.71</v>
      </c>
      <c r="F23" s="52">
        <v>11176.83</v>
      </c>
      <c r="G23" s="52"/>
      <c r="H23" s="53"/>
      <c r="I23" s="37">
        <f>U23+X23+AA23+AD23+AG23+AJ23+AM23+AP23+AS23+AV23+AY23+BB23</f>
        <v>22353.66</v>
      </c>
      <c r="J23" s="37">
        <f>V23+Y23+AB23+AE23+AH23+AK23+AN23+AQ23+AT23+AW23+AZ23+BC23</f>
        <v>11176.83</v>
      </c>
      <c r="K23" s="37">
        <f t="shared" si="17"/>
        <v>0</v>
      </c>
      <c r="L23" s="23">
        <f t="shared" si="13"/>
        <v>22353.66</v>
      </c>
      <c r="M23" s="23">
        <f>IF(BF23=0,SUM(V23+Y23+AA23+AE23+AH23+AK23+AN23+AQ23+AT23+AW23+AZ23+BC23),BF23)</f>
        <v>7451.22</v>
      </c>
      <c r="N23" s="23">
        <f t="shared" si="10"/>
        <v>0</v>
      </c>
      <c r="O23" s="37">
        <f t="shared" si="14"/>
        <v>18628.05</v>
      </c>
      <c r="P23" s="37">
        <f t="shared" si="14"/>
        <v>0</v>
      </c>
      <c r="Q23" s="37">
        <f t="shared" si="15"/>
        <v>0</v>
      </c>
      <c r="R23" s="39">
        <f t="shared" si="16"/>
        <v>0.54545454545454541</v>
      </c>
      <c r="S23" s="39">
        <f t="shared" si="16"/>
        <v>1</v>
      </c>
      <c r="T23" s="39" t="e">
        <f t="shared" si="3"/>
        <v>#DIV/0!</v>
      </c>
      <c r="U23" s="35"/>
      <c r="V23" s="35">
        <f>3725.61+3725.61</f>
        <v>7451.22</v>
      </c>
      <c r="W23" s="35"/>
      <c r="X23" s="54"/>
      <c r="Y23" s="54"/>
      <c r="Z23" s="35"/>
      <c r="AA23" s="35"/>
      <c r="AB23" s="35">
        <v>3725.61</v>
      </c>
      <c r="AC23" s="35"/>
      <c r="AD23" s="35">
        <v>3725.61</v>
      </c>
      <c r="AE23" s="35"/>
      <c r="AF23" s="35"/>
      <c r="AG23" s="35">
        <f>3725.61+3725.61</f>
        <v>7451.22</v>
      </c>
      <c r="AH23" s="35"/>
      <c r="AI23" s="35"/>
      <c r="AJ23" s="35">
        <v>3725.61</v>
      </c>
      <c r="AK23" s="35"/>
      <c r="AL23" s="35"/>
      <c r="AM23" s="35">
        <v>3725.61</v>
      </c>
      <c r="AN23" s="35"/>
      <c r="AO23" s="35"/>
      <c r="AP23" s="35">
        <v>3725.61</v>
      </c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40"/>
      <c r="BI23" s="41"/>
      <c r="BJ23" s="41"/>
      <c r="BK23" s="41"/>
      <c r="BL23" s="41"/>
    </row>
    <row r="24" spans="1:64" ht="15.75" x14ac:dyDescent="0.25">
      <c r="A24" s="55" t="s">
        <v>82</v>
      </c>
      <c r="B24" s="51" t="s">
        <v>83</v>
      </c>
      <c r="C24" s="192" t="s">
        <v>73</v>
      </c>
      <c r="D24" s="194" t="s">
        <v>84</v>
      </c>
      <c r="E24" s="35">
        <f>3176.78+3133.1+3133.1+3133.1+3133.1+3133.1+15655.5</f>
        <v>34497.78</v>
      </c>
      <c r="F24" s="52">
        <v>6199</v>
      </c>
      <c r="G24" s="52"/>
      <c r="H24" s="53"/>
      <c r="I24" s="37">
        <f t="shared" si="12"/>
        <v>18842.28</v>
      </c>
      <c r="J24" s="37">
        <f>V24+Y24+AB24+AE24+AH24+AK24+AN24+AQ24+AT24+AW24+AZ24+BC24</f>
        <v>6199</v>
      </c>
      <c r="K24" s="37">
        <f t="shared" si="17"/>
        <v>0</v>
      </c>
      <c r="L24" s="23">
        <f t="shared" si="13"/>
        <v>18842.28</v>
      </c>
      <c r="M24" s="23">
        <f>IF(BF24=0,SUM(V24+Y24+AA24+AE24+AH24+AK24+AN24+AQ24+AT24+AW24+AZ24+BC24),BF24)</f>
        <v>9375.7800000000007</v>
      </c>
      <c r="N24" s="23">
        <f t="shared" si="10"/>
        <v>0</v>
      </c>
      <c r="O24" s="37">
        <f t="shared" si="14"/>
        <v>15655.5</v>
      </c>
      <c r="P24" s="37">
        <f t="shared" si="14"/>
        <v>0</v>
      </c>
      <c r="Q24" s="37">
        <f t="shared" si="15"/>
        <v>0</v>
      </c>
      <c r="R24" s="39">
        <f t="shared" si="16"/>
        <v>0.54618818950088965</v>
      </c>
      <c r="S24" s="39">
        <f t="shared" si="16"/>
        <v>1</v>
      </c>
      <c r="T24" s="39" t="e">
        <f t="shared" si="3"/>
        <v>#DIV/0!</v>
      </c>
      <c r="U24" s="35"/>
      <c r="V24" s="35">
        <v>3099.5</v>
      </c>
      <c r="W24" s="35"/>
      <c r="X24" s="54"/>
      <c r="Y24" s="54">
        <v>3099.5</v>
      </c>
      <c r="Z24" s="35"/>
      <c r="AA24" s="35">
        <v>3176.78</v>
      </c>
      <c r="AB24" s="59"/>
      <c r="AC24" s="60"/>
      <c r="AD24" s="35">
        <v>3133.1</v>
      </c>
      <c r="AE24" s="60"/>
      <c r="AF24" s="60"/>
      <c r="AG24" s="35">
        <v>3133.1</v>
      </c>
      <c r="AH24" s="60"/>
      <c r="AI24" s="60"/>
      <c r="AJ24" s="35">
        <v>3133.1</v>
      </c>
      <c r="AK24" s="35"/>
      <c r="AL24" s="35"/>
      <c r="AM24" s="35">
        <v>3133.1</v>
      </c>
      <c r="AN24" s="35"/>
      <c r="AO24" s="35"/>
      <c r="AP24" s="35">
        <v>3133.1</v>
      </c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40"/>
      <c r="BI24" s="41"/>
      <c r="BJ24" s="41"/>
      <c r="BK24" s="41"/>
      <c r="BL24" s="41"/>
    </row>
    <row r="25" spans="1:64" ht="15.75" customHeight="1" x14ac:dyDescent="0.25">
      <c r="A25" s="50"/>
      <c r="B25" s="51" t="s">
        <v>85</v>
      </c>
      <c r="C25" s="192" t="s">
        <v>86</v>
      </c>
      <c r="D25" s="191" t="s">
        <v>87</v>
      </c>
      <c r="E25" s="35"/>
      <c r="F25" s="52">
        <v>5047.3999999999996</v>
      </c>
      <c r="G25" s="52"/>
      <c r="H25" s="53"/>
      <c r="I25" s="37">
        <f t="shared" si="12"/>
        <v>0</v>
      </c>
      <c r="J25" s="37">
        <f t="shared" si="12"/>
        <v>5047.3999999999996</v>
      </c>
      <c r="K25" s="37">
        <f t="shared" si="17"/>
        <v>0</v>
      </c>
      <c r="L25" s="23">
        <f t="shared" si="13"/>
        <v>0</v>
      </c>
      <c r="M25" s="23">
        <f t="shared" si="10"/>
        <v>5047.3999999999996</v>
      </c>
      <c r="N25" s="23">
        <f t="shared" si="10"/>
        <v>0</v>
      </c>
      <c r="O25" s="37">
        <f t="shared" si="14"/>
        <v>0</v>
      </c>
      <c r="P25" s="37">
        <f t="shared" si="14"/>
        <v>0</v>
      </c>
      <c r="Q25" s="37">
        <f t="shared" si="15"/>
        <v>0</v>
      </c>
      <c r="R25" s="39" t="e">
        <f t="shared" si="16"/>
        <v>#DIV/0!</v>
      </c>
      <c r="S25" s="39">
        <f t="shared" si="16"/>
        <v>1</v>
      </c>
      <c r="T25" s="39" t="e">
        <f t="shared" si="3"/>
        <v>#DIV/0!</v>
      </c>
      <c r="U25" s="35"/>
      <c r="V25" s="35"/>
      <c r="W25" s="35"/>
      <c r="X25" s="54"/>
      <c r="Y25" s="54"/>
      <c r="Z25" s="35"/>
      <c r="AA25" s="35"/>
      <c r="AB25" s="35"/>
      <c r="AC25" s="35"/>
      <c r="AD25" s="35"/>
      <c r="AE25" s="35">
        <v>5047.3999999999996</v>
      </c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40"/>
      <c r="BI25" s="41"/>
      <c r="BJ25" s="41"/>
      <c r="BK25" s="41"/>
      <c r="BL25" s="41"/>
    </row>
    <row r="26" spans="1:64" ht="15.75" customHeight="1" x14ac:dyDescent="0.25">
      <c r="A26" s="50" t="s">
        <v>88</v>
      </c>
      <c r="B26" s="51"/>
      <c r="C26" s="192" t="s">
        <v>89</v>
      </c>
      <c r="D26" s="194" t="s">
        <v>90</v>
      </c>
      <c r="E26" s="35">
        <v>2235.71</v>
      </c>
      <c r="F26" s="52"/>
      <c r="G26" s="52"/>
      <c r="H26" s="53"/>
      <c r="I26" s="37">
        <f t="shared" si="12"/>
        <v>2235.71</v>
      </c>
      <c r="J26" s="37">
        <f t="shared" si="12"/>
        <v>0</v>
      </c>
      <c r="K26" s="37">
        <f t="shared" si="17"/>
        <v>0</v>
      </c>
      <c r="L26" s="23">
        <f t="shared" si="13"/>
        <v>2235.71</v>
      </c>
      <c r="M26" s="23">
        <f t="shared" si="10"/>
        <v>0</v>
      </c>
      <c r="N26" s="23">
        <f t="shared" si="10"/>
        <v>0</v>
      </c>
      <c r="O26" s="37">
        <f t="shared" si="14"/>
        <v>0</v>
      </c>
      <c r="P26" s="37">
        <f t="shared" si="14"/>
        <v>0</v>
      </c>
      <c r="Q26" s="37">
        <f t="shared" si="15"/>
        <v>0</v>
      </c>
      <c r="R26" s="39">
        <f t="shared" si="16"/>
        <v>1</v>
      </c>
      <c r="S26" s="39" t="e">
        <f t="shared" si="16"/>
        <v>#DIV/0!</v>
      </c>
      <c r="T26" s="39" t="e">
        <f t="shared" si="3"/>
        <v>#DIV/0!</v>
      </c>
      <c r="U26" s="35"/>
      <c r="V26" s="35"/>
      <c r="W26" s="35"/>
      <c r="X26" s="54"/>
      <c r="Y26" s="54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>
        <v>2235.71</v>
      </c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40"/>
      <c r="BI26" s="41"/>
      <c r="BJ26" s="41"/>
      <c r="BK26" s="41"/>
      <c r="BL26" s="41"/>
    </row>
    <row r="27" spans="1:64" ht="15.75" hidden="1" customHeight="1" x14ac:dyDescent="0.25">
      <c r="A27" s="50"/>
      <c r="B27" s="51"/>
      <c r="C27" s="192" t="s">
        <v>91</v>
      </c>
      <c r="D27" s="191" t="s">
        <v>92</v>
      </c>
      <c r="E27" s="35"/>
      <c r="F27" s="52"/>
      <c r="G27" s="52"/>
      <c r="H27" s="53"/>
      <c r="I27" s="37">
        <f t="shared" si="12"/>
        <v>0</v>
      </c>
      <c r="J27" s="37">
        <f t="shared" si="12"/>
        <v>0</v>
      </c>
      <c r="K27" s="37">
        <f t="shared" si="17"/>
        <v>0</v>
      </c>
      <c r="L27" s="23">
        <f t="shared" si="13"/>
        <v>0</v>
      </c>
      <c r="M27" s="23">
        <f t="shared" si="10"/>
        <v>0</v>
      </c>
      <c r="N27" s="23">
        <f t="shared" si="10"/>
        <v>0</v>
      </c>
      <c r="O27" s="37">
        <f t="shared" si="14"/>
        <v>0</v>
      </c>
      <c r="P27" s="37">
        <f t="shared" si="14"/>
        <v>0</v>
      </c>
      <c r="Q27" s="37">
        <f t="shared" si="15"/>
        <v>0</v>
      </c>
      <c r="R27" s="39" t="e">
        <f t="shared" si="16"/>
        <v>#DIV/0!</v>
      </c>
      <c r="S27" s="39" t="e">
        <f t="shared" si="16"/>
        <v>#DIV/0!</v>
      </c>
      <c r="T27" s="39" t="e">
        <f t="shared" si="3"/>
        <v>#DIV/0!</v>
      </c>
      <c r="U27" s="35"/>
      <c r="V27" s="35"/>
      <c r="W27" s="35"/>
      <c r="X27" s="54"/>
      <c r="Y27" s="54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40"/>
      <c r="BI27" s="41"/>
      <c r="BJ27" s="41"/>
      <c r="BK27" s="41"/>
      <c r="BL27" s="41"/>
    </row>
    <row r="28" spans="1:64" ht="15.75" hidden="1" customHeight="1" x14ac:dyDescent="0.25">
      <c r="A28" s="50"/>
      <c r="B28" s="51"/>
      <c r="C28" s="192" t="s">
        <v>86</v>
      </c>
      <c r="D28" s="191" t="s">
        <v>93</v>
      </c>
      <c r="E28" s="35"/>
      <c r="F28" s="52"/>
      <c r="G28" s="52"/>
      <c r="H28" s="53"/>
      <c r="I28" s="37">
        <f t="shared" si="12"/>
        <v>0</v>
      </c>
      <c r="J28" s="37">
        <f t="shared" si="12"/>
        <v>0</v>
      </c>
      <c r="K28" s="37">
        <f t="shared" si="17"/>
        <v>0</v>
      </c>
      <c r="L28" s="23">
        <f t="shared" si="13"/>
        <v>0</v>
      </c>
      <c r="M28" s="23">
        <f t="shared" si="10"/>
        <v>0</v>
      </c>
      <c r="N28" s="23">
        <f t="shared" si="10"/>
        <v>0</v>
      </c>
      <c r="O28" s="37">
        <f t="shared" si="14"/>
        <v>0</v>
      </c>
      <c r="P28" s="37">
        <f t="shared" si="14"/>
        <v>0</v>
      </c>
      <c r="Q28" s="37">
        <f t="shared" si="15"/>
        <v>0</v>
      </c>
      <c r="R28" s="39" t="e">
        <f t="shared" si="16"/>
        <v>#DIV/0!</v>
      </c>
      <c r="S28" s="39" t="e">
        <f t="shared" si="16"/>
        <v>#DIV/0!</v>
      </c>
      <c r="T28" s="39" t="e">
        <f t="shared" si="3"/>
        <v>#DIV/0!</v>
      </c>
      <c r="U28" s="35"/>
      <c r="V28" s="35"/>
      <c r="W28" s="35"/>
      <c r="X28" s="54"/>
      <c r="Y28" s="54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40"/>
      <c r="BI28" s="41"/>
      <c r="BJ28" s="41"/>
      <c r="BK28" s="41"/>
      <c r="BL28" s="41"/>
    </row>
    <row r="29" spans="1:64" ht="15.75" customHeight="1" x14ac:dyDescent="0.25">
      <c r="A29" s="55"/>
      <c r="B29" s="51" t="s">
        <v>94</v>
      </c>
      <c r="C29" s="192" t="s">
        <v>89</v>
      </c>
      <c r="D29" s="191" t="s">
        <v>95</v>
      </c>
      <c r="E29" s="35"/>
      <c r="F29" s="52">
        <v>1800</v>
      </c>
      <c r="G29" s="52"/>
      <c r="H29" s="53"/>
      <c r="I29" s="37">
        <f t="shared" si="12"/>
        <v>0</v>
      </c>
      <c r="J29" s="37">
        <f t="shared" si="12"/>
        <v>1800</v>
      </c>
      <c r="K29" s="37">
        <f t="shared" si="17"/>
        <v>0</v>
      </c>
      <c r="L29" s="23">
        <f t="shared" si="13"/>
        <v>0</v>
      </c>
      <c r="M29" s="23">
        <f t="shared" si="10"/>
        <v>1800</v>
      </c>
      <c r="N29" s="23">
        <f t="shared" si="10"/>
        <v>0</v>
      </c>
      <c r="O29" s="37">
        <f t="shared" si="14"/>
        <v>0</v>
      </c>
      <c r="P29" s="37">
        <f t="shared" si="14"/>
        <v>0</v>
      </c>
      <c r="Q29" s="37">
        <f t="shared" si="15"/>
        <v>0</v>
      </c>
      <c r="R29" s="39" t="e">
        <f t="shared" si="16"/>
        <v>#DIV/0!</v>
      </c>
      <c r="S29" s="39">
        <f t="shared" si="16"/>
        <v>1</v>
      </c>
      <c r="T29" s="39" t="e">
        <f t="shared" si="3"/>
        <v>#DIV/0!</v>
      </c>
      <c r="U29" s="35"/>
      <c r="V29" s="61">
        <v>1800</v>
      </c>
      <c r="W29" s="35"/>
      <c r="X29" s="54"/>
      <c r="Y29" s="54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40"/>
      <c r="BI29" s="41"/>
      <c r="BJ29" s="41"/>
      <c r="BK29" s="41"/>
      <c r="BL29" s="41"/>
    </row>
    <row r="30" spans="1:64" ht="15.75" customHeight="1" x14ac:dyDescent="0.25">
      <c r="A30" s="50" t="s">
        <v>96</v>
      </c>
      <c r="B30" s="51"/>
      <c r="C30" s="192" t="s">
        <v>86</v>
      </c>
      <c r="D30" s="191" t="s">
        <v>97</v>
      </c>
      <c r="E30" s="35">
        <v>2515</v>
      </c>
      <c r="F30" s="52"/>
      <c r="G30" s="52"/>
      <c r="H30" s="53"/>
      <c r="I30" s="37">
        <f t="shared" si="12"/>
        <v>0</v>
      </c>
      <c r="J30" s="37">
        <f t="shared" si="12"/>
        <v>0</v>
      </c>
      <c r="K30" s="37">
        <f t="shared" si="17"/>
        <v>0</v>
      </c>
      <c r="L30" s="23">
        <f t="shared" si="13"/>
        <v>0</v>
      </c>
      <c r="M30" s="23">
        <f t="shared" si="10"/>
        <v>0</v>
      </c>
      <c r="N30" s="23">
        <f t="shared" si="10"/>
        <v>0</v>
      </c>
      <c r="O30" s="37">
        <f t="shared" si="14"/>
        <v>2515</v>
      </c>
      <c r="P30" s="37">
        <f t="shared" si="14"/>
        <v>0</v>
      </c>
      <c r="Q30" s="37">
        <f t="shared" si="15"/>
        <v>0</v>
      </c>
      <c r="R30" s="39">
        <f t="shared" si="16"/>
        <v>0</v>
      </c>
      <c r="S30" s="39" t="e">
        <f t="shared" si="16"/>
        <v>#DIV/0!</v>
      </c>
      <c r="T30" s="39" t="e">
        <f t="shared" si="3"/>
        <v>#DIV/0!</v>
      </c>
      <c r="U30" s="35"/>
      <c r="V30" s="35"/>
      <c r="W30" s="35"/>
      <c r="X30" s="54"/>
      <c r="Y30" s="54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40"/>
      <c r="BI30" s="41"/>
      <c r="BJ30" s="41"/>
      <c r="BK30" s="41"/>
      <c r="BL30" s="41"/>
    </row>
    <row r="31" spans="1:64" ht="15.75" hidden="1" customHeight="1" x14ac:dyDescent="0.25">
      <c r="A31" s="50"/>
      <c r="B31" s="51"/>
      <c r="C31" s="192" t="s">
        <v>86</v>
      </c>
      <c r="D31" s="191" t="s">
        <v>98</v>
      </c>
      <c r="E31" s="35"/>
      <c r="F31" s="52"/>
      <c r="G31" s="52"/>
      <c r="H31" s="53"/>
      <c r="I31" s="37">
        <f t="shared" ref="I31:J42" si="18">U31+X31+AA31+AD31+AG31+AJ31+AM31+AP31+AS31+AV31+AY31+BB31</f>
        <v>0</v>
      </c>
      <c r="J31" s="37">
        <f t="shared" si="18"/>
        <v>0</v>
      </c>
      <c r="K31" s="37">
        <f t="shared" si="17"/>
        <v>0</v>
      </c>
      <c r="L31" s="23">
        <f t="shared" si="13"/>
        <v>0</v>
      </c>
      <c r="M31" s="23">
        <f t="shared" si="10"/>
        <v>0</v>
      </c>
      <c r="N31" s="23">
        <f t="shared" si="10"/>
        <v>0</v>
      </c>
      <c r="O31" s="37">
        <f t="shared" si="14"/>
        <v>0</v>
      </c>
      <c r="P31" s="37">
        <f t="shared" si="14"/>
        <v>0</v>
      </c>
      <c r="Q31" s="37">
        <f t="shared" si="15"/>
        <v>0</v>
      </c>
      <c r="R31" s="39" t="e">
        <f t="shared" si="16"/>
        <v>#DIV/0!</v>
      </c>
      <c r="S31" s="39" t="e">
        <f t="shared" si="16"/>
        <v>#DIV/0!</v>
      </c>
      <c r="T31" s="39" t="e">
        <f t="shared" si="3"/>
        <v>#DIV/0!</v>
      </c>
      <c r="U31" s="35"/>
      <c r="V31" s="35"/>
      <c r="W31" s="35"/>
      <c r="X31" s="54"/>
      <c r="Y31" s="54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40"/>
      <c r="BI31" s="41"/>
      <c r="BJ31" s="41"/>
      <c r="BK31" s="41"/>
      <c r="BL31" s="41"/>
    </row>
    <row r="32" spans="1:64" ht="15.75" hidden="1" customHeight="1" x14ac:dyDescent="0.25">
      <c r="A32" s="50"/>
      <c r="B32" s="51"/>
      <c r="C32" s="192" t="s">
        <v>77</v>
      </c>
      <c r="D32" s="191" t="s">
        <v>99</v>
      </c>
      <c r="E32" s="35"/>
      <c r="F32" s="52"/>
      <c r="G32" s="52"/>
      <c r="H32" s="53"/>
      <c r="I32" s="37">
        <f t="shared" si="18"/>
        <v>0</v>
      </c>
      <c r="J32" s="37">
        <f t="shared" si="18"/>
        <v>0</v>
      </c>
      <c r="K32" s="37">
        <f t="shared" si="17"/>
        <v>0</v>
      </c>
      <c r="L32" s="23">
        <f t="shared" si="13"/>
        <v>0</v>
      </c>
      <c r="M32" s="23">
        <f t="shared" si="10"/>
        <v>0</v>
      </c>
      <c r="N32" s="23">
        <f t="shared" si="10"/>
        <v>0</v>
      </c>
      <c r="O32" s="37">
        <f t="shared" si="14"/>
        <v>0</v>
      </c>
      <c r="P32" s="37">
        <f t="shared" si="14"/>
        <v>0</v>
      </c>
      <c r="Q32" s="37">
        <f t="shared" si="15"/>
        <v>0</v>
      </c>
      <c r="R32" s="39" t="e">
        <f t="shared" si="16"/>
        <v>#DIV/0!</v>
      </c>
      <c r="S32" s="39" t="e">
        <f t="shared" si="16"/>
        <v>#DIV/0!</v>
      </c>
      <c r="T32" s="39" t="e">
        <f t="shared" si="3"/>
        <v>#DIV/0!</v>
      </c>
      <c r="U32" s="35"/>
      <c r="V32" s="35"/>
      <c r="W32" s="35"/>
      <c r="X32" s="54"/>
      <c r="Y32" s="54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40"/>
      <c r="BI32" s="41"/>
      <c r="BJ32" s="41"/>
      <c r="BK32" s="41"/>
      <c r="BL32" s="41"/>
    </row>
    <row r="33" spans="1:64" ht="15.75" customHeight="1" x14ac:dyDescent="0.25">
      <c r="A33" s="55"/>
      <c r="B33" s="51" t="s">
        <v>100</v>
      </c>
      <c r="C33" s="192" t="s">
        <v>101</v>
      </c>
      <c r="D33" s="191" t="s">
        <v>102</v>
      </c>
      <c r="E33" s="35">
        <v>0</v>
      </c>
      <c r="F33" s="52">
        <f>9000</f>
        <v>9000</v>
      </c>
      <c r="G33" s="52"/>
      <c r="H33" s="53"/>
      <c r="I33" s="37">
        <f t="shared" si="18"/>
        <v>0</v>
      </c>
      <c r="J33" s="37">
        <f t="shared" si="18"/>
        <v>9000</v>
      </c>
      <c r="K33" s="37">
        <f t="shared" si="17"/>
        <v>0</v>
      </c>
      <c r="L33" s="23">
        <f t="shared" si="13"/>
        <v>0</v>
      </c>
      <c r="M33" s="23">
        <f t="shared" si="10"/>
        <v>9000</v>
      </c>
      <c r="N33" s="23">
        <f t="shared" si="10"/>
        <v>0</v>
      </c>
      <c r="O33" s="37">
        <f t="shared" si="14"/>
        <v>0</v>
      </c>
      <c r="P33" s="37">
        <f t="shared" si="14"/>
        <v>0</v>
      </c>
      <c r="Q33" s="37">
        <f t="shared" si="15"/>
        <v>0</v>
      </c>
      <c r="R33" s="39" t="e">
        <f t="shared" si="16"/>
        <v>#DIV/0!</v>
      </c>
      <c r="S33" s="39">
        <f t="shared" si="16"/>
        <v>1</v>
      </c>
      <c r="T33" s="39" t="e">
        <f t="shared" si="3"/>
        <v>#DIV/0!</v>
      </c>
      <c r="U33" s="62"/>
      <c r="V33" s="35"/>
      <c r="W33" s="35"/>
      <c r="X33" s="54"/>
      <c r="Y33" s="54">
        <f>9000</f>
        <v>9000</v>
      </c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40"/>
      <c r="BI33" s="41"/>
      <c r="BJ33" s="41"/>
      <c r="BK33" s="41"/>
      <c r="BL33" s="41"/>
    </row>
    <row r="34" spans="1:64" ht="15.75" customHeight="1" x14ac:dyDescent="0.25">
      <c r="A34" s="55"/>
      <c r="B34" s="51" t="s">
        <v>103</v>
      </c>
      <c r="C34" s="192" t="s">
        <v>104</v>
      </c>
      <c r="D34" s="191" t="s">
        <v>105</v>
      </c>
      <c r="E34" s="35"/>
      <c r="F34" s="52">
        <f>16240+16500</f>
        <v>32740</v>
      </c>
      <c r="G34" s="52"/>
      <c r="H34" s="53"/>
      <c r="I34" s="37">
        <f t="shared" si="18"/>
        <v>0</v>
      </c>
      <c r="J34" s="37">
        <f t="shared" si="18"/>
        <v>16500</v>
      </c>
      <c r="K34" s="37">
        <f t="shared" si="17"/>
        <v>0</v>
      </c>
      <c r="L34" s="23">
        <f t="shared" si="13"/>
        <v>0</v>
      </c>
      <c r="M34" s="23">
        <f t="shared" si="10"/>
        <v>16500</v>
      </c>
      <c r="N34" s="23">
        <f t="shared" si="10"/>
        <v>0</v>
      </c>
      <c r="O34" s="37">
        <f t="shared" si="14"/>
        <v>0</v>
      </c>
      <c r="P34" s="37">
        <f t="shared" si="14"/>
        <v>16240</v>
      </c>
      <c r="Q34" s="37">
        <f t="shared" si="15"/>
        <v>0</v>
      </c>
      <c r="R34" s="39" t="e">
        <f t="shared" si="16"/>
        <v>#DIV/0!</v>
      </c>
      <c r="S34" s="39">
        <f t="shared" si="16"/>
        <v>0.50397067806963958</v>
      </c>
      <c r="T34" s="39" t="e">
        <f t="shared" si="3"/>
        <v>#DIV/0!</v>
      </c>
      <c r="U34" s="35"/>
      <c r="V34" s="35"/>
      <c r="W34" s="35"/>
      <c r="X34" s="54"/>
      <c r="Y34" s="54">
        <v>16500</v>
      </c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40"/>
      <c r="BI34" s="41"/>
      <c r="BJ34" s="41"/>
      <c r="BK34" s="41"/>
      <c r="BL34" s="41"/>
    </row>
    <row r="35" spans="1:64" ht="15.75" customHeight="1" x14ac:dyDescent="0.25">
      <c r="A35" s="55"/>
      <c r="B35" s="51"/>
      <c r="C35" s="192" t="s">
        <v>106</v>
      </c>
      <c r="D35" s="191" t="s">
        <v>107</v>
      </c>
      <c r="E35" s="35">
        <f>4448.55</f>
        <v>4448.55</v>
      </c>
      <c r="F35" s="52"/>
      <c r="G35" s="52"/>
      <c r="H35" s="53"/>
      <c r="I35" s="37">
        <f t="shared" si="18"/>
        <v>4448.55</v>
      </c>
      <c r="J35" s="37">
        <f t="shared" si="18"/>
        <v>0</v>
      </c>
      <c r="K35" s="37">
        <f t="shared" si="17"/>
        <v>0</v>
      </c>
      <c r="L35" s="23">
        <f t="shared" si="13"/>
        <v>4448.55</v>
      </c>
      <c r="M35" s="23">
        <f t="shared" si="10"/>
        <v>0</v>
      </c>
      <c r="N35" s="23">
        <f t="shared" si="10"/>
        <v>0</v>
      </c>
      <c r="O35" s="37">
        <f t="shared" si="14"/>
        <v>0</v>
      </c>
      <c r="P35" s="37">
        <f t="shared" si="14"/>
        <v>0</v>
      </c>
      <c r="Q35" s="37">
        <f t="shared" si="15"/>
        <v>0</v>
      </c>
      <c r="R35" s="39">
        <f t="shared" si="16"/>
        <v>1</v>
      </c>
      <c r="S35" s="39" t="e">
        <f t="shared" si="16"/>
        <v>#DIV/0!</v>
      </c>
      <c r="T35" s="39" t="e">
        <f t="shared" si="3"/>
        <v>#DIV/0!</v>
      </c>
      <c r="U35" s="35"/>
      <c r="V35" s="35"/>
      <c r="W35" s="35"/>
      <c r="X35" s="54"/>
      <c r="Y35" s="54"/>
      <c r="Z35" s="35"/>
      <c r="AA35" s="35"/>
      <c r="AB35" s="35"/>
      <c r="AC35" s="35"/>
      <c r="AD35" s="35"/>
      <c r="AE35" s="35"/>
      <c r="AF35" s="35"/>
      <c r="AG35" s="63">
        <f>4448.55</f>
        <v>4448.55</v>
      </c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40"/>
      <c r="BI35" s="41"/>
      <c r="BJ35" s="41"/>
      <c r="BK35" s="41"/>
      <c r="BL35" s="41"/>
    </row>
    <row r="36" spans="1:64" ht="15.75" hidden="1" customHeight="1" x14ac:dyDescent="0.25">
      <c r="A36" s="55"/>
      <c r="B36" s="51"/>
      <c r="C36" s="192" t="s">
        <v>108</v>
      </c>
      <c r="D36" s="191" t="s">
        <v>109</v>
      </c>
      <c r="E36" s="35"/>
      <c r="F36" s="52"/>
      <c r="G36" s="52"/>
      <c r="H36" s="53"/>
      <c r="I36" s="37">
        <f t="shared" si="18"/>
        <v>0</v>
      </c>
      <c r="J36" s="37">
        <f t="shared" si="18"/>
        <v>0</v>
      </c>
      <c r="K36" s="37">
        <f t="shared" si="17"/>
        <v>0</v>
      </c>
      <c r="L36" s="23">
        <f t="shared" si="13"/>
        <v>0</v>
      </c>
      <c r="M36" s="23">
        <f t="shared" si="10"/>
        <v>0</v>
      </c>
      <c r="N36" s="23">
        <f t="shared" si="10"/>
        <v>0</v>
      </c>
      <c r="O36" s="37">
        <f t="shared" si="14"/>
        <v>0</v>
      </c>
      <c r="P36" s="37">
        <f t="shared" si="14"/>
        <v>0</v>
      </c>
      <c r="Q36" s="37">
        <f t="shared" si="15"/>
        <v>0</v>
      </c>
      <c r="R36" s="39" t="e">
        <f t="shared" si="16"/>
        <v>#DIV/0!</v>
      </c>
      <c r="S36" s="39" t="e">
        <f t="shared" si="16"/>
        <v>#DIV/0!</v>
      </c>
      <c r="T36" s="39" t="e">
        <f t="shared" si="3"/>
        <v>#DIV/0!</v>
      </c>
      <c r="U36" s="35"/>
      <c r="V36" s="35"/>
      <c r="W36" s="35"/>
      <c r="X36" s="54"/>
      <c r="Y36" s="54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40"/>
      <c r="BI36" s="41"/>
      <c r="BJ36" s="41"/>
      <c r="BK36" s="41"/>
      <c r="BL36" s="41"/>
    </row>
    <row r="37" spans="1:64" ht="15.75" x14ac:dyDescent="0.25">
      <c r="A37" s="64" t="s">
        <v>110</v>
      </c>
      <c r="B37" s="65" t="s">
        <v>111</v>
      </c>
      <c r="C37" s="192" t="s">
        <v>57</v>
      </c>
      <c r="D37" s="191" t="s">
        <v>112</v>
      </c>
      <c r="E37" s="35">
        <f>468.9+166.72</f>
        <v>635.62</v>
      </c>
      <c r="F37" s="52">
        <f>288.24</f>
        <v>288.24</v>
      </c>
      <c r="G37" s="52"/>
      <c r="H37" s="53"/>
      <c r="I37" s="37">
        <f>U37+X37+AA37+AD37+AG37+AJ37+AM37+AP37+AS37+AV37+AY37+BB37</f>
        <v>628.72</v>
      </c>
      <c r="J37" s="37">
        <f>V37+Y37+AB37+AE37+AH37+AK37+AN37+AQ37+AT37+AW37+AZ37+BC37</f>
        <v>288.24</v>
      </c>
      <c r="K37" s="37">
        <f t="shared" si="17"/>
        <v>0</v>
      </c>
      <c r="L37" s="23">
        <f t="shared" si="13"/>
        <v>628.72</v>
      </c>
      <c r="M37" s="23">
        <f t="shared" si="10"/>
        <v>288.24</v>
      </c>
      <c r="N37" s="23">
        <f t="shared" si="10"/>
        <v>0</v>
      </c>
      <c r="O37" s="37">
        <f t="shared" si="14"/>
        <v>6.8999999999999773</v>
      </c>
      <c r="P37" s="37">
        <f t="shared" si="14"/>
        <v>0</v>
      </c>
      <c r="Q37" s="37">
        <f t="shared" si="15"/>
        <v>0</v>
      </c>
      <c r="R37" s="39">
        <f t="shared" si="16"/>
        <v>0.98914445738019574</v>
      </c>
      <c r="S37" s="39">
        <f t="shared" si="16"/>
        <v>1</v>
      </c>
      <c r="T37" s="39" t="e">
        <f t="shared" si="3"/>
        <v>#DIV/0!</v>
      </c>
      <c r="U37" s="35"/>
      <c r="V37" s="35"/>
      <c r="W37" s="35"/>
      <c r="X37" s="35">
        <f>462</f>
        <v>462</v>
      </c>
      <c r="Y37" s="35">
        <v>288.24</v>
      </c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>
        <f>166.72</f>
        <v>166.72</v>
      </c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40"/>
      <c r="BI37" s="41"/>
      <c r="BJ37" s="41"/>
      <c r="BK37" s="41"/>
      <c r="BL37" s="41"/>
    </row>
    <row r="38" spans="1:64" ht="15.75" hidden="1" x14ac:dyDescent="0.25">
      <c r="A38" s="64"/>
      <c r="B38" s="51"/>
      <c r="C38" s="192" t="s">
        <v>113</v>
      </c>
      <c r="D38" s="191" t="s">
        <v>114</v>
      </c>
      <c r="E38" s="35"/>
      <c r="F38" s="52"/>
      <c r="G38" s="52"/>
      <c r="H38" s="53"/>
      <c r="I38" s="37">
        <f t="shared" si="18"/>
        <v>0</v>
      </c>
      <c r="J38" s="37">
        <f t="shared" si="18"/>
        <v>0</v>
      </c>
      <c r="K38" s="37">
        <f t="shared" si="17"/>
        <v>0</v>
      </c>
      <c r="L38" s="23">
        <f t="shared" si="13"/>
        <v>0</v>
      </c>
      <c r="M38" s="23">
        <f t="shared" si="10"/>
        <v>0</v>
      </c>
      <c r="N38" s="23">
        <f t="shared" si="10"/>
        <v>0</v>
      </c>
      <c r="O38" s="37">
        <f t="shared" si="14"/>
        <v>0</v>
      </c>
      <c r="P38" s="37">
        <f t="shared" si="14"/>
        <v>0</v>
      </c>
      <c r="Q38" s="37">
        <f t="shared" si="15"/>
        <v>0</v>
      </c>
      <c r="R38" s="39" t="e">
        <f t="shared" si="16"/>
        <v>#DIV/0!</v>
      </c>
      <c r="S38" s="39" t="e">
        <f t="shared" si="16"/>
        <v>#DIV/0!</v>
      </c>
      <c r="T38" s="39" t="e">
        <f t="shared" si="3"/>
        <v>#DIV/0!</v>
      </c>
      <c r="U38" s="35"/>
      <c r="V38" s="35"/>
      <c r="W38" s="35"/>
      <c r="X38" s="54"/>
      <c r="Y38" s="54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40"/>
      <c r="BI38" s="41"/>
      <c r="BJ38" s="41"/>
      <c r="BK38" s="41"/>
      <c r="BL38" s="41"/>
    </row>
    <row r="39" spans="1:64" ht="15.75" x14ac:dyDescent="0.25">
      <c r="A39" s="50" t="s">
        <v>115</v>
      </c>
      <c r="B39" s="51"/>
      <c r="C39" s="192" t="s">
        <v>116</v>
      </c>
      <c r="D39" s="191" t="s">
        <v>117</v>
      </c>
      <c r="E39" s="35">
        <f>5000</f>
        <v>5000</v>
      </c>
      <c r="F39" s="52"/>
      <c r="G39" s="52"/>
      <c r="H39" s="53"/>
      <c r="I39" s="37">
        <f t="shared" si="18"/>
        <v>5000</v>
      </c>
      <c r="J39" s="37">
        <f t="shared" si="18"/>
        <v>0</v>
      </c>
      <c r="K39" s="37">
        <f t="shared" si="17"/>
        <v>0</v>
      </c>
      <c r="L39" s="23">
        <f t="shared" si="13"/>
        <v>5000</v>
      </c>
      <c r="M39" s="23">
        <f t="shared" si="10"/>
        <v>0</v>
      </c>
      <c r="N39" s="23">
        <f t="shared" si="10"/>
        <v>0</v>
      </c>
      <c r="O39" s="37">
        <f t="shared" si="14"/>
        <v>0</v>
      </c>
      <c r="P39" s="37">
        <f t="shared" si="14"/>
        <v>0</v>
      </c>
      <c r="Q39" s="37">
        <f t="shared" si="15"/>
        <v>0</v>
      </c>
      <c r="R39" s="39">
        <f t="shared" si="16"/>
        <v>1</v>
      </c>
      <c r="S39" s="39" t="e">
        <f t="shared" si="16"/>
        <v>#DIV/0!</v>
      </c>
      <c r="T39" s="39" t="e">
        <f t="shared" si="3"/>
        <v>#DIV/0!</v>
      </c>
      <c r="U39" s="35"/>
      <c r="V39" s="35"/>
      <c r="W39" s="35"/>
      <c r="X39" s="54"/>
      <c r="Y39" s="54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>
        <v>5000</v>
      </c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40"/>
      <c r="BI39" s="41"/>
      <c r="BJ39" s="41"/>
      <c r="BK39" s="41"/>
      <c r="BL39" s="41"/>
    </row>
    <row r="40" spans="1:64" ht="15.75" x14ac:dyDescent="0.25">
      <c r="A40" s="56"/>
      <c r="B40" s="51" t="s">
        <v>118</v>
      </c>
      <c r="C40" s="192" t="s">
        <v>119</v>
      </c>
      <c r="D40" s="191" t="s">
        <v>120</v>
      </c>
      <c r="E40" s="35"/>
      <c r="F40" s="52">
        <f>892.6+1440.9+174+348+362.4+527.8</f>
        <v>3745.7</v>
      </c>
      <c r="G40" s="52"/>
      <c r="H40" s="53"/>
      <c r="I40" s="37">
        <f t="shared" si="18"/>
        <v>0</v>
      </c>
      <c r="J40" s="37">
        <f t="shared" si="18"/>
        <v>3383.3</v>
      </c>
      <c r="K40" s="37">
        <f t="shared" si="17"/>
        <v>0</v>
      </c>
      <c r="L40" s="23">
        <f t="shared" si="13"/>
        <v>0</v>
      </c>
      <c r="M40" s="23">
        <f t="shared" si="10"/>
        <v>3383.3</v>
      </c>
      <c r="N40" s="23">
        <f t="shared" si="10"/>
        <v>0</v>
      </c>
      <c r="O40" s="37">
        <f t="shared" si="14"/>
        <v>0</v>
      </c>
      <c r="P40" s="37">
        <f t="shared" si="14"/>
        <v>362.39999999999964</v>
      </c>
      <c r="Q40" s="37">
        <f t="shared" si="15"/>
        <v>0</v>
      </c>
      <c r="R40" s="39" t="e">
        <f t="shared" si="16"/>
        <v>#DIV/0!</v>
      </c>
      <c r="S40" s="39">
        <f t="shared" si="16"/>
        <v>0.90324905892089602</v>
      </c>
      <c r="T40" s="39" t="e">
        <f t="shared" si="3"/>
        <v>#DIV/0!</v>
      </c>
      <c r="U40" s="35"/>
      <c r="V40" s="35">
        <f>174+527.8</f>
        <v>701.8</v>
      </c>
      <c r="W40" s="35"/>
      <c r="X40" s="54"/>
      <c r="Y40" s="54">
        <f>892.6</f>
        <v>892.6</v>
      </c>
      <c r="Z40" s="35"/>
      <c r="AA40" s="35"/>
      <c r="AB40" s="35">
        <f>1440.9</f>
        <v>1440.9</v>
      </c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>
        <v>348</v>
      </c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40"/>
      <c r="BI40" s="41"/>
      <c r="BJ40" s="41"/>
      <c r="BK40" s="41"/>
      <c r="BL40" s="41"/>
    </row>
    <row r="41" spans="1:64" ht="15.75" hidden="1" x14ac:dyDescent="0.25">
      <c r="A41" s="56"/>
      <c r="B41" s="51"/>
      <c r="C41" s="192" t="s">
        <v>119</v>
      </c>
      <c r="D41" s="191" t="s">
        <v>121</v>
      </c>
      <c r="E41" s="35"/>
      <c r="F41" s="52"/>
      <c r="G41" s="52"/>
      <c r="H41" s="53"/>
      <c r="I41" s="37">
        <f t="shared" si="18"/>
        <v>0</v>
      </c>
      <c r="J41" s="37">
        <f t="shared" si="18"/>
        <v>0</v>
      </c>
      <c r="K41" s="37">
        <f t="shared" si="17"/>
        <v>0</v>
      </c>
      <c r="L41" s="23">
        <f t="shared" si="13"/>
        <v>0</v>
      </c>
      <c r="M41" s="23">
        <f t="shared" si="10"/>
        <v>0</v>
      </c>
      <c r="N41" s="23">
        <f t="shared" si="10"/>
        <v>0</v>
      </c>
      <c r="O41" s="37">
        <f t="shared" si="14"/>
        <v>0</v>
      </c>
      <c r="P41" s="37">
        <f t="shared" si="14"/>
        <v>0</v>
      </c>
      <c r="Q41" s="37">
        <f t="shared" si="15"/>
        <v>0</v>
      </c>
      <c r="R41" s="39" t="e">
        <f t="shared" si="16"/>
        <v>#DIV/0!</v>
      </c>
      <c r="S41" s="39" t="e">
        <f t="shared" si="16"/>
        <v>#DIV/0!</v>
      </c>
      <c r="T41" s="39" t="e">
        <f t="shared" si="3"/>
        <v>#DIV/0!</v>
      </c>
      <c r="U41" s="35"/>
      <c r="V41" s="35"/>
      <c r="W41" s="35"/>
      <c r="X41" s="54"/>
      <c r="Y41" s="54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40"/>
      <c r="BI41" s="41"/>
      <c r="BJ41" s="41"/>
      <c r="BK41" s="41"/>
      <c r="BL41" s="41"/>
    </row>
    <row r="42" spans="1:64" ht="15.75" x14ac:dyDescent="0.25">
      <c r="A42" s="66" t="s">
        <v>122</v>
      </c>
      <c r="B42" s="51" t="s">
        <v>123</v>
      </c>
      <c r="C42" s="192" t="s">
        <v>119</v>
      </c>
      <c r="D42" s="191" t="s">
        <v>124</v>
      </c>
      <c r="E42" s="35">
        <f>2343.6+1407+1824.36+1180+1738.98+4775+732.84+695.92+1000.09+473.52+82.62+449.84+316.32+376.89+283.65+713-15.9</f>
        <v>18377.73</v>
      </c>
      <c r="F42" s="52">
        <f>413+1266+3806.39</f>
        <v>5485.3899999999994</v>
      </c>
      <c r="G42" s="52"/>
      <c r="H42" s="53"/>
      <c r="I42" s="37">
        <f t="shared" si="18"/>
        <v>17021.27</v>
      </c>
      <c r="J42" s="37">
        <f t="shared" si="18"/>
        <v>0</v>
      </c>
      <c r="K42" s="37">
        <f t="shared" si="17"/>
        <v>0</v>
      </c>
      <c r="L42" s="23">
        <f t="shared" si="13"/>
        <v>17021.27</v>
      </c>
      <c r="M42" s="23">
        <f t="shared" si="10"/>
        <v>0</v>
      </c>
      <c r="N42" s="23">
        <f t="shared" si="10"/>
        <v>0</v>
      </c>
      <c r="O42" s="37">
        <f t="shared" si="14"/>
        <v>1356.4599999999991</v>
      </c>
      <c r="P42" s="37">
        <f t="shared" si="14"/>
        <v>5485.3899999999994</v>
      </c>
      <c r="Q42" s="37">
        <f t="shared" si="15"/>
        <v>0</v>
      </c>
      <c r="R42" s="39">
        <f t="shared" si="16"/>
        <v>0.92619001367415899</v>
      </c>
      <c r="S42" s="39">
        <f t="shared" si="16"/>
        <v>0</v>
      </c>
      <c r="T42" s="39" t="e">
        <f t="shared" si="3"/>
        <v>#DIV/0!</v>
      </c>
      <c r="U42" s="67"/>
      <c r="V42" s="35"/>
      <c r="W42" s="67"/>
      <c r="X42" s="68"/>
      <c r="Y42" s="68"/>
      <c r="Z42" s="67"/>
      <c r="AA42" s="67"/>
      <c r="AB42" s="67"/>
      <c r="AC42" s="67"/>
      <c r="AD42" s="67">
        <v>2343.6</v>
      </c>
      <c r="AE42" s="67"/>
      <c r="AF42" s="67"/>
      <c r="AG42" s="67">
        <v>1738.98</v>
      </c>
      <c r="AH42" s="67"/>
      <c r="AI42" s="67"/>
      <c r="AJ42" s="67">
        <f>4775+732.84+82.62+1824.36</f>
        <v>7414.82</v>
      </c>
      <c r="AK42" s="67"/>
      <c r="AL42" s="67"/>
      <c r="AM42" s="67">
        <f>449.84+713+984.19+1407</f>
        <v>3554.0299999999997</v>
      </c>
      <c r="AN42" s="67"/>
      <c r="AO42" s="67"/>
      <c r="AP42" s="67">
        <f>473.52+1180+316.32</f>
        <v>1969.84</v>
      </c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40"/>
      <c r="BI42" s="41"/>
      <c r="BJ42" s="41"/>
      <c r="BK42" s="41"/>
      <c r="BL42" s="41"/>
    </row>
    <row r="43" spans="1:64" ht="15.75" customHeight="1" x14ac:dyDescent="0.25">
      <c r="A43" s="69"/>
      <c r="B43" s="51" t="s">
        <v>125</v>
      </c>
      <c r="C43" s="192" t="s">
        <v>126</v>
      </c>
      <c r="D43" s="196" t="s">
        <v>127</v>
      </c>
      <c r="E43" s="35"/>
      <c r="F43" s="52">
        <v>823388.88</v>
      </c>
      <c r="G43" s="52"/>
      <c r="H43" s="53"/>
      <c r="I43" s="37">
        <f>U43+X43+AA43+AD43+AG43+AJ43+AM43+AQ43+AS43+AV43+AY43+BB43</f>
        <v>71117.53</v>
      </c>
      <c r="J43" s="37">
        <f>V43+Y43+AB43+AE43+AH43+AK43+AN43+AQ43+AT43+AW43+AZ43+BC43</f>
        <v>604059.43000000005</v>
      </c>
      <c r="K43" s="37">
        <f t="shared" si="17"/>
        <v>0</v>
      </c>
      <c r="L43" s="23">
        <f>IF(BE43=0,SUM(U43+X43+AA43+AD43+AG43+AJ43+AM43+AQ43+AS43+AV43+AY43+BB43),BE43)</f>
        <v>71117.53</v>
      </c>
      <c r="M43" s="23">
        <f>IF(BF43=0,SUM(V43+Y43+AB43+AE43+AH43+AK43+AN43+AQ43+AT43+AW43+AZ43+BC43),BF43)</f>
        <v>604059.43000000005</v>
      </c>
      <c r="N43" s="23">
        <f>IF(BG43=0,SUM(W43+Z43+AC43+AF43+AI43+AL43+AO43+AR43+AU43+AX43+BA43+BD43),BG43)</f>
        <v>0</v>
      </c>
      <c r="O43" s="37">
        <f t="shared" si="14"/>
        <v>-71117.53</v>
      </c>
      <c r="P43" s="37">
        <f t="shared" si="14"/>
        <v>219329.44999999995</v>
      </c>
      <c r="Q43" s="37">
        <f t="shared" si="15"/>
        <v>0</v>
      </c>
      <c r="R43" s="39" t="e">
        <f t="shared" si="16"/>
        <v>#DIV/0!</v>
      </c>
      <c r="S43" s="39">
        <f t="shared" si="16"/>
        <v>0.73362592654882597</v>
      </c>
      <c r="T43" s="39" t="e">
        <f t="shared" si="3"/>
        <v>#DIV/0!</v>
      </c>
      <c r="U43" s="67"/>
      <c r="V43" s="35"/>
      <c r="W43" s="67"/>
      <c r="X43" s="54"/>
      <c r="Y43" s="54"/>
      <c r="Z43" s="67"/>
      <c r="AA43" s="67"/>
      <c r="AB43" s="67">
        <v>115981.88</v>
      </c>
      <c r="AC43" s="67"/>
      <c r="AD43" s="67"/>
      <c r="AE43" s="67">
        <f>70706.47+34733.44</f>
        <v>105439.91</v>
      </c>
      <c r="AF43" s="67"/>
      <c r="AG43" s="67"/>
      <c r="AH43" s="67">
        <f>79149.79</f>
        <v>79149.789999999994</v>
      </c>
      <c r="AI43" s="67"/>
      <c r="AJ43" s="67"/>
      <c r="AK43" s="67">
        <v>87530.63</v>
      </c>
      <c r="AL43" s="67"/>
      <c r="AM43" s="67"/>
      <c r="AN43" s="67">
        <v>144839.69</v>
      </c>
      <c r="AO43" s="67"/>
      <c r="AP43" s="67"/>
      <c r="AQ43" s="67">
        <v>71117.53</v>
      </c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40"/>
      <c r="BI43" s="41"/>
      <c r="BJ43" s="41"/>
      <c r="BK43" s="41"/>
      <c r="BL43" s="41"/>
    </row>
    <row r="44" spans="1:64" ht="15.75" customHeight="1" x14ac:dyDescent="0.25">
      <c r="A44" s="69"/>
      <c r="B44" s="70" t="s">
        <v>128</v>
      </c>
      <c r="C44" s="192" t="s">
        <v>126</v>
      </c>
      <c r="D44" s="191" t="s">
        <v>129</v>
      </c>
      <c r="E44" s="35"/>
      <c r="F44" s="52">
        <v>476983.69</v>
      </c>
      <c r="G44" s="52"/>
      <c r="H44" s="53"/>
      <c r="I44" s="37">
        <f>U44+X44+AA44+AD44+AG44+AJ44+AM44+AQ44+AS44+AV44+AY44+BB44</f>
        <v>87286.56</v>
      </c>
      <c r="J44" s="37">
        <f>V44+Y44+AB44+AE44+AH44+AK44+AN44+AQ44+AT44+AW44+AZ44+BC44</f>
        <v>353636.73</v>
      </c>
      <c r="K44" s="37">
        <f t="shared" si="17"/>
        <v>0</v>
      </c>
      <c r="L44" s="23">
        <f>IF(BE44=0,SUM(U44+X44+AA44+AD44+AG44+AJ44+AM44+AQ44+AS44+AV44+AY44+BB44),BE44)</f>
        <v>87286.56</v>
      </c>
      <c r="M44" s="23">
        <f>IF(BF44=0,SUM(V44+Y44+AB44+AE44+AH44+AK44+AN44+AQ44+AT44+AW44+AZ44+BC44),BF44)</f>
        <v>353636.73</v>
      </c>
      <c r="N44" s="23">
        <f>IF(BG44=0,SUM(W44+Z44+AC44+AF44+AI44+AL44+AO44+AR44+AU44+AX44+BA44+BD44),BG44)</f>
        <v>0</v>
      </c>
      <c r="O44" s="37">
        <f t="shared" si="14"/>
        <v>-87286.56</v>
      </c>
      <c r="P44" s="37">
        <f t="shared" si="14"/>
        <v>123346.96000000002</v>
      </c>
      <c r="Q44" s="37">
        <f t="shared" si="15"/>
        <v>0</v>
      </c>
      <c r="R44" s="39" t="e">
        <f t="shared" si="16"/>
        <v>#DIV/0!</v>
      </c>
      <c r="S44" s="39">
        <f t="shared" si="16"/>
        <v>0.74140214312149744</v>
      </c>
      <c r="T44" s="39" t="e">
        <f t="shared" si="3"/>
        <v>#DIV/0!</v>
      </c>
      <c r="U44" s="67"/>
      <c r="V44" s="35"/>
      <c r="W44" s="67"/>
      <c r="X44" s="54"/>
      <c r="Y44" s="54"/>
      <c r="Z44" s="67"/>
      <c r="AA44" s="67"/>
      <c r="AB44" s="67">
        <f>61438.46</f>
        <v>61438.46</v>
      </c>
      <c r="AC44" s="67"/>
      <c r="AD44" s="67"/>
      <c r="AE44" s="67">
        <f>48772.93</f>
        <v>48772.93</v>
      </c>
      <c r="AF44" s="67"/>
      <c r="AG44" s="67"/>
      <c r="AH44" s="67">
        <v>37025.279999999999</v>
      </c>
      <c r="AI44" s="67"/>
      <c r="AJ44" s="67"/>
      <c r="AK44" s="67">
        <v>46046.57</v>
      </c>
      <c r="AL44" s="67"/>
      <c r="AM44" s="67"/>
      <c r="AN44" s="67">
        <v>73066.929999999993</v>
      </c>
      <c r="AO44" s="67"/>
      <c r="AP44" s="67"/>
      <c r="AQ44" s="67">
        <f>87286.56</f>
        <v>87286.56</v>
      </c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40"/>
      <c r="BI44" s="41"/>
      <c r="BJ44" s="41"/>
      <c r="BK44" s="41"/>
      <c r="BL44" s="41"/>
    </row>
    <row r="45" spans="1:64" ht="15.75" hidden="1" customHeight="1" x14ac:dyDescent="0.25">
      <c r="A45" s="71"/>
      <c r="B45" s="51"/>
      <c r="C45" s="192" t="s">
        <v>130</v>
      </c>
      <c r="D45" s="195" t="s">
        <v>131</v>
      </c>
      <c r="E45" s="35"/>
      <c r="F45" s="52"/>
      <c r="G45" s="52"/>
      <c r="H45" s="53"/>
      <c r="I45" s="37">
        <f t="shared" si="17"/>
        <v>0</v>
      </c>
      <c r="J45" s="37">
        <f t="shared" si="17"/>
        <v>0</v>
      </c>
      <c r="K45" s="37">
        <f t="shared" si="17"/>
        <v>0</v>
      </c>
      <c r="L45" s="23">
        <f t="shared" ref="L45:N59" si="19">IF(BE45=0,SUM(U45+X45+AA45+AD45+AG45+AJ45+AM45+AP45+AS45+AV45+AY45+BB45),BE45)</f>
        <v>0</v>
      </c>
      <c r="M45" s="23">
        <f t="shared" si="19"/>
        <v>0</v>
      </c>
      <c r="N45" s="23">
        <f t="shared" si="19"/>
        <v>0</v>
      </c>
      <c r="O45" s="37">
        <f t="shared" ref="O45:P54" si="20">E45-I45</f>
        <v>0</v>
      </c>
      <c r="P45" s="37">
        <f t="shared" si="20"/>
        <v>0</v>
      </c>
      <c r="Q45" s="37">
        <f t="shared" si="15"/>
        <v>0</v>
      </c>
      <c r="R45" s="39" t="e">
        <f t="shared" si="16"/>
        <v>#DIV/0!</v>
      </c>
      <c r="S45" s="39" t="e">
        <f t="shared" si="16"/>
        <v>#DIV/0!</v>
      </c>
      <c r="T45" s="39" t="e">
        <f t="shared" si="3"/>
        <v>#DIV/0!</v>
      </c>
      <c r="U45" s="67"/>
      <c r="V45" s="35"/>
      <c r="W45" s="67"/>
      <c r="X45" s="54"/>
      <c r="Y45" s="54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40"/>
      <c r="BI45" s="41"/>
      <c r="BJ45" s="41"/>
      <c r="BK45" s="41"/>
      <c r="BL45" s="41"/>
    </row>
    <row r="46" spans="1:64" ht="15.75" hidden="1" customHeight="1" x14ac:dyDescent="0.25">
      <c r="A46" s="71"/>
      <c r="B46" s="51"/>
      <c r="C46" s="192" t="s">
        <v>119</v>
      </c>
      <c r="D46" s="195" t="s">
        <v>132</v>
      </c>
      <c r="E46" s="35"/>
      <c r="F46" s="52"/>
      <c r="G46" s="52"/>
      <c r="H46" s="53"/>
      <c r="I46" s="37">
        <f t="shared" ref="I46:K54" si="21">U46+X46+AA46+AD46+AG46+AJ46+AM46+AP46+AS46+AV46+AY46+BB46</f>
        <v>0</v>
      </c>
      <c r="J46" s="37">
        <f t="shared" si="21"/>
        <v>0</v>
      </c>
      <c r="K46" s="37">
        <f t="shared" si="21"/>
        <v>0</v>
      </c>
      <c r="L46" s="23">
        <f t="shared" si="19"/>
        <v>0</v>
      </c>
      <c r="M46" s="23">
        <f t="shared" si="19"/>
        <v>0</v>
      </c>
      <c r="N46" s="23">
        <f t="shared" si="19"/>
        <v>0</v>
      </c>
      <c r="O46" s="37">
        <f t="shared" si="20"/>
        <v>0</v>
      </c>
      <c r="P46" s="37">
        <f t="shared" si="20"/>
        <v>0</v>
      </c>
      <c r="Q46" s="37">
        <f t="shared" si="15"/>
        <v>0</v>
      </c>
      <c r="R46" s="39" t="e">
        <f t="shared" si="16"/>
        <v>#DIV/0!</v>
      </c>
      <c r="S46" s="39" t="e">
        <f t="shared" si="16"/>
        <v>#DIV/0!</v>
      </c>
      <c r="T46" s="39" t="e">
        <f t="shared" si="3"/>
        <v>#DIV/0!</v>
      </c>
      <c r="U46" s="67"/>
      <c r="V46" s="35"/>
      <c r="W46" s="67"/>
      <c r="X46" s="54"/>
      <c r="Y46" s="54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40"/>
      <c r="BI46" s="41"/>
      <c r="BJ46" s="41"/>
      <c r="BK46" s="41"/>
      <c r="BL46" s="41"/>
    </row>
    <row r="47" spans="1:64" ht="15.75" hidden="1" customHeight="1" x14ac:dyDescent="0.25">
      <c r="A47" s="71"/>
      <c r="B47" s="51"/>
      <c r="C47" s="192" t="s">
        <v>133</v>
      </c>
      <c r="D47" s="195" t="s">
        <v>134</v>
      </c>
      <c r="E47" s="35"/>
      <c r="F47" s="52"/>
      <c r="G47" s="52"/>
      <c r="H47" s="53"/>
      <c r="I47" s="37">
        <f t="shared" si="21"/>
        <v>0</v>
      </c>
      <c r="J47" s="37">
        <f t="shared" si="21"/>
        <v>0</v>
      </c>
      <c r="K47" s="37">
        <f t="shared" si="21"/>
        <v>0</v>
      </c>
      <c r="L47" s="23">
        <f t="shared" si="19"/>
        <v>0</v>
      </c>
      <c r="M47" s="23">
        <f t="shared" si="19"/>
        <v>0</v>
      </c>
      <c r="N47" s="23">
        <f t="shared" si="19"/>
        <v>0</v>
      </c>
      <c r="O47" s="37">
        <f t="shared" si="20"/>
        <v>0</v>
      </c>
      <c r="P47" s="37">
        <f t="shared" si="20"/>
        <v>0</v>
      </c>
      <c r="Q47" s="37">
        <f t="shared" si="15"/>
        <v>0</v>
      </c>
      <c r="R47" s="39" t="e">
        <f t="shared" si="16"/>
        <v>#DIV/0!</v>
      </c>
      <c r="S47" s="39" t="e">
        <f t="shared" si="16"/>
        <v>#DIV/0!</v>
      </c>
      <c r="T47" s="39" t="e">
        <f t="shared" si="3"/>
        <v>#DIV/0!</v>
      </c>
      <c r="U47" s="67"/>
      <c r="V47" s="35"/>
      <c r="W47" s="67"/>
      <c r="X47" s="54"/>
      <c r="Y47" s="54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40"/>
      <c r="BI47" s="41"/>
      <c r="BJ47" s="41"/>
      <c r="BK47" s="41"/>
      <c r="BL47" s="41"/>
    </row>
    <row r="48" spans="1:64" ht="15.75" hidden="1" customHeight="1" x14ac:dyDescent="0.25">
      <c r="A48" s="42"/>
      <c r="B48" s="51"/>
      <c r="C48" s="192" t="s">
        <v>89</v>
      </c>
      <c r="D48" s="195" t="s">
        <v>135</v>
      </c>
      <c r="E48" s="72"/>
      <c r="F48" s="73"/>
      <c r="G48" s="73"/>
      <c r="H48" s="53"/>
      <c r="I48" s="37">
        <f t="shared" si="21"/>
        <v>0</v>
      </c>
      <c r="J48" s="37">
        <f t="shared" si="21"/>
        <v>0</v>
      </c>
      <c r="K48" s="37">
        <f t="shared" si="21"/>
        <v>0</v>
      </c>
      <c r="L48" s="23">
        <f t="shared" si="19"/>
        <v>0</v>
      </c>
      <c r="M48" s="23">
        <f t="shared" si="19"/>
        <v>0</v>
      </c>
      <c r="N48" s="23">
        <f t="shared" si="19"/>
        <v>0</v>
      </c>
      <c r="O48" s="37">
        <f t="shared" si="20"/>
        <v>0</v>
      </c>
      <c r="P48" s="37">
        <f t="shared" si="20"/>
        <v>0</v>
      </c>
      <c r="Q48" s="37">
        <f t="shared" si="15"/>
        <v>0</v>
      </c>
      <c r="R48" s="39" t="e">
        <f t="shared" si="16"/>
        <v>#DIV/0!</v>
      </c>
      <c r="S48" s="39" t="e">
        <f t="shared" si="16"/>
        <v>#DIV/0!</v>
      </c>
      <c r="T48" s="39" t="e">
        <f t="shared" si="3"/>
        <v>#DIV/0!</v>
      </c>
      <c r="U48" s="35"/>
      <c r="V48" s="35"/>
      <c r="W48" s="35"/>
      <c r="X48" s="68"/>
      <c r="Y48" s="68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40"/>
      <c r="BI48" s="41"/>
      <c r="BJ48" s="41"/>
      <c r="BK48" s="41"/>
      <c r="BL48" s="41"/>
    </row>
    <row r="49" spans="1:64" ht="15.75" hidden="1" customHeight="1" x14ac:dyDescent="0.25">
      <c r="A49" s="42"/>
      <c r="B49" s="51"/>
      <c r="C49" s="192" t="s">
        <v>136</v>
      </c>
      <c r="D49" s="195" t="s">
        <v>137</v>
      </c>
      <c r="E49" s="74"/>
      <c r="F49" s="73"/>
      <c r="G49" s="73"/>
      <c r="H49" s="53"/>
      <c r="I49" s="37">
        <f t="shared" si="21"/>
        <v>0</v>
      </c>
      <c r="J49" s="37">
        <f t="shared" si="21"/>
        <v>0</v>
      </c>
      <c r="K49" s="37">
        <f t="shared" si="21"/>
        <v>0</v>
      </c>
      <c r="L49" s="23">
        <f t="shared" si="19"/>
        <v>0</v>
      </c>
      <c r="M49" s="23">
        <f t="shared" si="19"/>
        <v>0</v>
      </c>
      <c r="N49" s="23">
        <f t="shared" si="19"/>
        <v>0</v>
      </c>
      <c r="O49" s="37">
        <f t="shared" si="20"/>
        <v>0</v>
      </c>
      <c r="P49" s="37">
        <f t="shared" si="20"/>
        <v>0</v>
      </c>
      <c r="Q49" s="37">
        <f t="shared" si="15"/>
        <v>0</v>
      </c>
      <c r="R49" s="39" t="e">
        <f t="shared" si="16"/>
        <v>#DIV/0!</v>
      </c>
      <c r="S49" s="39" t="e">
        <f t="shared" si="16"/>
        <v>#DIV/0!</v>
      </c>
      <c r="T49" s="39" t="e">
        <f t="shared" si="3"/>
        <v>#DIV/0!</v>
      </c>
      <c r="U49" s="35"/>
      <c r="V49" s="35"/>
      <c r="W49" s="35"/>
      <c r="X49" s="54"/>
      <c r="Y49" s="54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40"/>
      <c r="BI49" s="41"/>
      <c r="BJ49" s="41"/>
      <c r="BK49" s="41"/>
      <c r="BL49" s="41"/>
    </row>
    <row r="50" spans="1:64" ht="15.75" hidden="1" customHeight="1" x14ac:dyDescent="0.25">
      <c r="A50" s="42"/>
      <c r="B50" s="51"/>
      <c r="C50" s="192" t="s">
        <v>73</v>
      </c>
      <c r="D50" s="195" t="s">
        <v>138</v>
      </c>
      <c r="E50" s="35"/>
      <c r="F50" s="75"/>
      <c r="G50" s="75"/>
      <c r="H50" s="53"/>
      <c r="I50" s="37">
        <f t="shared" si="21"/>
        <v>0</v>
      </c>
      <c r="J50" s="37">
        <f t="shared" si="21"/>
        <v>0</v>
      </c>
      <c r="K50" s="37">
        <f t="shared" si="21"/>
        <v>0</v>
      </c>
      <c r="L50" s="23">
        <f t="shared" si="19"/>
        <v>0</v>
      </c>
      <c r="M50" s="23">
        <f t="shared" si="19"/>
        <v>0</v>
      </c>
      <c r="N50" s="23">
        <f t="shared" si="19"/>
        <v>0</v>
      </c>
      <c r="O50" s="37">
        <f t="shared" si="20"/>
        <v>0</v>
      </c>
      <c r="P50" s="37">
        <f t="shared" si="20"/>
        <v>0</v>
      </c>
      <c r="Q50" s="37">
        <f t="shared" si="15"/>
        <v>0</v>
      </c>
      <c r="R50" s="39" t="e">
        <f t="shared" ref="R50:S65" si="22">I50/E50</f>
        <v>#DIV/0!</v>
      </c>
      <c r="S50" s="39" t="e">
        <f t="shared" si="22"/>
        <v>#DIV/0!</v>
      </c>
      <c r="T50" s="39" t="e">
        <f t="shared" si="3"/>
        <v>#DIV/0!</v>
      </c>
      <c r="U50" s="35"/>
      <c r="V50" s="35"/>
      <c r="W50" s="35"/>
      <c r="X50" s="54"/>
      <c r="Y50" s="54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40"/>
      <c r="BI50" s="41"/>
      <c r="BJ50" s="41"/>
      <c r="BK50" s="41"/>
      <c r="BL50" s="41"/>
    </row>
    <row r="51" spans="1:64" ht="15.75" customHeight="1" x14ac:dyDescent="0.25">
      <c r="A51" s="42"/>
      <c r="B51" s="51" t="s">
        <v>139</v>
      </c>
      <c r="C51" s="197" t="s">
        <v>140</v>
      </c>
      <c r="D51" s="198" t="s">
        <v>141</v>
      </c>
      <c r="E51" s="35"/>
      <c r="F51" s="75">
        <v>34415.78</v>
      </c>
      <c r="G51" s="75"/>
      <c r="H51" s="53"/>
      <c r="I51" s="37">
        <f t="shared" si="21"/>
        <v>0</v>
      </c>
      <c r="J51" s="37">
        <f t="shared" si="21"/>
        <v>10324.73</v>
      </c>
      <c r="K51" s="37">
        <f t="shared" si="21"/>
        <v>0</v>
      </c>
      <c r="L51" s="23">
        <f t="shared" si="19"/>
        <v>0</v>
      </c>
      <c r="M51" s="23">
        <f t="shared" si="19"/>
        <v>10324.73</v>
      </c>
      <c r="N51" s="23">
        <f t="shared" si="19"/>
        <v>0</v>
      </c>
      <c r="O51" s="37">
        <f t="shared" si="20"/>
        <v>0</v>
      </c>
      <c r="P51" s="37">
        <f t="shared" si="20"/>
        <v>24091.05</v>
      </c>
      <c r="Q51" s="37">
        <f t="shared" si="15"/>
        <v>0</v>
      </c>
      <c r="R51" s="39" t="e">
        <f t="shared" si="22"/>
        <v>#DIV/0!</v>
      </c>
      <c r="S51" s="39">
        <f t="shared" si="22"/>
        <v>0.29999988377424541</v>
      </c>
      <c r="T51" s="39" t="e">
        <f t="shared" si="3"/>
        <v>#DIV/0!</v>
      </c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>
        <v>10324.73</v>
      </c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40"/>
      <c r="BI51" s="41"/>
      <c r="BJ51" s="41"/>
      <c r="BK51" s="41"/>
      <c r="BL51" s="41"/>
    </row>
    <row r="52" spans="1:64" ht="15.75" customHeight="1" x14ac:dyDescent="0.25">
      <c r="A52" s="42"/>
      <c r="B52" s="51" t="s">
        <v>142</v>
      </c>
      <c r="C52" s="197" t="s">
        <v>140</v>
      </c>
      <c r="D52" s="198" t="s">
        <v>143</v>
      </c>
      <c r="E52" s="35"/>
      <c r="F52" s="75">
        <v>15982.5</v>
      </c>
      <c r="G52" s="75"/>
      <c r="H52" s="53"/>
      <c r="I52" s="37">
        <f t="shared" si="21"/>
        <v>0</v>
      </c>
      <c r="J52" s="37">
        <f t="shared" si="21"/>
        <v>15982.5</v>
      </c>
      <c r="K52" s="37">
        <f t="shared" si="21"/>
        <v>0</v>
      </c>
      <c r="L52" s="23">
        <f t="shared" si="19"/>
        <v>0</v>
      </c>
      <c r="M52" s="23">
        <f t="shared" si="19"/>
        <v>15982.5</v>
      </c>
      <c r="N52" s="23">
        <f t="shared" si="19"/>
        <v>0</v>
      </c>
      <c r="O52" s="37">
        <f t="shared" si="20"/>
        <v>0</v>
      </c>
      <c r="P52" s="37">
        <f t="shared" si="20"/>
        <v>0</v>
      </c>
      <c r="Q52" s="37">
        <f t="shared" si="15"/>
        <v>0</v>
      </c>
      <c r="R52" s="39" t="e">
        <f t="shared" si="22"/>
        <v>#DIV/0!</v>
      </c>
      <c r="S52" s="39">
        <f t="shared" si="22"/>
        <v>1</v>
      </c>
      <c r="T52" s="39" t="e">
        <f t="shared" si="3"/>
        <v>#DIV/0!</v>
      </c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>
        <v>15982.5</v>
      </c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40"/>
      <c r="BI52" s="41"/>
      <c r="BJ52" s="41"/>
      <c r="BK52" s="41"/>
      <c r="BL52" s="41"/>
    </row>
    <row r="53" spans="1:64" ht="15.75" customHeight="1" x14ac:dyDescent="0.25">
      <c r="A53" s="42" t="s">
        <v>144</v>
      </c>
      <c r="B53" s="51"/>
      <c r="C53" s="197" t="s">
        <v>145</v>
      </c>
      <c r="D53" s="198" t="s">
        <v>146</v>
      </c>
      <c r="E53" s="35">
        <f>481.98+27.08+902.65+115.52</f>
        <v>1527.23</v>
      </c>
      <c r="F53" s="58"/>
      <c r="G53" s="58"/>
      <c r="H53" s="53"/>
      <c r="I53" s="37">
        <f t="shared" si="21"/>
        <v>1527.23</v>
      </c>
      <c r="J53" s="37">
        <f t="shared" si="21"/>
        <v>0</v>
      </c>
      <c r="K53" s="37">
        <f t="shared" si="21"/>
        <v>0</v>
      </c>
      <c r="L53" s="23">
        <f t="shared" si="19"/>
        <v>1527.23</v>
      </c>
      <c r="M53" s="23">
        <f t="shared" si="19"/>
        <v>0</v>
      </c>
      <c r="N53" s="23">
        <f t="shared" si="19"/>
        <v>0</v>
      </c>
      <c r="O53" s="37">
        <f t="shared" si="20"/>
        <v>0</v>
      </c>
      <c r="P53" s="37">
        <f t="shared" si="20"/>
        <v>0</v>
      </c>
      <c r="Q53" s="37">
        <f t="shared" si="15"/>
        <v>0</v>
      </c>
      <c r="R53" s="39">
        <f t="shared" si="22"/>
        <v>1</v>
      </c>
      <c r="S53" s="39" t="e">
        <f t="shared" si="22"/>
        <v>#DIV/0!</v>
      </c>
      <c r="T53" s="39" t="e">
        <f t="shared" si="3"/>
        <v>#DIV/0!</v>
      </c>
      <c r="U53" s="35">
        <f>27.08</f>
        <v>27.08</v>
      </c>
      <c r="V53" s="35"/>
      <c r="W53" s="35"/>
      <c r="X53" s="35"/>
      <c r="Y53" s="35"/>
      <c r="Z53" s="35"/>
      <c r="AA53" s="35"/>
      <c r="AB53" s="35"/>
      <c r="AC53" s="35"/>
      <c r="AD53" s="35">
        <f>481.98</f>
        <v>481.98</v>
      </c>
      <c r="AE53" s="35"/>
      <c r="AF53" s="35"/>
      <c r="AG53" s="35"/>
      <c r="AH53" s="35"/>
      <c r="AI53" s="35"/>
      <c r="AJ53" s="35">
        <f>115.52+902.65</f>
        <v>1018.17</v>
      </c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40"/>
      <c r="BI53" s="41"/>
      <c r="BJ53" s="41"/>
      <c r="BK53" s="41"/>
      <c r="BL53" s="41"/>
    </row>
    <row r="54" spans="1:64" ht="15.75" customHeight="1" x14ac:dyDescent="0.25">
      <c r="A54" s="42" t="s">
        <v>147</v>
      </c>
      <c r="B54" s="42"/>
      <c r="C54" s="190" t="s">
        <v>148</v>
      </c>
      <c r="D54" s="199" t="s">
        <v>149</v>
      </c>
      <c r="E54" s="35">
        <v>83</v>
      </c>
      <c r="F54" s="75"/>
      <c r="G54" s="75"/>
      <c r="H54" s="36"/>
      <c r="I54" s="37">
        <f t="shared" si="21"/>
        <v>83</v>
      </c>
      <c r="J54" s="37">
        <f t="shared" si="21"/>
        <v>0</v>
      </c>
      <c r="K54" s="37">
        <f t="shared" si="21"/>
        <v>0</v>
      </c>
      <c r="L54" s="23">
        <f t="shared" si="19"/>
        <v>83</v>
      </c>
      <c r="M54" s="23">
        <f t="shared" si="19"/>
        <v>0</v>
      </c>
      <c r="N54" s="23">
        <f t="shared" si="19"/>
        <v>0</v>
      </c>
      <c r="O54" s="37">
        <f t="shared" si="20"/>
        <v>0</v>
      </c>
      <c r="P54" s="37">
        <f t="shared" si="20"/>
        <v>0</v>
      </c>
      <c r="Q54" s="37">
        <f t="shared" si="15"/>
        <v>0</v>
      </c>
      <c r="R54" s="39">
        <f t="shared" si="22"/>
        <v>1</v>
      </c>
      <c r="S54" s="39" t="e">
        <f t="shared" si="22"/>
        <v>#DIV/0!</v>
      </c>
      <c r="T54" s="39" t="e">
        <f t="shared" si="3"/>
        <v>#DIV/0!</v>
      </c>
      <c r="U54" s="35"/>
      <c r="V54" s="35"/>
      <c r="W54" s="35"/>
      <c r="X54" s="35"/>
      <c r="Y54" s="35"/>
      <c r="Z54" s="35"/>
      <c r="AA54" s="35"/>
      <c r="AB54" s="35"/>
      <c r="AC54" s="35"/>
      <c r="AD54" s="35">
        <v>83</v>
      </c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40"/>
      <c r="BI54" s="41"/>
      <c r="BJ54" s="41"/>
      <c r="BK54" s="41"/>
      <c r="BL54" s="41"/>
    </row>
    <row r="55" spans="1:64" ht="21" x14ac:dyDescent="0.25">
      <c r="A55" s="27"/>
      <c r="B55" s="27" t="s">
        <v>150</v>
      </c>
      <c r="C55" s="28"/>
      <c r="D55" s="27"/>
      <c r="E55" s="29">
        <f t="shared" ref="E55:K55" si="23">E56+E61+E62+E63+E64+E65+E68+E72+E77</f>
        <v>60904.97</v>
      </c>
      <c r="F55" s="29">
        <f t="shared" si="23"/>
        <v>461692.3</v>
      </c>
      <c r="G55" s="29">
        <f t="shared" si="23"/>
        <v>0</v>
      </c>
      <c r="H55" s="29">
        <f t="shared" si="23"/>
        <v>0</v>
      </c>
      <c r="I55" s="29">
        <f t="shared" si="23"/>
        <v>43744.15</v>
      </c>
      <c r="J55" s="29">
        <f t="shared" si="23"/>
        <v>459414.44</v>
      </c>
      <c r="K55" s="29">
        <f t="shared" si="23"/>
        <v>0</v>
      </c>
      <c r="L55" s="29">
        <f t="shared" si="19"/>
        <v>43744.15</v>
      </c>
      <c r="M55" s="29">
        <f t="shared" si="19"/>
        <v>458987.70999999996</v>
      </c>
      <c r="N55" s="29">
        <f t="shared" si="19"/>
        <v>0</v>
      </c>
      <c r="O55" s="29">
        <f>O56+O61+O62+O63+O64+O65+O68+O72+O77</f>
        <v>17160.82</v>
      </c>
      <c r="P55" s="29">
        <f>P56+P61+P62+P63+P64+P65+P68+P72+P77</f>
        <v>2277.86</v>
      </c>
      <c r="Q55" s="29">
        <f>Q56+Q61+Q62+Q63+Q64+Q65+Q68+Q72+Q77</f>
        <v>0</v>
      </c>
      <c r="R55" s="30">
        <f t="shared" si="22"/>
        <v>0.71823613081165627</v>
      </c>
      <c r="S55" s="30">
        <f t="shared" si="22"/>
        <v>0.9950662811573856</v>
      </c>
      <c r="T55" s="30" t="e">
        <f t="shared" si="3"/>
        <v>#DIV/0!</v>
      </c>
      <c r="U55" s="29">
        <f t="shared" ref="U55:BG55" si="24">U56+U61+U62+U63+U64+U65+U68+U72+U77</f>
        <v>0</v>
      </c>
      <c r="V55" s="29">
        <f t="shared" si="24"/>
        <v>3523.0600000000004</v>
      </c>
      <c r="W55" s="29">
        <f t="shared" si="24"/>
        <v>0</v>
      </c>
      <c r="X55" s="29">
        <f t="shared" si="24"/>
        <v>0</v>
      </c>
      <c r="Y55" s="29">
        <f t="shared" si="24"/>
        <v>3848.8500000000004</v>
      </c>
      <c r="Z55" s="29">
        <f t="shared" si="24"/>
        <v>0</v>
      </c>
      <c r="AA55" s="29">
        <f t="shared" si="24"/>
        <v>2918.32</v>
      </c>
      <c r="AB55" s="29">
        <f t="shared" si="24"/>
        <v>90937.34</v>
      </c>
      <c r="AC55" s="29">
        <f t="shared" si="24"/>
        <v>0</v>
      </c>
      <c r="AD55" s="29">
        <f t="shared" si="24"/>
        <v>2918.32</v>
      </c>
      <c r="AE55" s="29">
        <f t="shared" si="24"/>
        <v>309427.32</v>
      </c>
      <c r="AF55" s="29">
        <f t="shared" si="24"/>
        <v>0</v>
      </c>
      <c r="AG55" s="29">
        <f t="shared" si="24"/>
        <v>20446.54</v>
      </c>
      <c r="AH55" s="29">
        <f t="shared" si="24"/>
        <v>41883.300000000003</v>
      </c>
      <c r="AI55" s="29">
        <f t="shared" si="24"/>
        <v>0</v>
      </c>
      <c r="AJ55" s="29">
        <f t="shared" si="24"/>
        <v>4274.1100000000006</v>
      </c>
      <c r="AK55" s="29">
        <f t="shared" si="24"/>
        <v>8778.7999999999993</v>
      </c>
      <c r="AL55" s="29">
        <f t="shared" si="24"/>
        <v>0</v>
      </c>
      <c r="AM55" s="29">
        <f t="shared" si="24"/>
        <v>9908.85</v>
      </c>
      <c r="AN55" s="29">
        <f t="shared" si="24"/>
        <v>281.66999999999996</v>
      </c>
      <c r="AO55" s="29">
        <f t="shared" si="24"/>
        <v>0</v>
      </c>
      <c r="AP55" s="29">
        <f t="shared" si="24"/>
        <v>3278.01</v>
      </c>
      <c r="AQ55" s="29">
        <f t="shared" si="24"/>
        <v>307.37</v>
      </c>
      <c r="AR55" s="29">
        <f t="shared" si="24"/>
        <v>0</v>
      </c>
      <c r="AS55" s="29">
        <f t="shared" si="24"/>
        <v>0</v>
      </c>
      <c r="AT55" s="29">
        <f t="shared" si="24"/>
        <v>0</v>
      </c>
      <c r="AU55" s="29">
        <f t="shared" si="24"/>
        <v>0</v>
      </c>
      <c r="AV55" s="29">
        <f t="shared" si="24"/>
        <v>0</v>
      </c>
      <c r="AW55" s="29">
        <f t="shared" si="24"/>
        <v>0</v>
      </c>
      <c r="AX55" s="29">
        <f t="shared" si="24"/>
        <v>0</v>
      </c>
      <c r="AY55" s="29">
        <f t="shared" si="24"/>
        <v>0</v>
      </c>
      <c r="AZ55" s="29">
        <f t="shared" si="24"/>
        <v>0</v>
      </c>
      <c r="BA55" s="29">
        <f t="shared" si="24"/>
        <v>0</v>
      </c>
      <c r="BB55" s="29">
        <f t="shared" si="24"/>
        <v>0</v>
      </c>
      <c r="BC55" s="29">
        <f t="shared" si="24"/>
        <v>0</v>
      </c>
      <c r="BD55" s="29">
        <f t="shared" si="24"/>
        <v>0</v>
      </c>
      <c r="BE55" s="29">
        <f t="shared" si="24"/>
        <v>0</v>
      </c>
      <c r="BF55" s="29">
        <f t="shared" si="24"/>
        <v>0</v>
      </c>
      <c r="BG55" s="29">
        <f t="shared" si="24"/>
        <v>0</v>
      </c>
      <c r="BH55" s="77"/>
      <c r="BI55" s="78"/>
      <c r="BJ55" s="78"/>
      <c r="BK55" s="78"/>
      <c r="BL55" s="78"/>
    </row>
    <row r="56" spans="1:64" ht="15.75" customHeight="1" x14ac:dyDescent="0.25">
      <c r="A56" s="79"/>
      <c r="B56" s="79"/>
      <c r="C56" s="80"/>
      <c r="D56" s="81" t="s">
        <v>151</v>
      </c>
      <c r="E56" s="82">
        <f>SUM(E57:E60)</f>
        <v>28676.75</v>
      </c>
      <c r="F56" s="82">
        <f>SUM(F57:F64)</f>
        <v>11496.14</v>
      </c>
      <c r="G56" s="82"/>
      <c r="H56" s="82">
        <f>SUM(H57:H58)</f>
        <v>0</v>
      </c>
      <c r="I56" s="82">
        <f>SUM(I57:I60)</f>
        <v>18585.93</v>
      </c>
      <c r="J56" s="82">
        <f>SUM(J57:J60)</f>
        <v>9218.2800000000007</v>
      </c>
      <c r="K56" s="82">
        <f>SUM(K57:K58)</f>
        <v>0</v>
      </c>
      <c r="L56" s="22">
        <f>IF(BE56=0,SUM(U56+X56+AA56+AD56+AG56+AJ56+AM56+AP56+AS56+AV56+AY56+BB56),BE56)</f>
        <v>18585.93</v>
      </c>
      <c r="M56" s="22">
        <f>IF(BF56=0,SUM(V56+Y56+AB56+AE56+AH56+AK56+AN56+AQ56+AT56+AW56+AZ56+BC56),BF56)</f>
        <v>8791.5500000000029</v>
      </c>
      <c r="N56" s="22">
        <f t="shared" si="19"/>
        <v>0</v>
      </c>
      <c r="O56" s="82">
        <f>SUM(O57:O60)</f>
        <v>10090.82</v>
      </c>
      <c r="P56" s="82">
        <f>SUM(P57:P60)</f>
        <v>2277.86</v>
      </c>
      <c r="Q56" s="82">
        <f>SUM(Q57:Q60)</f>
        <v>0</v>
      </c>
      <c r="R56" s="83">
        <f t="shared" si="22"/>
        <v>0.64811842346151505</v>
      </c>
      <c r="S56" s="83">
        <f t="shared" si="22"/>
        <v>0.80185871083685489</v>
      </c>
      <c r="T56" s="83" t="e">
        <f t="shared" si="3"/>
        <v>#DIV/0!</v>
      </c>
      <c r="U56" s="82">
        <f>SUM(U57:U58)</f>
        <v>0</v>
      </c>
      <c r="V56" s="82">
        <f>SUM(V57:V60)</f>
        <v>3523.0600000000004</v>
      </c>
      <c r="W56" s="82">
        <f>SUM(W57:W58)</f>
        <v>0</v>
      </c>
      <c r="X56" s="82">
        <f>SUM(X57:X58)</f>
        <v>0</v>
      </c>
      <c r="Y56" s="82">
        <f>SUM(Y57:Y60)</f>
        <v>3492.6700000000005</v>
      </c>
      <c r="Z56" s="82">
        <f t="shared" ref="Z56:BG56" si="25">SUM(Z57:Z58)</f>
        <v>0</v>
      </c>
      <c r="AA56" s="82">
        <f>SUM(AA57:AA60)</f>
        <v>2918.32</v>
      </c>
      <c r="AB56" s="82">
        <f>SUM(AB57:AB60)</f>
        <v>517.04</v>
      </c>
      <c r="AC56" s="82">
        <f t="shared" si="25"/>
        <v>0</v>
      </c>
      <c r="AD56" s="82">
        <f>SUM(AD57:AD60)</f>
        <v>2918.32</v>
      </c>
      <c r="AE56" s="82">
        <f>SUM(AE57:AE60)</f>
        <v>477.64</v>
      </c>
      <c r="AF56" s="82">
        <f t="shared" si="25"/>
        <v>0</v>
      </c>
      <c r="AG56" s="82">
        <f>SUM(AG57:AG60)</f>
        <v>2918.32</v>
      </c>
      <c r="AH56" s="82">
        <f>SUM(AH57:AH60)</f>
        <v>83.3</v>
      </c>
      <c r="AI56" s="82">
        <f t="shared" si="25"/>
        <v>0</v>
      </c>
      <c r="AJ56" s="82">
        <f>SUM(AJ57:AJ60)</f>
        <v>3494.11</v>
      </c>
      <c r="AK56" s="82">
        <f>SUM(AK57:AK60)</f>
        <v>108.8</v>
      </c>
      <c r="AL56" s="82">
        <f t="shared" si="25"/>
        <v>0</v>
      </c>
      <c r="AM56" s="82">
        <f>SUM(AM57:AM60)</f>
        <v>3058.8500000000004</v>
      </c>
      <c r="AN56" s="82">
        <f t="shared" si="25"/>
        <v>281.66999999999996</v>
      </c>
      <c r="AO56" s="82">
        <f t="shared" si="25"/>
        <v>0</v>
      </c>
      <c r="AP56" s="82">
        <f>SUM(AP57:AP60)</f>
        <v>3278.01</v>
      </c>
      <c r="AQ56" s="82">
        <f>SUM(AQ57:AQ64)</f>
        <v>307.37</v>
      </c>
      <c r="AR56" s="82">
        <f t="shared" si="25"/>
        <v>0</v>
      </c>
      <c r="AS56" s="82">
        <f t="shared" si="25"/>
        <v>0</v>
      </c>
      <c r="AT56" s="82">
        <f t="shared" si="25"/>
        <v>0</v>
      </c>
      <c r="AU56" s="82">
        <f t="shared" si="25"/>
        <v>0</v>
      </c>
      <c r="AV56" s="82">
        <f t="shared" si="25"/>
        <v>0</v>
      </c>
      <c r="AW56" s="82">
        <f t="shared" si="25"/>
        <v>0</v>
      </c>
      <c r="AX56" s="82">
        <f t="shared" si="25"/>
        <v>0</v>
      </c>
      <c r="AY56" s="82">
        <f t="shared" si="25"/>
        <v>0</v>
      </c>
      <c r="AZ56" s="82">
        <f t="shared" si="25"/>
        <v>0</v>
      </c>
      <c r="BA56" s="82">
        <f t="shared" si="25"/>
        <v>0</v>
      </c>
      <c r="BB56" s="82">
        <f t="shared" si="25"/>
        <v>0</v>
      </c>
      <c r="BC56" s="82">
        <f t="shared" si="25"/>
        <v>0</v>
      </c>
      <c r="BD56" s="82">
        <f t="shared" si="25"/>
        <v>0</v>
      </c>
      <c r="BE56" s="82">
        <f t="shared" si="25"/>
        <v>0</v>
      </c>
      <c r="BF56" s="82">
        <f t="shared" si="25"/>
        <v>0</v>
      </c>
      <c r="BG56" s="82">
        <f t="shared" si="25"/>
        <v>0</v>
      </c>
      <c r="BH56" s="84"/>
      <c r="BI56" s="85"/>
      <c r="BJ56" s="85"/>
      <c r="BK56" s="85"/>
      <c r="BL56" s="85"/>
    </row>
    <row r="57" spans="1:64" ht="15.75" customHeight="1" x14ac:dyDescent="0.25">
      <c r="A57" s="86" t="s">
        <v>152</v>
      </c>
      <c r="B57" s="65" t="s">
        <v>153</v>
      </c>
      <c r="C57" s="192" t="s">
        <v>154</v>
      </c>
      <c r="D57" s="191" t="s">
        <v>155</v>
      </c>
      <c r="E57" s="87">
        <f>900+450+450+2250</f>
        <v>4050</v>
      </c>
      <c r="F57" s="52">
        <f>1546.43+35.56+281.67</f>
        <v>1863.66</v>
      </c>
      <c r="G57" s="52"/>
      <c r="H57" s="88"/>
      <c r="I57" s="37">
        <f>U57+X57+AA57+AD57+AG57+AJ57+AM57+AP57+AS57+AV57+AY57+BB57</f>
        <v>1076.01</v>
      </c>
      <c r="J57" s="37">
        <f>V57+Y57+AB57+AE57+AH57+AK57+AN57+AQ57+AT57+AW57+AZ57+BC57</f>
        <v>1863.6600000000003</v>
      </c>
      <c r="K57" s="37">
        <f>W57+Z57+AC57+AF57+AI57+AL57+AO57+AR57+AU57+AX57+BA57+BD57</f>
        <v>0</v>
      </c>
      <c r="L57" s="23">
        <f t="shared" si="19"/>
        <v>1076.01</v>
      </c>
      <c r="M57" s="23">
        <f t="shared" si="19"/>
        <v>1863.6600000000003</v>
      </c>
      <c r="N57" s="23">
        <f t="shared" si="19"/>
        <v>0</v>
      </c>
      <c r="O57" s="37">
        <f>E57-I57</f>
        <v>2973.99</v>
      </c>
      <c r="P57" s="37">
        <f>F57-J57</f>
        <v>0</v>
      </c>
      <c r="Q57" s="37">
        <f t="shared" ref="Q57:Q64" si="26">H57-K57</f>
        <v>0</v>
      </c>
      <c r="R57" s="39">
        <f t="shared" si="22"/>
        <v>0.26568148148148146</v>
      </c>
      <c r="S57" s="39">
        <f t="shared" si="22"/>
        <v>1.0000000000000002</v>
      </c>
      <c r="T57" s="39" t="e">
        <f t="shared" si="3"/>
        <v>#DIV/0!</v>
      </c>
      <c r="U57" s="35"/>
      <c r="V57" s="35">
        <v>338.21</v>
      </c>
      <c r="W57" s="35"/>
      <c r="X57" s="35"/>
      <c r="Y57" s="54">
        <v>442.57</v>
      </c>
      <c r="Z57" s="35"/>
      <c r="AA57" s="35"/>
      <c r="AB57" s="35">
        <v>350.6</v>
      </c>
      <c r="AC57" s="35"/>
      <c r="AD57" s="35"/>
      <c r="AE57" s="35">
        <v>288.42</v>
      </c>
      <c r="AF57" s="35"/>
      <c r="AG57" s="35"/>
      <c r="AH57" s="35"/>
      <c r="AI57" s="35"/>
      <c r="AJ57" s="35">
        <f>299.73+276.06</f>
        <v>575.79</v>
      </c>
      <c r="AK57" s="35"/>
      <c r="AL57" s="35"/>
      <c r="AM57" s="35">
        <v>140.53</v>
      </c>
      <c r="AN57" s="35">
        <f>422.2-140.53</f>
        <v>281.66999999999996</v>
      </c>
      <c r="AO57" s="35"/>
      <c r="AP57" s="35">
        <v>359.69</v>
      </c>
      <c r="AQ57" s="35">
        <v>162.19</v>
      </c>
      <c r="AR57" s="24"/>
      <c r="AS57" s="35"/>
      <c r="AT57" s="24"/>
      <c r="AU57" s="24"/>
      <c r="AV57" s="35"/>
      <c r="AW57" s="24"/>
      <c r="AX57" s="24"/>
      <c r="AY57" s="35"/>
      <c r="AZ57" s="24"/>
      <c r="BA57" s="24"/>
      <c r="BB57" s="35"/>
      <c r="BC57" s="24"/>
      <c r="BD57" s="24"/>
      <c r="BE57" s="35"/>
      <c r="BF57" s="24"/>
      <c r="BG57" s="24"/>
      <c r="BH57" s="40"/>
      <c r="BI57" s="89"/>
      <c r="BJ57" s="89"/>
      <c r="BK57" s="89"/>
      <c r="BL57" s="89"/>
    </row>
    <row r="58" spans="1:64" ht="15.75" customHeight="1" x14ac:dyDescent="0.25">
      <c r="A58" s="64" t="s">
        <v>156</v>
      </c>
      <c r="B58" s="65" t="s">
        <v>157</v>
      </c>
      <c r="C58" s="192" t="s">
        <v>158</v>
      </c>
      <c r="D58" s="191" t="s">
        <v>159</v>
      </c>
      <c r="E58" s="35">
        <f>2491.59+2491.59+2491.59+2491.59+2491.59+2491.59+4983.18</f>
        <v>19932.72</v>
      </c>
      <c r="F58" s="52">
        <v>4983.18</v>
      </c>
      <c r="G58" s="52"/>
      <c r="H58" s="88"/>
      <c r="I58" s="37">
        <f t="shared" ref="I58:K64" si="27">U58+X58+AA58+AD58+AG58+AJ58+AM58+AP58+AS58+AV58+AY58+BB58</f>
        <v>14949.54</v>
      </c>
      <c r="J58" s="37">
        <f t="shared" si="27"/>
        <v>4983.18</v>
      </c>
      <c r="K58" s="37">
        <f t="shared" si="27"/>
        <v>0</v>
      </c>
      <c r="L58" s="23">
        <f t="shared" si="19"/>
        <v>14949.54</v>
      </c>
      <c r="M58" s="23">
        <f t="shared" si="19"/>
        <v>4983.18</v>
      </c>
      <c r="N58" s="23">
        <f t="shared" si="19"/>
        <v>0</v>
      </c>
      <c r="O58" s="37">
        <f>E58-I58</f>
        <v>4983.18</v>
      </c>
      <c r="P58" s="37">
        <f>F58-J58</f>
        <v>0</v>
      </c>
      <c r="Q58" s="37">
        <f t="shared" si="26"/>
        <v>0</v>
      </c>
      <c r="R58" s="39">
        <f t="shared" si="22"/>
        <v>0.75</v>
      </c>
      <c r="S58" s="39">
        <f t="shared" si="22"/>
        <v>1</v>
      </c>
      <c r="T58" s="39" t="e">
        <f t="shared" si="3"/>
        <v>#DIV/0!</v>
      </c>
      <c r="U58" s="35"/>
      <c r="V58" s="35">
        <v>2491.59</v>
      </c>
      <c r="W58" s="35"/>
      <c r="X58" s="35"/>
      <c r="Y58" s="54">
        <v>2491.59</v>
      </c>
      <c r="Z58" s="35"/>
      <c r="AA58" s="35">
        <f>2491.59</f>
        <v>2491.59</v>
      </c>
      <c r="AB58" s="35"/>
      <c r="AC58" s="35"/>
      <c r="AD58" s="35">
        <v>2491.59</v>
      </c>
      <c r="AE58" s="35"/>
      <c r="AF58" s="35"/>
      <c r="AG58" s="35">
        <f>2491.59</f>
        <v>2491.59</v>
      </c>
      <c r="AH58" s="35"/>
      <c r="AI58" s="35"/>
      <c r="AJ58" s="35">
        <v>2491.59</v>
      </c>
      <c r="AK58" s="35"/>
      <c r="AL58" s="35"/>
      <c r="AM58" s="35">
        <v>2491.59</v>
      </c>
      <c r="AN58" s="35"/>
      <c r="AO58" s="35"/>
      <c r="AP58" s="35">
        <v>2491.59</v>
      </c>
      <c r="AQ58" s="35"/>
      <c r="AR58" s="24"/>
      <c r="AS58" s="24"/>
      <c r="AT58" s="24"/>
      <c r="AU58" s="24"/>
      <c r="AV58" s="24"/>
      <c r="AW58" s="24"/>
      <c r="AX58" s="24"/>
      <c r="AY58" s="35"/>
      <c r="AZ58" s="24"/>
      <c r="BA58" s="24"/>
      <c r="BB58" s="24"/>
      <c r="BC58" s="24"/>
      <c r="BD58" s="24"/>
      <c r="BE58" s="24"/>
      <c r="BF58" s="24"/>
      <c r="BG58" s="24"/>
      <c r="BH58" s="40"/>
      <c r="BI58" s="89"/>
      <c r="BJ58" s="89"/>
      <c r="BK58" s="89"/>
      <c r="BL58" s="89"/>
    </row>
    <row r="59" spans="1:64" ht="15.75" customHeight="1" x14ac:dyDescent="0.25">
      <c r="A59" s="64" t="s">
        <v>160</v>
      </c>
      <c r="B59" s="65" t="s">
        <v>161</v>
      </c>
      <c r="C59" s="192" t="s">
        <v>86</v>
      </c>
      <c r="D59" s="191" t="s">
        <v>162</v>
      </c>
      <c r="E59" s="35">
        <f>426.73+426.73+426.73+426.73+426.73+426.73+2133.65</f>
        <v>4694.0300000000007</v>
      </c>
      <c r="F59" s="52">
        <v>853.46</v>
      </c>
      <c r="G59" s="52"/>
      <c r="H59" s="88"/>
      <c r="I59" s="37">
        <f>U59+X59+AA59+AD59+AG59+AJ59+AM59+AP59+AS59+AV59+AY59+BB59</f>
        <v>2560.38</v>
      </c>
      <c r="J59" s="37">
        <f>V59+Y59+AB59+AE59+AH59+AK59+AN59+AP59+AT59+AW59+AZ59+BC59</f>
        <v>1280.19</v>
      </c>
      <c r="K59" s="37">
        <f t="shared" si="27"/>
        <v>0</v>
      </c>
      <c r="L59" s="23">
        <f>IF(BE59=0,SUM(U59+X59+AA59+AD59+AG59+AJ59+AM59+AP59+AS59+AV59+AY59+BB59),BE59)</f>
        <v>2560.38</v>
      </c>
      <c r="M59" s="23">
        <f>IF(BF59=0,SUM(V59+Y59+AB59+AE59+AH59+AK59+AN59+AP59+AT59+AW59+AZ59+BC59),BF59)</f>
        <v>1280.19</v>
      </c>
      <c r="N59" s="23">
        <f t="shared" si="19"/>
        <v>0</v>
      </c>
      <c r="O59" s="37">
        <f t="shared" ref="O59:P64" si="28">E59-I59</f>
        <v>2133.6500000000005</v>
      </c>
      <c r="P59" s="37">
        <f t="shared" si="28"/>
        <v>-426.73</v>
      </c>
      <c r="Q59" s="37">
        <f t="shared" si="26"/>
        <v>0</v>
      </c>
      <c r="R59" s="39">
        <f t="shared" si="22"/>
        <v>0.54545454545454541</v>
      </c>
      <c r="S59" s="39">
        <f t="shared" si="22"/>
        <v>1.5</v>
      </c>
      <c r="T59" s="39" t="e">
        <f t="shared" si="3"/>
        <v>#DIV/0!</v>
      </c>
      <c r="U59" s="35"/>
      <c r="V59" s="35">
        <v>426.73</v>
      </c>
      <c r="W59" s="35"/>
      <c r="X59" s="35"/>
      <c r="Y59" s="54">
        <v>426.73</v>
      </c>
      <c r="Z59" s="35"/>
      <c r="AA59" s="35">
        <f>426.73</f>
        <v>426.73</v>
      </c>
      <c r="AB59" s="35"/>
      <c r="AC59" s="35"/>
      <c r="AD59" s="35">
        <v>426.73</v>
      </c>
      <c r="AE59" s="35"/>
      <c r="AF59" s="35"/>
      <c r="AG59" s="35">
        <f>426.73</f>
        <v>426.73</v>
      </c>
      <c r="AH59" s="35"/>
      <c r="AI59" s="35"/>
      <c r="AJ59" s="35">
        <v>426.73</v>
      </c>
      <c r="AK59" s="35"/>
      <c r="AL59" s="35"/>
      <c r="AM59" s="35">
        <v>426.73</v>
      </c>
      <c r="AN59" s="35"/>
      <c r="AO59" s="35"/>
      <c r="AP59" s="35">
        <f>426.73</f>
        <v>426.73</v>
      </c>
      <c r="AR59" s="24"/>
      <c r="AS59" s="24"/>
      <c r="AT59" s="24"/>
      <c r="AU59" s="24"/>
      <c r="AV59" s="24"/>
      <c r="AW59" s="24"/>
      <c r="AX59" s="24"/>
      <c r="AY59" s="35"/>
      <c r="AZ59" s="24"/>
      <c r="BA59" s="24"/>
      <c r="BB59" s="24"/>
      <c r="BC59" s="24"/>
      <c r="BD59" s="24"/>
      <c r="BE59" s="24"/>
      <c r="BF59" s="24"/>
      <c r="BG59" s="24"/>
      <c r="BH59" s="40"/>
      <c r="BI59" s="89"/>
      <c r="BJ59" s="89"/>
      <c r="BK59" s="89"/>
      <c r="BL59" s="89"/>
    </row>
    <row r="60" spans="1:64" ht="15.75" customHeight="1" x14ac:dyDescent="0.25">
      <c r="A60" s="64"/>
      <c r="B60" s="65" t="s">
        <v>163</v>
      </c>
      <c r="C60" s="192" t="s">
        <v>164</v>
      </c>
      <c r="D60" s="191" t="s">
        <v>165</v>
      </c>
      <c r="E60" s="35"/>
      <c r="F60" s="52">
        <v>3795.84</v>
      </c>
      <c r="G60" s="52"/>
      <c r="H60" s="88"/>
      <c r="I60" s="37">
        <f t="shared" si="27"/>
        <v>0</v>
      </c>
      <c r="J60" s="37">
        <f t="shared" si="27"/>
        <v>1091.25</v>
      </c>
      <c r="K60" s="37">
        <f t="shared" si="27"/>
        <v>0</v>
      </c>
      <c r="L60" s="23">
        <f t="shared" ref="L60:N75" si="29">IF(BE60=0,SUM(U60+X60+AA60+AD60+AG60+AJ60+AM60+AP60+AS60+AV60+AY60+BB60),BE60)</f>
        <v>0</v>
      </c>
      <c r="M60" s="23">
        <f t="shared" si="29"/>
        <v>1091.25</v>
      </c>
      <c r="N60" s="23">
        <f t="shared" si="29"/>
        <v>0</v>
      </c>
      <c r="O60" s="37">
        <f t="shared" si="28"/>
        <v>0</v>
      </c>
      <c r="P60" s="37">
        <f t="shared" si="28"/>
        <v>2704.59</v>
      </c>
      <c r="Q60" s="37">
        <f t="shared" si="26"/>
        <v>0</v>
      </c>
      <c r="R60" s="39" t="e">
        <f t="shared" si="22"/>
        <v>#DIV/0!</v>
      </c>
      <c r="S60" s="39">
        <f t="shared" si="22"/>
        <v>0.28748577389984825</v>
      </c>
      <c r="T60" s="39" t="e">
        <f t="shared" si="3"/>
        <v>#DIV/0!</v>
      </c>
      <c r="U60" s="35"/>
      <c r="V60" s="35">
        <v>266.52999999999997</v>
      </c>
      <c r="W60" s="35"/>
      <c r="X60" s="35"/>
      <c r="Y60" s="54">
        <v>131.78</v>
      </c>
      <c r="Z60" s="35"/>
      <c r="AA60" s="35"/>
      <c r="AB60" s="35">
        <f>166.44</f>
        <v>166.44</v>
      </c>
      <c r="AC60" s="35"/>
      <c r="AD60" s="35"/>
      <c r="AE60" s="35">
        <v>189.22</v>
      </c>
      <c r="AF60" s="35"/>
      <c r="AG60" s="35"/>
      <c r="AH60" s="35">
        <v>83.3</v>
      </c>
      <c r="AI60" s="35"/>
      <c r="AJ60" s="35"/>
      <c r="AK60" s="35">
        <v>108.8</v>
      </c>
      <c r="AL60" s="35"/>
      <c r="AM60" s="35"/>
      <c r="AN60" s="35"/>
      <c r="AO60" s="35"/>
      <c r="AP60" s="35"/>
      <c r="AQ60" s="35">
        <f>145.18</f>
        <v>145.18</v>
      </c>
      <c r="AR60" s="24"/>
      <c r="AS60" s="24"/>
      <c r="AT60" s="24"/>
      <c r="AU60" s="24"/>
      <c r="AV60" s="24"/>
      <c r="AW60" s="24"/>
      <c r="AX60" s="24"/>
      <c r="AY60" s="35"/>
      <c r="AZ60" s="24"/>
      <c r="BA60" s="24"/>
      <c r="BB60" s="24"/>
      <c r="BC60" s="24"/>
      <c r="BD60" s="24"/>
      <c r="BE60" s="24"/>
      <c r="BF60" s="24"/>
      <c r="BG60" s="24"/>
      <c r="BH60" s="40"/>
      <c r="BI60" s="89"/>
      <c r="BJ60" s="89"/>
      <c r="BK60" s="89"/>
      <c r="BL60" s="89"/>
    </row>
    <row r="61" spans="1:64" ht="14.25" customHeight="1" x14ac:dyDescent="0.25">
      <c r="A61" s="90"/>
      <c r="B61" s="90"/>
      <c r="C61" s="91"/>
      <c r="D61" s="92" t="s">
        <v>166</v>
      </c>
      <c r="E61" s="94">
        <v>8764.11</v>
      </c>
      <c r="F61" s="95"/>
      <c r="G61" s="95"/>
      <c r="H61" s="95"/>
      <c r="I61" s="37">
        <f t="shared" si="27"/>
        <v>8764.11</v>
      </c>
      <c r="J61" s="37">
        <f t="shared" si="27"/>
        <v>0</v>
      </c>
      <c r="K61" s="96">
        <f>W61+Z61+AC61+AF61+AI61+AL61+AO61+AR61+AU61+AX61+BA61+BD61</f>
        <v>0</v>
      </c>
      <c r="L61" s="23">
        <f t="shared" si="29"/>
        <v>8764.11</v>
      </c>
      <c r="M61" s="23">
        <f t="shared" si="29"/>
        <v>0</v>
      </c>
      <c r="N61" s="23">
        <f t="shared" si="29"/>
        <v>0</v>
      </c>
      <c r="O61" s="96">
        <f t="shared" si="28"/>
        <v>0</v>
      </c>
      <c r="P61" s="37">
        <f t="shared" si="28"/>
        <v>0</v>
      </c>
      <c r="Q61" s="96">
        <f t="shared" si="26"/>
        <v>0</v>
      </c>
      <c r="R61" s="97">
        <f t="shared" si="22"/>
        <v>1</v>
      </c>
      <c r="S61" s="97" t="e">
        <f t="shared" si="22"/>
        <v>#DIV/0!</v>
      </c>
      <c r="T61" s="97" t="e">
        <f t="shared" si="3"/>
        <v>#DIV/0!</v>
      </c>
      <c r="U61" s="93"/>
      <c r="V61" s="93"/>
      <c r="W61" s="93"/>
      <c r="X61" s="93"/>
      <c r="Y61" s="98"/>
      <c r="Z61" s="93"/>
      <c r="AA61" s="93"/>
      <c r="AB61" s="93"/>
      <c r="AC61" s="93"/>
      <c r="AD61" s="93"/>
      <c r="AE61" s="93"/>
      <c r="AF61" s="93"/>
      <c r="AG61" s="93">
        <v>8764.11</v>
      </c>
      <c r="AH61" s="93"/>
      <c r="AI61" s="93"/>
      <c r="AJ61" s="99"/>
      <c r="AK61" s="99"/>
      <c r="AL61" s="99"/>
      <c r="AM61" s="99"/>
      <c r="AN61" s="99"/>
      <c r="AO61" s="99"/>
      <c r="AP61" s="99"/>
      <c r="AQ61" s="100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101"/>
      <c r="BI61" s="102"/>
      <c r="BJ61" s="102"/>
      <c r="BK61" s="102"/>
      <c r="BL61" s="102"/>
    </row>
    <row r="62" spans="1:64" ht="15.75" customHeight="1" x14ac:dyDescent="0.25">
      <c r="A62" s="90"/>
      <c r="B62" s="90"/>
      <c r="C62" s="91"/>
      <c r="D62" s="92" t="s">
        <v>167</v>
      </c>
      <c r="E62" s="95"/>
      <c r="F62" s="95"/>
      <c r="G62" s="95"/>
      <c r="H62" s="95"/>
      <c r="I62" s="96">
        <f t="shared" si="27"/>
        <v>0</v>
      </c>
      <c r="J62" s="96">
        <f t="shared" si="27"/>
        <v>0</v>
      </c>
      <c r="K62" s="96">
        <f>W62+Z62+AC62+AF62+AI62+AL62+AO62+AR62+AU62+AX62+BA62+BD62</f>
        <v>0</v>
      </c>
      <c r="L62" s="23">
        <f t="shared" si="29"/>
        <v>0</v>
      </c>
      <c r="M62" s="23">
        <f t="shared" si="29"/>
        <v>0</v>
      </c>
      <c r="N62" s="23">
        <f t="shared" si="29"/>
        <v>0</v>
      </c>
      <c r="O62" s="96">
        <f t="shared" si="28"/>
        <v>0</v>
      </c>
      <c r="P62" s="96">
        <f t="shared" si="28"/>
        <v>0</v>
      </c>
      <c r="Q62" s="96">
        <f t="shared" si="26"/>
        <v>0</v>
      </c>
      <c r="R62" s="97" t="e">
        <f t="shared" si="22"/>
        <v>#DIV/0!</v>
      </c>
      <c r="S62" s="97" t="e">
        <f t="shared" si="22"/>
        <v>#DIV/0!</v>
      </c>
      <c r="T62" s="97" t="e">
        <f t="shared" si="3"/>
        <v>#DIV/0!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101"/>
      <c r="BI62" s="102"/>
      <c r="BJ62" s="102"/>
      <c r="BK62" s="102"/>
      <c r="BL62" s="102"/>
    </row>
    <row r="63" spans="1:64" ht="15.75" hidden="1" x14ac:dyDescent="0.25">
      <c r="A63" s="71"/>
      <c r="B63" s="71"/>
      <c r="C63" s="103"/>
      <c r="D63" s="104"/>
      <c r="E63" s="105"/>
      <c r="F63" s="105"/>
      <c r="G63" s="105"/>
      <c r="H63" s="105"/>
      <c r="I63" s="96">
        <f t="shared" si="27"/>
        <v>0</v>
      </c>
      <c r="J63" s="96">
        <f t="shared" si="27"/>
        <v>0</v>
      </c>
      <c r="K63" s="96">
        <f>W63+Z63+AC63+AF63+AI63+AL63+AO63+AR63+AU63+AX63+BA63+BD63</f>
        <v>0</v>
      </c>
      <c r="L63" s="23">
        <f t="shared" si="29"/>
        <v>0</v>
      </c>
      <c r="M63" s="23">
        <f t="shared" si="29"/>
        <v>0</v>
      </c>
      <c r="N63" s="23">
        <f t="shared" si="29"/>
        <v>0</v>
      </c>
      <c r="O63" s="96">
        <f t="shared" si="28"/>
        <v>0</v>
      </c>
      <c r="P63" s="96">
        <f t="shared" si="28"/>
        <v>0</v>
      </c>
      <c r="Q63" s="96">
        <f t="shared" si="26"/>
        <v>0</v>
      </c>
      <c r="R63" s="97" t="e">
        <f t="shared" si="22"/>
        <v>#DIV/0!</v>
      </c>
      <c r="S63" s="97" t="e">
        <f t="shared" si="22"/>
        <v>#DIV/0!</v>
      </c>
      <c r="T63" s="97" t="e">
        <f t="shared" si="3"/>
        <v>#DIV/0!</v>
      </c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1"/>
      <c r="BI63" s="102"/>
      <c r="BJ63" s="102"/>
      <c r="BK63" s="102"/>
      <c r="BL63" s="102"/>
    </row>
    <row r="64" spans="1:64" ht="15.75" hidden="1" customHeight="1" x14ac:dyDescent="0.25">
      <c r="A64" s="71"/>
      <c r="B64" s="71"/>
      <c r="C64" s="103"/>
      <c r="D64" s="107"/>
      <c r="E64" s="108"/>
      <c r="F64" s="108"/>
      <c r="G64" s="108"/>
      <c r="H64" s="108"/>
      <c r="I64" s="96">
        <f t="shared" si="27"/>
        <v>0</v>
      </c>
      <c r="J64" s="96">
        <f t="shared" si="27"/>
        <v>0</v>
      </c>
      <c r="K64" s="96">
        <f>W64+Z64+AC64+AF64+AI64+AL64+AO64+AR64+AU64+AX64+BA64+BD64</f>
        <v>0</v>
      </c>
      <c r="L64" s="23">
        <f t="shared" si="29"/>
        <v>0</v>
      </c>
      <c r="M64" s="23">
        <f t="shared" si="29"/>
        <v>0</v>
      </c>
      <c r="N64" s="23">
        <f t="shared" si="29"/>
        <v>0</v>
      </c>
      <c r="O64" s="96">
        <f t="shared" si="28"/>
        <v>0</v>
      </c>
      <c r="P64" s="96">
        <f t="shared" si="28"/>
        <v>0</v>
      </c>
      <c r="Q64" s="96">
        <f t="shared" si="26"/>
        <v>0</v>
      </c>
      <c r="R64" s="97" t="e">
        <f t="shared" si="22"/>
        <v>#DIV/0!</v>
      </c>
      <c r="S64" s="97" t="e">
        <f t="shared" si="22"/>
        <v>#DIV/0!</v>
      </c>
      <c r="T64" s="97" t="e">
        <f t="shared" si="3"/>
        <v>#DIV/0!</v>
      </c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109"/>
      <c r="BC64" s="67"/>
      <c r="BD64" s="67"/>
      <c r="BE64" s="109"/>
      <c r="BF64" s="67"/>
      <c r="BG64" s="67"/>
      <c r="BH64" s="101"/>
      <c r="BI64" s="102"/>
      <c r="BJ64" s="102"/>
      <c r="BK64" s="102"/>
      <c r="BL64" s="102"/>
    </row>
    <row r="65" spans="1:64" ht="18.75" customHeight="1" x14ac:dyDescent="0.25">
      <c r="A65" s="110"/>
      <c r="B65" s="110"/>
      <c r="C65" s="111"/>
      <c r="D65" s="112" t="s">
        <v>168</v>
      </c>
      <c r="E65" s="113">
        <f t="shared" ref="E65:K65" si="30">SUM(E66:E67)</f>
        <v>8764.11</v>
      </c>
      <c r="F65" s="113">
        <f t="shared" si="30"/>
        <v>0</v>
      </c>
      <c r="G65" s="113"/>
      <c r="H65" s="113">
        <f t="shared" si="30"/>
        <v>0</v>
      </c>
      <c r="I65" s="113">
        <f t="shared" si="30"/>
        <v>8764.11</v>
      </c>
      <c r="J65" s="113">
        <f t="shared" si="30"/>
        <v>0</v>
      </c>
      <c r="K65" s="113">
        <f t="shared" si="30"/>
        <v>0</v>
      </c>
      <c r="L65" s="22">
        <f t="shared" si="29"/>
        <v>8764.11</v>
      </c>
      <c r="M65" s="22">
        <f t="shared" si="29"/>
        <v>0</v>
      </c>
      <c r="N65" s="22">
        <f t="shared" si="29"/>
        <v>0</v>
      </c>
      <c r="O65" s="113">
        <f>SUM(O66:O67)</f>
        <v>0</v>
      </c>
      <c r="P65" s="113">
        <f>SUM(P66:P67)</f>
        <v>0</v>
      </c>
      <c r="Q65" s="113">
        <f>SUM(Q66:Q67)</f>
        <v>0</v>
      </c>
      <c r="R65" s="115">
        <f t="shared" si="22"/>
        <v>1</v>
      </c>
      <c r="S65" s="115" t="e">
        <f t="shared" si="22"/>
        <v>#DIV/0!</v>
      </c>
      <c r="T65" s="115" t="e">
        <f t="shared" si="3"/>
        <v>#DIV/0!</v>
      </c>
      <c r="U65" s="113">
        <f t="shared" ref="U65:BG65" si="31">SUM(U66:U67)</f>
        <v>0</v>
      </c>
      <c r="V65" s="113">
        <f t="shared" si="31"/>
        <v>0</v>
      </c>
      <c r="W65" s="113">
        <f t="shared" si="31"/>
        <v>0</v>
      </c>
      <c r="X65" s="113">
        <f t="shared" si="31"/>
        <v>0</v>
      </c>
      <c r="Y65" s="113">
        <f t="shared" si="31"/>
        <v>0</v>
      </c>
      <c r="Z65" s="113">
        <f t="shared" si="31"/>
        <v>0</v>
      </c>
      <c r="AA65" s="113">
        <f t="shared" si="31"/>
        <v>0</v>
      </c>
      <c r="AB65" s="113">
        <f t="shared" si="31"/>
        <v>0</v>
      </c>
      <c r="AC65" s="113">
        <f t="shared" si="31"/>
        <v>0</v>
      </c>
      <c r="AD65" s="113">
        <f t="shared" si="31"/>
        <v>0</v>
      </c>
      <c r="AE65" s="113">
        <f t="shared" si="31"/>
        <v>0</v>
      </c>
      <c r="AF65" s="113">
        <f t="shared" si="31"/>
        <v>0</v>
      </c>
      <c r="AG65" s="113">
        <f t="shared" si="31"/>
        <v>8764.11</v>
      </c>
      <c r="AH65" s="113">
        <f t="shared" si="31"/>
        <v>0</v>
      </c>
      <c r="AI65" s="113">
        <f t="shared" si="31"/>
        <v>0</v>
      </c>
      <c r="AJ65" s="113">
        <f t="shared" si="31"/>
        <v>0</v>
      </c>
      <c r="AK65" s="113">
        <f t="shared" si="31"/>
        <v>0</v>
      </c>
      <c r="AL65" s="113">
        <f t="shared" si="31"/>
        <v>0</v>
      </c>
      <c r="AM65" s="113">
        <f t="shared" si="31"/>
        <v>0</v>
      </c>
      <c r="AN65" s="113">
        <f t="shared" si="31"/>
        <v>0</v>
      </c>
      <c r="AO65" s="113">
        <f t="shared" si="31"/>
        <v>0</v>
      </c>
      <c r="AP65" s="113">
        <f t="shared" si="31"/>
        <v>0</v>
      </c>
      <c r="AQ65" s="113">
        <f t="shared" si="31"/>
        <v>0</v>
      </c>
      <c r="AR65" s="113">
        <f t="shared" si="31"/>
        <v>0</v>
      </c>
      <c r="AS65" s="113">
        <f t="shared" si="31"/>
        <v>0</v>
      </c>
      <c r="AT65" s="113">
        <f t="shared" si="31"/>
        <v>0</v>
      </c>
      <c r="AU65" s="113">
        <f t="shared" si="31"/>
        <v>0</v>
      </c>
      <c r="AV65" s="113">
        <f t="shared" si="31"/>
        <v>0</v>
      </c>
      <c r="AW65" s="113">
        <f t="shared" si="31"/>
        <v>0</v>
      </c>
      <c r="AX65" s="113">
        <f t="shared" si="31"/>
        <v>0</v>
      </c>
      <c r="AY65" s="113">
        <f t="shared" si="31"/>
        <v>0</v>
      </c>
      <c r="AZ65" s="113">
        <f t="shared" si="31"/>
        <v>0</v>
      </c>
      <c r="BA65" s="113">
        <f t="shared" si="31"/>
        <v>0</v>
      </c>
      <c r="BB65" s="113">
        <f t="shared" si="31"/>
        <v>0</v>
      </c>
      <c r="BC65" s="113">
        <f t="shared" si="31"/>
        <v>0</v>
      </c>
      <c r="BD65" s="113">
        <f t="shared" si="31"/>
        <v>0</v>
      </c>
      <c r="BE65" s="113">
        <f t="shared" si="31"/>
        <v>0</v>
      </c>
      <c r="BF65" s="113">
        <f t="shared" si="31"/>
        <v>0</v>
      </c>
      <c r="BG65" s="113">
        <f t="shared" si="31"/>
        <v>0</v>
      </c>
      <c r="BH65" s="84"/>
      <c r="BI65" s="85"/>
      <c r="BJ65" s="85"/>
      <c r="BK65" s="85"/>
      <c r="BL65" s="85"/>
    </row>
    <row r="66" spans="1:64" ht="15.75" customHeight="1" x14ac:dyDescent="0.25">
      <c r="A66" s="116"/>
      <c r="B66" s="116"/>
      <c r="C66" s="117" t="s">
        <v>119</v>
      </c>
      <c r="D66" s="118" t="s">
        <v>169</v>
      </c>
      <c r="E66" s="119">
        <v>8764.11</v>
      </c>
      <c r="F66" s="63"/>
      <c r="G66" s="63"/>
      <c r="H66" s="119"/>
      <c r="I66" s="37">
        <f t="shared" ref="I66:K67" si="32">U66+X66+AA66+AD66+AG66+AJ66+AM66+AP66+AS66+AV66+AY66+BB66</f>
        <v>8764.11</v>
      </c>
      <c r="J66" s="37">
        <f t="shared" si="32"/>
        <v>0</v>
      </c>
      <c r="K66" s="37">
        <f t="shared" si="32"/>
        <v>0</v>
      </c>
      <c r="L66" s="23">
        <f t="shared" si="29"/>
        <v>8764.11</v>
      </c>
      <c r="M66" s="23">
        <f t="shared" si="29"/>
        <v>0</v>
      </c>
      <c r="N66" s="23">
        <f t="shared" si="29"/>
        <v>0</v>
      </c>
      <c r="O66" s="37">
        <f>E66-I66</f>
        <v>0</v>
      </c>
      <c r="P66" s="37">
        <f>F66-J66</f>
        <v>0</v>
      </c>
      <c r="Q66" s="37">
        <f t="shared" ref="Q66:Q67" si="33">H66-K66</f>
        <v>0</v>
      </c>
      <c r="R66" s="39">
        <f t="shared" ref="R66:S75" si="34">I66/E66</f>
        <v>1</v>
      </c>
      <c r="S66" s="39" t="e">
        <f t="shared" si="34"/>
        <v>#DIV/0!</v>
      </c>
      <c r="T66" s="39" t="e">
        <f t="shared" si="3"/>
        <v>#DIV/0!</v>
      </c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>
        <v>8764.11</v>
      </c>
      <c r="AH66" s="63"/>
      <c r="AI66" s="93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40"/>
      <c r="BI66" s="41"/>
      <c r="BJ66" s="41"/>
      <c r="BK66" s="41"/>
      <c r="BL66" s="41"/>
    </row>
    <row r="67" spans="1:64" ht="15.75" hidden="1" customHeight="1" x14ac:dyDescent="0.25">
      <c r="A67" s="42"/>
      <c r="B67" s="42"/>
      <c r="C67" s="32" t="s">
        <v>170</v>
      </c>
      <c r="D67" s="120" t="s">
        <v>171</v>
      </c>
      <c r="E67" s="35"/>
      <c r="F67" s="121"/>
      <c r="G67" s="121"/>
      <c r="H67" s="121"/>
      <c r="I67" s="37">
        <f t="shared" si="32"/>
        <v>0</v>
      </c>
      <c r="J67" s="37">
        <f t="shared" si="32"/>
        <v>0</v>
      </c>
      <c r="K67" s="37">
        <f t="shared" si="32"/>
        <v>0</v>
      </c>
      <c r="L67" s="23">
        <f t="shared" si="29"/>
        <v>0</v>
      </c>
      <c r="M67" s="23">
        <f t="shared" si="29"/>
        <v>0</v>
      </c>
      <c r="N67" s="23">
        <f t="shared" si="29"/>
        <v>0</v>
      </c>
      <c r="O67" s="37">
        <f>E67-I67</f>
        <v>0</v>
      </c>
      <c r="P67" s="37">
        <f>F67-J67</f>
        <v>0</v>
      </c>
      <c r="Q67" s="37">
        <f t="shared" si="33"/>
        <v>0</v>
      </c>
      <c r="R67" s="39" t="e">
        <f t="shared" si="34"/>
        <v>#DIV/0!</v>
      </c>
      <c r="S67" s="39" t="e">
        <f t="shared" si="34"/>
        <v>#DIV/0!</v>
      </c>
      <c r="T67" s="39" t="e">
        <f t="shared" ref="T67:T90" si="35">K67/H67</f>
        <v>#DIV/0!</v>
      </c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36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36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40"/>
      <c r="BI67" s="41"/>
      <c r="BJ67" s="41"/>
      <c r="BK67" s="41"/>
      <c r="BL67" s="41"/>
    </row>
    <row r="68" spans="1:64" ht="15.75" hidden="1" customHeight="1" x14ac:dyDescent="0.25">
      <c r="A68" s="79"/>
      <c r="B68" s="79"/>
      <c r="C68" s="122"/>
      <c r="D68" s="81" t="s">
        <v>172</v>
      </c>
      <c r="E68" s="82">
        <f t="shared" ref="E68:K68" si="36">SUM(E69:E71)</f>
        <v>0</v>
      </c>
      <c r="F68" s="82">
        <f t="shared" si="36"/>
        <v>0</v>
      </c>
      <c r="G68" s="82"/>
      <c r="H68" s="82">
        <f t="shared" si="36"/>
        <v>0</v>
      </c>
      <c r="I68" s="82">
        <f t="shared" si="36"/>
        <v>0</v>
      </c>
      <c r="J68" s="82">
        <f t="shared" si="36"/>
        <v>0</v>
      </c>
      <c r="K68" s="82">
        <f t="shared" si="36"/>
        <v>0</v>
      </c>
      <c r="L68" s="22">
        <f t="shared" si="29"/>
        <v>0</v>
      </c>
      <c r="M68" s="22">
        <f t="shared" si="29"/>
        <v>0</v>
      </c>
      <c r="N68" s="22">
        <f t="shared" si="29"/>
        <v>0</v>
      </c>
      <c r="O68" s="82">
        <f>SUM(O69:O71)</f>
        <v>0</v>
      </c>
      <c r="P68" s="82">
        <f>SUM(P69:P71)</f>
        <v>0</v>
      </c>
      <c r="Q68" s="82">
        <f>SUM(Q69:Q71)</f>
        <v>0</v>
      </c>
      <c r="R68" s="123" t="e">
        <f t="shared" si="34"/>
        <v>#DIV/0!</v>
      </c>
      <c r="S68" s="123" t="e">
        <f t="shared" si="34"/>
        <v>#DIV/0!</v>
      </c>
      <c r="T68" s="123" t="e">
        <f t="shared" si="35"/>
        <v>#DIV/0!</v>
      </c>
      <c r="U68" s="82">
        <f t="shared" ref="U68:BG68" si="37">SUM(U69:U71)</f>
        <v>0</v>
      </c>
      <c r="V68" s="82">
        <f t="shared" si="37"/>
        <v>0</v>
      </c>
      <c r="W68" s="82">
        <f t="shared" si="37"/>
        <v>0</v>
      </c>
      <c r="X68" s="82">
        <f t="shared" si="37"/>
        <v>0</v>
      </c>
      <c r="Y68" s="82">
        <f t="shared" si="37"/>
        <v>0</v>
      </c>
      <c r="Z68" s="82">
        <f t="shared" si="37"/>
        <v>0</v>
      </c>
      <c r="AA68" s="82">
        <f t="shared" si="37"/>
        <v>0</v>
      </c>
      <c r="AB68" s="82">
        <f t="shared" si="37"/>
        <v>0</v>
      </c>
      <c r="AC68" s="82">
        <f t="shared" si="37"/>
        <v>0</v>
      </c>
      <c r="AD68" s="82">
        <f t="shared" si="37"/>
        <v>0</v>
      </c>
      <c r="AE68" s="82">
        <f t="shared" si="37"/>
        <v>0</v>
      </c>
      <c r="AF68" s="82">
        <f t="shared" si="37"/>
        <v>0</v>
      </c>
      <c r="AG68" s="82">
        <f t="shared" si="37"/>
        <v>0</v>
      </c>
      <c r="AH68" s="82">
        <f t="shared" si="37"/>
        <v>0</v>
      </c>
      <c r="AI68" s="82">
        <f t="shared" si="37"/>
        <v>0</v>
      </c>
      <c r="AJ68" s="82">
        <f t="shared" si="37"/>
        <v>0</v>
      </c>
      <c r="AK68" s="82">
        <f t="shared" si="37"/>
        <v>0</v>
      </c>
      <c r="AL68" s="82">
        <f t="shared" si="37"/>
        <v>0</v>
      </c>
      <c r="AM68" s="82">
        <f t="shared" si="37"/>
        <v>0</v>
      </c>
      <c r="AN68" s="82">
        <f t="shared" si="37"/>
        <v>0</v>
      </c>
      <c r="AO68" s="82">
        <f t="shared" si="37"/>
        <v>0</v>
      </c>
      <c r="AP68" s="82">
        <f t="shared" si="37"/>
        <v>0</v>
      </c>
      <c r="AQ68" s="82">
        <f t="shared" si="37"/>
        <v>0</v>
      </c>
      <c r="AR68" s="82">
        <f t="shared" si="37"/>
        <v>0</v>
      </c>
      <c r="AS68" s="82">
        <f t="shared" si="37"/>
        <v>0</v>
      </c>
      <c r="AT68" s="82">
        <f t="shared" si="37"/>
        <v>0</v>
      </c>
      <c r="AU68" s="82">
        <f t="shared" si="37"/>
        <v>0</v>
      </c>
      <c r="AV68" s="82">
        <f t="shared" si="37"/>
        <v>0</v>
      </c>
      <c r="AW68" s="82">
        <f t="shared" si="37"/>
        <v>0</v>
      </c>
      <c r="AX68" s="82">
        <f t="shared" si="37"/>
        <v>0</v>
      </c>
      <c r="AY68" s="82">
        <f t="shared" si="37"/>
        <v>0</v>
      </c>
      <c r="AZ68" s="82">
        <f t="shared" si="37"/>
        <v>0</v>
      </c>
      <c r="BA68" s="82">
        <f t="shared" si="37"/>
        <v>0</v>
      </c>
      <c r="BB68" s="82">
        <f t="shared" si="37"/>
        <v>0</v>
      </c>
      <c r="BC68" s="82">
        <f t="shared" si="37"/>
        <v>0</v>
      </c>
      <c r="BD68" s="82">
        <f t="shared" si="37"/>
        <v>0</v>
      </c>
      <c r="BE68" s="82">
        <f t="shared" si="37"/>
        <v>0</v>
      </c>
      <c r="BF68" s="82">
        <f t="shared" si="37"/>
        <v>0</v>
      </c>
      <c r="BG68" s="82">
        <f t="shared" si="37"/>
        <v>0</v>
      </c>
      <c r="BH68" s="84"/>
      <c r="BI68" s="85"/>
      <c r="BJ68" s="85"/>
      <c r="BK68" s="85"/>
      <c r="BL68" s="85"/>
    </row>
    <row r="69" spans="1:64" ht="15.75" hidden="1" customHeight="1" x14ac:dyDescent="0.25">
      <c r="A69" s="64"/>
      <c r="B69" s="31"/>
      <c r="C69" s="32" t="s">
        <v>34</v>
      </c>
      <c r="D69" s="76" t="s">
        <v>173</v>
      </c>
      <c r="E69" s="35"/>
      <c r="F69" s="35"/>
      <c r="G69" s="35"/>
      <c r="H69" s="36"/>
      <c r="I69" s="37">
        <f t="shared" ref="I69:K71" si="38">U69+X69+AA69+AD69+AG69+AJ69+AM69+AP69+AS69+AV69+AY69+BB69</f>
        <v>0</v>
      </c>
      <c r="J69" s="37">
        <f t="shared" si="38"/>
        <v>0</v>
      </c>
      <c r="K69" s="37">
        <f t="shared" si="38"/>
        <v>0</v>
      </c>
      <c r="L69" s="23">
        <f t="shared" si="29"/>
        <v>0</v>
      </c>
      <c r="M69" s="23">
        <f t="shared" si="29"/>
        <v>0</v>
      </c>
      <c r="N69" s="23">
        <f t="shared" si="29"/>
        <v>0</v>
      </c>
      <c r="O69" s="37">
        <f t="shared" ref="O69:P71" si="39">E69-I69</f>
        <v>0</v>
      </c>
      <c r="P69" s="37">
        <f t="shared" si="39"/>
        <v>0</v>
      </c>
      <c r="Q69" s="37">
        <f t="shared" ref="Q69:Q71" si="40">H69-K69</f>
        <v>0</v>
      </c>
      <c r="R69" s="39" t="e">
        <f t="shared" si="34"/>
        <v>#DIV/0!</v>
      </c>
      <c r="S69" s="39" t="e">
        <f t="shared" si="34"/>
        <v>#DIV/0!</v>
      </c>
      <c r="T69" s="39" t="e">
        <f t="shared" si="35"/>
        <v>#DIV/0!</v>
      </c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40"/>
      <c r="BI69" s="41"/>
      <c r="BJ69" s="41"/>
      <c r="BK69" s="41"/>
      <c r="BL69" s="41"/>
    </row>
    <row r="70" spans="1:64" ht="15.75" hidden="1" customHeight="1" x14ac:dyDescent="0.25">
      <c r="A70" s="64"/>
      <c r="B70" s="42"/>
      <c r="C70" s="32" t="s">
        <v>36</v>
      </c>
      <c r="D70" s="76" t="s">
        <v>37</v>
      </c>
      <c r="E70" s="35"/>
      <c r="F70" s="35"/>
      <c r="G70" s="35"/>
      <c r="H70" s="36"/>
      <c r="I70" s="37">
        <f t="shared" si="38"/>
        <v>0</v>
      </c>
      <c r="J70" s="37">
        <f t="shared" si="38"/>
        <v>0</v>
      </c>
      <c r="K70" s="37">
        <f t="shared" si="38"/>
        <v>0</v>
      </c>
      <c r="L70" s="23">
        <f t="shared" si="29"/>
        <v>0</v>
      </c>
      <c r="M70" s="23">
        <f t="shared" si="29"/>
        <v>0</v>
      </c>
      <c r="N70" s="23">
        <f t="shared" si="29"/>
        <v>0</v>
      </c>
      <c r="O70" s="37">
        <f t="shared" si="39"/>
        <v>0</v>
      </c>
      <c r="P70" s="37">
        <f t="shared" si="39"/>
        <v>0</v>
      </c>
      <c r="Q70" s="37">
        <f t="shared" si="40"/>
        <v>0</v>
      </c>
      <c r="R70" s="39" t="e">
        <f t="shared" si="34"/>
        <v>#DIV/0!</v>
      </c>
      <c r="S70" s="39" t="e">
        <f t="shared" si="34"/>
        <v>#DIV/0!</v>
      </c>
      <c r="T70" s="39" t="e">
        <f t="shared" si="35"/>
        <v>#DIV/0!</v>
      </c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40"/>
      <c r="BI70" s="41"/>
      <c r="BJ70" s="41"/>
      <c r="BK70" s="41"/>
      <c r="BL70" s="41"/>
    </row>
    <row r="71" spans="1:64" ht="15.75" hidden="1" customHeight="1" x14ac:dyDescent="0.25">
      <c r="A71" s="42"/>
      <c r="B71" s="42"/>
      <c r="C71" s="32" t="s">
        <v>170</v>
      </c>
      <c r="D71" s="76" t="s">
        <v>174</v>
      </c>
      <c r="E71" s="87"/>
      <c r="F71" s="35"/>
      <c r="G71" s="35"/>
      <c r="H71" s="36"/>
      <c r="I71" s="37">
        <f t="shared" si="38"/>
        <v>0</v>
      </c>
      <c r="J71" s="37">
        <f t="shared" si="38"/>
        <v>0</v>
      </c>
      <c r="K71" s="37">
        <f t="shared" si="38"/>
        <v>0</v>
      </c>
      <c r="L71" s="23">
        <f t="shared" si="29"/>
        <v>0</v>
      </c>
      <c r="M71" s="23">
        <f t="shared" si="29"/>
        <v>0</v>
      </c>
      <c r="N71" s="23">
        <f t="shared" si="29"/>
        <v>0</v>
      </c>
      <c r="O71" s="37">
        <f t="shared" si="39"/>
        <v>0</v>
      </c>
      <c r="P71" s="37">
        <f t="shared" si="39"/>
        <v>0</v>
      </c>
      <c r="Q71" s="37">
        <f t="shared" si="40"/>
        <v>0</v>
      </c>
      <c r="R71" s="39" t="e">
        <f t="shared" si="34"/>
        <v>#DIV/0!</v>
      </c>
      <c r="S71" s="39" t="e">
        <f t="shared" si="34"/>
        <v>#DIV/0!</v>
      </c>
      <c r="T71" s="39" t="e">
        <f t="shared" si="35"/>
        <v>#DIV/0!</v>
      </c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40"/>
      <c r="BI71" s="41"/>
      <c r="BJ71" s="41"/>
      <c r="BK71" s="41"/>
      <c r="BL71" s="41"/>
    </row>
    <row r="72" spans="1:64" ht="15.75" customHeight="1" x14ac:dyDescent="0.25">
      <c r="A72" s="79"/>
      <c r="B72" s="79"/>
      <c r="C72" s="122"/>
      <c r="D72" s="81" t="s">
        <v>175</v>
      </c>
      <c r="E72" s="82">
        <f>SUM(E73:E76)</f>
        <v>14700</v>
      </c>
      <c r="F72" s="82">
        <f>SUM(F73:F76)</f>
        <v>31110.16</v>
      </c>
      <c r="G72" s="82"/>
      <c r="H72" s="82">
        <f t="shared" ref="H72:K72" si="41">SUM(H73:H75)</f>
        <v>0</v>
      </c>
      <c r="I72" s="82">
        <f t="shared" si="41"/>
        <v>7630</v>
      </c>
      <c r="J72" s="82">
        <f t="shared" si="41"/>
        <v>31110.160000000003</v>
      </c>
      <c r="K72" s="82">
        <f t="shared" si="41"/>
        <v>0</v>
      </c>
      <c r="L72" s="22">
        <f t="shared" si="29"/>
        <v>7630</v>
      </c>
      <c r="M72" s="22">
        <f t="shared" si="29"/>
        <v>31110.160000000003</v>
      </c>
      <c r="N72" s="22">
        <f t="shared" si="29"/>
        <v>0</v>
      </c>
      <c r="O72" s="82">
        <f>SUM(O73:O76)</f>
        <v>7070</v>
      </c>
      <c r="P72" s="82">
        <f>SUM(P73:P76)</f>
        <v>0</v>
      </c>
      <c r="Q72" s="82">
        <f>SUM(Q73:Q75)</f>
        <v>0</v>
      </c>
      <c r="R72" s="123">
        <f t="shared" si="34"/>
        <v>0.51904761904761909</v>
      </c>
      <c r="S72" s="123">
        <f t="shared" si="34"/>
        <v>1.0000000000000002</v>
      </c>
      <c r="T72" s="123" t="e">
        <f t="shared" si="35"/>
        <v>#DIV/0!</v>
      </c>
      <c r="U72" s="82">
        <f t="shared" ref="U72:BG72" si="42">SUM(U73:U75)</f>
        <v>0</v>
      </c>
      <c r="V72" s="82">
        <f t="shared" si="42"/>
        <v>0</v>
      </c>
      <c r="W72" s="82">
        <f t="shared" si="42"/>
        <v>0</v>
      </c>
      <c r="X72" s="82">
        <f t="shared" si="42"/>
        <v>0</v>
      </c>
      <c r="Y72" s="82">
        <f t="shared" si="42"/>
        <v>356.18</v>
      </c>
      <c r="Z72" s="82">
        <f t="shared" si="42"/>
        <v>0</v>
      </c>
      <c r="AA72" s="82">
        <f t="shared" si="42"/>
        <v>0</v>
      </c>
      <c r="AB72" s="82">
        <f t="shared" si="42"/>
        <v>16409.300000000003</v>
      </c>
      <c r="AC72" s="82">
        <f t="shared" si="42"/>
        <v>0</v>
      </c>
      <c r="AD72" s="82">
        <f t="shared" si="42"/>
        <v>0</v>
      </c>
      <c r="AE72" s="82">
        <f t="shared" si="42"/>
        <v>11124.68</v>
      </c>
      <c r="AF72" s="82">
        <f t="shared" si="42"/>
        <v>0</v>
      </c>
      <c r="AG72" s="82">
        <f t="shared" si="42"/>
        <v>0</v>
      </c>
      <c r="AH72" s="82">
        <f t="shared" si="42"/>
        <v>0</v>
      </c>
      <c r="AI72" s="82">
        <f t="shared" si="42"/>
        <v>0</v>
      </c>
      <c r="AJ72" s="82">
        <f t="shared" si="42"/>
        <v>780</v>
      </c>
      <c r="AK72" s="82">
        <f t="shared" si="42"/>
        <v>3220</v>
      </c>
      <c r="AL72" s="82">
        <f t="shared" si="42"/>
        <v>0</v>
      </c>
      <c r="AM72" s="82">
        <f t="shared" si="42"/>
        <v>6850</v>
      </c>
      <c r="AN72" s="82">
        <f t="shared" si="42"/>
        <v>0</v>
      </c>
      <c r="AO72" s="82">
        <f t="shared" si="42"/>
        <v>0</v>
      </c>
      <c r="AP72" s="82">
        <f t="shared" si="42"/>
        <v>0</v>
      </c>
      <c r="AQ72" s="82">
        <f t="shared" si="42"/>
        <v>0</v>
      </c>
      <c r="AR72" s="82">
        <f t="shared" si="42"/>
        <v>0</v>
      </c>
      <c r="AS72" s="82">
        <f t="shared" si="42"/>
        <v>0</v>
      </c>
      <c r="AT72" s="82">
        <f t="shared" si="42"/>
        <v>0</v>
      </c>
      <c r="AU72" s="82">
        <f t="shared" si="42"/>
        <v>0</v>
      </c>
      <c r="AV72" s="82">
        <f t="shared" si="42"/>
        <v>0</v>
      </c>
      <c r="AW72" s="82">
        <f t="shared" si="42"/>
        <v>0</v>
      </c>
      <c r="AX72" s="82">
        <f t="shared" si="42"/>
        <v>0</v>
      </c>
      <c r="AY72" s="82">
        <f t="shared" si="42"/>
        <v>0</v>
      </c>
      <c r="AZ72" s="82">
        <f t="shared" si="42"/>
        <v>0</v>
      </c>
      <c r="BA72" s="82">
        <f t="shared" si="42"/>
        <v>0</v>
      </c>
      <c r="BB72" s="82">
        <f t="shared" si="42"/>
        <v>0</v>
      </c>
      <c r="BC72" s="82">
        <f t="shared" si="42"/>
        <v>0</v>
      </c>
      <c r="BD72" s="82">
        <f t="shared" si="42"/>
        <v>0</v>
      </c>
      <c r="BE72" s="82">
        <f t="shared" si="42"/>
        <v>0</v>
      </c>
      <c r="BF72" s="82">
        <f t="shared" si="42"/>
        <v>0</v>
      </c>
      <c r="BG72" s="82">
        <f t="shared" si="42"/>
        <v>0</v>
      </c>
      <c r="BH72" s="84"/>
      <c r="BI72" s="85"/>
      <c r="BJ72" s="85"/>
      <c r="BK72" s="85"/>
      <c r="BL72" s="85"/>
    </row>
    <row r="73" spans="1:64" ht="15.75" hidden="1" customHeight="1" x14ac:dyDescent="0.25">
      <c r="A73" s="31"/>
      <c r="B73" s="31"/>
      <c r="C73" s="43" t="s">
        <v>170</v>
      </c>
      <c r="D73" s="33" t="s">
        <v>176</v>
      </c>
      <c r="E73" s="87"/>
      <c r="F73" s="35"/>
      <c r="G73" s="35"/>
      <c r="H73" s="36"/>
      <c r="I73" s="37">
        <f t="shared" ref="I73:K76" si="43">U73+X73+AA73+AD73+AG73+AJ73+AM73+AP73+AS73+AV73+AY73+BB73</f>
        <v>0</v>
      </c>
      <c r="J73" s="37">
        <f t="shared" si="43"/>
        <v>0</v>
      </c>
      <c r="K73" s="37">
        <f t="shared" si="43"/>
        <v>0</v>
      </c>
      <c r="L73" s="23">
        <f t="shared" si="29"/>
        <v>0</v>
      </c>
      <c r="M73" s="23">
        <f t="shared" si="29"/>
        <v>0</v>
      </c>
      <c r="N73" s="23">
        <f t="shared" si="29"/>
        <v>0</v>
      </c>
      <c r="O73" s="37">
        <f t="shared" ref="O73:P76" si="44">E73-I73</f>
        <v>0</v>
      </c>
      <c r="P73" s="37">
        <f t="shared" si="44"/>
        <v>0</v>
      </c>
      <c r="Q73" s="37">
        <f t="shared" ref="Q73:Q76" si="45">H73-K73</f>
        <v>0</v>
      </c>
      <c r="R73" s="39" t="e">
        <f t="shared" si="34"/>
        <v>#DIV/0!</v>
      </c>
      <c r="S73" s="39" t="e">
        <f t="shared" si="34"/>
        <v>#DIV/0!</v>
      </c>
      <c r="T73" s="39" t="e">
        <f t="shared" si="35"/>
        <v>#DIV/0!</v>
      </c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40"/>
      <c r="BI73" s="41"/>
      <c r="BJ73" s="41"/>
      <c r="BK73" s="41"/>
      <c r="BL73" s="41"/>
    </row>
    <row r="74" spans="1:64" ht="15.75" hidden="1" customHeight="1" x14ac:dyDescent="0.25">
      <c r="A74" s="42"/>
      <c r="B74" s="42"/>
      <c r="C74" s="43" t="s">
        <v>177</v>
      </c>
      <c r="D74" s="33" t="s">
        <v>178</v>
      </c>
      <c r="E74" s="36"/>
      <c r="F74" s="62"/>
      <c r="G74" s="62"/>
      <c r="H74" s="36"/>
      <c r="I74" s="37">
        <f t="shared" si="43"/>
        <v>0</v>
      </c>
      <c r="J74" s="37">
        <f t="shared" si="43"/>
        <v>0</v>
      </c>
      <c r="K74" s="37">
        <f t="shared" si="43"/>
        <v>0</v>
      </c>
      <c r="L74" s="23">
        <f t="shared" si="29"/>
        <v>0</v>
      </c>
      <c r="M74" s="23">
        <f t="shared" si="29"/>
        <v>0</v>
      </c>
      <c r="N74" s="23">
        <f t="shared" si="29"/>
        <v>0</v>
      </c>
      <c r="O74" s="37">
        <f t="shared" si="44"/>
        <v>0</v>
      </c>
      <c r="P74" s="37">
        <f t="shared" si="44"/>
        <v>0</v>
      </c>
      <c r="Q74" s="37">
        <f t="shared" si="45"/>
        <v>0</v>
      </c>
      <c r="R74" s="39" t="e">
        <f t="shared" si="34"/>
        <v>#DIV/0!</v>
      </c>
      <c r="S74" s="39" t="e">
        <f t="shared" si="34"/>
        <v>#DIV/0!</v>
      </c>
      <c r="T74" s="39" t="e">
        <f t="shared" si="35"/>
        <v>#DIV/0!</v>
      </c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40"/>
      <c r="BI74" s="41"/>
      <c r="BJ74" s="41"/>
      <c r="BK74" s="41"/>
      <c r="BL74" s="41"/>
    </row>
    <row r="75" spans="1:64" ht="15.75" x14ac:dyDescent="0.25">
      <c r="A75" s="64" t="s">
        <v>179</v>
      </c>
      <c r="B75" s="65" t="s">
        <v>180</v>
      </c>
      <c r="C75" s="43" t="s">
        <v>181</v>
      </c>
      <c r="D75" s="33" t="s">
        <v>182</v>
      </c>
      <c r="E75" s="35">
        <f>6850+7850</f>
        <v>14700</v>
      </c>
      <c r="F75" s="52">
        <f>25531.62+2000+3578.54</f>
        <v>31110.16</v>
      </c>
      <c r="G75" s="52"/>
      <c r="H75" s="36"/>
      <c r="I75" s="37">
        <f t="shared" si="43"/>
        <v>7630</v>
      </c>
      <c r="J75" s="37">
        <f t="shared" si="43"/>
        <v>31110.160000000003</v>
      </c>
      <c r="K75" s="37">
        <f t="shared" si="43"/>
        <v>0</v>
      </c>
      <c r="L75" s="23">
        <f t="shared" si="29"/>
        <v>7630</v>
      </c>
      <c r="M75" s="23">
        <f t="shared" si="29"/>
        <v>31110.160000000003</v>
      </c>
      <c r="N75" s="23">
        <f t="shared" si="29"/>
        <v>0</v>
      </c>
      <c r="O75" s="37">
        <f t="shared" si="44"/>
        <v>7070</v>
      </c>
      <c r="P75" s="37">
        <f>F75-J75</f>
        <v>0</v>
      </c>
      <c r="Q75" s="37">
        <f t="shared" si="45"/>
        <v>0</v>
      </c>
      <c r="R75" s="39">
        <f t="shared" si="34"/>
        <v>0.51904761904761909</v>
      </c>
      <c r="S75" s="39">
        <f t="shared" si="34"/>
        <v>1.0000000000000002</v>
      </c>
      <c r="T75" s="39" t="e">
        <f t="shared" si="35"/>
        <v>#DIV/0!</v>
      </c>
      <c r="U75" s="35"/>
      <c r="V75" s="35"/>
      <c r="W75" s="35"/>
      <c r="X75" s="35"/>
      <c r="Y75" s="35">
        <f>221.36+352-217.18</f>
        <v>356.18</v>
      </c>
      <c r="Z75" s="35"/>
      <c r="AA75" s="35"/>
      <c r="AB75" s="35">
        <f>1760+1360+2000+640+768+3840+1106.78+2448+768+153.6+489.6+1075.32</f>
        <v>16409.300000000003</v>
      </c>
      <c r="AC75" s="35"/>
      <c r="AD75" s="35"/>
      <c r="AE75" s="35">
        <f>1075.68+1683+1683+1683+2500+2500</f>
        <v>11124.68</v>
      </c>
      <c r="AF75" s="35"/>
      <c r="AG75" s="35"/>
      <c r="AH75" s="35"/>
      <c r="AI75" s="35"/>
      <c r="AJ75" s="35">
        <f>780</f>
        <v>780</v>
      </c>
      <c r="AK75" s="35">
        <f>2000+1220</f>
        <v>3220</v>
      </c>
      <c r="AL75" s="35"/>
      <c r="AM75" s="35">
        <v>6850</v>
      </c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40"/>
      <c r="BI75" s="41"/>
      <c r="BJ75" s="41"/>
      <c r="BK75" s="41"/>
      <c r="BL75" s="41"/>
    </row>
    <row r="76" spans="1:64" ht="15.75" hidden="1" x14ac:dyDescent="0.25">
      <c r="A76" s="124"/>
      <c r="B76" s="124"/>
      <c r="C76" s="43" t="s">
        <v>57</v>
      </c>
      <c r="D76" s="33" t="s">
        <v>183</v>
      </c>
      <c r="E76" s="58"/>
      <c r="F76" s="58"/>
      <c r="G76" s="52"/>
      <c r="H76" s="36"/>
      <c r="I76" s="125">
        <f>U76+AA76+AD76+AG76+AJ76+AM76+AP76+AS76+AV76+AY76+BB76</f>
        <v>0</v>
      </c>
      <c r="J76" s="37">
        <f>V76+AB76+AE76+AH76+AK76+AN76+AQ76+AT76+AW76+AZ76+BC76</f>
        <v>0</v>
      </c>
      <c r="K76" s="37">
        <f t="shared" si="43"/>
        <v>0</v>
      </c>
      <c r="L76" s="23">
        <f>IF(BE76=0,SUM(U76+AA76+AD76+AG76+AJ76+AM76+AP76+AS76+AV76+AY76+BB76),BE76)</f>
        <v>0</v>
      </c>
      <c r="M76" s="23">
        <f>IF(BF76=0,SUM(V76+AB76+AE76+AH76+AK76+AN76+AQ76+AT76+AW76+AZ76+BC76),BF76)</f>
        <v>0</v>
      </c>
      <c r="N76" s="23">
        <f t="shared" ref="N76:N90" si="46">IF(BG76=0,SUM(W76+Z76+AC76+AF76+AI76+AL76+AO76+AR76+AU76+AX76+BA76+BD76),BG76)</f>
        <v>0</v>
      </c>
      <c r="O76" s="37">
        <f t="shared" si="44"/>
        <v>0</v>
      </c>
      <c r="P76" s="37">
        <f>F76-J76</f>
        <v>0</v>
      </c>
      <c r="Q76" s="37">
        <f t="shared" si="45"/>
        <v>0</v>
      </c>
      <c r="R76" s="39">
        <f>I76/E37</f>
        <v>0</v>
      </c>
      <c r="S76" s="39">
        <f>J76/F37</f>
        <v>0</v>
      </c>
      <c r="T76" s="39" t="e">
        <f t="shared" si="35"/>
        <v>#DIV/0!</v>
      </c>
      <c r="U76" s="35"/>
      <c r="V76" s="35"/>
      <c r="W76" s="35"/>
      <c r="X76" s="58"/>
      <c r="Y76" s="58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40"/>
      <c r="BI76" s="41"/>
      <c r="BJ76" s="41"/>
      <c r="BK76" s="41"/>
      <c r="BL76" s="41"/>
    </row>
    <row r="77" spans="1:64" ht="15.75" customHeight="1" x14ac:dyDescent="0.25">
      <c r="A77" s="79"/>
      <c r="B77" s="79"/>
      <c r="C77" s="122"/>
      <c r="D77" s="81" t="s">
        <v>184</v>
      </c>
      <c r="E77" s="82">
        <f>SUM(E79:E83)</f>
        <v>0</v>
      </c>
      <c r="F77" s="82">
        <f>SUM(F79:F83)</f>
        <v>419086</v>
      </c>
      <c r="G77" s="82"/>
      <c r="H77" s="82">
        <f>SUM(H79:H83)</f>
        <v>0</v>
      </c>
      <c r="I77" s="82">
        <f>SUM(I79:I83)</f>
        <v>0</v>
      </c>
      <c r="J77" s="82">
        <f>SUM(J79:J83)</f>
        <v>419086</v>
      </c>
      <c r="K77" s="82">
        <f>SUM(K79:K83)</f>
        <v>0</v>
      </c>
      <c r="L77" s="22">
        <f t="shared" ref="L77:M90" si="47">IF(BE77=0,SUM(U77+X77+AA77+AD77+AG77+AJ77+AM77+AP77+AS77+AV77+AY77+BB77),BE77)</f>
        <v>0</v>
      </c>
      <c r="M77" s="22">
        <f t="shared" si="47"/>
        <v>419086</v>
      </c>
      <c r="N77" s="22">
        <f t="shared" si="46"/>
        <v>0</v>
      </c>
      <c r="O77" s="82">
        <f>SUM(O79:O83)</f>
        <v>0</v>
      </c>
      <c r="P77" s="82">
        <f>SUM(P79:P83)</f>
        <v>0</v>
      </c>
      <c r="Q77" s="82">
        <f>SUM(Q79:Q83)</f>
        <v>0</v>
      </c>
      <c r="R77" s="123" t="e">
        <f t="shared" ref="R77:S92" si="48">I77/E77</f>
        <v>#DIV/0!</v>
      </c>
      <c r="S77" s="123">
        <f t="shared" si="48"/>
        <v>1</v>
      </c>
      <c r="T77" s="123" t="e">
        <f t="shared" si="35"/>
        <v>#DIV/0!</v>
      </c>
      <c r="U77" s="82">
        <f t="shared" ref="U77:BG77" si="49">SUM(U79:U83)</f>
        <v>0</v>
      </c>
      <c r="V77" s="82">
        <f t="shared" si="49"/>
        <v>0</v>
      </c>
      <c r="W77" s="82">
        <f t="shared" si="49"/>
        <v>0</v>
      </c>
      <c r="X77" s="82">
        <f t="shared" si="49"/>
        <v>0</v>
      </c>
      <c r="Y77" s="82">
        <f t="shared" si="49"/>
        <v>0</v>
      </c>
      <c r="Z77" s="82">
        <f t="shared" si="49"/>
        <v>0</v>
      </c>
      <c r="AA77" s="82">
        <f t="shared" si="49"/>
        <v>0</v>
      </c>
      <c r="AB77" s="82">
        <f t="shared" si="49"/>
        <v>74011</v>
      </c>
      <c r="AC77" s="82">
        <f t="shared" si="49"/>
        <v>0</v>
      </c>
      <c r="AD77" s="82">
        <f t="shared" si="49"/>
        <v>0</v>
      </c>
      <c r="AE77" s="82">
        <f t="shared" si="49"/>
        <v>297825</v>
      </c>
      <c r="AF77" s="82">
        <f t="shared" si="49"/>
        <v>0</v>
      </c>
      <c r="AG77" s="82">
        <f t="shared" si="49"/>
        <v>0</v>
      </c>
      <c r="AH77" s="82">
        <f t="shared" si="49"/>
        <v>41800</v>
      </c>
      <c r="AI77" s="82">
        <f t="shared" si="49"/>
        <v>0</v>
      </c>
      <c r="AJ77" s="82">
        <f t="shared" si="49"/>
        <v>0</v>
      </c>
      <c r="AK77" s="82">
        <f t="shared" si="49"/>
        <v>5450</v>
      </c>
      <c r="AL77" s="82">
        <f t="shared" si="49"/>
        <v>0</v>
      </c>
      <c r="AM77" s="82">
        <f t="shared" si="49"/>
        <v>0</v>
      </c>
      <c r="AN77" s="82">
        <f t="shared" si="49"/>
        <v>0</v>
      </c>
      <c r="AO77" s="82">
        <f t="shared" si="49"/>
        <v>0</v>
      </c>
      <c r="AP77" s="82">
        <f t="shared" si="49"/>
        <v>0</v>
      </c>
      <c r="AQ77" s="82">
        <f t="shared" si="49"/>
        <v>0</v>
      </c>
      <c r="AR77" s="82">
        <f t="shared" si="49"/>
        <v>0</v>
      </c>
      <c r="AS77" s="82">
        <f t="shared" si="49"/>
        <v>0</v>
      </c>
      <c r="AT77" s="82">
        <f t="shared" si="49"/>
        <v>0</v>
      </c>
      <c r="AU77" s="82">
        <f t="shared" si="49"/>
        <v>0</v>
      </c>
      <c r="AV77" s="82">
        <f t="shared" si="49"/>
        <v>0</v>
      </c>
      <c r="AW77" s="82">
        <f t="shared" si="49"/>
        <v>0</v>
      </c>
      <c r="AX77" s="82">
        <f t="shared" si="49"/>
        <v>0</v>
      </c>
      <c r="AY77" s="82">
        <f t="shared" si="49"/>
        <v>0</v>
      </c>
      <c r="AZ77" s="82">
        <f t="shared" si="49"/>
        <v>0</v>
      </c>
      <c r="BA77" s="82">
        <f t="shared" si="49"/>
        <v>0</v>
      </c>
      <c r="BB77" s="82">
        <f t="shared" si="49"/>
        <v>0</v>
      </c>
      <c r="BC77" s="82">
        <f t="shared" si="49"/>
        <v>0</v>
      </c>
      <c r="BD77" s="82">
        <f t="shared" si="49"/>
        <v>0</v>
      </c>
      <c r="BE77" s="82">
        <f t="shared" si="49"/>
        <v>0</v>
      </c>
      <c r="BF77" s="82">
        <f t="shared" si="49"/>
        <v>0</v>
      </c>
      <c r="BG77" s="82">
        <f t="shared" si="49"/>
        <v>0</v>
      </c>
      <c r="BH77" s="84"/>
      <c r="BI77" s="85"/>
      <c r="BJ77" s="85"/>
      <c r="BK77" s="85"/>
      <c r="BL77" s="85"/>
    </row>
    <row r="78" spans="1:64" ht="15.75" hidden="1" customHeight="1" x14ac:dyDescent="0.25">
      <c r="A78" s="90"/>
      <c r="B78" s="90"/>
      <c r="C78" s="91"/>
      <c r="D78" s="92" t="s">
        <v>185</v>
      </c>
      <c r="E78" s="95"/>
      <c r="F78" s="95"/>
      <c r="G78" s="95"/>
      <c r="H78" s="95"/>
      <c r="I78" s="96"/>
      <c r="J78" s="96"/>
      <c r="K78" s="96"/>
      <c r="L78" s="23"/>
      <c r="M78" s="23"/>
      <c r="N78" s="23"/>
      <c r="O78" s="96"/>
      <c r="P78" s="96"/>
      <c r="Q78" s="96"/>
      <c r="R78" s="97"/>
      <c r="S78" s="97"/>
      <c r="T78" s="97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101"/>
      <c r="BI78" s="102"/>
      <c r="BJ78" s="102"/>
      <c r="BK78" s="102"/>
      <c r="BL78" s="102"/>
    </row>
    <row r="79" spans="1:64" ht="15.75" customHeight="1" x14ac:dyDescent="0.25">
      <c r="A79" s="126"/>
      <c r="B79" s="126" t="s">
        <v>186</v>
      </c>
      <c r="C79" s="127" t="s">
        <v>187</v>
      </c>
      <c r="D79" s="92" t="s">
        <v>188</v>
      </c>
      <c r="E79" s="95"/>
      <c r="F79" s="95">
        <f>74011+297825+41800+5450</f>
        <v>419086</v>
      </c>
      <c r="G79" s="95"/>
      <c r="H79" s="95"/>
      <c r="I79" s="96">
        <f t="shared" ref="I79:K83" si="50">U79+X79+AA79+AD79+AG79+AJ79+AM79+AP79+AS79+AV79+AY79+BB79</f>
        <v>0</v>
      </c>
      <c r="J79" s="96">
        <f t="shared" si="50"/>
        <v>419086</v>
      </c>
      <c r="K79" s="96">
        <f t="shared" si="50"/>
        <v>0</v>
      </c>
      <c r="L79" s="23">
        <f t="shared" si="47"/>
        <v>0</v>
      </c>
      <c r="M79" s="23">
        <f t="shared" si="47"/>
        <v>419086</v>
      </c>
      <c r="N79" s="23">
        <f t="shared" si="46"/>
        <v>0</v>
      </c>
      <c r="O79" s="96">
        <f t="shared" ref="O79:P83" si="51">E79-I79</f>
        <v>0</v>
      </c>
      <c r="P79" s="96">
        <f t="shared" si="51"/>
        <v>0</v>
      </c>
      <c r="Q79" s="96">
        <f t="shared" ref="Q79:Q83" si="52">H79-K79</f>
        <v>0</v>
      </c>
      <c r="R79" s="97" t="e">
        <f t="shared" si="48"/>
        <v>#DIV/0!</v>
      </c>
      <c r="S79" s="97">
        <f t="shared" si="48"/>
        <v>1</v>
      </c>
      <c r="T79" s="97" t="e">
        <f t="shared" si="35"/>
        <v>#DIV/0!</v>
      </c>
      <c r="U79" s="93"/>
      <c r="V79" s="93"/>
      <c r="W79" s="93"/>
      <c r="X79" s="93"/>
      <c r="Y79" s="93"/>
      <c r="Z79" s="93"/>
      <c r="AA79" s="93"/>
      <c r="AB79" s="93">
        <f>74011</f>
        <v>74011</v>
      </c>
      <c r="AC79" s="93"/>
      <c r="AD79" s="93"/>
      <c r="AE79" s="93">
        <v>297825</v>
      </c>
      <c r="AF79" s="93"/>
      <c r="AG79" s="93"/>
      <c r="AH79" s="93">
        <v>41800</v>
      </c>
      <c r="AI79" s="93"/>
      <c r="AJ79" s="99"/>
      <c r="AK79" s="99">
        <v>5450</v>
      </c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101"/>
      <c r="BI79" s="102"/>
      <c r="BJ79" s="102"/>
      <c r="BK79" s="102"/>
      <c r="BL79" s="102"/>
    </row>
    <row r="80" spans="1:64" ht="15.75" hidden="1" customHeight="1" x14ac:dyDescent="0.25">
      <c r="A80" s="124"/>
      <c r="B80" s="128"/>
      <c r="C80" s="32" t="s">
        <v>40</v>
      </c>
      <c r="D80" s="129" t="s">
        <v>189</v>
      </c>
      <c r="E80" s="130"/>
      <c r="F80" s="131"/>
      <c r="G80" s="131"/>
      <c r="H80" s="132"/>
      <c r="I80" s="37"/>
      <c r="J80" s="37"/>
      <c r="K80" s="37"/>
      <c r="L80" s="23"/>
      <c r="M80" s="23"/>
      <c r="N80" s="23"/>
      <c r="O80" s="37"/>
      <c r="P80" s="37"/>
      <c r="Q80" s="37"/>
      <c r="R80" s="39"/>
      <c r="S80" s="39"/>
      <c r="T80" s="39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40"/>
      <c r="BI80" s="41"/>
      <c r="BJ80" s="41"/>
      <c r="BK80" s="41"/>
      <c r="BL80" s="41"/>
    </row>
    <row r="81" spans="1:64" ht="15.75" hidden="1" customHeight="1" x14ac:dyDescent="0.25">
      <c r="A81" s="124"/>
      <c r="B81" s="128"/>
      <c r="C81" s="32" t="s">
        <v>86</v>
      </c>
      <c r="D81" s="129" t="s">
        <v>190</v>
      </c>
      <c r="E81" s="130"/>
      <c r="F81" s="131"/>
      <c r="G81" s="131"/>
      <c r="H81" s="132"/>
      <c r="I81" s="37"/>
      <c r="J81" s="37"/>
      <c r="K81" s="37"/>
      <c r="L81" s="23"/>
      <c r="M81" s="23"/>
      <c r="N81" s="23"/>
      <c r="O81" s="37"/>
      <c r="P81" s="37"/>
      <c r="Q81" s="37"/>
      <c r="R81" s="39"/>
      <c r="S81" s="39"/>
      <c r="T81" s="39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40"/>
      <c r="BI81" s="41"/>
      <c r="BJ81" s="41"/>
      <c r="BK81" s="41"/>
      <c r="BL81" s="41"/>
    </row>
    <row r="82" spans="1:64" ht="15.75" hidden="1" customHeight="1" x14ac:dyDescent="0.25">
      <c r="A82" s="42"/>
      <c r="B82" s="42"/>
      <c r="C82" s="32" t="s">
        <v>191</v>
      </c>
      <c r="D82" s="76" t="s">
        <v>192</v>
      </c>
      <c r="E82" s="35"/>
      <c r="F82" s="35"/>
      <c r="G82" s="35"/>
      <c r="H82" s="35"/>
      <c r="I82" s="37">
        <f t="shared" si="50"/>
        <v>0</v>
      </c>
      <c r="J82" s="37">
        <f t="shared" si="50"/>
        <v>0</v>
      </c>
      <c r="K82" s="37">
        <f t="shared" si="50"/>
        <v>0</v>
      </c>
      <c r="L82" s="23">
        <f t="shared" si="47"/>
        <v>0</v>
      </c>
      <c r="M82" s="23">
        <f t="shared" si="47"/>
        <v>0</v>
      </c>
      <c r="N82" s="23">
        <f t="shared" si="46"/>
        <v>0</v>
      </c>
      <c r="O82" s="37">
        <f t="shared" si="51"/>
        <v>0</v>
      </c>
      <c r="P82" s="37">
        <f t="shared" si="51"/>
        <v>0</v>
      </c>
      <c r="Q82" s="37">
        <f t="shared" si="52"/>
        <v>0</v>
      </c>
      <c r="R82" s="39" t="e">
        <f t="shared" si="48"/>
        <v>#DIV/0!</v>
      </c>
      <c r="S82" s="39" t="e">
        <f t="shared" si="48"/>
        <v>#DIV/0!</v>
      </c>
      <c r="T82" s="39" t="e">
        <f t="shared" si="35"/>
        <v>#DIV/0!</v>
      </c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40"/>
      <c r="BI82" s="41"/>
      <c r="BJ82" s="41"/>
      <c r="BK82" s="41"/>
      <c r="BL82" s="41"/>
    </row>
    <row r="83" spans="1:64" ht="15.75" hidden="1" customHeight="1" x14ac:dyDescent="0.25">
      <c r="A83" s="42"/>
      <c r="B83" s="42"/>
      <c r="C83" s="32" t="s">
        <v>193</v>
      </c>
      <c r="D83" s="76" t="s">
        <v>169</v>
      </c>
      <c r="E83" s="35"/>
      <c r="F83" s="35"/>
      <c r="G83" s="35"/>
      <c r="H83" s="35"/>
      <c r="I83" s="37">
        <f t="shared" si="50"/>
        <v>0</v>
      </c>
      <c r="J83" s="37">
        <f t="shared" si="50"/>
        <v>0</v>
      </c>
      <c r="K83" s="37">
        <f t="shared" si="50"/>
        <v>0</v>
      </c>
      <c r="L83" s="23">
        <f t="shared" si="47"/>
        <v>0</v>
      </c>
      <c r="M83" s="23">
        <f t="shared" si="47"/>
        <v>0</v>
      </c>
      <c r="N83" s="23">
        <f t="shared" si="46"/>
        <v>0</v>
      </c>
      <c r="O83" s="37">
        <f t="shared" si="51"/>
        <v>0</v>
      </c>
      <c r="P83" s="37">
        <f t="shared" si="51"/>
        <v>0</v>
      </c>
      <c r="Q83" s="37">
        <f t="shared" si="52"/>
        <v>0</v>
      </c>
      <c r="R83" s="39" t="e">
        <f t="shared" si="48"/>
        <v>#DIV/0!</v>
      </c>
      <c r="S83" s="39" t="e">
        <f t="shared" si="48"/>
        <v>#DIV/0!</v>
      </c>
      <c r="T83" s="39" t="e">
        <f t="shared" si="35"/>
        <v>#DIV/0!</v>
      </c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40"/>
      <c r="BI83" s="41"/>
      <c r="BJ83" s="41"/>
      <c r="BK83" s="41"/>
      <c r="BL83" s="41"/>
    </row>
    <row r="84" spans="1:64" ht="21" x14ac:dyDescent="0.25">
      <c r="A84" s="27"/>
      <c r="B84" s="27" t="s">
        <v>194</v>
      </c>
      <c r="C84" s="28"/>
      <c r="D84" s="27"/>
      <c r="E84" s="29">
        <f>E85+E102+E107+E131+E135+E139</f>
        <v>20230</v>
      </c>
      <c r="F84" s="29">
        <f t="shared" ref="F84:K84" si="53">F85+F102+F107+F131+F135+F139</f>
        <v>314448.07</v>
      </c>
      <c r="G84" s="29">
        <f t="shared" si="53"/>
        <v>5588.05</v>
      </c>
      <c r="H84" s="29">
        <f t="shared" si="53"/>
        <v>142873.54999999999</v>
      </c>
      <c r="I84" s="29">
        <f t="shared" si="53"/>
        <v>0</v>
      </c>
      <c r="J84" s="29">
        <f t="shared" si="53"/>
        <v>291748.59999999998</v>
      </c>
      <c r="K84" s="29">
        <f t="shared" si="53"/>
        <v>39920</v>
      </c>
      <c r="L84" s="29">
        <f t="shared" si="47"/>
        <v>10630</v>
      </c>
      <c r="M84" s="29">
        <f t="shared" si="47"/>
        <v>291748.60000000003</v>
      </c>
      <c r="N84" s="29">
        <f t="shared" si="46"/>
        <v>39920</v>
      </c>
      <c r="O84" s="29">
        <f>O85+O102+O107+O131+O135+O139</f>
        <v>9600</v>
      </c>
      <c r="P84" s="29">
        <f>P85+P102+P107+P131+P135+P139</f>
        <v>17111.420000000013</v>
      </c>
      <c r="Q84" s="29">
        <f>Q85+Q102+Q107+Q131+Q135+Q139</f>
        <v>102953.54999999999</v>
      </c>
      <c r="R84" s="30">
        <f t="shared" si="48"/>
        <v>0</v>
      </c>
      <c r="S84" s="30">
        <f t="shared" si="48"/>
        <v>0.92781170512511002</v>
      </c>
      <c r="T84" s="30">
        <f t="shared" si="35"/>
        <v>0.27940791000153636</v>
      </c>
      <c r="U84" s="29">
        <f t="shared" ref="U84:BG84" si="54">U85+U102+U107+U131+U135+U139</f>
        <v>0</v>
      </c>
      <c r="V84" s="29">
        <f t="shared" si="54"/>
        <v>3905.01</v>
      </c>
      <c r="W84" s="29">
        <f t="shared" si="54"/>
        <v>0</v>
      </c>
      <c r="X84" s="29">
        <f t="shared" si="54"/>
        <v>0</v>
      </c>
      <c r="Y84" s="29">
        <f t="shared" si="54"/>
        <v>40162.520000000004</v>
      </c>
      <c r="Z84" s="29">
        <f t="shared" si="54"/>
        <v>0</v>
      </c>
      <c r="AA84" s="29">
        <f t="shared" si="54"/>
        <v>0</v>
      </c>
      <c r="AB84" s="29">
        <f t="shared" si="54"/>
        <v>71236.800000000003</v>
      </c>
      <c r="AC84" s="29">
        <f t="shared" si="54"/>
        <v>0</v>
      </c>
      <c r="AD84" s="29">
        <f t="shared" si="54"/>
        <v>0</v>
      </c>
      <c r="AE84" s="29">
        <f t="shared" si="54"/>
        <v>2289.6799999999998</v>
      </c>
      <c r="AF84" s="29">
        <f t="shared" si="54"/>
        <v>11360</v>
      </c>
      <c r="AG84" s="29">
        <f t="shared" si="54"/>
        <v>0</v>
      </c>
      <c r="AH84" s="29">
        <f t="shared" si="54"/>
        <v>18570.449999999997</v>
      </c>
      <c r="AI84" s="29">
        <f t="shared" si="54"/>
        <v>13760</v>
      </c>
      <c r="AJ84" s="29">
        <f t="shared" si="54"/>
        <v>0</v>
      </c>
      <c r="AK84" s="29">
        <f t="shared" si="54"/>
        <v>148386</v>
      </c>
      <c r="AL84" s="29">
        <f t="shared" si="54"/>
        <v>14800</v>
      </c>
      <c r="AM84" s="29">
        <f t="shared" si="54"/>
        <v>0</v>
      </c>
      <c r="AN84" s="29">
        <f t="shared" si="54"/>
        <v>5930.59</v>
      </c>
      <c r="AO84" s="29">
        <f t="shared" si="54"/>
        <v>0</v>
      </c>
      <c r="AP84" s="29">
        <f t="shared" si="54"/>
        <v>10630</v>
      </c>
      <c r="AQ84" s="29">
        <f t="shared" si="54"/>
        <v>1267.55</v>
      </c>
      <c r="AR84" s="29">
        <f t="shared" si="54"/>
        <v>0</v>
      </c>
      <c r="AS84" s="29">
        <f t="shared" si="54"/>
        <v>0</v>
      </c>
      <c r="AT84" s="29">
        <f t="shared" si="54"/>
        <v>0</v>
      </c>
      <c r="AU84" s="29">
        <f t="shared" si="54"/>
        <v>0</v>
      </c>
      <c r="AV84" s="29">
        <f t="shared" si="54"/>
        <v>0</v>
      </c>
      <c r="AW84" s="29">
        <f t="shared" si="54"/>
        <v>0</v>
      </c>
      <c r="AX84" s="29">
        <f t="shared" si="54"/>
        <v>0</v>
      </c>
      <c r="AY84" s="29">
        <f t="shared" si="54"/>
        <v>0</v>
      </c>
      <c r="AZ84" s="29">
        <f t="shared" si="54"/>
        <v>0</v>
      </c>
      <c r="BA84" s="29">
        <f t="shared" si="54"/>
        <v>0</v>
      </c>
      <c r="BB84" s="29">
        <f t="shared" si="54"/>
        <v>0</v>
      </c>
      <c r="BC84" s="29">
        <f t="shared" si="54"/>
        <v>0</v>
      </c>
      <c r="BD84" s="29">
        <f t="shared" si="54"/>
        <v>0</v>
      </c>
      <c r="BE84" s="29">
        <f t="shared" si="54"/>
        <v>0</v>
      </c>
      <c r="BF84" s="29">
        <f t="shared" si="54"/>
        <v>0</v>
      </c>
      <c r="BG84" s="29">
        <f t="shared" si="54"/>
        <v>0</v>
      </c>
      <c r="BH84" s="77"/>
      <c r="BI84" s="78"/>
      <c r="BJ84" s="78"/>
      <c r="BK84" s="78"/>
      <c r="BL84" s="78"/>
    </row>
    <row r="85" spans="1:64" ht="15.75" customHeight="1" x14ac:dyDescent="0.25">
      <c r="A85" s="79"/>
      <c r="B85" s="79"/>
      <c r="C85" s="80"/>
      <c r="D85" s="81" t="s">
        <v>151</v>
      </c>
      <c r="E85" s="82">
        <f t="shared" ref="E85:K85" si="55">SUM(E86:E101)</f>
        <v>730</v>
      </c>
      <c r="F85" s="82">
        <f t="shared" si="55"/>
        <v>157466.56</v>
      </c>
      <c r="G85" s="82">
        <f t="shared" si="55"/>
        <v>5588.05</v>
      </c>
      <c r="H85" s="82">
        <f t="shared" si="55"/>
        <v>0</v>
      </c>
      <c r="I85" s="82">
        <f t="shared" si="55"/>
        <v>0</v>
      </c>
      <c r="J85" s="82">
        <f t="shared" si="55"/>
        <v>151878.51</v>
      </c>
      <c r="K85" s="82">
        <f t="shared" si="55"/>
        <v>0</v>
      </c>
      <c r="L85" s="22">
        <f t="shared" si="47"/>
        <v>730</v>
      </c>
      <c r="M85" s="22">
        <f t="shared" si="47"/>
        <v>151878.51</v>
      </c>
      <c r="N85" s="22">
        <f t="shared" si="46"/>
        <v>0</v>
      </c>
      <c r="O85" s="82">
        <f>SUM(O86:O101)</f>
        <v>0</v>
      </c>
      <c r="P85" s="82">
        <f>SUM(P86:P101)</f>
        <v>0</v>
      </c>
      <c r="Q85" s="82">
        <f>SUM(Q86:Q101)</f>
        <v>0</v>
      </c>
      <c r="R85" s="123">
        <f t="shared" si="48"/>
        <v>0</v>
      </c>
      <c r="S85" s="123">
        <f t="shared" si="48"/>
        <v>0.96451278290451004</v>
      </c>
      <c r="T85" s="123" t="e">
        <f t="shared" si="35"/>
        <v>#DIV/0!</v>
      </c>
      <c r="U85" s="82">
        <f t="shared" ref="U85:BG85" si="56">SUM(U86:U101)</f>
        <v>0</v>
      </c>
      <c r="V85" s="82">
        <f t="shared" si="56"/>
        <v>3492.51</v>
      </c>
      <c r="W85" s="82">
        <f t="shared" si="56"/>
        <v>0</v>
      </c>
      <c r="X85" s="82">
        <f t="shared" si="56"/>
        <v>0</v>
      </c>
      <c r="Y85" s="82">
        <f t="shared" si="56"/>
        <v>0</v>
      </c>
      <c r="Z85" s="82">
        <f t="shared" si="56"/>
        <v>0</v>
      </c>
      <c r="AA85" s="82">
        <f t="shared" si="56"/>
        <v>0</v>
      </c>
      <c r="AB85" s="82">
        <f t="shared" si="56"/>
        <v>0</v>
      </c>
      <c r="AC85" s="82">
        <f t="shared" si="56"/>
        <v>0</v>
      </c>
      <c r="AD85" s="82">
        <f t="shared" si="56"/>
        <v>0</v>
      </c>
      <c r="AE85" s="82">
        <f t="shared" si="56"/>
        <v>0</v>
      </c>
      <c r="AF85" s="82">
        <f t="shared" si="56"/>
        <v>0</v>
      </c>
      <c r="AG85" s="82">
        <f t="shared" si="56"/>
        <v>0</v>
      </c>
      <c r="AH85" s="82">
        <f t="shared" si="56"/>
        <v>0</v>
      </c>
      <c r="AI85" s="82">
        <f t="shared" si="56"/>
        <v>0</v>
      </c>
      <c r="AJ85" s="82">
        <f t="shared" si="56"/>
        <v>0</v>
      </c>
      <c r="AK85" s="82">
        <f t="shared" si="56"/>
        <v>148386</v>
      </c>
      <c r="AL85" s="82">
        <f t="shared" si="56"/>
        <v>0</v>
      </c>
      <c r="AM85" s="82">
        <f t="shared" si="56"/>
        <v>0</v>
      </c>
      <c r="AN85" s="82">
        <f t="shared" si="56"/>
        <v>0</v>
      </c>
      <c r="AO85" s="82">
        <f t="shared" si="56"/>
        <v>0</v>
      </c>
      <c r="AP85" s="82">
        <f t="shared" si="56"/>
        <v>730</v>
      </c>
      <c r="AQ85" s="82">
        <f t="shared" si="56"/>
        <v>0</v>
      </c>
      <c r="AR85" s="82">
        <f t="shared" si="56"/>
        <v>0</v>
      </c>
      <c r="AS85" s="82">
        <f t="shared" si="56"/>
        <v>0</v>
      </c>
      <c r="AT85" s="82">
        <f t="shared" si="56"/>
        <v>0</v>
      </c>
      <c r="AU85" s="82">
        <f t="shared" si="56"/>
        <v>0</v>
      </c>
      <c r="AV85" s="82">
        <f t="shared" si="56"/>
        <v>0</v>
      </c>
      <c r="AW85" s="82">
        <f t="shared" si="56"/>
        <v>0</v>
      </c>
      <c r="AX85" s="82">
        <f t="shared" si="56"/>
        <v>0</v>
      </c>
      <c r="AY85" s="82">
        <f t="shared" si="56"/>
        <v>0</v>
      </c>
      <c r="AZ85" s="82">
        <f t="shared" si="56"/>
        <v>0</v>
      </c>
      <c r="BA85" s="82">
        <f t="shared" si="56"/>
        <v>0</v>
      </c>
      <c r="BB85" s="82">
        <f t="shared" si="56"/>
        <v>0</v>
      </c>
      <c r="BC85" s="82">
        <f t="shared" si="56"/>
        <v>0</v>
      </c>
      <c r="BD85" s="82">
        <f t="shared" si="56"/>
        <v>0</v>
      </c>
      <c r="BE85" s="82">
        <f t="shared" si="56"/>
        <v>0</v>
      </c>
      <c r="BF85" s="82">
        <f t="shared" si="56"/>
        <v>0</v>
      </c>
      <c r="BG85" s="82">
        <f t="shared" si="56"/>
        <v>0</v>
      </c>
      <c r="BH85" s="84"/>
      <c r="BI85" s="85"/>
      <c r="BJ85" s="85"/>
      <c r="BK85" s="85"/>
      <c r="BL85" s="85"/>
    </row>
    <row r="86" spans="1:64" ht="15.75" hidden="1" customHeight="1" x14ac:dyDescent="0.25">
      <c r="A86" s="31"/>
      <c r="B86" s="31"/>
      <c r="C86" s="32" t="s">
        <v>34</v>
      </c>
      <c r="D86" s="76" t="s">
        <v>173</v>
      </c>
      <c r="E86" s="35"/>
      <c r="F86" s="35"/>
      <c r="G86" s="35"/>
      <c r="H86" s="35"/>
      <c r="I86" s="37">
        <f t="shared" ref="I86:K90" si="57">U86+X86+AA86+AD86+AG86+AJ86+AM86+AP86+AS86+AV86+AY86+BB86</f>
        <v>0</v>
      </c>
      <c r="J86" s="37">
        <f t="shared" si="57"/>
        <v>0</v>
      </c>
      <c r="K86" s="37">
        <f t="shared" si="57"/>
        <v>0</v>
      </c>
      <c r="L86" s="37">
        <f t="shared" si="47"/>
        <v>0</v>
      </c>
      <c r="M86" s="37">
        <f t="shared" si="47"/>
        <v>0</v>
      </c>
      <c r="N86" s="37">
        <f t="shared" si="46"/>
        <v>0</v>
      </c>
      <c r="O86" s="37">
        <f t="shared" ref="O86:P97" si="58">E86-I86</f>
        <v>0</v>
      </c>
      <c r="P86" s="37">
        <f t="shared" si="58"/>
        <v>0</v>
      </c>
      <c r="Q86" s="37">
        <f t="shared" ref="Q86:Q90" si="59">H86-K86</f>
        <v>0</v>
      </c>
      <c r="R86" s="39" t="e">
        <f t="shared" si="48"/>
        <v>#DIV/0!</v>
      </c>
      <c r="S86" s="39" t="e">
        <f t="shared" si="48"/>
        <v>#DIV/0!</v>
      </c>
      <c r="T86" s="39" t="e">
        <f t="shared" si="35"/>
        <v>#DIV/0!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40"/>
      <c r="BI86" s="41"/>
      <c r="BJ86" s="41"/>
      <c r="BK86" s="41"/>
      <c r="BL86" s="41"/>
    </row>
    <row r="87" spans="1:64" ht="15.75" hidden="1" customHeight="1" x14ac:dyDescent="0.25">
      <c r="A87" s="31"/>
      <c r="B87" s="31"/>
      <c r="C87" s="32" t="s">
        <v>195</v>
      </c>
      <c r="D87" s="76" t="s">
        <v>196</v>
      </c>
      <c r="E87" s="35"/>
      <c r="F87" s="35"/>
      <c r="G87" s="35"/>
      <c r="H87" s="35"/>
      <c r="I87" s="37">
        <f t="shared" si="57"/>
        <v>0</v>
      </c>
      <c r="J87" s="37">
        <f t="shared" si="57"/>
        <v>0</v>
      </c>
      <c r="K87" s="37">
        <f t="shared" si="57"/>
        <v>0</v>
      </c>
      <c r="L87" s="37">
        <f t="shared" si="47"/>
        <v>0</v>
      </c>
      <c r="M87" s="37">
        <f t="shared" si="47"/>
        <v>0</v>
      </c>
      <c r="N87" s="37">
        <f t="shared" si="46"/>
        <v>0</v>
      </c>
      <c r="O87" s="37">
        <f t="shared" si="58"/>
        <v>0</v>
      </c>
      <c r="P87" s="37">
        <f t="shared" si="58"/>
        <v>0</v>
      </c>
      <c r="Q87" s="37">
        <f t="shared" si="59"/>
        <v>0</v>
      </c>
      <c r="R87" s="39" t="e">
        <f t="shared" si="48"/>
        <v>#DIV/0!</v>
      </c>
      <c r="S87" s="39" t="e">
        <f t="shared" si="48"/>
        <v>#DIV/0!</v>
      </c>
      <c r="T87" s="39" t="e">
        <f t="shared" si="35"/>
        <v>#DIV/0!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40"/>
      <c r="BI87" s="41"/>
      <c r="BJ87" s="41"/>
      <c r="BK87" s="41"/>
      <c r="BL87" s="41"/>
    </row>
    <row r="88" spans="1:64" ht="15.75" hidden="1" customHeight="1" x14ac:dyDescent="0.25">
      <c r="A88" s="42"/>
      <c r="B88" s="42"/>
      <c r="C88" s="32" t="s">
        <v>36</v>
      </c>
      <c r="D88" s="76" t="s">
        <v>37</v>
      </c>
      <c r="E88" s="35"/>
      <c r="F88" s="35"/>
      <c r="G88" s="35"/>
      <c r="H88" s="35"/>
      <c r="I88" s="37">
        <f t="shared" si="57"/>
        <v>0</v>
      </c>
      <c r="J88" s="37">
        <f t="shared" si="57"/>
        <v>0</v>
      </c>
      <c r="K88" s="37">
        <f t="shared" si="57"/>
        <v>0</v>
      </c>
      <c r="L88" s="37">
        <f t="shared" si="47"/>
        <v>0</v>
      </c>
      <c r="M88" s="37">
        <f t="shared" si="47"/>
        <v>0</v>
      </c>
      <c r="N88" s="37">
        <f t="shared" si="46"/>
        <v>0</v>
      </c>
      <c r="O88" s="37">
        <f t="shared" si="58"/>
        <v>0</v>
      </c>
      <c r="P88" s="37">
        <f t="shared" si="58"/>
        <v>0</v>
      </c>
      <c r="Q88" s="37">
        <f t="shared" si="59"/>
        <v>0</v>
      </c>
      <c r="R88" s="39" t="e">
        <f t="shared" si="48"/>
        <v>#DIV/0!</v>
      </c>
      <c r="S88" s="39" t="e">
        <f t="shared" si="48"/>
        <v>#DIV/0!</v>
      </c>
      <c r="T88" s="39" t="e">
        <f t="shared" si="35"/>
        <v>#DIV/0!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40"/>
      <c r="BI88" s="41"/>
      <c r="BJ88" s="41"/>
      <c r="BK88" s="41"/>
      <c r="BL88" s="41"/>
    </row>
    <row r="89" spans="1:64" ht="15.75" hidden="1" customHeight="1" x14ac:dyDescent="0.25">
      <c r="A89" s="42"/>
      <c r="B89" s="42"/>
      <c r="C89" s="32"/>
      <c r="D89" s="133" t="s">
        <v>197</v>
      </c>
      <c r="E89" s="130"/>
      <c r="F89" s="132"/>
      <c r="G89" s="132"/>
      <c r="H89" s="130"/>
      <c r="I89" s="37">
        <f t="shared" si="57"/>
        <v>0</v>
      </c>
      <c r="J89" s="37">
        <f t="shared" si="57"/>
        <v>0</v>
      </c>
      <c r="K89" s="37">
        <f t="shared" si="57"/>
        <v>0</v>
      </c>
      <c r="L89" s="37">
        <f t="shared" si="47"/>
        <v>0</v>
      </c>
      <c r="M89" s="37">
        <f t="shared" si="47"/>
        <v>0</v>
      </c>
      <c r="N89" s="37">
        <f t="shared" si="46"/>
        <v>0</v>
      </c>
      <c r="O89" s="37">
        <f t="shared" si="58"/>
        <v>0</v>
      </c>
      <c r="P89" s="37">
        <f t="shared" si="58"/>
        <v>0</v>
      </c>
      <c r="Q89" s="37">
        <f t="shared" si="59"/>
        <v>0</v>
      </c>
      <c r="R89" s="39" t="e">
        <f t="shared" si="48"/>
        <v>#DIV/0!</v>
      </c>
      <c r="S89" s="39" t="e">
        <f t="shared" si="48"/>
        <v>#DIV/0!</v>
      </c>
      <c r="T89" s="39" t="e">
        <f t="shared" si="35"/>
        <v>#DIV/0!</v>
      </c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4"/>
      <c r="BC89" s="132"/>
      <c r="BD89" s="132"/>
      <c r="BE89" s="134"/>
      <c r="BF89" s="132"/>
      <c r="BG89" s="132"/>
      <c r="BH89" s="40"/>
      <c r="BI89" s="41"/>
      <c r="BJ89" s="41"/>
      <c r="BK89" s="41"/>
      <c r="BL89" s="41"/>
    </row>
    <row r="90" spans="1:64" ht="15.75" hidden="1" x14ac:dyDescent="0.25">
      <c r="A90" s="42"/>
      <c r="B90" s="42"/>
      <c r="C90" s="32" t="s">
        <v>86</v>
      </c>
      <c r="D90" s="129" t="s">
        <v>198</v>
      </c>
      <c r="E90" s="35"/>
      <c r="F90" s="35"/>
      <c r="G90" s="35"/>
      <c r="H90" s="35"/>
      <c r="I90" s="37">
        <f t="shared" si="57"/>
        <v>0</v>
      </c>
      <c r="J90" s="37">
        <f t="shared" si="57"/>
        <v>0</v>
      </c>
      <c r="K90" s="37">
        <f t="shared" si="57"/>
        <v>0</v>
      </c>
      <c r="L90" s="37">
        <f t="shared" si="47"/>
        <v>0</v>
      </c>
      <c r="M90" s="37">
        <f t="shared" si="47"/>
        <v>0</v>
      </c>
      <c r="N90" s="37">
        <f t="shared" si="46"/>
        <v>0</v>
      </c>
      <c r="O90" s="37">
        <f t="shared" si="58"/>
        <v>0</v>
      </c>
      <c r="P90" s="37">
        <f t="shared" si="58"/>
        <v>0</v>
      </c>
      <c r="Q90" s="37">
        <f t="shared" si="59"/>
        <v>0</v>
      </c>
      <c r="R90" s="39" t="e">
        <f t="shared" si="48"/>
        <v>#DIV/0!</v>
      </c>
      <c r="S90" s="39" t="e">
        <f t="shared" si="48"/>
        <v>#DIV/0!</v>
      </c>
      <c r="T90" s="39" t="e">
        <f t="shared" si="35"/>
        <v>#DIV/0!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40"/>
      <c r="BI90" s="41"/>
      <c r="BJ90" s="41"/>
      <c r="BK90" s="41"/>
      <c r="BL90" s="41"/>
    </row>
    <row r="91" spans="1:64" ht="15.75" x14ac:dyDescent="0.25">
      <c r="A91" s="42" t="s">
        <v>199</v>
      </c>
      <c r="B91" s="42"/>
      <c r="C91" s="190" t="s">
        <v>193</v>
      </c>
      <c r="D91" s="199" t="s">
        <v>200</v>
      </c>
      <c r="E91" s="35">
        <v>730</v>
      </c>
      <c r="F91" s="35"/>
      <c r="G91" s="35"/>
      <c r="H91" s="35"/>
      <c r="I91" s="37"/>
      <c r="J91" s="37"/>
      <c r="K91" s="37"/>
      <c r="L91" s="37"/>
      <c r="M91" s="37"/>
      <c r="N91" s="37"/>
      <c r="O91" s="37"/>
      <c r="P91" s="37"/>
      <c r="Q91" s="37"/>
      <c r="R91" s="39"/>
      <c r="S91" s="39"/>
      <c r="T91" s="39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>
        <v>730</v>
      </c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40"/>
      <c r="BI91" s="41"/>
      <c r="BJ91" s="41"/>
      <c r="BK91" s="41"/>
      <c r="BL91" s="41"/>
    </row>
    <row r="92" spans="1:64" ht="15.75" hidden="1" x14ac:dyDescent="0.25">
      <c r="A92" s="42"/>
      <c r="B92" s="42"/>
      <c r="C92" s="190" t="s">
        <v>201</v>
      </c>
      <c r="D92" s="199" t="s">
        <v>202</v>
      </c>
      <c r="E92" s="35"/>
      <c r="F92" s="35"/>
      <c r="G92" s="35"/>
      <c r="H92" s="35"/>
      <c r="I92" s="37">
        <f t="shared" ref="I92:K101" si="60">U92+X92+AA92+AD92+AG92+AJ92+AM92+AP92+AS92+AV92+AY92+BB92</f>
        <v>0</v>
      </c>
      <c r="J92" s="37">
        <f t="shared" si="60"/>
        <v>0</v>
      </c>
      <c r="K92" s="37">
        <f t="shared" si="60"/>
        <v>0</v>
      </c>
      <c r="L92" s="37">
        <f t="shared" ref="L92:N106" si="61">IF(BE92=0,SUM(U92+X92+AA92+AD92+AG92+AJ92+AM92+AP92+AS92+AV92+AY92+BB92),BE92)</f>
        <v>0</v>
      </c>
      <c r="M92" s="37">
        <f t="shared" si="61"/>
        <v>0</v>
      </c>
      <c r="N92" s="37">
        <f t="shared" si="61"/>
        <v>0</v>
      </c>
      <c r="O92" s="37">
        <f t="shared" ref="O92:O101" si="62">E92-I92</f>
        <v>0</v>
      </c>
      <c r="P92" s="37">
        <f t="shared" si="58"/>
        <v>0</v>
      </c>
      <c r="Q92" s="37">
        <f t="shared" ref="Q92:Q101" si="63">H92-K92</f>
        <v>0</v>
      </c>
      <c r="R92" s="39" t="e">
        <f t="shared" ref="R92:S107" si="64">I92/E92</f>
        <v>#DIV/0!</v>
      </c>
      <c r="S92" s="39" t="e">
        <f t="shared" si="48"/>
        <v>#DIV/0!</v>
      </c>
      <c r="T92" s="39" t="e">
        <f t="shared" ref="T92:T115" si="65">K92/H92</f>
        <v>#DIV/0!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40"/>
      <c r="BI92" s="41"/>
      <c r="BJ92" s="41"/>
      <c r="BK92" s="41"/>
      <c r="BL92" s="41"/>
    </row>
    <row r="93" spans="1:64" ht="15.75" hidden="1" x14ac:dyDescent="0.25">
      <c r="A93" s="42"/>
      <c r="B93" s="42"/>
      <c r="C93" s="192" t="s">
        <v>116</v>
      </c>
      <c r="D93" s="191" t="s">
        <v>203</v>
      </c>
      <c r="E93" s="35"/>
      <c r="F93" s="35"/>
      <c r="G93" s="35"/>
      <c r="H93" s="35"/>
      <c r="I93" s="37">
        <f t="shared" si="60"/>
        <v>0</v>
      </c>
      <c r="J93" s="37">
        <f t="shared" si="60"/>
        <v>0</v>
      </c>
      <c r="K93" s="37">
        <f t="shared" si="60"/>
        <v>0</v>
      </c>
      <c r="L93" s="37">
        <f t="shared" si="61"/>
        <v>0</v>
      </c>
      <c r="M93" s="37">
        <f t="shared" si="61"/>
        <v>0</v>
      </c>
      <c r="N93" s="37">
        <f t="shared" si="61"/>
        <v>0</v>
      </c>
      <c r="O93" s="37">
        <f t="shared" si="62"/>
        <v>0</v>
      </c>
      <c r="P93" s="37">
        <f t="shared" si="58"/>
        <v>0</v>
      </c>
      <c r="Q93" s="37">
        <f t="shared" si="63"/>
        <v>0</v>
      </c>
      <c r="R93" s="39" t="e">
        <f t="shared" si="64"/>
        <v>#DIV/0!</v>
      </c>
      <c r="S93" s="39" t="e">
        <f t="shared" si="64"/>
        <v>#DIV/0!</v>
      </c>
      <c r="T93" s="39" t="e">
        <f t="shared" si="65"/>
        <v>#DIV/0!</v>
      </c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40"/>
      <c r="BI93" s="41"/>
      <c r="BJ93" s="41"/>
      <c r="BK93" s="41"/>
      <c r="BL93" s="41"/>
    </row>
    <row r="94" spans="1:64" ht="15.75" x14ac:dyDescent="0.25">
      <c r="A94" s="42"/>
      <c r="B94" s="70" t="s">
        <v>204</v>
      </c>
      <c r="C94" s="192" t="s">
        <v>73</v>
      </c>
      <c r="D94" s="194" t="s">
        <v>205</v>
      </c>
      <c r="E94" s="35"/>
      <c r="F94" s="35">
        <v>9080.56</v>
      </c>
      <c r="G94" s="35">
        <v>5588.05</v>
      </c>
      <c r="H94" s="35"/>
      <c r="I94" s="37">
        <f t="shared" si="60"/>
        <v>0</v>
      </c>
      <c r="J94" s="37">
        <f t="shared" si="60"/>
        <v>3492.51</v>
      </c>
      <c r="K94" s="37">
        <f t="shared" si="60"/>
        <v>0</v>
      </c>
      <c r="L94" s="37">
        <f t="shared" si="61"/>
        <v>0</v>
      </c>
      <c r="M94" s="37">
        <f t="shared" si="61"/>
        <v>3492.51</v>
      </c>
      <c r="N94" s="37">
        <f t="shared" si="61"/>
        <v>0</v>
      </c>
      <c r="O94" s="37">
        <f t="shared" si="62"/>
        <v>0</v>
      </c>
      <c r="P94" s="37">
        <f>F94-J94-G94</f>
        <v>0</v>
      </c>
      <c r="Q94" s="37">
        <f t="shared" si="63"/>
        <v>0</v>
      </c>
      <c r="R94" s="39" t="e">
        <f t="shared" si="64"/>
        <v>#DIV/0!</v>
      </c>
      <c r="S94" s="39">
        <f t="shared" si="64"/>
        <v>0.38461394451443526</v>
      </c>
      <c r="T94" s="39" t="e">
        <f t="shared" si="65"/>
        <v>#DIV/0!</v>
      </c>
      <c r="U94" s="35"/>
      <c r="V94" s="35">
        <v>3492.51</v>
      </c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40"/>
      <c r="BI94" s="41"/>
      <c r="BJ94" s="41"/>
      <c r="BK94" s="41"/>
      <c r="BL94" s="41"/>
    </row>
    <row r="95" spans="1:64" ht="15.75" hidden="1" x14ac:dyDescent="0.25">
      <c r="A95" s="42"/>
      <c r="B95" s="42"/>
      <c r="C95" s="192" t="s">
        <v>170</v>
      </c>
      <c r="D95" s="194" t="s">
        <v>206</v>
      </c>
      <c r="E95" s="35"/>
      <c r="F95" s="35"/>
      <c r="G95" s="35"/>
      <c r="H95" s="35"/>
      <c r="I95" s="37">
        <f t="shared" si="60"/>
        <v>0</v>
      </c>
      <c r="J95" s="37">
        <f t="shared" si="60"/>
        <v>0</v>
      </c>
      <c r="K95" s="37">
        <f t="shared" si="60"/>
        <v>0</v>
      </c>
      <c r="L95" s="37">
        <f t="shared" si="61"/>
        <v>0</v>
      </c>
      <c r="M95" s="37">
        <f t="shared" si="61"/>
        <v>0</v>
      </c>
      <c r="N95" s="37">
        <f t="shared" si="61"/>
        <v>0</v>
      </c>
      <c r="O95" s="37">
        <f t="shared" si="62"/>
        <v>0</v>
      </c>
      <c r="P95" s="37">
        <f t="shared" si="58"/>
        <v>0</v>
      </c>
      <c r="Q95" s="37">
        <f t="shared" si="63"/>
        <v>0</v>
      </c>
      <c r="R95" s="39" t="e">
        <f t="shared" si="64"/>
        <v>#DIV/0!</v>
      </c>
      <c r="S95" s="39" t="e">
        <f t="shared" si="64"/>
        <v>#DIV/0!</v>
      </c>
      <c r="T95" s="39" t="e">
        <f t="shared" si="65"/>
        <v>#DIV/0!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40"/>
      <c r="BI95" s="41"/>
      <c r="BJ95" s="41"/>
      <c r="BK95" s="41"/>
      <c r="BL95" s="41"/>
    </row>
    <row r="96" spans="1:64" ht="15.75" hidden="1" x14ac:dyDescent="0.25">
      <c r="A96" s="42"/>
      <c r="B96" s="42"/>
      <c r="C96" s="200" t="s">
        <v>207</v>
      </c>
      <c r="D96" s="201" t="s">
        <v>208</v>
      </c>
      <c r="E96" s="35"/>
      <c r="F96" s="35"/>
      <c r="G96" s="35"/>
      <c r="H96" s="35"/>
      <c r="I96" s="37">
        <f t="shared" si="60"/>
        <v>0</v>
      </c>
      <c r="J96" s="37">
        <f t="shared" si="60"/>
        <v>0</v>
      </c>
      <c r="K96" s="37">
        <f t="shared" si="60"/>
        <v>0</v>
      </c>
      <c r="L96" s="37">
        <f t="shared" si="61"/>
        <v>0</v>
      </c>
      <c r="M96" s="37">
        <f t="shared" si="61"/>
        <v>0</v>
      </c>
      <c r="N96" s="37">
        <f t="shared" si="61"/>
        <v>0</v>
      </c>
      <c r="O96" s="37">
        <f t="shared" si="62"/>
        <v>0</v>
      </c>
      <c r="P96" s="37">
        <f t="shared" si="58"/>
        <v>0</v>
      </c>
      <c r="Q96" s="37">
        <f t="shared" si="63"/>
        <v>0</v>
      </c>
      <c r="R96" s="39" t="e">
        <f t="shared" si="64"/>
        <v>#DIV/0!</v>
      </c>
      <c r="S96" s="39" t="e">
        <f t="shared" si="64"/>
        <v>#DIV/0!</v>
      </c>
      <c r="T96" s="39" t="e">
        <f t="shared" si="65"/>
        <v>#DIV/0!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40"/>
      <c r="BI96" s="41"/>
      <c r="BJ96" s="41"/>
      <c r="BK96" s="41"/>
      <c r="BL96" s="41"/>
    </row>
    <row r="97" spans="1:64" ht="15.75" x14ac:dyDescent="0.25">
      <c r="A97" s="42"/>
      <c r="B97" s="42" t="s">
        <v>209</v>
      </c>
      <c r="C97" s="197" t="s">
        <v>210</v>
      </c>
      <c r="D97" s="198" t="s">
        <v>211</v>
      </c>
      <c r="E97" s="35"/>
      <c r="F97" s="52">
        <v>148386</v>
      </c>
      <c r="G97" s="52"/>
      <c r="H97" s="35"/>
      <c r="I97" s="37">
        <f t="shared" si="60"/>
        <v>0</v>
      </c>
      <c r="J97" s="37">
        <f t="shared" si="60"/>
        <v>148386</v>
      </c>
      <c r="K97" s="37">
        <f t="shared" si="60"/>
        <v>0</v>
      </c>
      <c r="L97" s="37">
        <f t="shared" si="61"/>
        <v>0</v>
      </c>
      <c r="M97" s="37">
        <f t="shared" si="61"/>
        <v>148386</v>
      </c>
      <c r="N97" s="37">
        <f t="shared" si="61"/>
        <v>0</v>
      </c>
      <c r="O97" s="37">
        <f t="shared" si="62"/>
        <v>0</v>
      </c>
      <c r="P97" s="37">
        <f t="shared" si="58"/>
        <v>0</v>
      </c>
      <c r="Q97" s="37">
        <f t="shared" si="63"/>
        <v>0</v>
      </c>
      <c r="R97" s="39" t="e">
        <f t="shared" si="64"/>
        <v>#DIV/0!</v>
      </c>
      <c r="S97" s="39">
        <f t="shared" si="64"/>
        <v>1</v>
      </c>
      <c r="T97" s="39" t="e">
        <f t="shared" si="65"/>
        <v>#DIV/0!</v>
      </c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>
        <v>148386</v>
      </c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40"/>
      <c r="BI97" s="41"/>
      <c r="BJ97" s="41"/>
      <c r="BK97" s="41"/>
      <c r="BL97" s="41"/>
    </row>
    <row r="98" spans="1:64" ht="16.5" hidden="1" customHeight="1" x14ac:dyDescent="0.25">
      <c r="A98" s="42"/>
      <c r="B98" s="42"/>
      <c r="C98" s="32" t="s">
        <v>212</v>
      </c>
      <c r="D98" s="129" t="s">
        <v>213</v>
      </c>
      <c r="E98" s="35"/>
      <c r="F98" s="35"/>
      <c r="G98" s="35"/>
      <c r="H98" s="35"/>
      <c r="I98" s="37">
        <f t="shared" si="60"/>
        <v>0</v>
      </c>
      <c r="J98" s="37">
        <f t="shared" si="60"/>
        <v>0</v>
      </c>
      <c r="K98" s="37">
        <f t="shared" si="60"/>
        <v>0</v>
      </c>
      <c r="L98" s="37">
        <f t="shared" si="61"/>
        <v>0</v>
      </c>
      <c r="M98" s="37">
        <f t="shared" si="61"/>
        <v>0</v>
      </c>
      <c r="N98" s="37">
        <f t="shared" si="61"/>
        <v>0</v>
      </c>
      <c r="O98" s="37">
        <f t="shared" si="62"/>
        <v>0</v>
      </c>
      <c r="P98" s="37">
        <f>F98-J98</f>
        <v>0</v>
      </c>
      <c r="Q98" s="37">
        <f t="shared" si="63"/>
        <v>0</v>
      </c>
      <c r="R98" s="39" t="e">
        <f t="shared" si="64"/>
        <v>#DIV/0!</v>
      </c>
      <c r="S98" s="39" t="e">
        <f t="shared" si="64"/>
        <v>#DIV/0!</v>
      </c>
      <c r="T98" s="39" t="e">
        <f t="shared" si="65"/>
        <v>#DIV/0!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40"/>
      <c r="BI98" s="41"/>
      <c r="BJ98" s="41"/>
      <c r="BK98" s="41"/>
      <c r="BL98" s="41"/>
    </row>
    <row r="99" spans="1:64" ht="45" hidden="1" customHeight="1" x14ac:dyDescent="0.25">
      <c r="A99" s="42"/>
      <c r="B99" s="42"/>
      <c r="C99" s="32" t="s">
        <v>170</v>
      </c>
      <c r="D99" s="137" t="s">
        <v>214</v>
      </c>
      <c r="E99" s="35"/>
      <c r="F99" s="35"/>
      <c r="G99" s="35"/>
      <c r="H99" s="35"/>
      <c r="I99" s="37">
        <f>U99+X99+AA99+AD99+AG99+AJ99+AM99+AP99+AS99+AV99+AY99+BB99</f>
        <v>0</v>
      </c>
      <c r="J99" s="37">
        <f t="shared" si="60"/>
        <v>0</v>
      </c>
      <c r="K99" s="37">
        <f t="shared" si="60"/>
        <v>0</v>
      </c>
      <c r="L99" s="37">
        <f t="shared" si="61"/>
        <v>0</v>
      </c>
      <c r="M99" s="37">
        <f t="shared" si="61"/>
        <v>0</v>
      </c>
      <c r="N99" s="37">
        <f t="shared" si="61"/>
        <v>0</v>
      </c>
      <c r="O99" s="37">
        <f t="shared" si="62"/>
        <v>0</v>
      </c>
      <c r="P99" s="37">
        <f>F99-J99</f>
        <v>0</v>
      </c>
      <c r="Q99" s="37">
        <f t="shared" si="63"/>
        <v>0</v>
      </c>
      <c r="R99" s="39" t="e">
        <f t="shared" si="64"/>
        <v>#DIV/0!</v>
      </c>
      <c r="S99" s="39" t="e">
        <f t="shared" si="64"/>
        <v>#DIV/0!</v>
      </c>
      <c r="T99" s="39" t="e">
        <f t="shared" si="65"/>
        <v>#DIV/0!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40"/>
      <c r="BI99" s="41"/>
      <c r="BJ99" s="41"/>
      <c r="BK99" s="41"/>
      <c r="BL99" s="41"/>
    </row>
    <row r="100" spans="1:64" ht="15.75" hidden="1" customHeight="1" x14ac:dyDescent="0.25">
      <c r="A100" s="42"/>
      <c r="B100" s="42"/>
      <c r="C100" s="32" t="s">
        <v>215</v>
      </c>
      <c r="D100" s="76" t="s">
        <v>216</v>
      </c>
      <c r="E100" s="35"/>
      <c r="F100" s="35"/>
      <c r="G100" s="35"/>
      <c r="H100" s="138"/>
      <c r="I100" s="37">
        <f>U100+X100+AA100+AD100+AG100+AJ100+AM100+AP100+AS100+AV100+AY100+BB100</f>
        <v>0</v>
      </c>
      <c r="J100" s="37">
        <f t="shared" si="60"/>
        <v>0</v>
      </c>
      <c r="K100" s="37">
        <f t="shared" si="60"/>
        <v>0</v>
      </c>
      <c r="L100" s="37">
        <f t="shared" si="61"/>
        <v>0</v>
      </c>
      <c r="M100" s="37">
        <f t="shared" si="61"/>
        <v>0</v>
      </c>
      <c r="N100" s="37">
        <f t="shared" si="61"/>
        <v>0</v>
      </c>
      <c r="O100" s="37">
        <f t="shared" si="62"/>
        <v>0</v>
      </c>
      <c r="P100" s="37">
        <f>F100-J100</f>
        <v>0</v>
      </c>
      <c r="Q100" s="37">
        <f t="shared" si="63"/>
        <v>0</v>
      </c>
      <c r="R100" s="39" t="e">
        <f t="shared" si="64"/>
        <v>#DIV/0!</v>
      </c>
      <c r="S100" s="39" t="e">
        <f t="shared" si="64"/>
        <v>#DIV/0!</v>
      </c>
      <c r="T100" s="39" t="e">
        <f t="shared" si="65"/>
        <v>#DIV/0!</v>
      </c>
      <c r="U100" s="35"/>
      <c r="V100" s="35"/>
      <c r="W100" s="35"/>
      <c r="X100" s="35"/>
      <c r="Y100" s="35"/>
      <c r="Z100" s="35"/>
      <c r="AA100" s="139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40"/>
      <c r="BI100" s="41"/>
      <c r="BJ100" s="41"/>
      <c r="BK100" s="41"/>
      <c r="BL100" s="41"/>
    </row>
    <row r="101" spans="1:64" ht="15.75" hidden="1" customHeight="1" x14ac:dyDescent="0.25">
      <c r="A101" s="140"/>
      <c r="B101" s="140"/>
      <c r="C101" s="103" t="s">
        <v>217</v>
      </c>
      <c r="D101" s="107" t="s">
        <v>218</v>
      </c>
      <c r="E101" s="141"/>
      <c r="F101" s="108"/>
      <c r="G101" s="108"/>
      <c r="H101" s="108"/>
      <c r="I101" s="23">
        <f>U101+X101+AA101+AD101+AG101+AJ101+AM101+AP101+AS101+AV101+AY101+BB101</f>
        <v>0</v>
      </c>
      <c r="J101" s="23">
        <f t="shared" si="60"/>
        <v>0</v>
      </c>
      <c r="K101" s="23">
        <f t="shared" si="60"/>
        <v>0</v>
      </c>
      <c r="L101" s="37">
        <f t="shared" si="61"/>
        <v>0</v>
      </c>
      <c r="M101" s="37">
        <f t="shared" si="61"/>
        <v>0</v>
      </c>
      <c r="N101" s="37">
        <f t="shared" si="61"/>
        <v>0</v>
      </c>
      <c r="O101" s="37">
        <f t="shared" si="62"/>
        <v>0</v>
      </c>
      <c r="P101" s="37">
        <f>F101-J101</f>
        <v>0</v>
      </c>
      <c r="Q101" s="37">
        <f t="shared" si="63"/>
        <v>0</v>
      </c>
      <c r="R101" s="21" t="e">
        <f t="shared" si="64"/>
        <v>#DIV/0!</v>
      </c>
      <c r="S101" s="21" t="e">
        <f t="shared" si="64"/>
        <v>#DIV/0!</v>
      </c>
      <c r="T101" s="21" t="e">
        <f t="shared" si="65"/>
        <v>#DIV/0!</v>
      </c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42"/>
      <c r="BI101" s="143"/>
      <c r="BJ101" s="143"/>
      <c r="BK101" s="143"/>
      <c r="BL101" s="143"/>
    </row>
    <row r="102" spans="1:64" ht="15.75" customHeight="1" x14ac:dyDescent="0.25">
      <c r="A102" s="110"/>
      <c r="B102" s="110"/>
      <c r="C102" s="144"/>
      <c r="D102" s="112" t="s">
        <v>219</v>
      </c>
      <c r="E102" s="113">
        <f>SUM(E103:E106)</f>
        <v>9600</v>
      </c>
      <c r="F102" s="113">
        <f>SUM(F103:F106)</f>
        <v>0</v>
      </c>
      <c r="G102" s="113"/>
      <c r="H102" s="113">
        <f>SUM(H103:H106)</f>
        <v>0</v>
      </c>
      <c r="I102" s="113">
        <f>SUM(I103:I106)</f>
        <v>0</v>
      </c>
      <c r="J102" s="113">
        <f>SUM(J103:J106)</f>
        <v>0</v>
      </c>
      <c r="K102" s="113">
        <f>SUM(K103:K106)</f>
        <v>0</v>
      </c>
      <c r="L102" s="113">
        <f t="shared" si="61"/>
        <v>0</v>
      </c>
      <c r="M102" s="113">
        <f t="shared" si="61"/>
        <v>0</v>
      </c>
      <c r="N102" s="113">
        <f t="shared" si="61"/>
        <v>0</v>
      </c>
      <c r="O102" s="113">
        <f>SUM(O103:O106)</f>
        <v>9600</v>
      </c>
      <c r="P102" s="113">
        <f>SUM(P103:P106)</f>
        <v>0</v>
      </c>
      <c r="Q102" s="113">
        <f>SUM(Q103:Q106)</f>
        <v>0</v>
      </c>
      <c r="R102" s="115">
        <f t="shared" si="64"/>
        <v>0</v>
      </c>
      <c r="S102" s="115" t="e">
        <f t="shared" si="64"/>
        <v>#DIV/0!</v>
      </c>
      <c r="T102" s="115" t="e">
        <f t="shared" si="65"/>
        <v>#DIV/0!</v>
      </c>
      <c r="U102" s="113">
        <f t="shared" ref="U102:BG102" si="66">SUM(U103:U106)</f>
        <v>0</v>
      </c>
      <c r="V102" s="113">
        <f t="shared" si="66"/>
        <v>0</v>
      </c>
      <c r="W102" s="113">
        <f t="shared" si="66"/>
        <v>0</v>
      </c>
      <c r="X102" s="113">
        <f t="shared" si="66"/>
        <v>0</v>
      </c>
      <c r="Y102" s="113">
        <f t="shared" si="66"/>
        <v>0</v>
      </c>
      <c r="Z102" s="113">
        <f t="shared" si="66"/>
        <v>0</v>
      </c>
      <c r="AA102" s="113">
        <f t="shared" si="66"/>
        <v>0</v>
      </c>
      <c r="AB102" s="113">
        <f t="shared" si="66"/>
        <v>0</v>
      </c>
      <c r="AC102" s="113">
        <f t="shared" si="66"/>
        <v>0</v>
      </c>
      <c r="AD102" s="113">
        <f t="shared" si="66"/>
        <v>0</v>
      </c>
      <c r="AE102" s="113">
        <f t="shared" si="66"/>
        <v>0</v>
      </c>
      <c r="AF102" s="113">
        <f t="shared" si="66"/>
        <v>0</v>
      </c>
      <c r="AG102" s="113">
        <f t="shared" si="66"/>
        <v>0</v>
      </c>
      <c r="AH102" s="113">
        <f t="shared" si="66"/>
        <v>0</v>
      </c>
      <c r="AI102" s="113">
        <f t="shared" si="66"/>
        <v>0</v>
      </c>
      <c r="AJ102" s="113">
        <f t="shared" si="66"/>
        <v>0</v>
      </c>
      <c r="AK102" s="113">
        <f t="shared" si="66"/>
        <v>0</v>
      </c>
      <c r="AL102" s="113">
        <f t="shared" si="66"/>
        <v>0</v>
      </c>
      <c r="AM102" s="113">
        <f t="shared" si="66"/>
        <v>0</v>
      </c>
      <c r="AN102" s="113">
        <f t="shared" si="66"/>
        <v>0</v>
      </c>
      <c r="AO102" s="113">
        <f t="shared" si="66"/>
        <v>0</v>
      </c>
      <c r="AP102" s="113">
        <f t="shared" si="66"/>
        <v>0</v>
      </c>
      <c r="AQ102" s="113">
        <f t="shared" si="66"/>
        <v>0</v>
      </c>
      <c r="AR102" s="113">
        <f t="shared" si="66"/>
        <v>0</v>
      </c>
      <c r="AS102" s="113">
        <f t="shared" si="66"/>
        <v>0</v>
      </c>
      <c r="AT102" s="113">
        <f t="shared" si="66"/>
        <v>0</v>
      </c>
      <c r="AU102" s="113">
        <f t="shared" si="66"/>
        <v>0</v>
      </c>
      <c r="AV102" s="113">
        <f t="shared" si="66"/>
        <v>0</v>
      </c>
      <c r="AW102" s="113">
        <f t="shared" si="66"/>
        <v>0</v>
      </c>
      <c r="AX102" s="113">
        <f t="shared" si="66"/>
        <v>0</v>
      </c>
      <c r="AY102" s="113">
        <f t="shared" si="66"/>
        <v>0</v>
      </c>
      <c r="AZ102" s="113">
        <f t="shared" si="66"/>
        <v>0</v>
      </c>
      <c r="BA102" s="113">
        <f t="shared" si="66"/>
        <v>0</v>
      </c>
      <c r="BB102" s="113">
        <f t="shared" si="66"/>
        <v>0</v>
      </c>
      <c r="BC102" s="113">
        <f t="shared" si="66"/>
        <v>0</v>
      </c>
      <c r="BD102" s="113">
        <f t="shared" si="66"/>
        <v>0</v>
      </c>
      <c r="BE102" s="113">
        <f t="shared" si="66"/>
        <v>0</v>
      </c>
      <c r="BF102" s="113">
        <f t="shared" si="66"/>
        <v>0</v>
      </c>
      <c r="BG102" s="113">
        <f t="shared" si="66"/>
        <v>0</v>
      </c>
      <c r="BH102" s="84"/>
      <c r="BI102" s="85"/>
      <c r="BJ102" s="85"/>
      <c r="BK102" s="85"/>
      <c r="BL102" s="85"/>
    </row>
    <row r="103" spans="1:64" ht="15.75" customHeight="1" x14ac:dyDescent="0.25">
      <c r="A103" s="42" t="s">
        <v>220</v>
      </c>
      <c r="B103" s="42"/>
      <c r="C103" s="190" t="s">
        <v>221</v>
      </c>
      <c r="D103" s="199" t="s">
        <v>222</v>
      </c>
      <c r="E103" s="87">
        <v>9600</v>
      </c>
      <c r="F103" s="35"/>
      <c r="G103" s="35"/>
      <c r="H103" s="36"/>
      <c r="I103" s="37">
        <f t="shared" ref="I103:K106" si="67">U103+X103+AA103+AD103+AG103+AJ103+AM103+AP103+AS103+AV103+AY103+BB103</f>
        <v>0</v>
      </c>
      <c r="J103" s="37">
        <f t="shared" si="67"/>
        <v>0</v>
      </c>
      <c r="K103" s="37">
        <f t="shared" si="67"/>
        <v>0</v>
      </c>
      <c r="L103" s="37">
        <f t="shared" si="61"/>
        <v>0</v>
      </c>
      <c r="M103" s="37">
        <f t="shared" si="61"/>
        <v>0</v>
      </c>
      <c r="N103" s="37">
        <f t="shared" si="61"/>
        <v>0</v>
      </c>
      <c r="O103" s="37">
        <f t="shared" ref="O103:P106" si="68">E103-I103</f>
        <v>9600</v>
      </c>
      <c r="P103" s="37">
        <f t="shared" si="68"/>
        <v>0</v>
      </c>
      <c r="Q103" s="37">
        <f t="shared" ref="Q103:Q106" si="69">H103-K103</f>
        <v>0</v>
      </c>
      <c r="R103" s="39">
        <f t="shared" si="64"/>
        <v>0</v>
      </c>
      <c r="S103" s="39" t="e">
        <f t="shared" si="64"/>
        <v>#DIV/0!</v>
      </c>
      <c r="T103" s="39" t="e">
        <f t="shared" si="65"/>
        <v>#DIV/0!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40"/>
      <c r="BI103" s="41"/>
      <c r="BJ103" s="41"/>
      <c r="BK103" s="41"/>
      <c r="BL103" s="41"/>
    </row>
    <row r="104" spans="1:64" ht="15.75" hidden="1" customHeight="1" x14ac:dyDescent="0.25">
      <c r="A104" s="42"/>
      <c r="B104" s="42"/>
      <c r="C104" s="32" t="s">
        <v>223</v>
      </c>
      <c r="D104" s="76" t="s">
        <v>224</v>
      </c>
      <c r="E104" s="35"/>
      <c r="F104" s="35"/>
      <c r="G104" s="35"/>
      <c r="H104" s="36"/>
      <c r="I104" s="37">
        <f t="shared" si="67"/>
        <v>0</v>
      </c>
      <c r="J104" s="37">
        <f t="shared" si="67"/>
        <v>0</v>
      </c>
      <c r="K104" s="37">
        <f t="shared" si="67"/>
        <v>0</v>
      </c>
      <c r="L104" s="37">
        <f t="shared" si="61"/>
        <v>0</v>
      </c>
      <c r="M104" s="37">
        <f t="shared" si="61"/>
        <v>0</v>
      </c>
      <c r="N104" s="37">
        <f t="shared" si="61"/>
        <v>0</v>
      </c>
      <c r="O104" s="37">
        <f t="shared" si="68"/>
        <v>0</v>
      </c>
      <c r="P104" s="37">
        <f t="shared" si="68"/>
        <v>0</v>
      </c>
      <c r="Q104" s="37">
        <f t="shared" si="69"/>
        <v>0</v>
      </c>
      <c r="R104" s="39" t="e">
        <f t="shared" si="64"/>
        <v>#DIV/0!</v>
      </c>
      <c r="S104" s="39" t="e">
        <f t="shared" si="64"/>
        <v>#DIV/0!</v>
      </c>
      <c r="T104" s="39" t="e">
        <f t="shared" si="65"/>
        <v>#DIV/0!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40"/>
      <c r="BI104" s="41"/>
      <c r="BJ104" s="41"/>
      <c r="BK104" s="41"/>
      <c r="BL104" s="41"/>
    </row>
    <row r="105" spans="1:64" ht="15.75" hidden="1" customHeight="1" x14ac:dyDescent="0.25">
      <c r="A105" s="42"/>
      <c r="B105" s="42"/>
      <c r="C105" s="32"/>
      <c r="D105" s="76" t="s">
        <v>225</v>
      </c>
      <c r="E105" s="35"/>
      <c r="F105" s="35"/>
      <c r="G105" s="35"/>
      <c r="H105" s="36"/>
      <c r="I105" s="37"/>
      <c r="J105" s="37"/>
      <c r="K105" s="37"/>
      <c r="L105" s="37"/>
      <c r="M105" s="37"/>
      <c r="N105" s="37"/>
      <c r="O105" s="37"/>
      <c r="P105" s="37"/>
      <c r="Q105" s="37"/>
      <c r="R105" s="39"/>
      <c r="S105" s="39"/>
      <c r="T105" s="39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40"/>
      <c r="BI105" s="41"/>
      <c r="BJ105" s="41"/>
      <c r="BK105" s="41"/>
      <c r="BL105" s="41"/>
    </row>
    <row r="106" spans="1:64" ht="15.75" hidden="1" customHeight="1" x14ac:dyDescent="0.25">
      <c r="A106" s="42"/>
      <c r="B106" s="42"/>
      <c r="C106" s="32" t="s">
        <v>170</v>
      </c>
      <c r="D106" s="76" t="s">
        <v>226</v>
      </c>
      <c r="E106" s="35"/>
      <c r="F106" s="35"/>
      <c r="G106" s="35"/>
      <c r="H106" s="36"/>
      <c r="I106" s="37">
        <f t="shared" si="67"/>
        <v>0</v>
      </c>
      <c r="J106" s="37">
        <f t="shared" si="67"/>
        <v>0</v>
      </c>
      <c r="K106" s="37">
        <f t="shared" si="67"/>
        <v>0</v>
      </c>
      <c r="L106" s="37">
        <f t="shared" si="61"/>
        <v>0</v>
      </c>
      <c r="M106" s="37">
        <f t="shared" si="61"/>
        <v>0</v>
      </c>
      <c r="N106" s="37">
        <f t="shared" si="61"/>
        <v>0</v>
      </c>
      <c r="O106" s="37">
        <f t="shared" si="68"/>
        <v>0</v>
      </c>
      <c r="P106" s="37">
        <f t="shared" si="68"/>
        <v>0</v>
      </c>
      <c r="Q106" s="37">
        <f t="shared" si="69"/>
        <v>0</v>
      </c>
      <c r="R106" s="39" t="e">
        <f t="shared" si="64"/>
        <v>#DIV/0!</v>
      </c>
      <c r="S106" s="39" t="e">
        <f t="shared" si="64"/>
        <v>#DIV/0!</v>
      </c>
      <c r="T106" s="39" t="e">
        <f t="shared" si="65"/>
        <v>#DIV/0!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40"/>
      <c r="BI106" s="41"/>
      <c r="BJ106" s="41"/>
      <c r="BK106" s="41"/>
      <c r="BL106" s="41"/>
    </row>
    <row r="107" spans="1:64" ht="15.75" x14ac:dyDescent="0.25">
      <c r="A107" s="110"/>
      <c r="B107" s="110"/>
      <c r="C107" s="144"/>
      <c r="D107" s="112" t="s">
        <v>227</v>
      </c>
      <c r="E107" s="113">
        <f>E108+E117+E123+E127</f>
        <v>0</v>
      </c>
      <c r="F107" s="113">
        <f>F108+F117+F123+F127</f>
        <v>71868.47</v>
      </c>
      <c r="G107" s="113"/>
      <c r="H107" s="113">
        <f t="shared" ref="H107:Q107" si="70">H108+H117+H123+H127</f>
        <v>142873.54999999999</v>
      </c>
      <c r="I107" s="113">
        <f t="shared" si="70"/>
        <v>0</v>
      </c>
      <c r="J107" s="113">
        <f t="shared" si="70"/>
        <v>63750.67</v>
      </c>
      <c r="K107" s="113">
        <f t="shared" si="70"/>
        <v>39920</v>
      </c>
      <c r="L107" s="113">
        <f t="shared" si="70"/>
        <v>0</v>
      </c>
      <c r="M107" s="113">
        <f t="shared" si="70"/>
        <v>63750.67</v>
      </c>
      <c r="N107" s="113">
        <f t="shared" si="70"/>
        <v>39920</v>
      </c>
      <c r="O107" s="113">
        <f t="shared" si="70"/>
        <v>0</v>
      </c>
      <c r="P107" s="113">
        <f t="shared" si="70"/>
        <v>8117.8000000000029</v>
      </c>
      <c r="Q107" s="113">
        <f t="shared" si="70"/>
        <v>102953.54999999999</v>
      </c>
      <c r="R107" s="115" t="e">
        <f t="shared" si="64"/>
        <v>#DIV/0!</v>
      </c>
      <c r="S107" s="115">
        <f t="shared" si="64"/>
        <v>0.88704643357511292</v>
      </c>
      <c r="T107" s="115">
        <f t="shared" si="65"/>
        <v>0.27940791000153636</v>
      </c>
      <c r="U107" s="113">
        <f t="shared" ref="U107:BG107" si="71">U108+U117+U123+U127</f>
        <v>0</v>
      </c>
      <c r="V107" s="113">
        <f t="shared" si="71"/>
        <v>412.5</v>
      </c>
      <c r="W107" s="113">
        <f t="shared" si="71"/>
        <v>0</v>
      </c>
      <c r="X107" s="113">
        <f t="shared" si="71"/>
        <v>0</v>
      </c>
      <c r="Y107" s="113">
        <f t="shared" si="71"/>
        <v>15660.66</v>
      </c>
      <c r="Z107" s="113">
        <f t="shared" si="71"/>
        <v>0</v>
      </c>
      <c r="AA107" s="113">
        <f t="shared" si="71"/>
        <v>0</v>
      </c>
      <c r="AB107" s="113">
        <f t="shared" si="71"/>
        <v>36084.959999999999</v>
      </c>
      <c r="AC107" s="113">
        <f t="shared" si="71"/>
        <v>0</v>
      </c>
      <c r="AD107" s="113">
        <f t="shared" si="71"/>
        <v>0</v>
      </c>
      <c r="AE107" s="113">
        <f t="shared" si="71"/>
        <v>0</v>
      </c>
      <c r="AF107" s="113">
        <f t="shared" si="71"/>
        <v>11360</v>
      </c>
      <c r="AG107" s="113">
        <f t="shared" si="71"/>
        <v>0</v>
      </c>
      <c r="AH107" s="113">
        <f t="shared" si="71"/>
        <v>10250</v>
      </c>
      <c r="AI107" s="113">
        <f t="shared" si="71"/>
        <v>13760</v>
      </c>
      <c r="AJ107" s="113">
        <f t="shared" si="71"/>
        <v>0</v>
      </c>
      <c r="AK107" s="113">
        <f t="shared" si="71"/>
        <v>0</v>
      </c>
      <c r="AL107" s="113">
        <f t="shared" si="71"/>
        <v>14800</v>
      </c>
      <c r="AM107" s="113">
        <f t="shared" si="71"/>
        <v>0</v>
      </c>
      <c r="AN107" s="113">
        <f t="shared" si="71"/>
        <v>75</v>
      </c>
      <c r="AO107" s="113">
        <f t="shared" si="71"/>
        <v>0</v>
      </c>
      <c r="AP107" s="113">
        <f t="shared" si="71"/>
        <v>0</v>
      </c>
      <c r="AQ107" s="113">
        <f t="shared" si="71"/>
        <v>1267.55</v>
      </c>
      <c r="AR107" s="113">
        <f t="shared" si="71"/>
        <v>0</v>
      </c>
      <c r="AS107" s="113">
        <f t="shared" si="71"/>
        <v>0</v>
      </c>
      <c r="AT107" s="113">
        <f t="shared" si="71"/>
        <v>0</v>
      </c>
      <c r="AU107" s="113">
        <f t="shared" si="71"/>
        <v>0</v>
      </c>
      <c r="AV107" s="113">
        <f t="shared" si="71"/>
        <v>0</v>
      </c>
      <c r="AW107" s="113">
        <f t="shared" si="71"/>
        <v>0</v>
      </c>
      <c r="AX107" s="113">
        <f t="shared" si="71"/>
        <v>0</v>
      </c>
      <c r="AY107" s="113">
        <f t="shared" si="71"/>
        <v>0</v>
      </c>
      <c r="AZ107" s="113">
        <f t="shared" si="71"/>
        <v>0</v>
      </c>
      <c r="BA107" s="113">
        <f t="shared" si="71"/>
        <v>0</v>
      </c>
      <c r="BB107" s="113">
        <f t="shared" si="71"/>
        <v>0</v>
      </c>
      <c r="BC107" s="113">
        <f t="shared" si="71"/>
        <v>0</v>
      </c>
      <c r="BD107" s="113">
        <f t="shared" si="71"/>
        <v>0</v>
      </c>
      <c r="BE107" s="113">
        <f t="shared" si="71"/>
        <v>0</v>
      </c>
      <c r="BF107" s="113">
        <f t="shared" si="71"/>
        <v>0</v>
      </c>
      <c r="BG107" s="113">
        <f t="shared" si="71"/>
        <v>0</v>
      </c>
      <c r="BH107" s="145"/>
      <c r="BI107" s="146"/>
      <c r="BJ107" s="146"/>
      <c r="BK107" s="146"/>
      <c r="BL107" s="146"/>
    </row>
    <row r="108" spans="1:64" ht="15.75" x14ac:dyDescent="0.25">
      <c r="A108" s="147"/>
      <c r="B108" s="147"/>
      <c r="C108" s="148"/>
      <c r="D108" s="149" t="s">
        <v>228</v>
      </c>
      <c r="E108" s="150">
        <f t="shared" ref="E108:K108" si="72">SUM(E109:E116)</f>
        <v>0</v>
      </c>
      <c r="F108" s="150">
        <f t="shared" si="72"/>
        <v>71868.47</v>
      </c>
      <c r="G108" s="150"/>
      <c r="H108" s="150">
        <f t="shared" si="72"/>
        <v>0</v>
      </c>
      <c r="I108" s="150">
        <f t="shared" si="72"/>
        <v>0</v>
      </c>
      <c r="J108" s="150">
        <f t="shared" si="72"/>
        <v>63750.67</v>
      </c>
      <c r="K108" s="150">
        <f t="shared" si="72"/>
        <v>0</v>
      </c>
      <c r="L108" s="151">
        <f t="shared" ref="L108:N112" si="73">IF(BE108=0,SUM(U108+X108+AA108+AD108+AG108+AJ108+AM108+AP108+AS108+AV108+AY108+BB108),BE108)</f>
        <v>0</v>
      </c>
      <c r="M108" s="151">
        <f t="shared" si="73"/>
        <v>63750.67</v>
      </c>
      <c r="N108" s="151">
        <f t="shared" si="73"/>
        <v>0</v>
      </c>
      <c r="O108" s="150">
        <f>SUM(O109:O116)</f>
        <v>0</v>
      </c>
      <c r="P108" s="150">
        <f>SUM(P109:P116)</f>
        <v>8117.8000000000029</v>
      </c>
      <c r="Q108" s="150">
        <f>SUM(Q109:Q116)</f>
        <v>0</v>
      </c>
      <c r="R108" s="114" t="e">
        <f t="shared" ref="R108:S115" si="74">I108/E108</f>
        <v>#DIV/0!</v>
      </c>
      <c r="S108" s="114">
        <f t="shared" si="74"/>
        <v>0.88704643357511292</v>
      </c>
      <c r="T108" s="114" t="e">
        <f t="shared" si="65"/>
        <v>#DIV/0!</v>
      </c>
      <c r="U108" s="150">
        <f t="shared" ref="U108:BG108" si="75">SUM(U109:U116)</f>
        <v>0</v>
      </c>
      <c r="V108" s="150">
        <f t="shared" si="75"/>
        <v>412.5</v>
      </c>
      <c r="W108" s="150">
        <f t="shared" si="75"/>
        <v>0</v>
      </c>
      <c r="X108" s="150">
        <f t="shared" si="75"/>
        <v>0</v>
      </c>
      <c r="Y108" s="150">
        <f t="shared" si="75"/>
        <v>15660.66</v>
      </c>
      <c r="Z108" s="150">
        <f t="shared" si="75"/>
        <v>0</v>
      </c>
      <c r="AA108" s="150">
        <f t="shared" si="75"/>
        <v>0</v>
      </c>
      <c r="AB108" s="150">
        <f>SUM(AB109:AB116)</f>
        <v>36084.959999999999</v>
      </c>
      <c r="AC108" s="150">
        <f t="shared" si="75"/>
        <v>0</v>
      </c>
      <c r="AD108" s="150">
        <f t="shared" si="75"/>
        <v>0</v>
      </c>
      <c r="AE108" s="150">
        <f t="shared" si="75"/>
        <v>0</v>
      </c>
      <c r="AF108" s="150">
        <f t="shared" si="75"/>
        <v>0</v>
      </c>
      <c r="AG108" s="150">
        <f t="shared" si="75"/>
        <v>0</v>
      </c>
      <c r="AH108" s="150">
        <f t="shared" si="75"/>
        <v>10250</v>
      </c>
      <c r="AI108" s="150">
        <f t="shared" si="75"/>
        <v>0</v>
      </c>
      <c r="AJ108" s="150">
        <f t="shared" si="75"/>
        <v>0</v>
      </c>
      <c r="AK108" s="150">
        <f t="shared" si="75"/>
        <v>0</v>
      </c>
      <c r="AL108" s="150">
        <f t="shared" si="75"/>
        <v>0</v>
      </c>
      <c r="AM108" s="150">
        <f t="shared" si="75"/>
        <v>0</v>
      </c>
      <c r="AN108" s="150">
        <f t="shared" si="75"/>
        <v>75</v>
      </c>
      <c r="AO108" s="150">
        <f t="shared" si="75"/>
        <v>0</v>
      </c>
      <c r="AP108" s="150">
        <f t="shared" si="75"/>
        <v>0</v>
      </c>
      <c r="AQ108" s="150">
        <f t="shared" si="75"/>
        <v>1267.55</v>
      </c>
      <c r="AR108" s="150">
        <f t="shared" si="75"/>
        <v>0</v>
      </c>
      <c r="AS108" s="150">
        <f t="shared" si="75"/>
        <v>0</v>
      </c>
      <c r="AT108" s="150">
        <f t="shared" si="75"/>
        <v>0</v>
      </c>
      <c r="AU108" s="150">
        <f t="shared" si="75"/>
        <v>0</v>
      </c>
      <c r="AV108" s="150">
        <f t="shared" si="75"/>
        <v>0</v>
      </c>
      <c r="AW108" s="150">
        <f t="shared" si="75"/>
        <v>0</v>
      </c>
      <c r="AX108" s="150">
        <f t="shared" si="75"/>
        <v>0</v>
      </c>
      <c r="AY108" s="150">
        <f t="shared" si="75"/>
        <v>0</v>
      </c>
      <c r="AZ108" s="150">
        <f t="shared" si="75"/>
        <v>0</v>
      </c>
      <c r="BA108" s="150">
        <f t="shared" si="75"/>
        <v>0</v>
      </c>
      <c r="BB108" s="150">
        <f t="shared" si="75"/>
        <v>0</v>
      </c>
      <c r="BC108" s="150">
        <f t="shared" si="75"/>
        <v>0</v>
      </c>
      <c r="BD108" s="150">
        <f t="shared" si="75"/>
        <v>0</v>
      </c>
      <c r="BE108" s="150">
        <f t="shared" si="75"/>
        <v>0</v>
      </c>
      <c r="BF108" s="150">
        <f t="shared" si="75"/>
        <v>0</v>
      </c>
      <c r="BG108" s="150">
        <f t="shared" si="75"/>
        <v>0</v>
      </c>
      <c r="BH108" s="152"/>
      <c r="BI108" s="153"/>
      <c r="BJ108" s="153"/>
      <c r="BK108" s="153"/>
      <c r="BL108" s="153"/>
    </row>
    <row r="109" spans="1:64" ht="15.75" hidden="1" x14ac:dyDescent="0.25">
      <c r="A109" s="31"/>
      <c r="B109" s="31"/>
      <c r="C109" s="32"/>
      <c r="D109" s="33" t="s">
        <v>229</v>
      </c>
      <c r="E109" s="35"/>
      <c r="F109" s="35"/>
      <c r="G109" s="35"/>
      <c r="H109" s="35"/>
      <c r="I109" s="37">
        <f t="shared" ref="I109:K115" si="76">U109+X109+AA109+AD109+AG109+AJ109+AM109+AP109+AS109+AV109+AY109+BB109</f>
        <v>0</v>
      </c>
      <c r="J109" s="37">
        <f t="shared" si="76"/>
        <v>0</v>
      </c>
      <c r="K109" s="37">
        <f t="shared" si="76"/>
        <v>0</v>
      </c>
      <c r="L109" s="37">
        <f t="shared" si="73"/>
        <v>0</v>
      </c>
      <c r="M109" s="37">
        <f t="shared" si="73"/>
        <v>0</v>
      </c>
      <c r="N109" s="37">
        <f t="shared" si="73"/>
        <v>0</v>
      </c>
      <c r="O109" s="37">
        <f t="shared" ref="O109:P116" si="77">E109-I109</f>
        <v>0</v>
      </c>
      <c r="P109" s="37">
        <f t="shared" si="77"/>
        <v>0</v>
      </c>
      <c r="Q109" s="37">
        <f t="shared" ref="Q109:Q115" si="78">H109-K109</f>
        <v>0</v>
      </c>
      <c r="R109" s="34" t="e">
        <f t="shared" si="74"/>
        <v>#DIV/0!</v>
      </c>
      <c r="S109" s="34" t="e">
        <f t="shared" si="74"/>
        <v>#DIV/0!</v>
      </c>
      <c r="T109" s="34" t="e">
        <f t="shared" si="65"/>
        <v>#DIV/0!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62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40"/>
      <c r="BI109" s="41"/>
      <c r="BJ109" s="41"/>
      <c r="BK109" s="41"/>
      <c r="BL109" s="41"/>
    </row>
    <row r="110" spans="1:64" ht="15.75" hidden="1" x14ac:dyDescent="0.25">
      <c r="A110" s="31"/>
      <c r="B110" s="31"/>
      <c r="C110" s="32" t="s">
        <v>170</v>
      </c>
      <c r="D110" s="76" t="s">
        <v>230</v>
      </c>
      <c r="E110" s="35"/>
      <c r="F110" s="35"/>
      <c r="G110" s="35"/>
      <c r="H110" s="35"/>
      <c r="I110" s="37">
        <f t="shared" si="76"/>
        <v>0</v>
      </c>
      <c r="J110" s="37">
        <f t="shared" si="76"/>
        <v>0</v>
      </c>
      <c r="K110" s="37">
        <f t="shared" si="76"/>
        <v>0</v>
      </c>
      <c r="L110" s="37">
        <f t="shared" si="73"/>
        <v>0</v>
      </c>
      <c r="M110" s="37">
        <f t="shared" si="73"/>
        <v>0</v>
      </c>
      <c r="N110" s="37">
        <f t="shared" si="73"/>
        <v>0</v>
      </c>
      <c r="O110" s="37">
        <f t="shared" si="77"/>
        <v>0</v>
      </c>
      <c r="P110" s="37">
        <f t="shared" si="77"/>
        <v>0</v>
      </c>
      <c r="Q110" s="37">
        <f t="shared" si="78"/>
        <v>0</v>
      </c>
      <c r="R110" s="34" t="e">
        <f t="shared" si="74"/>
        <v>#DIV/0!</v>
      </c>
      <c r="S110" s="34" t="e">
        <f t="shared" si="74"/>
        <v>#DIV/0!</v>
      </c>
      <c r="T110" s="34" t="e">
        <f t="shared" si="65"/>
        <v>#DIV/0!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62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40"/>
      <c r="BI110" s="41"/>
      <c r="BJ110" s="41"/>
      <c r="BK110" s="41"/>
      <c r="BL110" s="41"/>
    </row>
    <row r="111" spans="1:64" ht="15.75" hidden="1" x14ac:dyDescent="0.25">
      <c r="A111" s="31"/>
      <c r="B111" s="31"/>
      <c r="C111" s="32" t="s">
        <v>231</v>
      </c>
      <c r="D111" s="76" t="s">
        <v>232</v>
      </c>
      <c r="E111" s="35"/>
      <c r="F111" s="35"/>
      <c r="G111" s="35"/>
      <c r="H111" s="35"/>
      <c r="I111" s="37">
        <f t="shared" si="76"/>
        <v>0</v>
      </c>
      <c r="J111" s="37">
        <f t="shared" si="76"/>
        <v>0</v>
      </c>
      <c r="K111" s="37">
        <f t="shared" si="76"/>
        <v>0</v>
      </c>
      <c r="L111" s="37">
        <f t="shared" si="73"/>
        <v>0</v>
      </c>
      <c r="M111" s="37">
        <f t="shared" si="73"/>
        <v>0</v>
      </c>
      <c r="N111" s="37">
        <f t="shared" si="73"/>
        <v>0</v>
      </c>
      <c r="O111" s="37">
        <f t="shared" si="77"/>
        <v>0</v>
      </c>
      <c r="P111" s="37">
        <f t="shared" si="77"/>
        <v>0</v>
      </c>
      <c r="Q111" s="37">
        <f t="shared" si="78"/>
        <v>0</v>
      </c>
      <c r="R111" s="34" t="e">
        <f t="shared" si="74"/>
        <v>#DIV/0!</v>
      </c>
      <c r="S111" s="34" t="e">
        <f t="shared" si="74"/>
        <v>#DIV/0!</v>
      </c>
      <c r="T111" s="34" t="e">
        <f t="shared" si="65"/>
        <v>#DIV/0!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62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40"/>
      <c r="BI111" s="41"/>
      <c r="BJ111" s="41"/>
      <c r="BK111" s="41"/>
      <c r="BL111" s="41"/>
    </row>
    <row r="112" spans="1:64" ht="18" customHeight="1" x14ac:dyDescent="0.25">
      <c r="A112" s="31"/>
      <c r="B112" s="31" t="s">
        <v>233</v>
      </c>
      <c r="C112" s="190" t="s">
        <v>193</v>
      </c>
      <c r="D112" s="199" t="s">
        <v>234</v>
      </c>
      <c r="E112" s="35"/>
      <c r="F112" s="74">
        <f>412.5</f>
        <v>412.5</v>
      </c>
      <c r="G112" s="35"/>
      <c r="H112" s="35"/>
      <c r="I112" s="37">
        <f t="shared" si="76"/>
        <v>0</v>
      </c>
      <c r="J112" s="37">
        <f t="shared" si="76"/>
        <v>412.5</v>
      </c>
      <c r="K112" s="37">
        <f t="shared" si="76"/>
        <v>0</v>
      </c>
      <c r="L112" s="37">
        <f t="shared" si="73"/>
        <v>0</v>
      </c>
      <c r="M112" s="37">
        <f t="shared" si="73"/>
        <v>412.5</v>
      </c>
      <c r="N112" s="37">
        <f t="shared" si="73"/>
        <v>0</v>
      </c>
      <c r="O112" s="37">
        <f t="shared" si="77"/>
        <v>0</v>
      </c>
      <c r="P112" s="37">
        <f t="shared" si="77"/>
        <v>0</v>
      </c>
      <c r="Q112" s="37">
        <f t="shared" si="78"/>
        <v>0</v>
      </c>
      <c r="R112" s="34" t="e">
        <f t="shared" si="74"/>
        <v>#DIV/0!</v>
      </c>
      <c r="S112" s="34">
        <f t="shared" si="74"/>
        <v>1</v>
      </c>
      <c r="T112" s="34" t="e">
        <f t="shared" si="65"/>
        <v>#DIV/0!</v>
      </c>
      <c r="U112" s="35"/>
      <c r="V112" s="35">
        <v>412.5</v>
      </c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62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40"/>
      <c r="BI112" s="41"/>
      <c r="BJ112" s="41"/>
      <c r="BK112" s="41"/>
      <c r="BL112" s="41"/>
    </row>
    <row r="113" spans="1:64" ht="15.75" x14ac:dyDescent="0.25">
      <c r="A113" s="31"/>
      <c r="B113" s="65" t="s">
        <v>235</v>
      </c>
      <c r="C113" s="190" t="s">
        <v>193</v>
      </c>
      <c r="D113" s="199" t="s">
        <v>234</v>
      </c>
      <c r="E113" s="35"/>
      <c r="F113" s="52">
        <f>2187.61+459+323.85+1130+388.49+200+1031.5+1042.55+225+119+4194+9525+1008+42+120+1827+59.9+14.5+2300+1130+156.35+150+62.16+287.8+166.25+2354+2205+1149+10969.4+2520+75+44.26+358.9+1990+799+259.45+1296+4626</f>
        <v>56795.97</v>
      </c>
      <c r="G113" s="52"/>
      <c r="H113" s="35"/>
      <c r="I113" s="37">
        <f t="shared" si="76"/>
        <v>0</v>
      </c>
      <c r="J113" s="37">
        <f t="shared" si="76"/>
        <v>48678.17</v>
      </c>
      <c r="K113" s="37">
        <f t="shared" si="76"/>
        <v>0</v>
      </c>
      <c r="L113" s="37">
        <f t="shared" ref="L113:N115" si="79">IF(BE113=0,SUM(U113+X113+AA113+AD113+AG113+AJ113+AM113+AP113+AS113+AV113+AY113+BB113),BE113)</f>
        <v>0</v>
      </c>
      <c r="M113" s="37">
        <f t="shared" si="79"/>
        <v>48678.17</v>
      </c>
      <c r="N113" s="37">
        <f t="shared" si="79"/>
        <v>0</v>
      </c>
      <c r="O113" s="37">
        <f t="shared" si="77"/>
        <v>0</v>
      </c>
      <c r="P113" s="37">
        <f t="shared" si="77"/>
        <v>8117.8000000000029</v>
      </c>
      <c r="Q113" s="37">
        <f t="shared" si="78"/>
        <v>0</v>
      </c>
      <c r="R113" s="34" t="e">
        <f>I113/E113</f>
        <v>#DIV/0!</v>
      </c>
      <c r="S113" s="34">
        <f t="shared" si="74"/>
        <v>0.85707084499129071</v>
      </c>
      <c r="T113" s="34" t="e">
        <f t="shared" si="65"/>
        <v>#DIV/0!</v>
      </c>
      <c r="U113" s="35"/>
      <c r="V113" s="35"/>
      <c r="W113" s="35"/>
      <c r="X113" s="35"/>
      <c r="Y113" s="35">
        <f>459+323.85+1130+1031.5+119+4194+2300+1130+156.35+62.16+287.8+2520+1947</f>
        <v>15660.66</v>
      </c>
      <c r="Z113" s="35"/>
      <c r="AA113" s="35"/>
      <c r="AB113" s="35">
        <f>2205+4626+9525+166.25+2354+150+1296+44.26+1058.45</f>
        <v>21424.959999999999</v>
      </c>
      <c r="AC113" s="35"/>
      <c r="AD113" s="35"/>
      <c r="AE113" s="35"/>
      <c r="AF113" s="35"/>
      <c r="AG113" s="35"/>
      <c r="AH113" s="35">
        <f>10250</f>
        <v>10250</v>
      </c>
      <c r="AI113" s="35"/>
      <c r="AJ113" s="35"/>
      <c r="AK113" s="35"/>
      <c r="AL113" s="35"/>
      <c r="AM113" s="35"/>
      <c r="AN113" s="35">
        <v>75</v>
      </c>
      <c r="AO113" s="35"/>
      <c r="AP113" s="62"/>
      <c r="AQ113" s="35">
        <v>1267.55</v>
      </c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40"/>
      <c r="BI113" s="41"/>
      <c r="BJ113" s="41"/>
      <c r="BK113" s="41"/>
      <c r="BL113" s="41"/>
    </row>
    <row r="114" spans="1:64" ht="15.75" hidden="1" x14ac:dyDescent="0.25">
      <c r="A114" s="31"/>
      <c r="B114" s="31"/>
      <c r="C114" s="190"/>
      <c r="D114" s="191" t="s">
        <v>229</v>
      </c>
      <c r="E114" s="35"/>
      <c r="F114" s="35"/>
      <c r="G114" s="35"/>
      <c r="H114" s="35"/>
      <c r="I114" s="37">
        <f t="shared" si="76"/>
        <v>0</v>
      </c>
      <c r="J114" s="37">
        <f t="shared" si="76"/>
        <v>0</v>
      </c>
      <c r="K114" s="37">
        <f t="shared" si="76"/>
        <v>0</v>
      </c>
      <c r="L114" s="37">
        <f t="shared" si="79"/>
        <v>0</v>
      </c>
      <c r="M114" s="37">
        <f t="shared" si="79"/>
        <v>0</v>
      </c>
      <c r="N114" s="37">
        <f t="shared" si="79"/>
        <v>0</v>
      </c>
      <c r="O114" s="37">
        <f t="shared" si="77"/>
        <v>0</v>
      </c>
      <c r="P114" s="37">
        <f t="shared" si="77"/>
        <v>0</v>
      </c>
      <c r="Q114" s="37">
        <f t="shared" si="78"/>
        <v>0</v>
      </c>
      <c r="R114" s="34" t="e">
        <f>I114/E114</f>
        <v>#DIV/0!</v>
      </c>
      <c r="S114" s="34" t="e">
        <f t="shared" si="74"/>
        <v>#DIV/0!</v>
      </c>
      <c r="T114" s="34" t="e">
        <f t="shared" si="65"/>
        <v>#DIV/0!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62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40"/>
      <c r="BI114" s="41"/>
      <c r="BJ114" s="41"/>
      <c r="BK114" s="41"/>
      <c r="BL114" s="41"/>
    </row>
    <row r="115" spans="1:64" ht="15.75" x14ac:dyDescent="0.25">
      <c r="A115" s="31"/>
      <c r="B115" s="70" t="s">
        <v>236</v>
      </c>
      <c r="C115" s="202" t="s">
        <v>237</v>
      </c>
      <c r="D115" s="203" t="s">
        <v>238</v>
      </c>
      <c r="E115" s="35"/>
      <c r="F115" s="35">
        <v>14660</v>
      </c>
      <c r="G115" s="35"/>
      <c r="H115" s="35"/>
      <c r="I115" s="37">
        <f t="shared" si="76"/>
        <v>0</v>
      </c>
      <c r="J115" s="37">
        <f t="shared" si="76"/>
        <v>14660</v>
      </c>
      <c r="K115" s="37">
        <f t="shared" si="76"/>
        <v>0</v>
      </c>
      <c r="L115" s="37">
        <f t="shared" si="79"/>
        <v>0</v>
      </c>
      <c r="M115" s="37">
        <f t="shared" si="79"/>
        <v>14660</v>
      </c>
      <c r="N115" s="37">
        <f t="shared" si="79"/>
        <v>0</v>
      </c>
      <c r="O115" s="37">
        <f t="shared" si="77"/>
        <v>0</v>
      </c>
      <c r="P115" s="37">
        <f t="shared" si="77"/>
        <v>0</v>
      </c>
      <c r="Q115" s="37">
        <f t="shared" si="78"/>
        <v>0</v>
      </c>
      <c r="R115" s="34" t="e">
        <f>I115/E115</f>
        <v>#DIV/0!</v>
      </c>
      <c r="S115" s="34">
        <f t="shared" si="74"/>
        <v>1</v>
      </c>
      <c r="T115" s="34" t="e">
        <f t="shared" si="65"/>
        <v>#DIV/0!</v>
      </c>
      <c r="U115" s="35"/>
      <c r="V115" s="35"/>
      <c r="W115" s="35"/>
      <c r="X115" s="35"/>
      <c r="Y115" s="35"/>
      <c r="Z115" s="35"/>
      <c r="AA115" s="35"/>
      <c r="AB115" s="35">
        <v>14660</v>
      </c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62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40"/>
      <c r="BI115" s="41"/>
      <c r="BJ115" s="41"/>
      <c r="BK115" s="41"/>
      <c r="BL115" s="41"/>
    </row>
    <row r="116" spans="1:64" ht="15.75" hidden="1" x14ac:dyDescent="0.25">
      <c r="A116" s="31"/>
      <c r="B116" s="31"/>
      <c r="C116" s="32"/>
      <c r="D116" s="76" t="s">
        <v>239</v>
      </c>
      <c r="E116" s="35"/>
      <c r="F116" s="35"/>
      <c r="G116" s="35"/>
      <c r="H116" s="35"/>
      <c r="I116" s="37">
        <f>U116+X116+AA116+AD116+AG116+AJ116+AM116+AP116+AS116+AV116+AY116+BB116</f>
        <v>0</v>
      </c>
      <c r="J116" s="37">
        <f>V116+Y116+AB116+AE116+AH116+AK116+AN116+AQ116+AT116+AW116+AZ116+BC116</f>
        <v>0</v>
      </c>
      <c r="K116" s="37">
        <f>W116+Z116+AC116+AF116+AI116+AL116+AO116+AR116+AU116+AX116+BA116+BD116</f>
        <v>0</v>
      </c>
      <c r="L116" s="37">
        <f t="shared" ref="L116:N149" si="80">IF(BE116=0,SUM(U116+X116+AA116+AD116+AG116+AJ116+AM116+AP116+AS116+AV116+AY116+BB116),BE116)</f>
        <v>0</v>
      </c>
      <c r="M116" s="37">
        <f t="shared" si="80"/>
        <v>0</v>
      </c>
      <c r="N116" s="37">
        <f t="shared" si="80"/>
        <v>0</v>
      </c>
      <c r="O116" s="37">
        <f t="shared" si="77"/>
        <v>0</v>
      </c>
      <c r="P116" s="37">
        <f t="shared" si="77"/>
        <v>0</v>
      </c>
      <c r="Q116" s="37">
        <f>H116-K116</f>
        <v>0</v>
      </c>
      <c r="R116" s="34" t="e">
        <f>I116/E116</f>
        <v>#DIV/0!</v>
      </c>
      <c r="S116" s="34" t="e">
        <f>J116/F116</f>
        <v>#DIV/0!</v>
      </c>
      <c r="T116" s="34" t="e">
        <f>K116/H116</f>
        <v>#DIV/0!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62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40"/>
      <c r="BI116" s="41"/>
      <c r="BJ116" s="41"/>
      <c r="BK116" s="41"/>
      <c r="BL116" s="41"/>
    </row>
    <row r="117" spans="1:64" ht="15.75" x14ac:dyDescent="0.25">
      <c r="A117" s="147"/>
      <c r="B117" s="147"/>
      <c r="C117" s="148"/>
      <c r="D117" s="149" t="s">
        <v>240</v>
      </c>
      <c r="E117" s="150">
        <f>SUM(E118:E122)</f>
        <v>0</v>
      </c>
      <c r="F117" s="150">
        <f>SUM(F118:F122)</f>
        <v>0</v>
      </c>
      <c r="G117" s="150"/>
      <c r="H117" s="150">
        <f>SUM(H118:H122)</f>
        <v>142873.54999999999</v>
      </c>
      <c r="I117" s="154">
        <f>SUM(I118:I122)</f>
        <v>0</v>
      </c>
      <c r="J117" s="154">
        <f>SUM(J118:J122)</f>
        <v>0</v>
      </c>
      <c r="K117" s="154">
        <f>SUM(K118:K122)</f>
        <v>39920</v>
      </c>
      <c r="L117" s="154">
        <f t="shared" si="80"/>
        <v>0</v>
      </c>
      <c r="M117" s="154">
        <f t="shared" si="80"/>
        <v>0</v>
      </c>
      <c r="N117" s="154">
        <f t="shared" si="80"/>
        <v>39920</v>
      </c>
      <c r="O117" s="154">
        <f t="shared" ref="O117:BG117" si="81">SUM(O118:O122)</f>
        <v>0</v>
      </c>
      <c r="P117" s="154">
        <f t="shared" si="81"/>
        <v>0</v>
      </c>
      <c r="Q117" s="154">
        <f t="shared" si="81"/>
        <v>102953.54999999999</v>
      </c>
      <c r="R117" s="154" t="e">
        <f t="shared" si="81"/>
        <v>#DIV/0!</v>
      </c>
      <c r="S117" s="154" t="e">
        <f t="shared" si="81"/>
        <v>#DIV/0!</v>
      </c>
      <c r="T117" s="154" t="e">
        <f t="shared" si="81"/>
        <v>#DIV/0!</v>
      </c>
      <c r="U117" s="150">
        <f t="shared" si="81"/>
        <v>0</v>
      </c>
      <c r="V117" s="150">
        <f t="shared" si="81"/>
        <v>0</v>
      </c>
      <c r="W117" s="150">
        <f t="shared" si="81"/>
        <v>0</v>
      </c>
      <c r="X117" s="150">
        <f t="shared" si="81"/>
        <v>0</v>
      </c>
      <c r="Y117" s="150">
        <f t="shared" si="81"/>
        <v>0</v>
      </c>
      <c r="Z117" s="150">
        <f t="shared" si="81"/>
        <v>0</v>
      </c>
      <c r="AA117" s="150">
        <f t="shared" si="81"/>
        <v>0</v>
      </c>
      <c r="AB117" s="150">
        <f t="shared" si="81"/>
        <v>0</v>
      </c>
      <c r="AC117" s="150">
        <f t="shared" si="81"/>
        <v>0</v>
      </c>
      <c r="AD117" s="150">
        <f t="shared" si="81"/>
        <v>0</v>
      </c>
      <c r="AE117" s="150">
        <f t="shared" si="81"/>
        <v>0</v>
      </c>
      <c r="AF117" s="150">
        <f t="shared" si="81"/>
        <v>11360</v>
      </c>
      <c r="AG117" s="150">
        <f t="shared" si="81"/>
        <v>0</v>
      </c>
      <c r="AH117" s="150">
        <f t="shared" si="81"/>
        <v>0</v>
      </c>
      <c r="AI117" s="150">
        <f t="shared" si="81"/>
        <v>13760</v>
      </c>
      <c r="AJ117" s="150">
        <f t="shared" si="81"/>
        <v>0</v>
      </c>
      <c r="AK117" s="150">
        <f t="shared" si="81"/>
        <v>0</v>
      </c>
      <c r="AL117" s="150">
        <f t="shared" si="81"/>
        <v>14800</v>
      </c>
      <c r="AM117" s="150">
        <f t="shared" si="81"/>
        <v>0</v>
      </c>
      <c r="AN117" s="150">
        <f t="shared" si="81"/>
        <v>0</v>
      </c>
      <c r="AO117" s="150">
        <f t="shared" si="81"/>
        <v>0</v>
      </c>
      <c r="AP117" s="150">
        <f t="shared" si="81"/>
        <v>0</v>
      </c>
      <c r="AQ117" s="150">
        <f t="shared" si="81"/>
        <v>0</v>
      </c>
      <c r="AR117" s="150">
        <f t="shared" si="81"/>
        <v>0</v>
      </c>
      <c r="AS117" s="150">
        <f t="shared" si="81"/>
        <v>0</v>
      </c>
      <c r="AT117" s="150">
        <f t="shared" si="81"/>
        <v>0</v>
      </c>
      <c r="AU117" s="150">
        <f t="shared" si="81"/>
        <v>0</v>
      </c>
      <c r="AV117" s="150">
        <f t="shared" si="81"/>
        <v>0</v>
      </c>
      <c r="AW117" s="150">
        <f t="shared" si="81"/>
        <v>0</v>
      </c>
      <c r="AX117" s="150">
        <f t="shared" si="81"/>
        <v>0</v>
      </c>
      <c r="AY117" s="150">
        <f t="shared" si="81"/>
        <v>0</v>
      </c>
      <c r="AZ117" s="150">
        <f t="shared" si="81"/>
        <v>0</v>
      </c>
      <c r="BA117" s="150">
        <f t="shared" si="81"/>
        <v>0</v>
      </c>
      <c r="BB117" s="150">
        <f t="shared" si="81"/>
        <v>0</v>
      </c>
      <c r="BC117" s="150">
        <f t="shared" si="81"/>
        <v>0</v>
      </c>
      <c r="BD117" s="150">
        <f t="shared" si="81"/>
        <v>0</v>
      </c>
      <c r="BE117" s="150">
        <f t="shared" si="81"/>
        <v>0</v>
      </c>
      <c r="BF117" s="150">
        <f t="shared" si="81"/>
        <v>0</v>
      </c>
      <c r="BG117" s="150">
        <f t="shared" si="81"/>
        <v>0</v>
      </c>
      <c r="BH117" s="152"/>
      <c r="BI117" s="153"/>
      <c r="BJ117" s="153"/>
      <c r="BK117" s="153"/>
      <c r="BL117" s="153"/>
    </row>
    <row r="118" spans="1:64" ht="31.5" x14ac:dyDescent="0.25">
      <c r="A118" s="31" t="s">
        <v>241</v>
      </c>
      <c r="B118" s="31"/>
      <c r="C118" s="190" t="s">
        <v>242</v>
      </c>
      <c r="D118" s="204" t="s">
        <v>243</v>
      </c>
      <c r="E118" s="35"/>
      <c r="F118" s="35"/>
      <c r="G118" s="35"/>
      <c r="H118" s="35">
        <f>11360+14640+13920+102953.55</f>
        <v>142873.54999999999</v>
      </c>
      <c r="I118" s="37">
        <f t="shared" ref="I118:K122" si="82">U118+X118+AA118+AD118+AG118+AJ118+AM118+AP118+AS118+AV118+AY118+BB118</f>
        <v>0</v>
      </c>
      <c r="J118" s="37">
        <f t="shared" si="82"/>
        <v>0</v>
      </c>
      <c r="K118" s="37">
        <f t="shared" si="82"/>
        <v>39920</v>
      </c>
      <c r="L118" s="37">
        <f t="shared" si="80"/>
        <v>0</v>
      </c>
      <c r="M118" s="37">
        <f t="shared" si="80"/>
        <v>0</v>
      </c>
      <c r="N118" s="37">
        <f t="shared" si="80"/>
        <v>39920</v>
      </c>
      <c r="O118" s="37">
        <f t="shared" ref="O118:P122" si="83">E118-I118</f>
        <v>0</v>
      </c>
      <c r="P118" s="37">
        <f t="shared" si="83"/>
        <v>0</v>
      </c>
      <c r="Q118" s="37">
        <f t="shared" ref="Q118:Q122" si="84">H118-K118</f>
        <v>102953.54999999999</v>
      </c>
      <c r="R118" s="39" t="e">
        <f t="shared" ref="R118:S122" si="85">I118/E118</f>
        <v>#DIV/0!</v>
      </c>
      <c r="S118" s="39" t="e">
        <f t="shared" si="85"/>
        <v>#DIV/0!</v>
      </c>
      <c r="T118" s="39">
        <f t="shared" ref="T118:T122" si="86">K118/H118</f>
        <v>0.27940791000153636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>
        <f>11360</f>
        <v>11360</v>
      </c>
      <c r="AG118" s="35"/>
      <c r="AH118" s="35"/>
      <c r="AI118" s="35">
        <f>-11360+10480+14640</f>
        <v>13760</v>
      </c>
      <c r="AJ118" s="35"/>
      <c r="AK118" s="35"/>
      <c r="AL118" s="35">
        <v>14800</v>
      </c>
      <c r="AM118" s="35"/>
      <c r="AN118" s="35"/>
      <c r="AO118" s="35"/>
      <c r="AP118" s="62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40"/>
      <c r="BI118" s="41"/>
      <c r="BJ118" s="41"/>
      <c r="BK118" s="41"/>
      <c r="BL118" s="41"/>
    </row>
    <row r="119" spans="1:64" ht="15.75" hidden="1" customHeight="1" x14ac:dyDescent="0.25">
      <c r="A119" s="42"/>
      <c r="B119" s="42"/>
      <c r="C119" s="32" t="s">
        <v>242</v>
      </c>
      <c r="D119" s="76" t="s">
        <v>244</v>
      </c>
      <c r="E119" s="35"/>
      <c r="F119" s="35"/>
      <c r="G119" s="35"/>
      <c r="H119" s="24"/>
      <c r="I119" s="37">
        <f t="shared" si="82"/>
        <v>0</v>
      </c>
      <c r="J119" s="37">
        <f t="shared" si="82"/>
        <v>0</v>
      </c>
      <c r="K119" s="37">
        <f t="shared" si="82"/>
        <v>0</v>
      </c>
      <c r="L119" s="37">
        <f t="shared" si="80"/>
        <v>0</v>
      </c>
      <c r="M119" s="37">
        <f t="shared" si="80"/>
        <v>0</v>
      </c>
      <c r="N119" s="37">
        <f t="shared" si="80"/>
        <v>0</v>
      </c>
      <c r="O119" s="37">
        <f t="shared" si="83"/>
        <v>0</v>
      </c>
      <c r="P119" s="37">
        <f t="shared" si="83"/>
        <v>0</v>
      </c>
      <c r="Q119" s="37">
        <f t="shared" si="84"/>
        <v>0</v>
      </c>
      <c r="R119" s="39" t="e">
        <f t="shared" si="85"/>
        <v>#DIV/0!</v>
      </c>
      <c r="S119" s="39" t="e">
        <f t="shared" si="85"/>
        <v>#DIV/0!</v>
      </c>
      <c r="T119" s="39" t="e">
        <f t="shared" si="86"/>
        <v>#DIV/0!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6"/>
      <c r="AF119" s="35"/>
      <c r="AG119" s="35"/>
      <c r="AH119" s="36"/>
      <c r="AI119" s="35"/>
      <c r="AJ119" s="35"/>
      <c r="AK119" s="36"/>
      <c r="AL119" s="36"/>
      <c r="AM119" s="35"/>
      <c r="AN119" s="35"/>
      <c r="AO119" s="36"/>
      <c r="AP119" s="35"/>
      <c r="AQ119" s="36"/>
      <c r="AR119" s="36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40"/>
      <c r="BI119" s="41"/>
      <c r="BJ119" s="41"/>
      <c r="BK119" s="41"/>
      <c r="BL119" s="41"/>
    </row>
    <row r="120" spans="1:64" ht="15.75" hidden="1" customHeight="1" x14ac:dyDescent="0.25">
      <c r="A120" s="42"/>
      <c r="B120" s="42"/>
      <c r="C120" s="32" t="s">
        <v>242</v>
      </c>
      <c r="D120" s="76" t="s">
        <v>245</v>
      </c>
      <c r="E120" s="35"/>
      <c r="F120" s="35"/>
      <c r="G120" s="35"/>
      <c r="H120" s="35"/>
      <c r="I120" s="37">
        <f t="shared" si="82"/>
        <v>0</v>
      </c>
      <c r="J120" s="37">
        <f t="shared" si="82"/>
        <v>0</v>
      </c>
      <c r="K120" s="37">
        <f t="shared" si="82"/>
        <v>0</v>
      </c>
      <c r="L120" s="37">
        <f t="shared" si="80"/>
        <v>0</v>
      </c>
      <c r="M120" s="37">
        <f t="shared" si="80"/>
        <v>0</v>
      </c>
      <c r="N120" s="37">
        <f t="shared" si="80"/>
        <v>0</v>
      </c>
      <c r="O120" s="37">
        <f t="shared" si="83"/>
        <v>0</v>
      </c>
      <c r="P120" s="37">
        <f t="shared" si="83"/>
        <v>0</v>
      </c>
      <c r="Q120" s="37">
        <f t="shared" si="84"/>
        <v>0</v>
      </c>
      <c r="R120" s="39" t="e">
        <f t="shared" si="85"/>
        <v>#DIV/0!</v>
      </c>
      <c r="S120" s="39" t="e">
        <f t="shared" si="85"/>
        <v>#DIV/0!</v>
      </c>
      <c r="T120" s="39" t="e">
        <f t="shared" si="86"/>
        <v>#DIV/0!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6"/>
      <c r="AF120" s="35"/>
      <c r="AG120" s="35"/>
      <c r="AH120" s="36"/>
      <c r="AI120" s="35"/>
      <c r="AJ120" s="35"/>
      <c r="AK120" s="36"/>
      <c r="AL120" s="36"/>
      <c r="AM120" s="35"/>
      <c r="AN120" s="35"/>
      <c r="AO120" s="36"/>
      <c r="AP120" s="35"/>
      <c r="AQ120" s="36"/>
      <c r="AR120" s="36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40"/>
      <c r="BI120" s="41"/>
      <c r="BJ120" s="41"/>
      <c r="BK120" s="41"/>
      <c r="BL120" s="41"/>
    </row>
    <row r="121" spans="1:64" ht="15.75" hidden="1" customHeight="1" x14ac:dyDescent="0.25">
      <c r="A121" s="42"/>
      <c r="B121" s="42"/>
      <c r="C121" s="32" t="s">
        <v>242</v>
      </c>
      <c r="D121" s="76" t="s">
        <v>246</v>
      </c>
      <c r="E121" s="35"/>
      <c r="F121" s="35"/>
      <c r="G121" s="35"/>
      <c r="H121" s="35"/>
      <c r="I121" s="37">
        <f t="shared" si="82"/>
        <v>0</v>
      </c>
      <c r="J121" s="37">
        <f t="shared" si="82"/>
        <v>0</v>
      </c>
      <c r="K121" s="37">
        <f t="shared" si="82"/>
        <v>0</v>
      </c>
      <c r="L121" s="37">
        <f t="shared" si="80"/>
        <v>0</v>
      </c>
      <c r="M121" s="37">
        <f t="shared" si="80"/>
        <v>0</v>
      </c>
      <c r="N121" s="37">
        <f t="shared" si="80"/>
        <v>0</v>
      </c>
      <c r="O121" s="37">
        <f t="shared" si="83"/>
        <v>0</v>
      </c>
      <c r="P121" s="37">
        <f t="shared" si="83"/>
        <v>0</v>
      </c>
      <c r="Q121" s="37">
        <f t="shared" si="84"/>
        <v>0</v>
      </c>
      <c r="R121" s="39" t="e">
        <f t="shared" si="85"/>
        <v>#DIV/0!</v>
      </c>
      <c r="S121" s="39" t="e">
        <f t="shared" si="85"/>
        <v>#DIV/0!</v>
      </c>
      <c r="T121" s="39" t="e">
        <f t="shared" si="86"/>
        <v>#DIV/0!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6"/>
      <c r="AF121" s="35"/>
      <c r="AG121" s="35"/>
      <c r="AH121" s="36"/>
      <c r="AI121" s="35"/>
      <c r="AJ121" s="35"/>
      <c r="AK121" s="36"/>
      <c r="AL121" s="36"/>
      <c r="AM121" s="35"/>
      <c r="AN121" s="35"/>
      <c r="AO121" s="36"/>
      <c r="AP121" s="35"/>
      <c r="AQ121" s="36"/>
      <c r="AR121" s="36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40"/>
      <c r="BI121" s="41"/>
      <c r="BJ121" s="41"/>
      <c r="BK121" s="41"/>
      <c r="BL121" s="41"/>
    </row>
    <row r="122" spans="1:64" ht="15.75" hidden="1" customHeight="1" x14ac:dyDescent="0.25">
      <c r="A122" s="42"/>
      <c r="B122" s="42"/>
      <c r="C122" s="32" t="s">
        <v>247</v>
      </c>
      <c r="D122" s="76" t="s">
        <v>248</v>
      </c>
      <c r="E122" s="35"/>
      <c r="F122" s="35"/>
      <c r="G122" s="35"/>
      <c r="H122" s="155"/>
      <c r="I122" s="37">
        <f t="shared" si="82"/>
        <v>0</v>
      </c>
      <c r="J122" s="37">
        <f t="shared" si="82"/>
        <v>0</v>
      </c>
      <c r="K122" s="37">
        <f t="shared" si="82"/>
        <v>0</v>
      </c>
      <c r="L122" s="37">
        <f t="shared" si="80"/>
        <v>0</v>
      </c>
      <c r="M122" s="37">
        <f t="shared" si="80"/>
        <v>0</v>
      </c>
      <c r="N122" s="37">
        <f t="shared" si="80"/>
        <v>0</v>
      </c>
      <c r="O122" s="37">
        <f t="shared" si="83"/>
        <v>0</v>
      </c>
      <c r="P122" s="37">
        <f t="shared" si="83"/>
        <v>0</v>
      </c>
      <c r="Q122" s="37">
        <f t="shared" si="84"/>
        <v>0</v>
      </c>
      <c r="R122" s="39" t="e">
        <f t="shared" si="85"/>
        <v>#DIV/0!</v>
      </c>
      <c r="S122" s="39" t="e">
        <f t="shared" si="85"/>
        <v>#DIV/0!</v>
      </c>
      <c r="T122" s="39" t="e">
        <f t="shared" si="86"/>
        <v>#DIV/0!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40"/>
      <c r="BI122" s="41"/>
      <c r="BJ122" s="41"/>
      <c r="BK122" s="41"/>
      <c r="BL122" s="41"/>
    </row>
    <row r="123" spans="1:64" ht="15.75" hidden="1" customHeight="1" x14ac:dyDescent="0.25">
      <c r="A123" s="156"/>
      <c r="B123" s="156"/>
      <c r="C123" s="148"/>
      <c r="D123" s="157" t="s">
        <v>249</v>
      </c>
      <c r="E123" s="158">
        <f t="shared" ref="E123:K123" si="87">SUM(E124:E126)</f>
        <v>0</v>
      </c>
      <c r="F123" s="158">
        <f t="shared" si="87"/>
        <v>0</v>
      </c>
      <c r="G123" s="158"/>
      <c r="H123" s="158">
        <f t="shared" si="87"/>
        <v>0</v>
      </c>
      <c r="I123" s="158">
        <f t="shared" si="87"/>
        <v>0</v>
      </c>
      <c r="J123" s="159">
        <f t="shared" si="87"/>
        <v>0</v>
      </c>
      <c r="K123" s="159">
        <f t="shared" si="87"/>
        <v>0</v>
      </c>
      <c r="L123" s="159">
        <f t="shared" si="80"/>
        <v>0</v>
      </c>
      <c r="M123" s="159">
        <f t="shared" si="80"/>
        <v>0</v>
      </c>
      <c r="N123" s="159">
        <f t="shared" si="80"/>
        <v>0</v>
      </c>
      <c r="O123" s="158">
        <f t="shared" ref="O123:BG123" si="88">SUM(O124:O126)</f>
        <v>0</v>
      </c>
      <c r="P123" s="113">
        <f t="shared" si="88"/>
        <v>0</v>
      </c>
      <c r="Q123" s="113">
        <f t="shared" si="88"/>
        <v>0</v>
      </c>
      <c r="R123" s="113" t="e">
        <f t="shared" si="88"/>
        <v>#DIV/0!</v>
      </c>
      <c r="S123" s="113" t="e">
        <f t="shared" si="88"/>
        <v>#DIV/0!</v>
      </c>
      <c r="T123" s="113" t="e">
        <f t="shared" si="88"/>
        <v>#DIV/0!</v>
      </c>
      <c r="U123" s="158">
        <f t="shared" si="88"/>
        <v>0</v>
      </c>
      <c r="V123" s="158">
        <f t="shared" si="88"/>
        <v>0</v>
      </c>
      <c r="W123" s="158">
        <f t="shared" si="88"/>
        <v>0</v>
      </c>
      <c r="X123" s="158">
        <f t="shared" si="88"/>
        <v>0</v>
      </c>
      <c r="Y123" s="158">
        <f t="shared" si="88"/>
        <v>0</v>
      </c>
      <c r="Z123" s="158">
        <f t="shared" si="88"/>
        <v>0</v>
      </c>
      <c r="AA123" s="158">
        <f t="shared" si="88"/>
        <v>0</v>
      </c>
      <c r="AB123" s="158">
        <f t="shared" si="88"/>
        <v>0</v>
      </c>
      <c r="AC123" s="158">
        <f t="shared" si="88"/>
        <v>0</v>
      </c>
      <c r="AD123" s="158">
        <f t="shared" si="88"/>
        <v>0</v>
      </c>
      <c r="AE123" s="158">
        <f t="shared" si="88"/>
        <v>0</v>
      </c>
      <c r="AF123" s="158">
        <f t="shared" si="88"/>
        <v>0</v>
      </c>
      <c r="AG123" s="158">
        <f t="shared" si="88"/>
        <v>0</v>
      </c>
      <c r="AH123" s="158">
        <f t="shared" si="88"/>
        <v>0</v>
      </c>
      <c r="AI123" s="158">
        <f t="shared" si="88"/>
        <v>0</v>
      </c>
      <c r="AJ123" s="158">
        <f t="shared" si="88"/>
        <v>0</v>
      </c>
      <c r="AK123" s="158">
        <f t="shared" si="88"/>
        <v>0</v>
      </c>
      <c r="AL123" s="158">
        <f t="shared" si="88"/>
        <v>0</v>
      </c>
      <c r="AM123" s="158">
        <f t="shared" si="88"/>
        <v>0</v>
      </c>
      <c r="AN123" s="158">
        <f t="shared" si="88"/>
        <v>0</v>
      </c>
      <c r="AO123" s="158">
        <f t="shared" si="88"/>
        <v>0</v>
      </c>
      <c r="AP123" s="158">
        <f t="shared" si="88"/>
        <v>0</v>
      </c>
      <c r="AQ123" s="158">
        <f t="shared" si="88"/>
        <v>0</v>
      </c>
      <c r="AR123" s="158">
        <f t="shared" si="88"/>
        <v>0</v>
      </c>
      <c r="AS123" s="158">
        <f t="shared" si="88"/>
        <v>0</v>
      </c>
      <c r="AT123" s="158">
        <f t="shared" si="88"/>
        <v>0</v>
      </c>
      <c r="AU123" s="158">
        <f t="shared" si="88"/>
        <v>0</v>
      </c>
      <c r="AV123" s="158">
        <f t="shared" si="88"/>
        <v>0</v>
      </c>
      <c r="AW123" s="158">
        <f t="shared" si="88"/>
        <v>0</v>
      </c>
      <c r="AX123" s="158">
        <f t="shared" si="88"/>
        <v>0</v>
      </c>
      <c r="AY123" s="158">
        <f t="shared" si="88"/>
        <v>0</v>
      </c>
      <c r="AZ123" s="158">
        <f t="shared" si="88"/>
        <v>0</v>
      </c>
      <c r="BA123" s="158">
        <f t="shared" si="88"/>
        <v>0</v>
      </c>
      <c r="BB123" s="158">
        <f t="shared" si="88"/>
        <v>0</v>
      </c>
      <c r="BC123" s="158">
        <f t="shared" si="88"/>
        <v>0</v>
      </c>
      <c r="BD123" s="158">
        <f t="shared" si="88"/>
        <v>0</v>
      </c>
      <c r="BE123" s="158">
        <f t="shared" si="88"/>
        <v>0</v>
      </c>
      <c r="BF123" s="158">
        <f t="shared" si="88"/>
        <v>0</v>
      </c>
      <c r="BG123" s="158">
        <f t="shared" si="88"/>
        <v>0</v>
      </c>
      <c r="BH123" s="152"/>
      <c r="BI123" s="153"/>
      <c r="BJ123" s="153"/>
      <c r="BK123" s="153"/>
      <c r="BL123" s="153"/>
    </row>
    <row r="124" spans="1:64" ht="15.75" hidden="1" customHeight="1" x14ac:dyDescent="0.25">
      <c r="A124" s="42"/>
      <c r="B124" s="42"/>
      <c r="C124" s="43" t="s">
        <v>250</v>
      </c>
      <c r="D124" s="33" t="s">
        <v>251</v>
      </c>
      <c r="E124" s="35"/>
      <c r="F124" s="35"/>
      <c r="G124" s="35"/>
      <c r="H124" s="35"/>
      <c r="I124" s="37">
        <f t="shared" ref="I124:K126" si="89">U124+X124+AA124+AD124+AG124+AJ124+AM124+AP124+AS124+AV124+AY124+BB124</f>
        <v>0</v>
      </c>
      <c r="J124" s="37">
        <f t="shared" si="89"/>
        <v>0</v>
      </c>
      <c r="K124" s="37">
        <f t="shared" si="89"/>
        <v>0</v>
      </c>
      <c r="L124" s="37">
        <f t="shared" si="80"/>
        <v>0</v>
      </c>
      <c r="M124" s="37">
        <f t="shared" si="80"/>
        <v>0</v>
      </c>
      <c r="N124" s="37">
        <f t="shared" si="80"/>
        <v>0</v>
      </c>
      <c r="O124" s="37">
        <f t="shared" ref="O124:P126" si="90">E124-I124</f>
        <v>0</v>
      </c>
      <c r="P124" s="37">
        <f t="shared" si="90"/>
        <v>0</v>
      </c>
      <c r="Q124" s="37">
        <f t="shared" ref="Q124:Q126" si="91">H124-K124</f>
        <v>0</v>
      </c>
      <c r="R124" s="39" t="e">
        <f t="shared" ref="R124:S126" si="92">I124/E124</f>
        <v>#DIV/0!</v>
      </c>
      <c r="S124" s="39" t="e">
        <f t="shared" si="92"/>
        <v>#DIV/0!</v>
      </c>
      <c r="T124" s="39" t="e">
        <f t="shared" ref="T124:T126" si="93">K124/H124</f>
        <v>#DIV/0!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40"/>
      <c r="BI124" s="41"/>
      <c r="BJ124" s="41"/>
      <c r="BK124" s="41"/>
      <c r="BL124" s="41"/>
    </row>
    <row r="125" spans="1:64" ht="15.75" hidden="1" customHeight="1" x14ac:dyDescent="0.25">
      <c r="A125" s="42"/>
      <c r="B125" s="42"/>
      <c r="C125" s="43" t="s">
        <v>250</v>
      </c>
      <c r="D125" s="44" t="s">
        <v>252</v>
      </c>
      <c r="E125" s="130"/>
      <c r="F125" s="35"/>
      <c r="G125" s="35"/>
      <c r="H125" s="130"/>
      <c r="I125" s="37">
        <f t="shared" si="89"/>
        <v>0</v>
      </c>
      <c r="J125" s="37">
        <f t="shared" si="89"/>
        <v>0</v>
      </c>
      <c r="K125" s="37">
        <f t="shared" si="89"/>
        <v>0</v>
      </c>
      <c r="L125" s="37">
        <f t="shared" si="80"/>
        <v>0</v>
      </c>
      <c r="M125" s="37">
        <f t="shared" si="80"/>
        <v>0</v>
      </c>
      <c r="N125" s="37">
        <f t="shared" si="80"/>
        <v>0</v>
      </c>
      <c r="O125" s="37">
        <f t="shared" si="90"/>
        <v>0</v>
      </c>
      <c r="P125" s="37">
        <f t="shared" si="90"/>
        <v>0</v>
      </c>
      <c r="Q125" s="37">
        <f t="shared" si="91"/>
        <v>0</v>
      </c>
      <c r="R125" s="39" t="e">
        <f t="shared" si="92"/>
        <v>#DIV/0!</v>
      </c>
      <c r="S125" s="39" t="e">
        <f t="shared" si="92"/>
        <v>#DIV/0!</v>
      </c>
      <c r="T125" s="39" t="e">
        <f t="shared" si="93"/>
        <v>#DIV/0!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40"/>
      <c r="BI125" s="41"/>
      <c r="BJ125" s="41"/>
      <c r="BK125" s="41"/>
      <c r="BL125" s="41"/>
    </row>
    <row r="126" spans="1:64" ht="15.75" hidden="1" customHeight="1" x14ac:dyDescent="0.25">
      <c r="A126" s="42"/>
      <c r="B126" s="42"/>
      <c r="C126" s="32"/>
      <c r="D126" s="44" t="s">
        <v>252</v>
      </c>
      <c r="E126" s="35"/>
      <c r="F126" s="35"/>
      <c r="G126" s="35"/>
      <c r="H126" s="160"/>
      <c r="I126" s="37">
        <f t="shared" si="89"/>
        <v>0</v>
      </c>
      <c r="J126" s="37">
        <f t="shared" si="89"/>
        <v>0</v>
      </c>
      <c r="K126" s="37">
        <f t="shared" si="89"/>
        <v>0</v>
      </c>
      <c r="L126" s="37">
        <f t="shared" si="80"/>
        <v>0</v>
      </c>
      <c r="M126" s="37">
        <f t="shared" si="80"/>
        <v>0</v>
      </c>
      <c r="N126" s="37">
        <f t="shared" si="80"/>
        <v>0</v>
      </c>
      <c r="O126" s="37">
        <f t="shared" si="90"/>
        <v>0</v>
      </c>
      <c r="P126" s="37">
        <f t="shared" si="90"/>
        <v>0</v>
      </c>
      <c r="Q126" s="37">
        <f t="shared" si="91"/>
        <v>0</v>
      </c>
      <c r="R126" s="39" t="e">
        <f t="shared" si="92"/>
        <v>#DIV/0!</v>
      </c>
      <c r="S126" s="39" t="e">
        <f t="shared" si="92"/>
        <v>#DIV/0!</v>
      </c>
      <c r="T126" s="39" t="e">
        <f t="shared" si="93"/>
        <v>#DIV/0!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40"/>
      <c r="BI126" s="41"/>
      <c r="BJ126" s="41"/>
      <c r="BK126" s="41"/>
      <c r="BL126" s="41"/>
    </row>
    <row r="127" spans="1:64" ht="15.75" hidden="1" customHeight="1" x14ac:dyDescent="0.25">
      <c r="A127" s="156"/>
      <c r="B127" s="156"/>
      <c r="C127" s="148"/>
      <c r="D127" s="157" t="s">
        <v>253</v>
      </c>
      <c r="E127" s="158">
        <f t="shared" ref="E127:K127" si="94">SUM(E128:E130)</f>
        <v>0</v>
      </c>
      <c r="F127" s="158">
        <f t="shared" si="94"/>
        <v>0</v>
      </c>
      <c r="G127" s="158"/>
      <c r="H127" s="158">
        <f t="shared" si="94"/>
        <v>0</v>
      </c>
      <c r="I127" s="158">
        <f t="shared" si="94"/>
        <v>0</v>
      </c>
      <c r="J127" s="159">
        <f t="shared" si="94"/>
        <v>0</v>
      </c>
      <c r="K127" s="159">
        <f t="shared" si="94"/>
        <v>0</v>
      </c>
      <c r="L127" s="159">
        <f t="shared" si="80"/>
        <v>0</v>
      </c>
      <c r="M127" s="159">
        <f t="shared" si="80"/>
        <v>0</v>
      </c>
      <c r="N127" s="159">
        <f t="shared" si="80"/>
        <v>0</v>
      </c>
      <c r="O127" s="158">
        <f t="shared" ref="O127:BG127" si="95">SUM(O128:O130)</f>
        <v>0</v>
      </c>
      <c r="P127" s="113">
        <f t="shared" si="95"/>
        <v>0</v>
      </c>
      <c r="Q127" s="113">
        <f t="shared" si="95"/>
        <v>0</v>
      </c>
      <c r="R127" s="113" t="e">
        <f t="shared" si="95"/>
        <v>#DIV/0!</v>
      </c>
      <c r="S127" s="113" t="e">
        <f t="shared" si="95"/>
        <v>#DIV/0!</v>
      </c>
      <c r="T127" s="113" t="e">
        <f t="shared" si="95"/>
        <v>#DIV/0!</v>
      </c>
      <c r="U127" s="158">
        <f t="shared" si="95"/>
        <v>0</v>
      </c>
      <c r="V127" s="158">
        <f t="shared" si="95"/>
        <v>0</v>
      </c>
      <c r="W127" s="158">
        <f t="shared" si="95"/>
        <v>0</v>
      </c>
      <c r="X127" s="158">
        <f t="shared" si="95"/>
        <v>0</v>
      </c>
      <c r="Y127" s="158">
        <f t="shared" si="95"/>
        <v>0</v>
      </c>
      <c r="Z127" s="158">
        <f t="shared" si="95"/>
        <v>0</v>
      </c>
      <c r="AA127" s="158">
        <f t="shared" si="95"/>
        <v>0</v>
      </c>
      <c r="AB127" s="158">
        <f t="shared" si="95"/>
        <v>0</v>
      </c>
      <c r="AC127" s="158">
        <f t="shared" si="95"/>
        <v>0</v>
      </c>
      <c r="AD127" s="158">
        <f t="shared" si="95"/>
        <v>0</v>
      </c>
      <c r="AE127" s="158">
        <f t="shared" si="95"/>
        <v>0</v>
      </c>
      <c r="AF127" s="158">
        <f t="shared" si="95"/>
        <v>0</v>
      </c>
      <c r="AG127" s="158">
        <f t="shared" si="95"/>
        <v>0</v>
      </c>
      <c r="AH127" s="158">
        <f t="shared" si="95"/>
        <v>0</v>
      </c>
      <c r="AI127" s="158">
        <f t="shared" si="95"/>
        <v>0</v>
      </c>
      <c r="AJ127" s="158">
        <f t="shared" si="95"/>
        <v>0</v>
      </c>
      <c r="AK127" s="158">
        <f t="shared" si="95"/>
        <v>0</v>
      </c>
      <c r="AL127" s="158">
        <f t="shared" si="95"/>
        <v>0</v>
      </c>
      <c r="AM127" s="158">
        <f t="shared" si="95"/>
        <v>0</v>
      </c>
      <c r="AN127" s="158">
        <f t="shared" si="95"/>
        <v>0</v>
      </c>
      <c r="AO127" s="158">
        <f t="shared" si="95"/>
        <v>0</v>
      </c>
      <c r="AP127" s="158">
        <f t="shared" si="95"/>
        <v>0</v>
      </c>
      <c r="AQ127" s="158">
        <f t="shared" si="95"/>
        <v>0</v>
      </c>
      <c r="AR127" s="158">
        <f t="shared" si="95"/>
        <v>0</v>
      </c>
      <c r="AS127" s="158">
        <f t="shared" si="95"/>
        <v>0</v>
      </c>
      <c r="AT127" s="158">
        <f t="shared" si="95"/>
        <v>0</v>
      </c>
      <c r="AU127" s="158">
        <f t="shared" si="95"/>
        <v>0</v>
      </c>
      <c r="AV127" s="158">
        <f t="shared" si="95"/>
        <v>0</v>
      </c>
      <c r="AW127" s="158">
        <f t="shared" si="95"/>
        <v>0</v>
      </c>
      <c r="AX127" s="158">
        <f t="shared" si="95"/>
        <v>0</v>
      </c>
      <c r="AY127" s="158">
        <f t="shared" si="95"/>
        <v>0</v>
      </c>
      <c r="AZ127" s="158">
        <f t="shared" si="95"/>
        <v>0</v>
      </c>
      <c r="BA127" s="158">
        <f t="shared" si="95"/>
        <v>0</v>
      </c>
      <c r="BB127" s="158">
        <f t="shared" si="95"/>
        <v>0</v>
      </c>
      <c r="BC127" s="158">
        <f t="shared" si="95"/>
        <v>0</v>
      </c>
      <c r="BD127" s="158">
        <f t="shared" si="95"/>
        <v>0</v>
      </c>
      <c r="BE127" s="158">
        <f t="shared" si="95"/>
        <v>0</v>
      </c>
      <c r="BF127" s="158">
        <f t="shared" si="95"/>
        <v>0</v>
      </c>
      <c r="BG127" s="158">
        <f t="shared" si="95"/>
        <v>0</v>
      </c>
      <c r="BH127" s="152"/>
      <c r="BI127" s="153"/>
      <c r="BJ127" s="153"/>
      <c r="BK127" s="153"/>
      <c r="BL127" s="153"/>
    </row>
    <row r="128" spans="1:64" ht="15.75" hidden="1" customHeight="1" x14ac:dyDescent="0.25">
      <c r="A128" s="42"/>
      <c r="B128" s="42"/>
      <c r="C128" s="32" t="s">
        <v>250</v>
      </c>
      <c r="D128" s="129" t="s">
        <v>254</v>
      </c>
      <c r="E128" s="35"/>
      <c r="F128" s="35"/>
      <c r="G128" s="35"/>
      <c r="H128" s="35"/>
      <c r="I128" s="37">
        <f t="shared" ref="I128:K130" si="96">U128+X128+AA128+AD128+AG128+AJ128+AM128+AP128+AS128+AV128+AY128+BB128</f>
        <v>0</v>
      </c>
      <c r="J128" s="37">
        <f t="shared" si="96"/>
        <v>0</v>
      </c>
      <c r="K128" s="37">
        <f t="shared" si="96"/>
        <v>0</v>
      </c>
      <c r="L128" s="37">
        <f t="shared" si="80"/>
        <v>0</v>
      </c>
      <c r="M128" s="37">
        <f t="shared" si="80"/>
        <v>0</v>
      </c>
      <c r="N128" s="37">
        <f t="shared" si="80"/>
        <v>0</v>
      </c>
      <c r="O128" s="37">
        <f t="shared" ref="O128:P130" si="97">E128-I128</f>
        <v>0</v>
      </c>
      <c r="P128" s="37">
        <f t="shared" si="97"/>
        <v>0</v>
      </c>
      <c r="Q128" s="37">
        <f t="shared" ref="Q128:Q130" si="98">H128-K128</f>
        <v>0</v>
      </c>
      <c r="R128" s="39" t="e">
        <f t="shared" ref="R128:S149" si="99">I128/E128</f>
        <v>#DIV/0!</v>
      </c>
      <c r="S128" s="39" t="e">
        <f t="shared" si="99"/>
        <v>#DIV/0!</v>
      </c>
      <c r="T128" s="39" t="e">
        <f t="shared" ref="T128:T153" si="100">K128/H128</f>
        <v>#DIV/0!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40"/>
      <c r="BI128" s="41"/>
      <c r="BJ128" s="41"/>
      <c r="BK128" s="41"/>
      <c r="BL128" s="41"/>
    </row>
    <row r="129" spans="1:64" ht="15.75" hidden="1" customHeight="1" x14ac:dyDescent="0.25">
      <c r="A129" s="42"/>
      <c r="B129" s="42"/>
      <c r="C129" s="32" t="s">
        <v>247</v>
      </c>
      <c r="D129" s="76" t="s">
        <v>255</v>
      </c>
      <c r="E129" s="130"/>
      <c r="F129" s="35"/>
      <c r="G129" s="35"/>
      <c r="H129" s="130"/>
      <c r="I129" s="37">
        <f t="shared" si="96"/>
        <v>0</v>
      </c>
      <c r="J129" s="37">
        <f t="shared" si="96"/>
        <v>0</v>
      </c>
      <c r="K129" s="37">
        <f t="shared" si="96"/>
        <v>0</v>
      </c>
      <c r="L129" s="37">
        <f t="shared" si="80"/>
        <v>0</v>
      </c>
      <c r="M129" s="37">
        <f t="shared" si="80"/>
        <v>0</v>
      </c>
      <c r="N129" s="37">
        <f t="shared" si="80"/>
        <v>0</v>
      </c>
      <c r="O129" s="37">
        <f t="shared" si="97"/>
        <v>0</v>
      </c>
      <c r="P129" s="37">
        <f t="shared" si="97"/>
        <v>0</v>
      </c>
      <c r="Q129" s="37">
        <f t="shared" si="98"/>
        <v>0</v>
      </c>
      <c r="R129" s="39" t="e">
        <f t="shared" si="99"/>
        <v>#DIV/0!</v>
      </c>
      <c r="S129" s="39" t="e">
        <f t="shared" si="99"/>
        <v>#DIV/0!</v>
      </c>
      <c r="T129" s="39" t="e">
        <f t="shared" si="100"/>
        <v>#DIV/0!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40"/>
      <c r="BI129" s="41"/>
      <c r="BJ129" s="41"/>
      <c r="BK129" s="41"/>
      <c r="BL129" s="41"/>
    </row>
    <row r="130" spans="1:64" ht="15.75" hidden="1" customHeight="1" x14ac:dyDescent="0.25">
      <c r="A130" s="42"/>
      <c r="B130" s="42"/>
      <c r="C130" s="32" t="s">
        <v>247</v>
      </c>
      <c r="D130" s="76" t="s">
        <v>256</v>
      </c>
      <c r="E130" s="35"/>
      <c r="F130" s="35"/>
      <c r="G130" s="35"/>
      <c r="H130" s="160"/>
      <c r="I130" s="37">
        <f t="shared" si="96"/>
        <v>0</v>
      </c>
      <c r="J130" s="37">
        <f t="shared" si="96"/>
        <v>0</v>
      </c>
      <c r="K130" s="37">
        <f t="shared" si="96"/>
        <v>0</v>
      </c>
      <c r="L130" s="37">
        <f t="shared" si="80"/>
        <v>0</v>
      </c>
      <c r="M130" s="37">
        <f t="shared" si="80"/>
        <v>0</v>
      </c>
      <c r="N130" s="37">
        <f t="shared" si="80"/>
        <v>0</v>
      </c>
      <c r="O130" s="37">
        <f t="shared" si="97"/>
        <v>0</v>
      </c>
      <c r="P130" s="37">
        <f t="shared" si="97"/>
        <v>0</v>
      </c>
      <c r="Q130" s="37">
        <f t="shared" si="98"/>
        <v>0</v>
      </c>
      <c r="R130" s="39" t="e">
        <f t="shared" si="99"/>
        <v>#DIV/0!</v>
      </c>
      <c r="S130" s="39" t="e">
        <f t="shared" si="99"/>
        <v>#DIV/0!</v>
      </c>
      <c r="T130" s="39" t="e">
        <f t="shared" si="100"/>
        <v>#DIV/0!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40"/>
      <c r="BI130" s="41"/>
      <c r="BJ130" s="41"/>
      <c r="BK130" s="41"/>
      <c r="BL130" s="41"/>
    </row>
    <row r="131" spans="1:64" ht="15.75" hidden="1" x14ac:dyDescent="0.25">
      <c r="A131" s="110"/>
      <c r="B131" s="110"/>
      <c r="C131" s="144"/>
      <c r="D131" s="112" t="s">
        <v>257</v>
      </c>
      <c r="E131" s="113">
        <f t="shared" ref="E131:K131" si="101">SUM(E132:E134)</f>
        <v>0</v>
      </c>
      <c r="F131" s="113">
        <f t="shared" si="101"/>
        <v>0</v>
      </c>
      <c r="G131" s="113"/>
      <c r="H131" s="113">
        <f t="shared" si="101"/>
        <v>0</v>
      </c>
      <c r="I131" s="113">
        <f t="shared" si="101"/>
        <v>0</v>
      </c>
      <c r="J131" s="113">
        <f t="shared" si="101"/>
        <v>0</v>
      </c>
      <c r="K131" s="113">
        <f t="shared" si="101"/>
        <v>0</v>
      </c>
      <c r="L131" s="161">
        <f t="shared" si="80"/>
        <v>0</v>
      </c>
      <c r="M131" s="161">
        <f t="shared" si="80"/>
        <v>0</v>
      </c>
      <c r="N131" s="161">
        <f t="shared" si="80"/>
        <v>0</v>
      </c>
      <c r="O131" s="113">
        <f>SUM(O132:O134)</f>
        <v>0</v>
      </c>
      <c r="P131" s="113">
        <f>SUM(P132:P134)</f>
        <v>0</v>
      </c>
      <c r="Q131" s="113">
        <f>SUM(Q132:Q134)</f>
        <v>0</v>
      </c>
      <c r="R131" s="115" t="e">
        <f t="shared" si="99"/>
        <v>#DIV/0!</v>
      </c>
      <c r="S131" s="115" t="e">
        <f t="shared" si="99"/>
        <v>#DIV/0!</v>
      </c>
      <c r="T131" s="115" t="e">
        <f t="shared" si="100"/>
        <v>#DIV/0!</v>
      </c>
      <c r="U131" s="113">
        <f t="shared" ref="U131:BG131" si="102">SUM(U132:U134)</f>
        <v>0</v>
      </c>
      <c r="V131" s="113">
        <f t="shared" si="102"/>
        <v>0</v>
      </c>
      <c r="W131" s="113">
        <f t="shared" si="102"/>
        <v>0</v>
      </c>
      <c r="X131" s="113">
        <f t="shared" si="102"/>
        <v>0</v>
      </c>
      <c r="Y131" s="113">
        <f t="shared" si="102"/>
        <v>0</v>
      </c>
      <c r="Z131" s="113">
        <f t="shared" si="102"/>
        <v>0</v>
      </c>
      <c r="AA131" s="113">
        <f t="shared" si="102"/>
        <v>0</v>
      </c>
      <c r="AB131" s="113">
        <f t="shared" si="102"/>
        <v>0</v>
      </c>
      <c r="AC131" s="113">
        <f t="shared" si="102"/>
        <v>0</v>
      </c>
      <c r="AD131" s="113">
        <f t="shared" si="102"/>
        <v>0</v>
      </c>
      <c r="AE131" s="113">
        <f t="shared" si="102"/>
        <v>0</v>
      </c>
      <c r="AF131" s="113">
        <f t="shared" si="102"/>
        <v>0</v>
      </c>
      <c r="AG131" s="113">
        <f t="shared" si="102"/>
        <v>0</v>
      </c>
      <c r="AH131" s="113">
        <f t="shared" si="102"/>
        <v>0</v>
      </c>
      <c r="AI131" s="113">
        <f t="shared" si="102"/>
        <v>0</v>
      </c>
      <c r="AJ131" s="113">
        <f t="shared" si="102"/>
        <v>0</v>
      </c>
      <c r="AK131" s="113">
        <f t="shared" si="102"/>
        <v>0</v>
      </c>
      <c r="AL131" s="113">
        <f t="shared" si="102"/>
        <v>0</v>
      </c>
      <c r="AM131" s="113">
        <f t="shared" si="102"/>
        <v>0</v>
      </c>
      <c r="AN131" s="113">
        <f t="shared" si="102"/>
        <v>0</v>
      </c>
      <c r="AO131" s="113">
        <f t="shared" si="102"/>
        <v>0</v>
      </c>
      <c r="AP131" s="113">
        <f t="shared" si="102"/>
        <v>0</v>
      </c>
      <c r="AQ131" s="113">
        <f t="shared" si="102"/>
        <v>0</v>
      </c>
      <c r="AR131" s="113">
        <f t="shared" si="102"/>
        <v>0</v>
      </c>
      <c r="AS131" s="113">
        <f t="shared" si="102"/>
        <v>0</v>
      </c>
      <c r="AT131" s="113">
        <f t="shared" si="102"/>
        <v>0</v>
      </c>
      <c r="AU131" s="113">
        <f t="shared" si="102"/>
        <v>0</v>
      </c>
      <c r="AV131" s="113">
        <f t="shared" si="102"/>
        <v>0</v>
      </c>
      <c r="AW131" s="113">
        <f t="shared" si="102"/>
        <v>0</v>
      </c>
      <c r="AX131" s="113">
        <f t="shared" si="102"/>
        <v>0</v>
      </c>
      <c r="AY131" s="113">
        <f t="shared" si="102"/>
        <v>0</v>
      </c>
      <c r="AZ131" s="113">
        <f t="shared" si="102"/>
        <v>0</v>
      </c>
      <c r="BA131" s="113">
        <f t="shared" si="102"/>
        <v>0</v>
      </c>
      <c r="BB131" s="113">
        <f t="shared" si="102"/>
        <v>0</v>
      </c>
      <c r="BC131" s="113">
        <f t="shared" si="102"/>
        <v>0</v>
      </c>
      <c r="BD131" s="113">
        <f t="shared" si="102"/>
        <v>0</v>
      </c>
      <c r="BE131" s="113">
        <f t="shared" si="102"/>
        <v>0</v>
      </c>
      <c r="BF131" s="113">
        <f t="shared" si="102"/>
        <v>0</v>
      </c>
      <c r="BG131" s="113">
        <f t="shared" si="102"/>
        <v>0</v>
      </c>
      <c r="BH131" s="84"/>
      <c r="BI131" s="85"/>
      <c r="BJ131" s="85"/>
      <c r="BK131" s="85"/>
      <c r="BL131" s="85"/>
    </row>
    <row r="132" spans="1:64" ht="15.75" hidden="1" customHeight="1" x14ac:dyDescent="0.25">
      <c r="A132" s="42"/>
      <c r="B132" s="42"/>
      <c r="C132" s="32" t="s">
        <v>170</v>
      </c>
      <c r="D132" s="76" t="s">
        <v>230</v>
      </c>
      <c r="E132" s="87"/>
      <c r="F132" s="35"/>
      <c r="G132" s="35"/>
      <c r="H132" s="130"/>
      <c r="I132" s="37">
        <f t="shared" ref="I132:K134" si="103">U132+X132+AA132+AD132+AG132+AJ132+AM132+AP132+AS132+AV132+AY132+BB132</f>
        <v>0</v>
      </c>
      <c r="J132" s="37">
        <f t="shared" si="103"/>
        <v>0</v>
      </c>
      <c r="K132" s="37">
        <f t="shared" si="103"/>
        <v>0</v>
      </c>
      <c r="L132" s="37">
        <f t="shared" si="80"/>
        <v>0</v>
      </c>
      <c r="M132" s="37">
        <f t="shared" si="80"/>
        <v>0</v>
      </c>
      <c r="N132" s="37">
        <f t="shared" si="80"/>
        <v>0</v>
      </c>
      <c r="O132" s="37">
        <f t="shared" ref="O132:P134" si="104">E132-I132</f>
        <v>0</v>
      </c>
      <c r="P132" s="37">
        <f t="shared" si="104"/>
        <v>0</v>
      </c>
      <c r="Q132" s="37">
        <f t="shared" ref="Q132:Q134" si="105">H132-K132</f>
        <v>0</v>
      </c>
      <c r="R132" s="39" t="e">
        <f t="shared" si="99"/>
        <v>#DIV/0!</v>
      </c>
      <c r="S132" s="39" t="e">
        <f t="shared" si="99"/>
        <v>#DIV/0!</v>
      </c>
      <c r="T132" s="39" t="e">
        <f t="shared" si="100"/>
        <v>#DIV/0!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40"/>
      <c r="BI132" s="41"/>
      <c r="BJ132" s="41"/>
      <c r="BK132" s="41"/>
      <c r="BL132" s="41"/>
    </row>
    <row r="133" spans="1:64" ht="15.75" hidden="1" customHeight="1" x14ac:dyDescent="0.25">
      <c r="A133" s="42"/>
      <c r="B133" s="42"/>
      <c r="C133" s="32" t="s">
        <v>231</v>
      </c>
      <c r="D133" s="76" t="s">
        <v>258</v>
      </c>
      <c r="E133" s="62"/>
      <c r="F133" s="35"/>
      <c r="G133" s="35"/>
      <c r="H133" s="130"/>
      <c r="I133" s="37">
        <f t="shared" si="103"/>
        <v>0</v>
      </c>
      <c r="J133" s="37">
        <f t="shared" si="103"/>
        <v>0</v>
      </c>
      <c r="K133" s="37">
        <f t="shared" si="103"/>
        <v>0</v>
      </c>
      <c r="L133" s="37">
        <f t="shared" si="80"/>
        <v>0</v>
      </c>
      <c r="M133" s="37">
        <f t="shared" si="80"/>
        <v>0</v>
      </c>
      <c r="N133" s="37">
        <f t="shared" si="80"/>
        <v>0</v>
      </c>
      <c r="O133" s="37">
        <f t="shared" si="104"/>
        <v>0</v>
      </c>
      <c r="P133" s="37">
        <f t="shared" si="104"/>
        <v>0</v>
      </c>
      <c r="Q133" s="37">
        <f t="shared" si="105"/>
        <v>0</v>
      </c>
      <c r="R133" s="39" t="e">
        <f t="shared" si="99"/>
        <v>#DIV/0!</v>
      </c>
      <c r="S133" s="39" t="e">
        <f t="shared" si="99"/>
        <v>#DIV/0!</v>
      </c>
      <c r="T133" s="39" t="e">
        <f t="shared" si="100"/>
        <v>#DIV/0!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40"/>
      <c r="BI133" s="41"/>
      <c r="BJ133" s="41"/>
      <c r="BK133" s="41"/>
      <c r="BL133" s="41"/>
    </row>
    <row r="134" spans="1:64" ht="15.75" hidden="1" customHeight="1" x14ac:dyDescent="0.25">
      <c r="A134" s="42"/>
      <c r="B134" s="42"/>
      <c r="C134" s="32" t="s">
        <v>170</v>
      </c>
      <c r="D134" s="76" t="s">
        <v>259</v>
      </c>
      <c r="E134" s="35"/>
      <c r="F134" s="35"/>
      <c r="G134" s="35"/>
      <c r="H134" s="35"/>
      <c r="I134" s="37">
        <f t="shared" si="103"/>
        <v>0</v>
      </c>
      <c r="J134" s="37">
        <f t="shared" si="103"/>
        <v>0</v>
      </c>
      <c r="K134" s="37">
        <f t="shared" si="103"/>
        <v>0</v>
      </c>
      <c r="L134" s="37">
        <f t="shared" si="80"/>
        <v>0</v>
      </c>
      <c r="M134" s="37">
        <f t="shared" si="80"/>
        <v>0</v>
      </c>
      <c r="N134" s="37">
        <f t="shared" si="80"/>
        <v>0</v>
      </c>
      <c r="O134" s="37">
        <f t="shared" si="104"/>
        <v>0</v>
      </c>
      <c r="P134" s="37">
        <f t="shared" si="104"/>
        <v>0</v>
      </c>
      <c r="Q134" s="37">
        <f t="shared" si="105"/>
        <v>0</v>
      </c>
      <c r="R134" s="39" t="e">
        <f t="shared" si="99"/>
        <v>#DIV/0!</v>
      </c>
      <c r="S134" s="39" t="e">
        <f t="shared" si="99"/>
        <v>#DIV/0!</v>
      </c>
      <c r="T134" s="39" t="e">
        <f t="shared" si="100"/>
        <v>#DIV/0!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40"/>
      <c r="BI134" s="41"/>
      <c r="BJ134" s="41"/>
      <c r="BK134" s="41"/>
      <c r="BL134" s="41"/>
    </row>
    <row r="135" spans="1:64" ht="15.75" customHeight="1" x14ac:dyDescent="0.25">
      <c r="A135" s="162"/>
      <c r="B135" s="162"/>
      <c r="C135" s="163"/>
      <c r="D135" s="164" t="s">
        <v>260</v>
      </c>
      <c r="E135" s="165">
        <f t="shared" ref="E135:K135" si="106">SUM(E136:E138)</f>
        <v>9900</v>
      </c>
      <c r="F135" s="165">
        <f t="shared" si="106"/>
        <v>60804.639999999999</v>
      </c>
      <c r="G135" s="165"/>
      <c r="H135" s="165">
        <f t="shared" si="106"/>
        <v>0</v>
      </c>
      <c r="I135" s="165">
        <f t="shared" si="106"/>
        <v>0</v>
      </c>
      <c r="J135" s="165">
        <f t="shared" si="106"/>
        <v>60511.01999999999</v>
      </c>
      <c r="K135" s="165">
        <f t="shared" si="106"/>
        <v>0</v>
      </c>
      <c r="L135" s="154">
        <f t="shared" si="80"/>
        <v>9900</v>
      </c>
      <c r="M135" s="154">
        <f t="shared" si="80"/>
        <v>60511.01999999999</v>
      </c>
      <c r="N135" s="154">
        <f t="shared" si="80"/>
        <v>0</v>
      </c>
      <c r="O135" s="165">
        <f>SUM(O136:O138)</f>
        <v>0</v>
      </c>
      <c r="P135" s="165">
        <f>SUM(P136:P138)</f>
        <v>293.6200000000099</v>
      </c>
      <c r="Q135" s="165">
        <f>SUM(Q136:Q138)</f>
        <v>0</v>
      </c>
      <c r="R135" s="166">
        <f t="shared" si="99"/>
        <v>0</v>
      </c>
      <c r="S135" s="166">
        <f t="shared" si="99"/>
        <v>0.99517109220612099</v>
      </c>
      <c r="T135" s="166" t="e">
        <f t="shared" si="100"/>
        <v>#DIV/0!</v>
      </c>
      <c r="U135" s="165">
        <f t="shared" ref="U135:BG135" si="107">SUM(U136:U138)</f>
        <v>0</v>
      </c>
      <c r="V135" s="165">
        <f t="shared" si="107"/>
        <v>0</v>
      </c>
      <c r="W135" s="165">
        <f t="shared" si="107"/>
        <v>0</v>
      </c>
      <c r="X135" s="165">
        <f t="shared" si="107"/>
        <v>0</v>
      </c>
      <c r="Y135" s="165">
        <f t="shared" si="107"/>
        <v>24501.86</v>
      </c>
      <c r="Z135" s="165">
        <f t="shared" si="107"/>
        <v>0</v>
      </c>
      <c r="AA135" s="165">
        <f t="shared" si="107"/>
        <v>0</v>
      </c>
      <c r="AB135" s="165">
        <f t="shared" si="107"/>
        <v>21833.119999999999</v>
      </c>
      <c r="AC135" s="165">
        <f t="shared" si="107"/>
        <v>0</v>
      </c>
      <c r="AD135" s="165">
        <f t="shared" si="107"/>
        <v>0</v>
      </c>
      <c r="AE135" s="165">
        <f t="shared" si="107"/>
        <v>0</v>
      </c>
      <c r="AF135" s="165">
        <f t="shared" si="107"/>
        <v>0</v>
      </c>
      <c r="AG135" s="165">
        <f t="shared" si="107"/>
        <v>0</v>
      </c>
      <c r="AH135" s="165">
        <f t="shared" si="107"/>
        <v>8320.4499999999989</v>
      </c>
      <c r="AI135" s="165">
        <f t="shared" si="107"/>
        <v>0</v>
      </c>
      <c r="AJ135" s="165">
        <f t="shared" si="107"/>
        <v>0</v>
      </c>
      <c r="AK135" s="165">
        <f t="shared" si="107"/>
        <v>0</v>
      </c>
      <c r="AL135" s="165">
        <f t="shared" si="107"/>
        <v>0</v>
      </c>
      <c r="AM135" s="165">
        <f t="shared" si="107"/>
        <v>0</v>
      </c>
      <c r="AN135" s="165">
        <f t="shared" si="107"/>
        <v>5855.59</v>
      </c>
      <c r="AO135" s="165">
        <f t="shared" si="107"/>
        <v>0</v>
      </c>
      <c r="AP135" s="165">
        <f t="shared" si="107"/>
        <v>9900</v>
      </c>
      <c r="AQ135" s="165">
        <f t="shared" si="107"/>
        <v>0</v>
      </c>
      <c r="AR135" s="165">
        <f t="shared" si="107"/>
        <v>0</v>
      </c>
      <c r="AS135" s="165">
        <f t="shared" si="107"/>
        <v>0</v>
      </c>
      <c r="AT135" s="165">
        <f t="shared" si="107"/>
        <v>0</v>
      </c>
      <c r="AU135" s="165">
        <f t="shared" si="107"/>
        <v>0</v>
      </c>
      <c r="AV135" s="165">
        <f t="shared" si="107"/>
        <v>0</v>
      </c>
      <c r="AW135" s="165">
        <f t="shared" si="107"/>
        <v>0</v>
      </c>
      <c r="AX135" s="165">
        <f t="shared" si="107"/>
        <v>0</v>
      </c>
      <c r="AY135" s="165">
        <f t="shared" si="107"/>
        <v>0</v>
      </c>
      <c r="AZ135" s="165">
        <f t="shared" si="107"/>
        <v>0</v>
      </c>
      <c r="BA135" s="165">
        <f t="shared" si="107"/>
        <v>0</v>
      </c>
      <c r="BB135" s="165">
        <f t="shared" si="107"/>
        <v>0</v>
      </c>
      <c r="BC135" s="165">
        <f t="shared" si="107"/>
        <v>0</v>
      </c>
      <c r="BD135" s="165">
        <f t="shared" si="107"/>
        <v>0</v>
      </c>
      <c r="BE135" s="165">
        <f t="shared" si="107"/>
        <v>0</v>
      </c>
      <c r="BF135" s="165">
        <f t="shared" si="107"/>
        <v>0</v>
      </c>
      <c r="BG135" s="165">
        <f t="shared" si="107"/>
        <v>0</v>
      </c>
      <c r="BH135" s="152"/>
      <c r="BI135" s="153"/>
      <c r="BJ135" s="153"/>
      <c r="BK135" s="153"/>
      <c r="BL135" s="153"/>
    </row>
    <row r="136" spans="1:64" ht="15.75" customHeight="1" x14ac:dyDescent="0.25">
      <c r="A136" s="42"/>
      <c r="B136" s="70" t="s">
        <v>261</v>
      </c>
      <c r="C136" s="190" t="s">
        <v>262</v>
      </c>
      <c r="D136" s="199" t="s">
        <v>263</v>
      </c>
      <c r="E136" s="87"/>
      <c r="F136" s="62">
        <v>60804.639999999999</v>
      </c>
      <c r="G136" s="132"/>
      <c r="H136" s="130"/>
      <c r="I136" s="37">
        <f t="shared" ref="I136:K138" si="108">U136+X136+AA136+AD136+AG136+AJ136+AM136+AP136+AS136+AV136+AY136+BB136</f>
        <v>0</v>
      </c>
      <c r="J136" s="37">
        <f t="shared" si="108"/>
        <v>60511.01999999999</v>
      </c>
      <c r="K136" s="37">
        <f t="shared" si="108"/>
        <v>0</v>
      </c>
      <c r="L136" s="37">
        <f t="shared" si="80"/>
        <v>0</v>
      </c>
      <c r="M136" s="37">
        <f t="shared" si="80"/>
        <v>60511.01999999999</v>
      </c>
      <c r="N136" s="37">
        <f t="shared" si="80"/>
        <v>0</v>
      </c>
      <c r="O136" s="37">
        <f>E136-I136</f>
        <v>0</v>
      </c>
      <c r="P136" s="37">
        <f>F136-J136</f>
        <v>293.6200000000099</v>
      </c>
      <c r="Q136" s="37">
        <f t="shared" ref="Q136:Q138" si="109">H136-K136</f>
        <v>0</v>
      </c>
      <c r="R136" s="39" t="e">
        <f t="shared" si="99"/>
        <v>#DIV/0!</v>
      </c>
      <c r="S136" s="39">
        <f t="shared" si="99"/>
        <v>0.99517109220612099</v>
      </c>
      <c r="T136" s="39" t="e">
        <f t="shared" si="100"/>
        <v>#DIV/0!</v>
      </c>
      <c r="U136" s="35"/>
      <c r="V136" s="35"/>
      <c r="W136" s="35"/>
      <c r="X136" s="35"/>
      <c r="Y136" s="35">
        <f>24501.86</f>
        <v>24501.86</v>
      </c>
      <c r="Z136" s="35"/>
      <c r="AA136" s="35"/>
      <c r="AB136" s="35">
        <f>21833.12</f>
        <v>21833.119999999999</v>
      </c>
      <c r="AC136" s="35"/>
      <c r="AD136" s="35"/>
      <c r="AE136" s="35"/>
      <c r="AF136" s="35"/>
      <c r="AG136" s="35"/>
      <c r="AH136" s="35">
        <f>706.56+150.48+142.25+473.29+62.09+663.05+913.98+195.36+846.89+892.24+2169.36+1104.9</f>
        <v>8320.4499999999989</v>
      </c>
      <c r="AI136" s="35"/>
      <c r="AJ136" s="35"/>
      <c r="AK136" s="35"/>
      <c r="AL136" s="35"/>
      <c r="AM136" s="35"/>
      <c r="AN136" s="35">
        <f>5855.59</f>
        <v>5855.59</v>
      </c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40"/>
      <c r="BI136" s="41"/>
      <c r="BJ136" s="41"/>
      <c r="BK136" s="41"/>
      <c r="BL136" s="41"/>
    </row>
    <row r="137" spans="1:64" ht="15.75" customHeight="1" x14ac:dyDescent="0.25">
      <c r="A137" s="42" t="s">
        <v>264</v>
      </c>
      <c r="B137" s="70"/>
      <c r="C137" s="190" t="s">
        <v>193</v>
      </c>
      <c r="D137" s="199" t="s">
        <v>265</v>
      </c>
      <c r="E137" s="87">
        <v>9900</v>
      </c>
      <c r="F137" s="132"/>
      <c r="G137" s="132"/>
      <c r="H137" s="130"/>
      <c r="I137" s="37"/>
      <c r="J137" s="37"/>
      <c r="K137" s="37"/>
      <c r="L137" s="37"/>
      <c r="M137" s="37"/>
      <c r="N137" s="37"/>
      <c r="O137" s="37"/>
      <c r="P137" s="37"/>
      <c r="Q137" s="37"/>
      <c r="R137" s="39"/>
      <c r="S137" s="39"/>
      <c r="T137" s="3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>
        <v>9900</v>
      </c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40"/>
      <c r="BI137" s="41"/>
      <c r="BJ137" s="41"/>
      <c r="BK137" s="41"/>
      <c r="BL137" s="41"/>
    </row>
    <row r="138" spans="1:64" ht="15.75" hidden="1" customHeight="1" x14ac:dyDescent="0.25">
      <c r="A138" s="42"/>
      <c r="B138" s="42"/>
      <c r="C138" s="32" t="s">
        <v>266</v>
      </c>
      <c r="D138" s="76" t="s">
        <v>267</v>
      </c>
      <c r="E138" s="24"/>
      <c r="F138" s="35"/>
      <c r="G138" s="35"/>
      <c r="H138" s="35"/>
      <c r="I138" s="37">
        <f t="shared" si="108"/>
        <v>0</v>
      </c>
      <c r="J138" s="37">
        <f t="shared" si="108"/>
        <v>0</v>
      </c>
      <c r="K138" s="37">
        <f t="shared" si="108"/>
        <v>0</v>
      </c>
      <c r="L138" s="37">
        <f t="shared" si="80"/>
        <v>0</v>
      </c>
      <c r="M138" s="37">
        <f t="shared" si="80"/>
        <v>0</v>
      </c>
      <c r="N138" s="37">
        <f t="shared" si="80"/>
        <v>0</v>
      </c>
      <c r="O138" s="37">
        <f>E138-I138</f>
        <v>0</v>
      </c>
      <c r="P138" s="37">
        <f>F138-J138</f>
        <v>0</v>
      </c>
      <c r="Q138" s="37">
        <f t="shared" si="109"/>
        <v>0</v>
      </c>
      <c r="R138" s="39" t="e">
        <f t="shared" si="99"/>
        <v>#DIV/0!</v>
      </c>
      <c r="S138" s="39" t="e">
        <f t="shared" si="99"/>
        <v>#DIV/0!</v>
      </c>
      <c r="T138" s="39" t="e">
        <f t="shared" si="100"/>
        <v>#DIV/0!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40"/>
      <c r="BI138" s="41"/>
      <c r="BJ138" s="41"/>
      <c r="BK138" s="41"/>
      <c r="BL138" s="41"/>
    </row>
    <row r="139" spans="1:64" ht="15.75" customHeight="1" x14ac:dyDescent="0.25">
      <c r="A139" s="162"/>
      <c r="B139" s="162"/>
      <c r="C139" s="163"/>
      <c r="D139" s="164" t="s">
        <v>268</v>
      </c>
      <c r="E139" s="165">
        <f t="shared" ref="E139:K139" si="110">SUM(E140:E142)</f>
        <v>0</v>
      </c>
      <c r="F139" s="165">
        <f t="shared" si="110"/>
        <v>24308.400000000001</v>
      </c>
      <c r="G139" s="165"/>
      <c r="H139" s="165">
        <f t="shared" si="110"/>
        <v>0</v>
      </c>
      <c r="I139" s="165">
        <f t="shared" si="110"/>
        <v>0</v>
      </c>
      <c r="J139" s="165">
        <f t="shared" si="110"/>
        <v>15608.400000000001</v>
      </c>
      <c r="K139" s="165">
        <f t="shared" si="110"/>
        <v>0</v>
      </c>
      <c r="L139" s="154">
        <f t="shared" si="80"/>
        <v>0</v>
      </c>
      <c r="M139" s="154">
        <f t="shared" si="80"/>
        <v>15608.400000000001</v>
      </c>
      <c r="N139" s="154">
        <f t="shared" si="80"/>
        <v>0</v>
      </c>
      <c r="O139" s="165">
        <f>SUM(O140:O142)</f>
        <v>0</v>
      </c>
      <c r="P139" s="165">
        <f>SUM(P140:P142)</f>
        <v>8700</v>
      </c>
      <c r="Q139" s="165">
        <f>SUM(Q140:Q142)</f>
        <v>0</v>
      </c>
      <c r="R139" s="166" t="e">
        <f t="shared" si="99"/>
        <v>#DIV/0!</v>
      </c>
      <c r="S139" s="166">
        <f t="shared" si="99"/>
        <v>0.64209902749666781</v>
      </c>
      <c r="T139" s="166" t="e">
        <f t="shared" si="100"/>
        <v>#DIV/0!</v>
      </c>
      <c r="U139" s="165">
        <f t="shared" ref="U139:BG139" si="111">SUM(U140:U142)</f>
        <v>0</v>
      </c>
      <c r="V139" s="165">
        <f t="shared" si="111"/>
        <v>0</v>
      </c>
      <c r="W139" s="165">
        <f t="shared" si="111"/>
        <v>0</v>
      </c>
      <c r="X139" s="165">
        <f t="shared" si="111"/>
        <v>0</v>
      </c>
      <c r="Y139" s="165">
        <f t="shared" si="111"/>
        <v>0</v>
      </c>
      <c r="Z139" s="165">
        <f t="shared" si="111"/>
        <v>0</v>
      </c>
      <c r="AA139" s="165">
        <f t="shared" si="111"/>
        <v>0</v>
      </c>
      <c r="AB139" s="165">
        <f t="shared" si="111"/>
        <v>13318.720000000001</v>
      </c>
      <c r="AC139" s="165">
        <f t="shared" si="111"/>
        <v>0</v>
      </c>
      <c r="AD139" s="165">
        <f t="shared" si="111"/>
        <v>0</v>
      </c>
      <c r="AE139" s="165">
        <f t="shared" si="111"/>
        <v>2289.6799999999998</v>
      </c>
      <c r="AF139" s="165">
        <f t="shared" si="111"/>
        <v>0</v>
      </c>
      <c r="AG139" s="165">
        <f t="shared" si="111"/>
        <v>0</v>
      </c>
      <c r="AH139" s="165">
        <f t="shared" si="111"/>
        <v>0</v>
      </c>
      <c r="AI139" s="165">
        <f t="shared" si="111"/>
        <v>0</v>
      </c>
      <c r="AJ139" s="165">
        <f t="shared" si="111"/>
        <v>0</v>
      </c>
      <c r="AK139" s="165">
        <f t="shared" si="111"/>
        <v>0</v>
      </c>
      <c r="AL139" s="165">
        <f t="shared" si="111"/>
        <v>0</v>
      </c>
      <c r="AM139" s="165">
        <f t="shared" si="111"/>
        <v>0</v>
      </c>
      <c r="AN139" s="165">
        <f t="shared" si="111"/>
        <v>0</v>
      </c>
      <c r="AO139" s="165">
        <f t="shared" si="111"/>
        <v>0</v>
      </c>
      <c r="AP139" s="165">
        <f t="shared" si="111"/>
        <v>0</v>
      </c>
      <c r="AQ139" s="165">
        <f t="shared" si="111"/>
        <v>0</v>
      </c>
      <c r="AR139" s="165">
        <f t="shared" si="111"/>
        <v>0</v>
      </c>
      <c r="AS139" s="165">
        <f t="shared" si="111"/>
        <v>0</v>
      </c>
      <c r="AT139" s="165">
        <f t="shared" si="111"/>
        <v>0</v>
      </c>
      <c r="AU139" s="165">
        <f t="shared" si="111"/>
        <v>0</v>
      </c>
      <c r="AV139" s="165">
        <f t="shared" si="111"/>
        <v>0</v>
      </c>
      <c r="AW139" s="165">
        <f t="shared" si="111"/>
        <v>0</v>
      </c>
      <c r="AX139" s="165">
        <f t="shared" si="111"/>
        <v>0</v>
      </c>
      <c r="AY139" s="165">
        <f t="shared" si="111"/>
        <v>0</v>
      </c>
      <c r="AZ139" s="165">
        <f t="shared" si="111"/>
        <v>0</v>
      </c>
      <c r="BA139" s="165">
        <f t="shared" si="111"/>
        <v>0</v>
      </c>
      <c r="BB139" s="165">
        <f t="shared" si="111"/>
        <v>0</v>
      </c>
      <c r="BC139" s="165">
        <f t="shared" si="111"/>
        <v>0</v>
      </c>
      <c r="BD139" s="165">
        <f t="shared" si="111"/>
        <v>0</v>
      </c>
      <c r="BE139" s="165">
        <f t="shared" si="111"/>
        <v>0</v>
      </c>
      <c r="BF139" s="165">
        <f t="shared" si="111"/>
        <v>0</v>
      </c>
      <c r="BG139" s="165">
        <f t="shared" si="111"/>
        <v>0</v>
      </c>
      <c r="BH139" s="152"/>
      <c r="BI139" s="153"/>
      <c r="BJ139" s="153"/>
      <c r="BK139" s="153"/>
      <c r="BL139" s="153"/>
    </row>
    <row r="140" spans="1:64" ht="15.75" hidden="1" customHeight="1" x14ac:dyDescent="0.25">
      <c r="A140" s="42"/>
      <c r="B140" s="42"/>
      <c r="C140" s="32" t="s">
        <v>193</v>
      </c>
      <c r="D140" s="76" t="s">
        <v>269</v>
      </c>
      <c r="E140" s="35"/>
      <c r="F140" s="35"/>
      <c r="G140" s="35"/>
      <c r="H140" s="36"/>
      <c r="I140" s="37">
        <f t="shared" ref="I140:K142" si="112">U140+X140+AA140+AD140+AG140+AJ140+AM140+AP140+AS140+AV140+AY140+BB140</f>
        <v>0</v>
      </c>
      <c r="J140" s="37">
        <f t="shared" si="112"/>
        <v>0</v>
      </c>
      <c r="K140" s="37">
        <f t="shared" si="112"/>
        <v>0</v>
      </c>
      <c r="L140" s="37">
        <f t="shared" si="80"/>
        <v>0</v>
      </c>
      <c r="M140" s="37">
        <f t="shared" si="80"/>
        <v>0</v>
      </c>
      <c r="N140" s="37">
        <f t="shared" si="80"/>
        <v>0</v>
      </c>
      <c r="O140" s="37">
        <f t="shared" ref="O140:P142" si="113">E140-I140</f>
        <v>0</v>
      </c>
      <c r="P140" s="37">
        <f t="shared" si="113"/>
        <v>0</v>
      </c>
      <c r="Q140" s="37">
        <f t="shared" ref="Q140:Q142" si="114">H140-K140</f>
        <v>0</v>
      </c>
      <c r="R140" s="39" t="e">
        <f t="shared" si="99"/>
        <v>#DIV/0!</v>
      </c>
      <c r="S140" s="39" t="e">
        <f t="shared" si="99"/>
        <v>#DIV/0!</v>
      </c>
      <c r="T140" s="39" t="e">
        <f t="shared" si="100"/>
        <v>#DIV/0!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6"/>
      <c r="BC140" s="35"/>
      <c r="BD140" s="35"/>
      <c r="BE140" s="36"/>
      <c r="BF140" s="35"/>
      <c r="BG140" s="35"/>
      <c r="BH140" s="40"/>
      <c r="BI140" s="41"/>
      <c r="BJ140" s="41"/>
      <c r="BK140" s="41"/>
      <c r="BL140" s="41"/>
    </row>
    <row r="141" spans="1:64" ht="31.5" x14ac:dyDescent="0.25">
      <c r="A141" s="42"/>
      <c r="B141" s="70" t="s">
        <v>270</v>
      </c>
      <c r="C141" s="190"/>
      <c r="D141" s="199" t="s">
        <v>271</v>
      </c>
      <c r="E141" s="35"/>
      <c r="F141" s="52">
        <f>6550+2289.68+6768.72+8700</f>
        <v>24308.400000000001</v>
      </c>
      <c r="G141" s="52"/>
      <c r="H141" s="36"/>
      <c r="I141" s="37">
        <f t="shared" si="112"/>
        <v>0</v>
      </c>
      <c r="J141" s="37">
        <f t="shared" si="112"/>
        <v>15608.400000000001</v>
      </c>
      <c r="K141" s="37">
        <f t="shared" si="112"/>
        <v>0</v>
      </c>
      <c r="L141" s="37">
        <f t="shared" si="80"/>
        <v>0</v>
      </c>
      <c r="M141" s="37">
        <f t="shared" si="80"/>
        <v>15608.400000000001</v>
      </c>
      <c r="N141" s="37">
        <f t="shared" si="80"/>
        <v>0</v>
      </c>
      <c r="O141" s="37">
        <f t="shared" si="113"/>
        <v>0</v>
      </c>
      <c r="P141" s="37">
        <f t="shared" si="113"/>
        <v>8700</v>
      </c>
      <c r="Q141" s="37">
        <f t="shared" si="114"/>
        <v>0</v>
      </c>
      <c r="R141" s="39" t="e">
        <f t="shared" si="99"/>
        <v>#DIV/0!</v>
      </c>
      <c r="S141" s="39">
        <f t="shared" si="99"/>
        <v>0.64209902749666781</v>
      </c>
      <c r="T141" s="39" t="e">
        <f t="shared" si="100"/>
        <v>#DIV/0!</v>
      </c>
      <c r="U141" s="167"/>
      <c r="V141" s="35"/>
      <c r="W141" s="35"/>
      <c r="X141" s="35"/>
      <c r="Y141" s="35"/>
      <c r="Z141" s="35"/>
      <c r="AA141" s="35"/>
      <c r="AB141" s="35">
        <f>6550+6768.72</f>
        <v>13318.720000000001</v>
      </c>
      <c r="AC141" s="35"/>
      <c r="AD141" s="35"/>
      <c r="AE141" s="35">
        <v>2289.6799999999998</v>
      </c>
      <c r="AF141" s="35"/>
      <c r="AG141" s="35"/>
      <c r="AH141" s="35"/>
      <c r="AI141" s="35"/>
      <c r="AJ141" s="35"/>
      <c r="AK141" s="35"/>
      <c r="AL141" s="35"/>
      <c r="AM141" s="35"/>
      <c r="AN141" s="35"/>
      <c r="AO141" s="130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40"/>
      <c r="BI141" s="41"/>
      <c r="BJ141" s="41"/>
      <c r="BK141" s="41"/>
      <c r="BL141" s="41"/>
    </row>
    <row r="142" spans="1:64" ht="15.75" hidden="1" customHeight="1" x14ac:dyDescent="0.25">
      <c r="A142" s="42"/>
      <c r="B142" s="42"/>
      <c r="C142" s="32" t="s">
        <v>187</v>
      </c>
      <c r="D142" s="133" t="s">
        <v>272</v>
      </c>
      <c r="E142" s="130"/>
      <c r="F142" s="132"/>
      <c r="G142" s="132"/>
      <c r="H142" s="130"/>
      <c r="I142" s="37">
        <f t="shared" si="112"/>
        <v>0</v>
      </c>
      <c r="J142" s="37">
        <f t="shared" si="112"/>
        <v>0</v>
      </c>
      <c r="K142" s="37">
        <f t="shared" si="112"/>
        <v>0</v>
      </c>
      <c r="L142" s="37">
        <f t="shared" si="80"/>
        <v>0</v>
      </c>
      <c r="M142" s="37">
        <f t="shared" si="80"/>
        <v>0</v>
      </c>
      <c r="N142" s="37">
        <f t="shared" si="80"/>
        <v>0</v>
      </c>
      <c r="O142" s="37">
        <f t="shared" si="113"/>
        <v>0</v>
      </c>
      <c r="P142" s="37">
        <f t="shared" si="113"/>
        <v>0</v>
      </c>
      <c r="Q142" s="37">
        <f t="shared" si="114"/>
        <v>0</v>
      </c>
      <c r="R142" s="39" t="e">
        <f t="shared" si="99"/>
        <v>#DIV/0!</v>
      </c>
      <c r="S142" s="39" t="e">
        <f t="shared" si="99"/>
        <v>#DIV/0!</v>
      </c>
      <c r="T142" s="39" t="e">
        <f t="shared" si="100"/>
        <v>#DIV/0!</v>
      </c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40"/>
      <c r="BI142" s="41"/>
      <c r="BJ142" s="41"/>
      <c r="BK142" s="41"/>
      <c r="BL142" s="41"/>
    </row>
    <row r="143" spans="1:64" ht="21" x14ac:dyDescent="0.25">
      <c r="A143" s="27"/>
      <c r="B143" s="27" t="s">
        <v>273</v>
      </c>
      <c r="C143" s="28"/>
      <c r="D143" s="27"/>
      <c r="E143" s="29">
        <f>E144+E152+E167</f>
        <v>30819.02</v>
      </c>
      <c r="F143" s="29">
        <f t="shared" ref="F143:K143" si="115">F144+F152+F167</f>
        <v>10631.66</v>
      </c>
      <c r="G143" s="29">
        <f t="shared" si="115"/>
        <v>1118.73</v>
      </c>
      <c r="H143" s="29">
        <f t="shared" si="115"/>
        <v>0</v>
      </c>
      <c r="I143" s="29">
        <f t="shared" si="115"/>
        <v>17343.54</v>
      </c>
      <c r="J143" s="29">
        <f t="shared" si="115"/>
        <v>6316</v>
      </c>
      <c r="K143" s="29">
        <f t="shared" si="115"/>
        <v>0</v>
      </c>
      <c r="L143" s="29">
        <f t="shared" si="80"/>
        <v>17343.54</v>
      </c>
      <c r="M143" s="29">
        <f t="shared" si="80"/>
        <v>6316</v>
      </c>
      <c r="N143" s="29">
        <f t="shared" si="80"/>
        <v>0</v>
      </c>
      <c r="O143" s="29">
        <f>O144+O152+O167</f>
        <v>-7224.52</v>
      </c>
      <c r="P143" s="29">
        <f>P144+P152+P167</f>
        <v>3196.9300000000007</v>
      </c>
      <c r="Q143" s="29">
        <f>Q144+Q152+Q167</f>
        <v>0</v>
      </c>
      <c r="R143" s="30">
        <f t="shared" si="99"/>
        <v>0.56275442892084171</v>
      </c>
      <c r="S143" s="30">
        <f t="shared" si="99"/>
        <v>0.59407467883660692</v>
      </c>
      <c r="T143" s="30" t="e">
        <f t="shared" si="100"/>
        <v>#DIV/0!</v>
      </c>
      <c r="U143" s="29">
        <f t="shared" ref="U143:BG143" si="116">U144+U152+U167</f>
        <v>0</v>
      </c>
      <c r="V143" s="29">
        <f t="shared" si="116"/>
        <v>0</v>
      </c>
      <c r="W143" s="29">
        <f t="shared" si="116"/>
        <v>0</v>
      </c>
      <c r="X143" s="29">
        <f t="shared" si="116"/>
        <v>1621.62</v>
      </c>
      <c r="Y143" s="29">
        <f t="shared" si="116"/>
        <v>6316</v>
      </c>
      <c r="Z143" s="29">
        <f t="shared" si="116"/>
        <v>0</v>
      </c>
      <c r="AA143" s="29">
        <f t="shared" si="116"/>
        <v>0</v>
      </c>
      <c r="AB143" s="29">
        <f t="shared" si="116"/>
        <v>0</v>
      </c>
      <c r="AC143" s="29">
        <f t="shared" si="116"/>
        <v>0</v>
      </c>
      <c r="AD143" s="29">
        <f t="shared" si="116"/>
        <v>810.81</v>
      </c>
      <c r="AE143" s="29">
        <f t="shared" si="116"/>
        <v>0</v>
      </c>
      <c r="AF143" s="29">
        <f t="shared" si="116"/>
        <v>0</v>
      </c>
      <c r="AG143" s="29">
        <f t="shared" si="116"/>
        <v>13289.49</v>
      </c>
      <c r="AH143" s="29">
        <f t="shared" si="116"/>
        <v>0</v>
      </c>
      <c r="AI143" s="29">
        <f t="shared" si="116"/>
        <v>0</v>
      </c>
      <c r="AJ143" s="29">
        <f t="shared" si="116"/>
        <v>1621.62</v>
      </c>
      <c r="AK143" s="29">
        <f t="shared" si="116"/>
        <v>0</v>
      </c>
      <c r="AL143" s="29">
        <f t="shared" si="116"/>
        <v>0</v>
      </c>
      <c r="AM143" s="29">
        <f t="shared" si="116"/>
        <v>0</v>
      </c>
      <c r="AN143" s="29">
        <f t="shared" si="116"/>
        <v>0</v>
      </c>
      <c r="AO143" s="29">
        <f t="shared" si="116"/>
        <v>0</v>
      </c>
      <c r="AP143" s="29">
        <f t="shared" si="116"/>
        <v>0</v>
      </c>
      <c r="AQ143" s="29">
        <f t="shared" si="116"/>
        <v>0</v>
      </c>
      <c r="AR143" s="29">
        <f t="shared" si="116"/>
        <v>0</v>
      </c>
      <c r="AS143" s="29">
        <f t="shared" si="116"/>
        <v>0</v>
      </c>
      <c r="AT143" s="29">
        <f t="shared" si="116"/>
        <v>0</v>
      </c>
      <c r="AU143" s="29">
        <f t="shared" si="116"/>
        <v>0</v>
      </c>
      <c r="AV143" s="29">
        <f t="shared" si="116"/>
        <v>0</v>
      </c>
      <c r="AW143" s="29">
        <f t="shared" si="116"/>
        <v>0</v>
      </c>
      <c r="AX143" s="29">
        <f t="shared" si="116"/>
        <v>0</v>
      </c>
      <c r="AY143" s="29">
        <f t="shared" si="116"/>
        <v>0</v>
      </c>
      <c r="AZ143" s="29">
        <f t="shared" si="116"/>
        <v>0</v>
      </c>
      <c r="BA143" s="29">
        <f t="shared" si="116"/>
        <v>0</v>
      </c>
      <c r="BB143" s="29">
        <f t="shared" si="116"/>
        <v>0</v>
      </c>
      <c r="BC143" s="29">
        <f t="shared" si="116"/>
        <v>0</v>
      </c>
      <c r="BD143" s="29">
        <f t="shared" si="116"/>
        <v>0</v>
      </c>
      <c r="BE143" s="29">
        <f t="shared" si="116"/>
        <v>0</v>
      </c>
      <c r="BF143" s="29">
        <f t="shared" si="116"/>
        <v>0</v>
      </c>
      <c r="BG143" s="29">
        <f t="shared" si="116"/>
        <v>0</v>
      </c>
      <c r="BH143" s="77"/>
      <c r="BI143" s="78"/>
      <c r="BJ143" s="78"/>
      <c r="BK143" s="78"/>
      <c r="BL143" s="78"/>
    </row>
    <row r="144" spans="1:64" ht="15.75" hidden="1" customHeight="1" x14ac:dyDescent="0.25">
      <c r="A144" s="168"/>
      <c r="B144" s="168"/>
      <c r="C144" s="111"/>
      <c r="D144" s="169" t="s">
        <v>274</v>
      </c>
      <c r="E144" s="170">
        <f t="shared" ref="E144:K144" si="117">E145+E149</f>
        <v>0</v>
      </c>
      <c r="F144" s="170">
        <f t="shared" si="117"/>
        <v>0</v>
      </c>
      <c r="G144" s="170">
        <f t="shared" si="117"/>
        <v>0</v>
      </c>
      <c r="H144" s="170">
        <f t="shared" si="117"/>
        <v>0</v>
      </c>
      <c r="I144" s="170">
        <f t="shared" si="117"/>
        <v>0</v>
      </c>
      <c r="J144" s="170">
        <f t="shared" si="117"/>
        <v>0</v>
      </c>
      <c r="K144" s="170">
        <f t="shared" si="117"/>
        <v>0</v>
      </c>
      <c r="L144" s="161">
        <f t="shared" si="80"/>
        <v>0</v>
      </c>
      <c r="M144" s="161">
        <f t="shared" si="80"/>
        <v>0</v>
      </c>
      <c r="N144" s="161">
        <f t="shared" si="80"/>
        <v>0</v>
      </c>
      <c r="O144" s="170">
        <f>O145+O149</f>
        <v>0</v>
      </c>
      <c r="P144" s="170">
        <f>P145+P149</f>
        <v>0</v>
      </c>
      <c r="Q144" s="170">
        <f>Q145+Q149</f>
        <v>0</v>
      </c>
      <c r="R144" s="171" t="e">
        <f t="shared" si="99"/>
        <v>#DIV/0!</v>
      </c>
      <c r="S144" s="171" t="e">
        <f t="shared" si="99"/>
        <v>#DIV/0!</v>
      </c>
      <c r="T144" s="171" t="e">
        <f t="shared" si="100"/>
        <v>#DIV/0!</v>
      </c>
      <c r="U144" s="170">
        <f t="shared" ref="U144:BG144" si="118">U145+U149</f>
        <v>0</v>
      </c>
      <c r="V144" s="170">
        <f t="shared" si="118"/>
        <v>0</v>
      </c>
      <c r="W144" s="170">
        <f t="shared" si="118"/>
        <v>0</v>
      </c>
      <c r="X144" s="170">
        <f t="shared" si="118"/>
        <v>0</v>
      </c>
      <c r="Y144" s="170">
        <f t="shared" si="118"/>
        <v>0</v>
      </c>
      <c r="Z144" s="170">
        <f t="shared" si="118"/>
        <v>0</v>
      </c>
      <c r="AA144" s="170">
        <f t="shared" si="118"/>
        <v>0</v>
      </c>
      <c r="AB144" s="170">
        <f t="shared" si="118"/>
        <v>0</v>
      </c>
      <c r="AC144" s="170">
        <f t="shared" si="118"/>
        <v>0</v>
      </c>
      <c r="AD144" s="170">
        <f t="shared" si="118"/>
        <v>0</v>
      </c>
      <c r="AE144" s="170">
        <f t="shared" si="118"/>
        <v>0</v>
      </c>
      <c r="AF144" s="170">
        <f t="shared" si="118"/>
        <v>0</v>
      </c>
      <c r="AG144" s="170">
        <f t="shared" si="118"/>
        <v>0</v>
      </c>
      <c r="AH144" s="170">
        <f t="shared" si="118"/>
        <v>0</v>
      </c>
      <c r="AI144" s="170">
        <f t="shared" si="118"/>
        <v>0</v>
      </c>
      <c r="AJ144" s="170">
        <f t="shared" si="118"/>
        <v>0</v>
      </c>
      <c r="AK144" s="170">
        <f t="shared" si="118"/>
        <v>0</v>
      </c>
      <c r="AL144" s="170">
        <f t="shared" si="118"/>
        <v>0</v>
      </c>
      <c r="AM144" s="170">
        <f t="shared" si="118"/>
        <v>0</v>
      </c>
      <c r="AN144" s="170">
        <f t="shared" si="118"/>
        <v>0</v>
      </c>
      <c r="AO144" s="170">
        <f t="shared" si="118"/>
        <v>0</v>
      </c>
      <c r="AP144" s="170">
        <f t="shared" si="118"/>
        <v>0</v>
      </c>
      <c r="AQ144" s="170">
        <f t="shared" si="118"/>
        <v>0</v>
      </c>
      <c r="AR144" s="170">
        <f t="shared" si="118"/>
        <v>0</v>
      </c>
      <c r="AS144" s="170">
        <f t="shared" si="118"/>
        <v>0</v>
      </c>
      <c r="AT144" s="170">
        <f t="shared" si="118"/>
        <v>0</v>
      </c>
      <c r="AU144" s="170">
        <f t="shared" si="118"/>
        <v>0</v>
      </c>
      <c r="AV144" s="170">
        <f t="shared" si="118"/>
        <v>0</v>
      </c>
      <c r="AW144" s="170">
        <f t="shared" si="118"/>
        <v>0</v>
      </c>
      <c r="AX144" s="170">
        <f t="shared" si="118"/>
        <v>0</v>
      </c>
      <c r="AY144" s="170">
        <f t="shared" si="118"/>
        <v>0</v>
      </c>
      <c r="AZ144" s="170">
        <f t="shared" si="118"/>
        <v>0</v>
      </c>
      <c r="BA144" s="170">
        <f t="shared" si="118"/>
        <v>0</v>
      </c>
      <c r="BB144" s="170">
        <f t="shared" si="118"/>
        <v>0</v>
      </c>
      <c r="BC144" s="170">
        <f t="shared" si="118"/>
        <v>0</v>
      </c>
      <c r="BD144" s="170">
        <f t="shared" si="118"/>
        <v>0</v>
      </c>
      <c r="BE144" s="170">
        <f t="shared" si="118"/>
        <v>0</v>
      </c>
      <c r="BF144" s="170">
        <f t="shared" si="118"/>
        <v>0</v>
      </c>
      <c r="BG144" s="170">
        <f t="shared" si="118"/>
        <v>0</v>
      </c>
      <c r="BH144" s="84"/>
      <c r="BI144" s="85"/>
      <c r="BJ144" s="85"/>
      <c r="BK144" s="85"/>
      <c r="BL144" s="85"/>
    </row>
    <row r="145" spans="1:64" ht="15.75" hidden="1" x14ac:dyDescent="0.25">
      <c r="A145" s="156"/>
      <c r="B145" s="156"/>
      <c r="C145" s="148"/>
      <c r="D145" s="149" t="s">
        <v>275</v>
      </c>
      <c r="E145" s="150">
        <f t="shared" ref="E145:K145" si="119">SUM(E146:E148)</f>
        <v>0</v>
      </c>
      <c r="F145" s="150">
        <f t="shared" si="119"/>
        <v>0</v>
      </c>
      <c r="G145" s="150"/>
      <c r="H145" s="150">
        <f t="shared" si="119"/>
        <v>0</v>
      </c>
      <c r="I145" s="150">
        <f t="shared" si="119"/>
        <v>0</v>
      </c>
      <c r="J145" s="150">
        <f t="shared" si="119"/>
        <v>0</v>
      </c>
      <c r="K145" s="150">
        <f t="shared" si="119"/>
        <v>0</v>
      </c>
      <c r="L145" s="172">
        <f t="shared" si="80"/>
        <v>0</v>
      </c>
      <c r="M145" s="172">
        <f t="shared" si="80"/>
        <v>0</v>
      </c>
      <c r="N145" s="172">
        <f t="shared" si="80"/>
        <v>0</v>
      </c>
      <c r="O145" s="150">
        <f>SUM(O146:O148)</f>
        <v>0</v>
      </c>
      <c r="P145" s="150">
        <f>SUM(P146:P148)</f>
        <v>0</v>
      </c>
      <c r="Q145" s="150">
        <f>SUM(Q146:Q148)</f>
        <v>0</v>
      </c>
      <c r="R145" s="173" t="e">
        <f t="shared" si="99"/>
        <v>#DIV/0!</v>
      </c>
      <c r="S145" s="173" t="e">
        <f t="shared" si="99"/>
        <v>#DIV/0!</v>
      </c>
      <c r="T145" s="173" t="e">
        <f t="shared" si="100"/>
        <v>#DIV/0!</v>
      </c>
      <c r="U145" s="150">
        <f t="shared" ref="U145:BG145" si="120">SUM(U146:U148)</f>
        <v>0</v>
      </c>
      <c r="V145" s="150">
        <f t="shared" si="120"/>
        <v>0</v>
      </c>
      <c r="W145" s="150">
        <f t="shared" si="120"/>
        <v>0</v>
      </c>
      <c r="X145" s="150">
        <f t="shared" si="120"/>
        <v>0</v>
      </c>
      <c r="Y145" s="150">
        <f t="shared" si="120"/>
        <v>0</v>
      </c>
      <c r="Z145" s="150">
        <f t="shared" si="120"/>
        <v>0</v>
      </c>
      <c r="AA145" s="150">
        <f t="shared" si="120"/>
        <v>0</v>
      </c>
      <c r="AB145" s="150">
        <f t="shared" si="120"/>
        <v>0</v>
      </c>
      <c r="AC145" s="150">
        <f t="shared" si="120"/>
        <v>0</v>
      </c>
      <c r="AD145" s="150">
        <f t="shared" si="120"/>
        <v>0</v>
      </c>
      <c r="AE145" s="150">
        <f t="shared" si="120"/>
        <v>0</v>
      </c>
      <c r="AF145" s="150">
        <f t="shared" si="120"/>
        <v>0</v>
      </c>
      <c r="AG145" s="150">
        <f t="shared" si="120"/>
        <v>0</v>
      </c>
      <c r="AH145" s="150">
        <f t="shared" si="120"/>
        <v>0</v>
      </c>
      <c r="AI145" s="150">
        <f t="shared" si="120"/>
        <v>0</v>
      </c>
      <c r="AJ145" s="150">
        <f t="shared" si="120"/>
        <v>0</v>
      </c>
      <c r="AK145" s="150">
        <f t="shared" si="120"/>
        <v>0</v>
      </c>
      <c r="AL145" s="150">
        <f t="shared" si="120"/>
        <v>0</v>
      </c>
      <c r="AM145" s="150">
        <f t="shared" si="120"/>
        <v>0</v>
      </c>
      <c r="AN145" s="150">
        <f t="shared" si="120"/>
        <v>0</v>
      </c>
      <c r="AO145" s="150">
        <f t="shared" si="120"/>
        <v>0</v>
      </c>
      <c r="AP145" s="150">
        <f t="shared" si="120"/>
        <v>0</v>
      </c>
      <c r="AQ145" s="150">
        <f t="shared" si="120"/>
        <v>0</v>
      </c>
      <c r="AR145" s="150">
        <f t="shared" si="120"/>
        <v>0</v>
      </c>
      <c r="AS145" s="150">
        <f t="shared" si="120"/>
        <v>0</v>
      </c>
      <c r="AT145" s="150">
        <f t="shared" si="120"/>
        <v>0</v>
      </c>
      <c r="AU145" s="150">
        <f t="shared" si="120"/>
        <v>0</v>
      </c>
      <c r="AV145" s="150">
        <f t="shared" si="120"/>
        <v>0</v>
      </c>
      <c r="AW145" s="150">
        <f t="shared" si="120"/>
        <v>0</v>
      </c>
      <c r="AX145" s="150">
        <f t="shared" si="120"/>
        <v>0</v>
      </c>
      <c r="AY145" s="150">
        <f t="shared" si="120"/>
        <v>0</v>
      </c>
      <c r="AZ145" s="150">
        <f t="shared" si="120"/>
        <v>0</v>
      </c>
      <c r="BA145" s="150">
        <f t="shared" si="120"/>
        <v>0</v>
      </c>
      <c r="BB145" s="150">
        <f t="shared" si="120"/>
        <v>0</v>
      </c>
      <c r="BC145" s="150">
        <f t="shared" si="120"/>
        <v>0</v>
      </c>
      <c r="BD145" s="150">
        <f t="shared" si="120"/>
        <v>0</v>
      </c>
      <c r="BE145" s="150">
        <f t="shared" si="120"/>
        <v>0</v>
      </c>
      <c r="BF145" s="150">
        <f t="shared" si="120"/>
        <v>0</v>
      </c>
      <c r="BG145" s="150">
        <f t="shared" si="120"/>
        <v>0</v>
      </c>
      <c r="BH145" s="152"/>
      <c r="BI145" s="153"/>
      <c r="BJ145" s="153"/>
      <c r="BK145" s="153"/>
      <c r="BL145" s="153"/>
    </row>
    <row r="146" spans="1:64" ht="16.5" hidden="1" customHeight="1" x14ac:dyDescent="0.25">
      <c r="A146" s="42"/>
      <c r="B146" s="42"/>
      <c r="C146" s="32" t="s">
        <v>221</v>
      </c>
      <c r="D146" s="76" t="s">
        <v>276</v>
      </c>
      <c r="E146" s="87"/>
      <c r="F146" s="35"/>
      <c r="G146" s="35"/>
      <c r="H146" s="35"/>
      <c r="I146" s="37">
        <f t="shared" ref="I146:K148" si="121">U146+X146+AA146+AD146+AG146+AJ146+AM146+AP146+AS146+AV146+AY146+BB146</f>
        <v>0</v>
      </c>
      <c r="J146" s="37">
        <f t="shared" si="121"/>
        <v>0</v>
      </c>
      <c r="K146" s="37">
        <f t="shared" si="121"/>
        <v>0</v>
      </c>
      <c r="L146" s="37">
        <f t="shared" si="80"/>
        <v>0</v>
      </c>
      <c r="M146" s="37">
        <f t="shared" si="80"/>
        <v>0</v>
      </c>
      <c r="N146" s="37">
        <f t="shared" si="80"/>
        <v>0</v>
      </c>
      <c r="O146" s="37">
        <f t="shared" ref="O146:P148" si="122">E146-I146</f>
        <v>0</v>
      </c>
      <c r="P146" s="37">
        <f t="shared" si="122"/>
        <v>0</v>
      </c>
      <c r="Q146" s="37">
        <f t="shared" ref="Q146:Q148" si="123">H146-K146</f>
        <v>0</v>
      </c>
      <c r="R146" s="39" t="e">
        <f t="shared" si="99"/>
        <v>#DIV/0!</v>
      </c>
      <c r="S146" s="39" t="e">
        <f t="shared" si="99"/>
        <v>#DIV/0!</v>
      </c>
      <c r="T146" s="39" t="e">
        <f t="shared" si="100"/>
        <v>#DIV/0!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40"/>
      <c r="BI146" s="41"/>
      <c r="BJ146" s="41"/>
      <c r="BK146" s="41"/>
      <c r="BL146" s="41"/>
    </row>
    <row r="147" spans="1:64" ht="15.75" hidden="1" customHeight="1" x14ac:dyDescent="0.25">
      <c r="A147" s="31"/>
      <c r="B147" s="31"/>
      <c r="C147" s="32" t="s">
        <v>34</v>
      </c>
      <c r="D147" s="76" t="s">
        <v>173</v>
      </c>
      <c r="E147" s="36"/>
      <c r="F147" s="35"/>
      <c r="G147" s="35"/>
      <c r="H147" s="174"/>
      <c r="I147" s="37">
        <f t="shared" si="121"/>
        <v>0</v>
      </c>
      <c r="J147" s="37">
        <f t="shared" si="121"/>
        <v>0</v>
      </c>
      <c r="K147" s="37">
        <f t="shared" si="121"/>
        <v>0</v>
      </c>
      <c r="L147" s="37">
        <f t="shared" si="80"/>
        <v>0</v>
      </c>
      <c r="M147" s="37">
        <f t="shared" si="80"/>
        <v>0</v>
      </c>
      <c r="N147" s="37">
        <f t="shared" si="80"/>
        <v>0</v>
      </c>
      <c r="O147" s="37">
        <f t="shared" si="122"/>
        <v>0</v>
      </c>
      <c r="P147" s="37">
        <f t="shared" si="122"/>
        <v>0</v>
      </c>
      <c r="Q147" s="37">
        <f t="shared" si="123"/>
        <v>0</v>
      </c>
      <c r="R147" s="39" t="e">
        <f t="shared" si="99"/>
        <v>#DIV/0!</v>
      </c>
      <c r="S147" s="39" t="e">
        <f t="shared" si="99"/>
        <v>#DIV/0!</v>
      </c>
      <c r="T147" s="39" t="e">
        <f t="shared" si="100"/>
        <v>#DIV/0!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40"/>
      <c r="BI147" s="41"/>
      <c r="BJ147" s="41"/>
      <c r="BK147" s="41"/>
      <c r="BL147" s="41"/>
    </row>
    <row r="148" spans="1:64" ht="15.75" hidden="1" customHeight="1" x14ac:dyDescent="0.25">
      <c r="A148" s="42"/>
      <c r="B148" s="42"/>
      <c r="C148" s="32" t="s">
        <v>36</v>
      </c>
      <c r="D148" s="76" t="s">
        <v>37</v>
      </c>
      <c r="E148" s="36"/>
      <c r="F148" s="35"/>
      <c r="G148" s="35"/>
      <c r="H148" s="36"/>
      <c r="I148" s="37">
        <f t="shared" si="121"/>
        <v>0</v>
      </c>
      <c r="J148" s="37">
        <f t="shared" si="121"/>
        <v>0</v>
      </c>
      <c r="K148" s="37">
        <f t="shared" si="121"/>
        <v>0</v>
      </c>
      <c r="L148" s="37">
        <f t="shared" si="80"/>
        <v>0</v>
      </c>
      <c r="M148" s="37">
        <f t="shared" si="80"/>
        <v>0</v>
      </c>
      <c r="N148" s="37">
        <f t="shared" si="80"/>
        <v>0</v>
      </c>
      <c r="O148" s="37">
        <f t="shared" si="122"/>
        <v>0</v>
      </c>
      <c r="P148" s="37">
        <f t="shared" si="122"/>
        <v>0</v>
      </c>
      <c r="Q148" s="37">
        <f t="shared" si="123"/>
        <v>0</v>
      </c>
      <c r="R148" s="39" t="e">
        <f t="shared" si="99"/>
        <v>#DIV/0!</v>
      </c>
      <c r="S148" s="39" t="e">
        <f t="shared" si="99"/>
        <v>#DIV/0!</v>
      </c>
      <c r="T148" s="39" t="e">
        <f t="shared" si="100"/>
        <v>#DIV/0!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40"/>
      <c r="BI148" s="41"/>
      <c r="BJ148" s="41"/>
      <c r="BK148" s="41"/>
      <c r="BL148" s="41"/>
    </row>
    <row r="149" spans="1:64" ht="15.75" hidden="1" x14ac:dyDescent="0.25">
      <c r="A149" s="156"/>
      <c r="B149" s="156"/>
      <c r="C149" s="148"/>
      <c r="D149" s="149" t="s">
        <v>277</v>
      </c>
      <c r="E149" s="150">
        <f t="shared" ref="E149:K149" si="124">SUM(E150:E151)</f>
        <v>0</v>
      </c>
      <c r="F149" s="150">
        <f t="shared" si="124"/>
        <v>0</v>
      </c>
      <c r="G149" s="150">
        <f t="shared" si="124"/>
        <v>0</v>
      </c>
      <c r="H149" s="150">
        <f t="shared" si="124"/>
        <v>0</v>
      </c>
      <c r="I149" s="150">
        <f t="shared" si="124"/>
        <v>0</v>
      </c>
      <c r="J149" s="150">
        <f t="shared" si="124"/>
        <v>0</v>
      </c>
      <c r="K149" s="150">
        <f t="shared" si="124"/>
        <v>0</v>
      </c>
      <c r="L149" s="172">
        <f t="shared" si="80"/>
        <v>0</v>
      </c>
      <c r="M149" s="172">
        <f t="shared" si="80"/>
        <v>0</v>
      </c>
      <c r="N149" s="172">
        <f t="shared" si="80"/>
        <v>0</v>
      </c>
      <c r="O149" s="150">
        <f>SUM(O150:O151)</f>
        <v>0</v>
      </c>
      <c r="P149" s="150">
        <f>SUM(P150:P151)</f>
        <v>0</v>
      </c>
      <c r="Q149" s="150">
        <f>SUM(Q150:Q151)</f>
        <v>0</v>
      </c>
      <c r="R149" s="173" t="e">
        <f t="shared" si="99"/>
        <v>#DIV/0!</v>
      </c>
      <c r="S149" s="173" t="e">
        <f t="shared" si="99"/>
        <v>#DIV/0!</v>
      </c>
      <c r="T149" s="173" t="e">
        <f t="shared" si="100"/>
        <v>#DIV/0!</v>
      </c>
      <c r="U149" s="150">
        <f t="shared" ref="U149:BG149" si="125">SUM(U150:U151)</f>
        <v>0</v>
      </c>
      <c r="V149" s="150">
        <f t="shared" si="125"/>
        <v>0</v>
      </c>
      <c r="W149" s="150">
        <f t="shared" si="125"/>
        <v>0</v>
      </c>
      <c r="X149" s="150">
        <f t="shared" si="125"/>
        <v>0</v>
      </c>
      <c r="Y149" s="150">
        <f t="shared" si="125"/>
        <v>0</v>
      </c>
      <c r="Z149" s="150">
        <f t="shared" si="125"/>
        <v>0</v>
      </c>
      <c r="AA149" s="150">
        <f t="shared" si="125"/>
        <v>0</v>
      </c>
      <c r="AB149" s="150">
        <f t="shared" si="125"/>
        <v>0</v>
      </c>
      <c r="AC149" s="150">
        <f t="shared" si="125"/>
        <v>0</v>
      </c>
      <c r="AD149" s="150">
        <f t="shared" si="125"/>
        <v>0</v>
      </c>
      <c r="AE149" s="150">
        <f t="shared" si="125"/>
        <v>0</v>
      </c>
      <c r="AF149" s="150">
        <f t="shared" si="125"/>
        <v>0</v>
      </c>
      <c r="AG149" s="150">
        <f t="shared" si="125"/>
        <v>0</v>
      </c>
      <c r="AH149" s="150">
        <f t="shared" si="125"/>
        <v>0</v>
      </c>
      <c r="AI149" s="150">
        <f t="shared" si="125"/>
        <v>0</v>
      </c>
      <c r="AJ149" s="150">
        <f t="shared" si="125"/>
        <v>0</v>
      </c>
      <c r="AK149" s="150">
        <f t="shared" si="125"/>
        <v>0</v>
      </c>
      <c r="AL149" s="150">
        <f t="shared" si="125"/>
        <v>0</v>
      </c>
      <c r="AM149" s="150">
        <f t="shared" si="125"/>
        <v>0</v>
      </c>
      <c r="AN149" s="150">
        <f t="shared" si="125"/>
        <v>0</v>
      </c>
      <c r="AO149" s="150">
        <f t="shared" si="125"/>
        <v>0</v>
      </c>
      <c r="AP149" s="150">
        <f t="shared" si="125"/>
        <v>0</v>
      </c>
      <c r="AQ149" s="150">
        <f t="shared" si="125"/>
        <v>0</v>
      </c>
      <c r="AR149" s="150">
        <f t="shared" si="125"/>
        <v>0</v>
      </c>
      <c r="AS149" s="150">
        <f t="shared" si="125"/>
        <v>0</v>
      </c>
      <c r="AT149" s="150">
        <f t="shared" si="125"/>
        <v>0</v>
      </c>
      <c r="AU149" s="150">
        <f t="shared" si="125"/>
        <v>0</v>
      </c>
      <c r="AV149" s="150">
        <f t="shared" si="125"/>
        <v>0</v>
      </c>
      <c r="AW149" s="150">
        <f t="shared" si="125"/>
        <v>0</v>
      </c>
      <c r="AX149" s="150">
        <f t="shared" si="125"/>
        <v>0</v>
      </c>
      <c r="AY149" s="150">
        <f t="shared" si="125"/>
        <v>0</v>
      </c>
      <c r="AZ149" s="150">
        <f t="shared" si="125"/>
        <v>0</v>
      </c>
      <c r="BA149" s="150">
        <f t="shared" si="125"/>
        <v>0</v>
      </c>
      <c r="BB149" s="150">
        <f t="shared" si="125"/>
        <v>0</v>
      </c>
      <c r="BC149" s="150">
        <f t="shared" si="125"/>
        <v>0</v>
      </c>
      <c r="BD149" s="150">
        <f t="shared" si="125"/>
        <v>0</v>
      </c>
      <c r="BE149" s="150">
        <f t="shared" si="125"/>
        <v>0</v>
      </c>
      <c r="BF149" s="150">
        <f t="shared" si="125"/>
        <v>0</v>
      </c>
      <c r="BG149" s="150">
        <f t="shared" si="125"/>
        <v>0</v>
      </c>
      <c r="BH149" s="152"/>
      <c r="BI149" s="153"/>
      <c r="BJ149" s="153"/>
      <c r="BK149" s="153"/>
      <c r="BL149" s="153"/>
    </row>
    <row r="150" spans="1:64" ht="15.75" hidden="1" customHeight="1" x14ac:dyDescent="0.25">
      <c r="A150" s="42" t="s">
        <v>278</v>
      </c>
      <c r="B150" s="42"/>
      <c r="C150" s="32" t="s">
        <v>221</v>
      </c>
      <c r="D150" s="76" t="s">
        <v>279</v>
      </c>
      <c r="E150" s="36"/>
      <c r="F150" s="35"/>
      <c r="G150" s="35"/>
      <c r="H150" s="36"/>
      <c r="I150" s="37">
        <f>U150+X150+AA150+AD150+AG150+AJ150+AM150+AP150+AS150+AV150+AY150+BB150</f>
        <v>0</v>
      </c>
      <c r="J150" s="37">
        <f>V150+Y150+AB150+AE150+AH150+AK150+AN150+AQ150+AT150+AW150+AZ150+BC150</f>
        <v>0</v>
      </c>
      <c r="K150" s="37">
        <f>W150+Z150+AC150+AF150+AI150+AL150+AO150+AR150+AU150+AX150+BA150+BD150</f>
        <v>0</v>
      </c>
      <c r="L150" s="37">
        <f t="shared" ref="L150:N151" si="126">IF(BE150=0,SUM(U150+X150+AA150+AD150+AG150+AJ150+AM150+AP150+AS150+AV150+AY150+BB150),BE150)</f>
        <v>0</v>
      </c>
      <c r="M150" s="37">
        <f t="shared" ref="M150:M153" si="127">IF(BF150=0,SUM(V150+Y150+AB150+AE150+AH150+AK150+AN150+AQ150+AT150+AW150+AZ150+BC150),BF150)</f>
        <v>0</v>
      </c>
      <c r="N150" s="37">
        <f t="shared" si="126"/>
        <v>0</v>
      </c>
      <c r="O150" s="37">
        <f t="shared" ref="O150:P151" si="128">E150-I150</f>
        <v>0</v>
      </c>
      <c r="P150" s="37">
        <f t="shared" si="128"/>
        <v>0</v>
      </c>
      <c r="Q150" s="37">
        <f t="shared" ref="Q150:Q151" si="129">H150-K150</f>
        <v>0</v>
      </c>
      <c r="R150" s="39" t="e">
        <f t="shared" ref="R150:S165" si="130">I150/E150</f>
        <v>#DIV/0!</v>
      </c>
      <c r="S150" s="39" t="e">
        <f t="shared" si="130"/>
        <v>#DIV/0!</v>
      </c>
      <c r="T150" s="39" t="e">
        <f t="shared" si="100"/>
        <v>#DIV/0!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40"/>
      <c r="BI150" s="41"/>
      <c r="BJ150" s="41"/>
      <c r="BK150" s="41"/>
      <c r="BL150" s="41"/>
    </row>
    <row r="151" spans="1:64" ht="15.75" hidden="1" customHeight="1" x14ac:dyDescent="0.25">
      <c r="A151" s="42"/>
      <c r="B151" s="42"/>
      <c r="C151" s="135"/>
      <c r="D151" s="175"/>
      <c r="E151" s="36"/>
      <c r="F151" s="35"/>
      <c r="G151" s="35"/>
      <c r="H151" s="36"/>
      <c r="I151" s="37"/>
      <c r="J151" s="37">
        <f t="shared" ref="J151" si="131">V151+Y151+AB151+AE151+AH151+AK151+AN151+AQ151+AT151+AW151+AZ151+BC151</f>
        <v>0</v>
      </c>
      <c r="K151" s="37">
        <f>W151+Z151+AC151+AF151+AI151+AL151+AO151+AR151+AU151+AX151+BA151+BD151</f>
        <v>0</v>
      </c>
      <c r="L151" s="37">
        <f t="shared" si="126"/>
        <v>0</v>
      </c>
      <c r="M151" s="37">
        <f t="shared" si="127"/>
        <v>0</v>
      </c>
      <c r="N151" s="37">
        <f t="shared" si="126"/>
        <v>0</v>
      </c>
      <c r="O151" s="37">
        <f t="shared" si="128"/>
        <v>0</v>
      </c>
      <c r="P151" s="37">
        <f t="shared" si="128"/>
        <v>0</v>
      </c>
      <c r="Q151" s="37">
        <f t="shared" si="129"/>
        <v>0</v>
      </c>
      <c r="R151" s="39" t="e">
        <f t="shared" si="130"/>
        <v>#DIV/0!</v>
      </c>
      <c r="S151" s="39" t="e">
        <f t="shared" si="130"/>
        <v>#DIV/0!</v>
      </c>
      <c r="T151" s="39" t="e">
        <f t="shared" si="100"/>
        <v>#DIV/0!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40"/>
      <c r="BI151" s="41"/>
      <c r="BJ151" s="41"/>
      <c r="BK151" s="41"/>
      <c r="BL151" s="41"/>
    </row>
    <row r="152" spans="1:64" ht="15.75" customHeight="1" x14ac:dyDescent="0.25">
      <c r="A152" s="168"/>
      <c r="B152" s="168"/>
      <c r="C152" s="111"/>
      <c r="D152" s="169" t="s">
        <v>280</v>
      </c>
      <c r="E152" s="170">
        <f t="shared" ref="E152:K152" si="132">E153+E160</f>
        <v>30819.02</v>
      </c>
      <c r="F152" s="170">
        <f t="shared" si="132"/>
        <v>2048.62</v>
      </c>
      <c r="G152" s="170">
        <f t="shared" si="132"/>
        <v>1118.73</v>
      </c>
      <c r="H152" s="170">
        <f t="shared" si="132"/>
        <v>0</v>
      </c>
      <c r="I152" s="170">
        <f t="shared" si="132"/>
        <v>17343.54</v>
      </c>
      <c r="J152" s="170">
        <f t="shared" si="132"/>
        <v>0</v>
      </c>
      <c r="K152" s="170">
        <f t="shared" si="132"/>
        <v>0</v>
      </c>
      <c r="L152" s="170">
        <f>IF(BE152=0,SUM(U152+X152+AA152+AD152+AG152+AJ152+AM152+AP152+AS152+AV152+AY152+BB152),BE152)</f>
        <v>17343.54</v>
      </c>
      <c r="M152" s="170">
        <f t="shared" si="127"/>
        <v>0</v>
      </c>
      <c r="N152" s="170">
        <f>IF(BG152=0,SUM(W152+Z152+AC152+AF152+AI152+AL152+AO152+AR152+AU152+AX152+BA152+BD152),BG152)</f>
        <v>0</v>
      </c>
      <c r="O152" s="170">
        <f>O153+O160</f>
        <v>-7224.52</v>
      </c>
      <c r="P152" s="170">
        <f>P153+P160</f>
        <v>929.89</v>
      </c>
      <c r="Q152" s="170">
        <f>Q153+Q160</f>
        <v>0</v>
      </c>
      <c r="R152" s="171">
        <f t="shared" si="130"/>
        <v>0.56275442892084171</v>
      </c>
      <c r="S152" s="171">
        <f>J152/F152</f>
        <v>0</v>
      </c>
      <c r="T152" s="171" t="e">
        <f t="shared" si="100"/>
        <v>#DIV/0!</v>
      </c>
      <c r="U152" s="170">
        <f t="shared" ref="U152:BG152" si="133">U153+U160</f>
        <v>0</v>
      </c>
      <c r="V152" s="170">
        <f t="shared" si="133"/>
        <v>0</v>
      </c>
      <c r="W152" s="170">
        <f t="shared" si="133"/>
        <v>0</v>
      </c>
      <c r="X152" s="170">
        <f t="shared" si="133"/>
        <v>1621.62</v>
      </c>
      <c r="Y152" s="170">
        <f t="shared" si="133"/>
        <v>0</v>
      </c>
      <c r="Z152" s="170">
        <f t="shared" si="133"/>
        <v>0</v>
      </c>
      <c r="AA152" s="170">
        <f t="shared" si="133"/>
        <v>0</v>
      </c>
      <c r="AB152" s="170">
        <f t="shared" si="133"/>
        <v>0</v>
      </c>
      <c r="AC152" s="170">
        <f t="shared" si="133"/>
        <v>0</v>
      </c>
      <c r="AD152" s="170">
        <f t="shared" si="133"/>
        <v>810.81</v>
      </c>
      <c r="AE152" s="170">
        <f t="shared" si="133"/>
        <v>0</v>
      </c>
      <c r="AF152" s="170">
        <f t="shared" si="133"/>
        <v>0</v>
      </c>
      <c r="AG152" s="170">
        <f t="shared" si="133"/>
        <v>13289.49</v>
      </c>
      <c r="AH152" s="170">
        <f t="shared" si="133"/>
        <v>0</v>
      </c>
      <c r="AI152" s="170">
        <f t="shared" si="133"/>
        <v>0</v>
      </c>
      <c r="AJ152" s="170">
        <f t="shared" si="133"/>
        <v>1621.62</v>
      </c>
      <c r="AK152" s="170">
        <f t="shared" si="133"/>
        <v>0</v>
      </c>
      <c r="AL152" s="170">
        <f t="shared" si="133"/>
        <v>0</v>
      </c>
      <c r="AM152" s="170">
        <f t="shared" si="133"/>
        <v>0</v>
      </c>
      <c r="AN152" s="170">
        <f t="shared" si="133"/>
        <v>0</v>
      </c>
      <c r="AO152" s="170">
        <f t="shared" si="133"/>
        <v>0</v>
      </c>
      <c r="AP152" s="170">
        <f t="shared" si="133"/>
        <v>0</v>
      </c>
      <c r="AQ152" s="170">
        <f t="shared" si="133"/>
        <v>0</v>
      </c>
      <c r="AR152" s="170">
        <f t="shared" si="133"/>
        <v>0</v>
      </c>
      <c r="AS152" s="170">
        <f t="shared" si="133"/>
        <v>0</v>
      </c>
      <c r="AT152" s="170">
        <f t="shared" si="133"/>
        <v>0</v>
      </c>
      <c r="AU152" s="170">
        <f t="shared" si="133"/>
        <v>0</v>
      </c>
      <c r="AV152" s="170">
        <f t="shared" si="133"/>
        <v>0</v>
      </c>
      <c r="AW152" s="170">
        <f t="shared" si="133"/>
        <v>0</v>
      </c>
      <c r="AX152" s="170">
        <f t="shared" si="133"/>
        <v>0</v>
      </c>
      <c r="AY152" s="170">
        <f t="shared" si="133"/>
        <v>0</v>
      </c>
      <c r="AZ152" s="170">
        <f t="shared" si="133"/>
        <v>0</v>
      </c>
      <c r="BA152" s="170">
        <f t="shared" si="133"/>
        <v>0</v>
      </c>
      <c r="BB152" s="170">
        <f t="shared" si="133"/>
        <v>0</v>
      </c>
      <c r="BC152" s="170">
        <f t="shared" si="133"/>
        <v>0</v>
      </c>
      <c r="BD152" s="170">
        <f t="shared" si="133"/>
        <v>0</v>
      </c>
      <c r="BE152" s="170">
        <f t="shared" si="133"/>
        <v>0</v>
      </c>
      <c r="BF152" s="170">
        <f t="shared" si="133"/>
        <v>0</v>
      </c>
      <c r="BG152" s="170">
        <f t="shared" si="133"/>
        <v>0</v>
      </c>
      <c r="BH152" s="84"/>
      <c r="BI152" s="85"/>
      <c r="BJ152" s="85"/>
      <c r="BK152" s="85"/>
      <c r="BL152" s="85"/>
    </row>
    <row r="153" spans="1:64" ht="15.75" x14ac:dyDescent="0.25">
      <c r="A153" s="156"/>
      <c r="B153" s="156"/>
      <c r="C153" s="148"/>
      <c r="D153" s="149" t="s">
        <v>281</v>
      </c>
      <c r="E153" s="150">
        <f>SUM(E154:E158)</f>
        <v>30819.02</v>
      </c>
      <c r="F153" s="150">
        <f>SUM(F154:F159)</f>
        <v>1118.73</v>
      </c>
      <c r="G153" s="150">
        <f>SUM(G154:G159)</f>
        <v>1118.73</v>
      </c>
      <c r="H153" s="150">
        <f>SUM(H154:H158)</f>
        <v>0</v>
      </c>
      <c r="I153" s="150">
        <f>SUM(I154:I158)</f>
        <v>17343.54</v>
      </c>
      <c r="J153" s="150">
        <f>SUM(J154:J158)</f>
        <v>0</v>
      </c>
      <c r="K153" s="150">
        <f>SUM(K154:K158)</f>
        <v>0</v>
      </c>
      <c r="L153" s="151">
        <f>IF(BE153=0,SUM(U153+X153+AA153+AD153+AG153+AJ153+AM153+AP153+AS153+AV153+AY153+BB153),BE153)</f>
        <v>17343.54</v>
      </c>
      <c r="M153" s="151">
        <f t="shared" si="127"/>
        <v>0</v>
      </c>
      <c r="N153" s="151">
        <f>IF(BG153=0,SUM(W153+Z153+AC153+AF153+AI153+AL153+AO153+AR153+AU153+AX153+BA153+BD153),BG153)</f>
        <v>0</v>
      </c>
      <c r="O153" s="150">
        <f>SUM(O154:O159)</f>
        <v>-7224.52</v>
      </c>
      <c r="P153" s="150">
        <f>SUM(P154:P159)</f>
        <v>0</v>
      </c>
      <c r="Q153" s="150">
        <f>SUM(Q154:Q158)</f>
        <v>0</v>
      </c>
      <c r="R153" s="173">
        <f t="shared" si="130"/>
        <v>0.56275442892084171</v>
      </c>
      <c r="S153" s="173">
        <f>J153/F153</f>
        <v>0</v>
      </c>
      <c r="T153" s="173" t="e">
        <f t="shared" si="100"/>
        <v>#DIV/0!</v>
      </c>
      <c r="U153" s="150">
        <f t="shared" ref="U153:AA153" si="134">SUM(U154:U158)</f>
        <v>0</v>
      </c>
      <c r="V153" s="150">
        <f t="shared" si="134"/>
        <v>0</v>
      </c>
      <c r="W153" s="150">
        <f t="shared" si="134"/>
        <v>0</v>
      </c>
      <c r="X153" s="150">
        <f t="shared" si="134"/>
        <v>1621.62</v>
      </c>
      <c r="Y153" s="150">
        <f t="shared" si="134"/>
        <v>0</v>
      </c>
      <c r="Z153" s="150">
        <f t="shared" si="134"/>
        <v>0</v>
      </c>
      <c r="AA153" s="150">
        <f t="shared" si="134"/>
        <v>0</v>
      </c>
      <c r="AB153" s="150">
        <f>SUM(AB154:AB159)</f>
        <v>0</v>
      </c>
      <c r="AC153" s="150">
        <f t="shared" ref="AC153:BG153" si="135">SUM(AC154:AC158)</f>
        <v>0</v>
      </c>
      <c r="AD153" s="150">
        <f t="shared" si="135"/>
        <v>810.81</v>
      </c>
      <c r="AE153" s="150">
        <f t="shared" si="135"/>
        <v>0</v>
      </c>
      <c r="AF153" s="150">
        <f t="shared" si="135"/>
        <v>0</v>
      </c>
      <c r="AG153" s="150">
        <f t="shared" si="135"/>
        <v>13289.49</v>
      </c>
      <c r="AH153" s="150">
        <f t="shared" si="135"/>
        <v>0</v>
      </c>
      <c r="AI153" s="150">
        <f t="shared" si="135"/>
        <v>0</v>
      </c>
      <c r="AJ153" s="150">
        <f t="shared" si="135"/>
        <v>1621.62</v>
      </c>
      <c r="AK153" s="150">
        <f t="shared" si="135"/>
        <v>0</v>
      </c>
      <c r="AL153" s="150">
        <f t="shared" si="135"/>
        <v>0</v>
      </c>
      <c r="AM153" s="150">
        <f t="shared" si="135"/>
        <v>0</v>
      </c>
      <c r="AN153" s="150">
        <f t="shared" si="135"/>
        <v>0</v>
      </c>
      <c r="AO153" s="150">
        <f t="shared" si="135"/>
        <v>0</v>
      </c>
      <c r="AP153" s="150">
        <f t="shared" si="135"/>
        <v>0</v>
      </c>
      <c r="AQ153" s="150">
        <f t="shared" si="135"/>
        <v>0</v>
      </c>
      <c r="AR153" s="150">
        <f t="shared" si="135"/>
        <v>0</v>
      </c>
      <c r="AS153" s="150">
        <f t="shared" si="135"/>
        <v>0</v>
      </c>
      <c r="AT153" s="150">
        <f t="shared" si="135"/>
        <v>0</v>
      </c>
      <c r="AU153" s="150">
        <f t="shared" si="135"/>
        <v>0</v>
      </c>
      <c r="AV153" s="150">
        <f t="shared" si="135"/>
        <v>0</v>
      </c>
      <c r="AW153" s="150">
        <f t="shared" si="135"/>
        <v>0</v>
      </c>
      <c r="AX153" s="150">
        <f t="shared" si="135"/>
        <v>0</v>
      </c>
      <c r="AY153" s="150">
        <f t="shared" si="135"/>
        <v>0</v>
      </c>
      <c r="AZ153" s="150">
        <f t="shared" si="135"/>
        <v>0</v>
      </c>
      <c r="BA153" s="150">
        <f t="shared" si="135"/>
        <v>0</v>
      </c>
      <c r="BB153" s="150">
        <f t="shared" si="135"/>
        <v>0</v>
      </c>
      <c r="BC153" s="150">
        <f t="shared" si="135"/>
        <v>0</v>
      </c>
      <c r="BD153" s="150">
        <f t="shared" si="135"/>
        <v>0</v>
      </c>
      <c r="BE153" s="150">
        <f t="shared" si="135"/>
        <v>0</v>
      </c>
      <c r="BF153" s="150">
        <f t="shared" si="135"/>
        <v>0</v>
      </c>
      <c r="BG153" s="150">
        <f t="shared" si="135"/>
        <v>0</v>
      </c>
      <c r="BH153" s="152"/>
      <c r="BI153" s="153"/>
      <c r="BJ153" s="153"/>
      <c r="BK153" s="153"/>
      <c r="BL153" s="153"/>
    </row>
    <row r="154" spans="1:64" ht="15.75" customHeight="1" x14ac:dyDescent="0.25">
      <c r="A154" s="42"/>
      <c r="B154" s="42"/>
      <c r="C154" s="200" t="s">
        <v>223</v>
      </c>
      <c r="D154" s="205" t="s">
        <v>282</v>
      </c>
      <c r="E154" s="36">
        <f>3600+1800+1800+3600+3600+1800+3000+1500</f>
        <v>20700</v>
      </c>
      <c r="F154" s="36"/>
      <c r="G154" s="36"/>
      <c r="H154" s="176"/>
      <c r="I154" s="37"/>
      <c r="J154" s="37"/>
      <c r="K154" s="37"/>
      <c r="L154" s="23"/>
      <c r="M154" s="23"/>
      <c r="N154" s="23"/>
      <c r="O154" s="37"/>
      <c r="P154" s="37"/>
      <c r="Q154" s="37"/>
      <c r="R154" s="39"/>
      <c r="S154" s="39"/>
      <c r="T154" s="3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40"/>
      <c r="BI154" s="41"/>
      <c r="BJ154" s="41"/>
      <c r="BK154" s="41"/>
      <c r="BL154" s="41"/>
    </row>
    <row r="155" spans="1:64" ht="15.75" hidden="1" customHeight="1" x14ac:dyDescent="0.25">
      <c r="A155" s="42"/>
      <c r="B155" s="42"/>
      <c r="C155" s="190" t="s">
        <v>221</v>
      </c>
      <c r="D155" s="199" t="s">
        <v>283</v>
      </c>
      <c r="E155" s="36"/>
      <c r="F155" s="36"/>
      <c r="G155" s="36"/>
      <c r="H155" s="176"/>
      <c r="I155" s="37"/>
      <c r="J155" s="37"/>
      <c r="K155" s="37"/>
      <c r="L155" s="23"/>
      <c r="M155" s="23"/>
      <c r="N155" s="23"/>
      <c r="O155" s="37"/>
      <c r="P155" s="37"/>
      <c r="Q155" s="37"/>
      <c r="R155" s="39"/>
      <c r="S155" s="39"/>
      <c r="T155" s="3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40"/>
      <c r="BI155" s="41"/>
      <c r="BJ155" s="41"/>
      <c r="BK155" s="41"/>
      <c r="BL155" s="41"/>
    </row>
    <row r="156" spans="1:64" ht="15.75" hidden="1" customHeight="1" x14ac:dyDescent="0.25">
      <c r="A156" s="42"/>
      <c r="B156" s="42"/>
      <c r="C156" s="190" t="s">
        <v>34</v>
      </c>
      <c r="D156" s="199" t="s">
        <v>173</v>
      </c>
      <c r="E156" s="36"/>
      <c r="F156" s="36"/>
      <c r="G156" s="36"/>
      <c r="H156" s="130"/>
      <c r="I156" s="37">
        <f t="shared" ref="I156:K159" si="136">U156+X156+AA156+AD156+AG156+AJ156+AM156+AP156+AS156+AV156+AY156+BB156</f>
        <v>0</v>
      </c>
      <c r="J156" s="37">
        <f t="shared" si="136"/>
        <v>0</v>
      </c>
      <c r="K156" s="37">
        <f t="shared" si="136"/>
        <v>0</v>
      </c>
      <c r="L156" s="37">
        <f t="shared" ref="L156:N168" si="137">IF(BE156=0,SUM(U156+X156+AA156+AD156+AG156+AJ156+AM156+AP156+AS156+AV156+AY156+BB156),BE156)</f>
        <v>0</v>
      </c>
      <c r="M156" s="37">
        <f t="shared" si="137"/>
        <v>0</v>
      </c>
      <c r="N156" s="37">
        <f t="shared" si="137"/>
        <v>0</v>
      </c>
      <c r="O156" s="37">
        <f t="shared" ref="O156:P159" si="138">E156-I156</f>
        <v>0</v>
      </c>
      <c r="P156" s="37">
        <f t="shared" si="138"/>
        <v>0</v>
      </c>
      <c r="Q156" s="37">
        <f t="shared" ref="Q156:Q159" si="139">H156-K156</f>
        <v>0</v>
      </c>
      <c r="R156" s="39" t="e">
        <f t="shared" si="130"/>
        <v>#DIV/0!</v>
      </c>
      <c r="S156" s="39" t="e">
        <f t="shared" si="130"/>
        <v>#DIV/0!</v>
      </c>
      <c r="T156" s="39" t="e">
        <f t="shared" ref="T156:T159" si="140">K156/H156</f>
        <v>#DIV/0!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40"/>
      <c r="BI156" s="41"/>
      <c r="BJ156" s="41"/>
      <c r="BK156" s="41"/>
      <c r="BL156" s="41"/>
    </row>
    <row r="157" spans="1:64" ht="15.75" customHeight="1" x14ac:dyDescent="0.25">
      <c r="A157" s="42"/>
      <c r="B157" s="42"/>
      <c r="C157" s="192" t="s">
        <v>284</v>
      </c>
      <c r="D157" s="191" t="s">
        <v>285</v>
      </c>
      <c r="E157" s="36">
        <f>5254.16</f>
        <v>5254.16</v>
      </c>
      <c r="F157" s="36"/>
      <c r="G157" s="36"/>
      <c r="H157" s="130"/>
      <c r="I157" s="37">
        <f t="shared" si="136"/>
        <v>12478.68</v>
      </c>
      <c r="J157" s="37">
        <f t="shared" si="136"/>
        <v>0</v>
      </c>
      <c r="K157" s="37">
        <f t="shared" si="136"/>
        <v>0</v>
      </c>
      <c r="L157" s="37">
        <f t="shared" si="137"/>
        <v>12478.68</v>
      </c>
      <c r="M157" s="37">
        <f t="shared" si="137"/>
        <v>0</v>
      </c>
      <c r="N157" s="37">
        <f t="shared" si="137"/>
        <v>0</v>
      </c>
      <c r="O157" s="37">
        <f t="shared" si="138"/>
        <v>-7224.52</v>
      </c>
      <c r="P157" s="37">
        <f t="shared" si="138"/>
        <v>0</v>
      </c>
      <c r="Q157" s="37">
        <f t="shared" si="139"/>
        <v>0</v>
      </c>
      <c r="R157" s="39">
        <f t="shared" si="130"/>
        <v>2.3750095162690137</v>
      </c>
      <c r="S157" s="39" t="e">
        <f t="shared" si="130"/>
        <v>#DIV/0!</v>
      </c>
      <c r="T157" s="39" t="e">
        <f t="shared" si="140"/>
        <v>#DIV/0!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63">
        <f>5254.16+7224.52</f>
        <v>12478.68</v>
      </c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40"/>
      <c r="BI157" s="41"/>
      <c r="BJ157" s="41"/>
      <c r="BK157" s="41"/>
      <c r="BL157" s="41"/>
    </row>
    <row r="158" spans="1:64" ht="15.75" customHeight="1" x14ac:dyDescent="0.25">
      <c r="A158" s="42" t="s">
        <v>278</v>
      </c>
      <c r="B158" s="42"/>
      <c r="C158" s="192" t="s">
        <v>223</v>
      </c>
      <c r="D158" s="191" t="s">
        <v>286</v>
      </c>
      <c r="E158" s="36">
        <v>4864.8599999999997</v>
      </c>
      <c r="F158" s="36"/>
      <c r="G158" s="36"/>
      <c r="H158" s="130"/>
      <c r="I158" s="37">
        <f t="shared" si="136"/>
        <v>4864.8599999999997</v>
      </c>
      <c r="J158" s="37">
        <f t="shared" si="136"/>
        <v>0</v>
      </c>
      <c r="K158" s="37">
        <f t="shared" si="136"/>
        <v>0</v>
      </c>
      <c r="L158" s="37">
        <f t="shared" si="137"/>
        <v>4864.8599999999997</v>
      </c>
      <c r="M158" s="37">
        <f t="shared" si="137"/>
        <v>0</v>
      </c>
      <c r="N158" s="37">
        <f t="shared" si="137"/>
        <v>0</v>
      </c>
      <c r="O158" s="37">
        <f t="shared" si="138"/>
        <v>0</v>
      </c>
      <c r="P158" s="37">
        <f t="shared" si="138"/>
        <v>0</v>
      </c>
      <c r="Q158" s="37">
        <f t="shared" si="139"/>
        <v>0</v>
      </c>
      <c r="R158" s="39">
        <f t="shared" si="130"/>
        <v>1</v>
      </c>
      <c r="S158" s="39" t="e">
        <f t="shared" si="130"/>
        <v>#DIV/0!</v>
      </c>
      <c r="T158" s="39" t="e">
        <f t="shared" si="140"/>
        <v>#DIV/0!</v>
      </c>
      <c r="U158" s="35"/>
      <c r="V158" s="35"/>
      <c r="W158" s="35"/>
      <c r="X158" s="35">
        <v>1621.62</v>
      </c>
      <c r="Y158" s="35"/>
      <c r="Z158" s="35"/>
      <c r="AA158" s="35"/>
      <c r="AB158" s="35"/>
      <c r="AC158" s="35"/>
      <c r="AD158" s="35">
        <v>810.81</v>
      </c>
      <c r="AE158" s="35"/>
      <c r="AF158" s="35"/>
      <c r="AG158" s="35">
        <v>810.81</v>
      </c>
      <c r="AH158" s="35"/>
      <c r="AI158" s="35"/>
      <c r="AJ158" s="35">
        <f>810.81+810.81</f>
        <v>1621.62</v>
      </c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40"/>
      <c r="BI158" s="41"/>
      <c r="BJ158" s="41"/>
      <c r="BK158" s="41"/>
      <c r="BL158" s="41"/>
    </row>
    <row r="159" spans="1:64" ht="15.75" customHeight="1" x14ac:dyDescent="0.25">
      <c r="A159" s="42"/>
      <c r="B159" s="42"/>
      <c r="C159" s="192" t="s">
        <v>177</v>
      </c>
      <c r="D159" s="191" t="s">
        <v>287</v>
      </c>
      <c r="E159" s="36"/>
      <c r="F159" s="75">
        <f>177+67.47+108+766.26</f>
        <v>1118.73</v>
      </c>
      <c r="G159" s="75">
        <v>1118.73</v>
      </c>
      <c r="H159" s="130"/>
      <c r="I159" s="37">
        <f t="shared" si="136"/>
        <v>0</v>
      </c>
      <c r="J159" s="37">
        <f t="shared" si="136"/>
        <v>0</v>
      </c>
      <c r="K159" s="37">
        <f t="shared" si="136"/>
        <v>0</v>
      </c>
      <c r="L159" s="37">
        <f t="shared" si="137"/>
        <v>0</v>
      </c>
      <c r="M159" s="37">
        <f t="shared" si="137"/>
        <v>0</v>
      </c>
      <c r="N159" s="37">
        <f t="shared" si="137"/>
        <v>0</v>
      </c>
      <c r="O159" s="37">
        <f t="shared" si="138"/>
        <v>0</v>
      </c>
      <c r="P159" s="37">
        <f>F159-J159-G159</f>
        <v>0</v>
      </c>
      <c r="Q159" s="37">
        <f t="shared" si="139"/>
        <v>0</v>
      </c>
      <c r="R159" s="39" t="e">
        <f t="shared" si="130"/>
        <v>#DIV/0!</v>
      </c>
      <c r="S159" s="39">
        <f t="shared" si="130"/>
        <v>0</v>
      </c>
      <c r="T159" s="39" t="e">
        <f t="shared" si="140"/>
        <v>#DIV/0!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40"/>
      <c r="BI159" s="41"/>
      <c r="BJ159" s="41"/>
      <c r="BK159" s="41"/>
      <c r="BL159" s="41"/>
    </row>
    <row r="160" spans="1:64" ht="15.75" x14ac:dyDescent="0.25">
      <c r="A160" s="156"/>
      <c r="B160" s="156"/>
      <c r="C160" s="148"/>
      <c r="D160" s="149" t="s">
        <v>288</v>
      </c>
      <c r="E160" s="150">
        <f t="shared" ref="E160:K160" si="141">SUM(E161:E166)</f>
        <v>0</v>
      </c>
      <c r="F160" s="150">
        <f t="shared" si="141"/>
        <v>929.89</v>
      </c>
      <c r="G160" s="150"/>
      <c r="H160" s="150">
        <f t="shared" si="141"/>
        <v>0</v>
      </c>
      <c r="I160" s="150">
        <f t="shared" si="141"/>
        <v>0</v>
      </c>
      <c r="J160" s="150">
        <f t="shared" si="141"/>
        <v>0</v>
      </c>
      <c r="K160" s="150">
        <f t="shared" si="141"/>
        <v>0</v>
      </c>
      <c r="L160" s="172">
        <f t="shared" si="137"/>
        <v>0</v>
      </c>
      <c r="M160" s="172">
        <f t="shared" si="137"/>
        <v>0</v>
      </c>
      <c r="N160" s="172">
        <f t="shared" si="137"/>
        <v>0</v>
      </c>
      <c r="O160" s="150">
        <f>SUM(O161:O166)</f>
        <v>0</v>
      </c>
      <c r="P160" s="150">
        <f>SUM(P161:P166)</f>
        <v>929.89</v>
      </c>
      <c r="Q160" s="150">
        <f>SUM(Q161:Q166)</f>
        <v>0</v>
      </c>
      <c r="R160" s="173" t="e">
        <f t="shared" si="130"/>
        <v>#DIV/0!</v>
      </c>
      <c r="S160" s="173">
        <f t="shared" si="130"/>
        <v>0</v>
      </c>
      <c r="T160" s="173" t="e">
        <f>K160/H160</f>
        <v>#DIV/0!</v>
      </c>
      <c r="U160" s="150">
        <f t="shared" ref="U160:BG160" si="142">SUM(U161:U166)</f>
        <v>0</v>
      </c>
      <c r="V160" s="150">
        <f t="shared" si="142"/>
        <v>0</v>
      </c>
      <c r="W160" s="150">
        <f t="shared" si="142"/>
        <v>0</v>
      </c>
      <c r="X160" s="150">
        <f t="shared" si="142"/>
        <v>0</v>
      </c>
      <c r="Y160" s="150">
        <f t="shared" si="142"/>
        <v>0</v>
      </c>
      <c r="Z160" s="150">
        <f t="shared" si="142"/>
        <v>0</v>
      </c>
      <c r="AA160" s="150">
        <f t="shared" si="142"/>
        <v>0</v>
      </c>
      <c r="AB160" s="150">
        <f t="shared" si="142"/>
        <v>0</v>
      </c>
      <c r="AC160" s="150">
        <f t="shared" si="142"/>
        <v>0</v>
      </c>
      <c r="AD160" s="150">
        <f t="shared" si="142"/>
        <v>0</v>
      </c>
      <c r="AE160" s="150">
        <f t="shared" si="142"/>
        <v>0</v>
      </c>
      <c r="AF160" s="150">
        <f t="shared" si="142"/>
        <v>0</v>
      </c>
      <c r="AG160" s="150">
        <f t="shared" si="142"/>
        <v>0</v>
      </c>
      <c r="AH160" s="150">
        <f t="shared" si="142"/>
        <v>0</v>
      </c>
      <c r="AI160" s="150">
        <f t="shared" si="142"/>
        <v>0</v>
      </c>
      <c r="AJ160" s="150">
        <f t="shared" si="142"/>
        <v>0</v>
      </c>
      <c r="AK160" s="150">
        <f t="shared" si="142"/>
        <v>0</v>
      </c>
      <c r="AL160" s="150">
        <f t="shared" si="142"/>
        <v>0</v>
      </c>
      <c r="AM160" s="150">
        <f t="shared" si="142"/>
        <v>0</v>
      </c>
      <c r="AN160" s="150">
        <f t="shared" si="142"/>
        <v>0</v>
      </c>
      <c r="AO160" s="150">
        <f t="shared" si="142"/>
        <v>0</v>
      </c>
      <c r="AP160" s="150">
        <f t="shared" si="142"/>
        <v>0</v>
      </c>
      <c r="AQ160" s="150">
        <f t="shared" si="142"/>
        <v>0</v>
      </c>
      <c r="AR160" s="150">
        <f t="shared" si="142"/>
        <v>0</v>
      </c>
      <c r="AS160" s="150">
        <f t="shared" si="142"/>
        <v>0</v>
      </c>
      <c r="AT160" s="150">
        <f t="shared" si="142"/>
        <v>0</v>
      </c>
      <c r="AU160" s="150">
        <f t="shared" si="142"/>
        <v>0</v>
      </c>
      <c r="AV160" s="150">
        <f t="shared" si="142"/>
        <v>0</v>
      </c>
      <c r="AW160" s="150">
        <f t="shared" si="142"/>
        <v>0</v>
      </c>
      <c r="AX160" s="150">
        <f t="shared" si="142"/>
        <v>0</v>
      </c>
      <c r="AY160" s="150">
        <f t="shared" si="142"/>
        <v>0</v>
      </c>
      <c r="AZ160" s="150">
        <f t="shared" si="142"/>
        <v>0</v>
      </c>
      <c r="BA160" s="150">
        <f t="shared" si="142"/>
        <v>0</v>
      </c>
      <c r="BB160" s="150">
        <f t="shared" si="142"/>
        <v>0</v>
      </c>
      <c r="BC160" s="150">
        <f t="shared" si="142"/>
        <v>0</v>
      </c>
      <c r="BD160" s="150">
        <f t="shared" si="142"/>
        <v>0</v>
      </c>
      <c r="BE160" s="150">
        <f t="shared" si="142"/>
        <v>0</v>
      </c>
      <c r="BF160" s="150">
        <f t="shared" si="142"/>
        <v>0</v>
      </c>
      <c r="BG160" s="150">
        <f t="shared" si="142"/>
        <v>0</v>
      </c>
      <c r="BH160" s="152"/>
      <c r="BI160" s="153"/>
      <c r="BJ160" s="153"/>
      <c r="BK160" s="153"/>
      <c r="BL160" s="153"/>
    </row>
    <row r="161" spans="1:64" ht="15.75" customHeight="1" x14ac:dyDescent="0.25">
      <c r="A161" s="42"/>
      <c r="B161" s="70" t="s">
        <v>289</v>
      </c>
      <c r="C161" s="190" t="s">
        <v>187</v>
      </c>
      <c r="D161" s="206" t="s">
        <v>290</v>
      </c>
      <c r="E161" s="36"/>
      <c r="F161" s="75">
        <v>929.89</v>
      </c>
      <c r="G161" s="75"/>
      <c r="H161" s="130"/>
      <c r="I161" s="37">
        <f t="shared" ref="I161:K165" si="143">U161+X161+AA161+AD161+AG161+AJ161+AM161+AP161+AS161+AV161+AY161+BB161</f>
        <v>0</v>
      </c>
      <c r="J161" s="37">
        <f t="shared" si="143"/>
        <v>0</v>
      </c>
      <c r="K161" s="37">
        <f t="shared" si="143"/>
        <v>0</v>
      </c>
      <c r="L161" s="37">
        <f t="shared" si="137"/>
        <v>0</v>
      </c>
      <c r="M161" s="37">
        <f t="shared" si="137"/>
        <v>0</v>
      </c>
      <c r="N161" s="37">
        <f t="shared" si="137"/>
        <v>0</v>
      </c>
      <c r="O161" s="37">
        <f>E161-I161</f>
        <v>0</v>
      </c>
      <c r="P161" s="37">
        <f>F161-J161</f>
        <v>929.89</v>
      </c>
      <c r="Q161" s="37">
        <f t="shared" ref="Q161:Q165" si="144">H161-K161</f>
        <v>0</v>
      </c>
      <c r="R161" s="39" t="e">
        <f t="shared" si="130"/>
        <v>#DIV/0!</v>
      </c>
      <c r="S161" s="39">
        <f t="shared" si="130"/>
        <v>0</v>
      </c>
      <c r="T161" s="39" t="e">
        <f>K161/H161</f>
        <v>#DIV/0!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40"/>
      <c r="BI161" s="41"/>
      <c r="BJ161" s="41"/>
      <c r="BK161" s="41"/>
      <c r="BL161" s="41"/>
    </row>
    <row r="162" spans="1:64" ht="15.75" hidden="1" customHeight="1" x14ac:dyDescent="0.25">
      <c r="A162" s="42"/>
      <c r="B162" s="42"/>
      <c r="C162" s="32" t="s">
        <v>187</v>
      </c>
      <c r="D162" s="137" t="s">
        <v>291</v>
      </c>
      <c r="E162" s="36"/>
      <c r="F162" s="36"/>
      <c r="G162" s="36"/>
      <c r="H162" s="130"/>
      <c r="I162" s="37">
        <f t="shared" si="143"/>
        <v>0</v>
      </c>
      <c r="J162" s="37">
        <f t="shared" si="143"/>
        <v>0</v>
      </c>
      <c r="K162" s="37">
        <f t="shared" si="143"/>
        <v>0</v>
      </c>
      <c r="L162" s="37">
        <f t="shared" si="137"/>
        <v>0</v>
      </c>
      <c r="M162" s="37">
        <f t="shared" si="137"/>
        <v>0</v>
      </c>
      <c r="N162" s="37">
        <f t="shared" si="137"/>
        <v>0</v>
      </c>
      <c r="O162" s="37">
        <f>E162-I162</f>
        <v>0</v>
      </c>
      <c r="P162" s="37">
        <f>F162-J162</f>
        <v>0</v>
      </c>
      <c r="Q162" s="37">
        <f t="shared" si="144"/>
        <v>0</v>
      </c>
      <c r="R162" s="39" t="e">
        <f t="shared" si="130"/>
        <v>#DIV/0!</v>
      </c>
      <c r="S162" s="39" t="e">
        <f t="shared" si="130"/>
        <v>#DIV/0!</v>
      </c>
      <c r="T162" s="39" t="e">
        <f>K162/H162</f>
        <v>#DIV/0!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40"/>
      <c r="BI162" s="41"/>
      <c r="BJ162" s="41"/>
      <c r="BK162" s="41"/>
      <c r="BL162" s="41"/>
    </row>
    <row r="163" spans="1:64" ht="15.75" hidden="1" customHeight="1" x14ac:dyDescent="0.25">
      <c r="A163" s="42"/>
      <c r="B163" s="42"/>
      <c r="C163" s="135" t="s">
        <v>292</v>
      </c>
      <c r="D163" s="136" t="s">
        <v>293</v>
      </c>
      <c r="E163" s="36"/>
      <c r="F163" s="36"/>
      <c r="G163" s="36"/>
      <c r="H163" s="130"/>
      <c r="I163" s="37">
        <f t="shared" si="143"/>
        <v>0</v>
      </c>
      <c r="J163" s="37">
        <f t="shared" si="143"/>
        <v>0</v>
      </c>
      <c r="K163" s="37">
        <f t="shared" si="143"/>
        <v>0</v>
      </c>
      <c r="L163" s="37">
        <f t="shared" si="137"/>
        <v>0</v>
      </c>
      <c r="M163" s="37">
        <f t="shared" si="137"/>
        <v>0</v>
      </c>
      <c r="N163" s="37">
        <f t="shared" si="137"/>
        <v>0</v>
      </c>
      <c r="O163" s="37">
        <f t="shared" ref="O163:P165" si="145">E163-I163</f>
        <v>0</v>
      </c>
      <c r="P163" s="37">
        <f t="shared" si="145"/>
        <v>0</v>
      </c>
      <c r="Q163" s="37">
        <f t="shared" si="144"/>
        <v>0</v>
      </c>
      <c r="R163" s="39" t="e">
        <f t="shared" si="130"/>
        <v>#DIV/0!</v>
      </c>
      <c r="S163" s="39" t="e">
        <f t="shared" si="130"/>
        <v>#DIV/0!</v>
      </c>
      <c r="T163" s="39" t="e">
        <f t="shared" ref="T163:T168" si="146">K163/H163</f>
        <v>#DIV/0!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40"/>
      <c r="BI163" s="41"/>
      <c r="BJ163" s="41"/>
      <c r="BK163" s="41"/>
      <c r="BL163" s="41"/>
    </row>
    <row r="164" spans="1:64" ht="15.75" hidden="1" customHeight="1" x14ac:dyDescent="0.25">
      <c r="A164" s="42"/>
      <c r="B164" s="42"/>
      <c r="C164" s="135" t="s">
        <v>294</v>
      </c>
      <c r="D164" s="136" t="s">
        <v>293</v>
      </c>
      <c r="E164" s="36"/>
      <c r="F164" s="36"/>
      <c r="G164" s="36"/>
      <c r="H164" s="130"/>
      <c r="I164" s="37">
        <f t="shared" si="143"/>
        <v>0</v>
      </c>
      <c r="J164" s="37">
        <f t="shared" si="143"/>
        <v>0</v>
      </c>
      <c r="K164" s="37">
        <f t="shared" si="143"/>
        <v>0</v>
      </c>
      <c r="L164" s="37">
        <f t="shared" si="137"/>
        <v>0</v>
      </c>
      <c r="M164" s="37">
        <f t="shared" si="137"/>
        <v>0</v>
      </c>
      <c r="N164" s="37">
        <f t="shared" si="137"/>
        <v>0</v>
      </c>
      <c r="O164" s="37">
        <f t="shared" si="145"/>
        <v>0</v>
      </c>
      <c r="P164" s="37">
        <f t="shared" si="145"/>
        <v>0</v>
      </c>
      <c r="Q164" s="37">
        <f t="shared" si="144"/>
        <v>0</v>
      </c>
      <c r="R164" s="39" t="e">
        <f t="shared" si="130"/>
        <v>#DIV/0!</v>
      </c>
      <c r="S164" s="39" t="e">
        <f t="shared" si="130"/>
        <v>#DIV/0!</v>
      </c>
      <c r="T164" s="39" t="e">
        <f t="shared" si="146"/>
        <v>#DIV/0!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40"/>
      <c r="BI164" s="41"/>
      <c r="BJ164" s="41"/>
      <c r="BK164" s="41"/>
      <c r="BL164" s="41"/>
    </row>
    <row r="165" spans="1:64" ht="15.75" hidden="1" customHeight="1" x14ac:dyDescent="0.25">
      <c r="A165" s="42"/>
      <c r="B165" s="42"/>
      <c r="C165" s="135" t="s">
        <v>101</v>
      </c>
      <c r="D165" s="136" t="s">
        <v>293</v>
      </c>
      <c r="E165" s="36"/>
      <c r="F165" s="36"/>
      <c r="G165" s="36"/>
      <c r="H165" s="130"/>
      <c r="I165" s="37">
        <f t="shared" si="143"/>
        <v>0</v>
      </c>
      <c r="J165" s="37">
        <f t="shared" si="143"/>
        <v>0</v>
      </c>
      <c r="K165" s="37">
        <f t="shared" si="143"/>
        <v>0</v>
      </c>
      <c r="L165" s="37">
        <f t="shared" si="137"/>
        <v>0</v>
      </c>
      <c r="M165" s="37">
        <f t="shared" si="137"/>
        <v>0</v>
      </c>
      <c r="N165" s="37">
        <f t="shared" si="137"/>
        <v>0</v>
      </c>
      <c r="O165" s="37">
        <f t="shared" si="145"/>
        <v>0</v>
      </c>
      <c r="P165" s="37">
        <f t="shared" si="145"/>
        <v>0</v>
      </c>
      <c r="Q165" s="37">
        <f t="shared" si="144"/>
        <v>0</v>
      </c>
      <c r="R165" s="39" t="e">
        <f t="shared" si="130"/>
        <v>#DIV/0!</v>
      </c>
      <c r="S165" s="39" t="e">
        <f t="shared" si="130"/>
        <v>#DIV/0!</v>
      </c>
      <c r="T165" s="39" t="e">
        <f t="shared" si="146"/>
        <v>#DIV/0!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40"/>
      <c r="BI165" s="41"/>
      <c r="BJ165" s="41"/>
      <c r="BK165" s="41"/>
      <c r="BL165" s="41"/>
    </row>
    <row r="166" spans="1:64" ht="15.75" hidden="1" customHeight="1" x14ac:dyDescent="0.25">
      <c r="A166" s="42"/>
      <c r="B166" s="42"/>
      <c r="C166" s="32" t="s">
        <v>266</v>
      </c>
      <c r="D166" s="76" t="s">
        <v>295</v>
      </c>
      <c r="E166" s="36"/>
      <c r="F166" s="36"/>
      <c r="G166" s="36"/>
      <c r="H166" s="177"/>
      <c r="I166" s="37">
        <f>U166+X166+AA166+AD166+AG166+AJ166+AM166+AP166+AS166+AV166+AY166+BB166</f>
        <v>0</v>
      </c>
      <c r="J166" s="37">
        <f>V166+Y166+AB166+AE166+AH166+AK166+AN166+AQ166+AT166+AW166+AZ166+BC166</f>
        <v>0</v>
      </c>
      <c r="K166" s="37">
        <f>W166+Z166+AC166+AF166+AI166+AL166+AO166+AR166+AU166+AX166+BA166+BD166</f>
        <v>0</v>
      </c>
      <c r="L166" s="37">
        <f t="shared" si="137"/>
        <v>0</v>
      </c>
      <c r="M166" s="37">
        <f t="shared" si="137"/>
        <v>0</v>
      </c>
      <c r="N166" s="37">
        <f t="shared" si="137"/>
        <v>0</v>
      </c>
      <c r="O166" s="37">
        <f>E166-I166</f>
        <v>0</v>
      </c>
      <c r="P166" s="37">
        <f>F166-J166</f>
        <v>0</v>
      </c>
      <c r="Q166" s="37">
        <f>H166-K166</f>
        <v>0</v>
      </c>
      <c r="R166" s="39" t="e">
        <f t="shared" ref="R166:S168" si="147">I166/E166</f>
        <v>#DIV/0!</v>
      </c>
      <c r="S166" s="39" t="e">
        <f t="shared" si="147"/>
        <v>#DIV/0!</v>
      </c>
      <c r="T166" s="39" t="e">
        <f t="shared" si="146"/>
        <v>#DIV/0!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40"/>
      <c r="BI166" s="41"/>
      <c r="BJ166" s="41"/>
      <c r="BK166" s="41"/>
      <c r="BL166" s="41"/>
    </row>
    <row r="167" spans="1:64" ht="15.75" x14ac:dyDescent="0.25">
      <c r="A167" s="178"/>
      <c r="B167" s="178"/>
      <c r="C167" s="179"/>
      <c r="D167" s="180" t="s">
        <v>296</v>
      </c>
      <c r="E167" s="181">
        <f>SUM(E168:E168)</f>
        <v>0</v>
      </c>
      <c r="F167" s="181">
        <f>SUM(F168:F168)</f>
        <v>8583.0400000000009</v>
      </c>
      <c r="G167" s="181"/>
      <c r="H167" s="181">
        <f>SUM(H168:H168)</f>
        <v>0</v>
      </c>
      <c r="I167" s="181">
        <f>SUM(I168:I168)</f>
        <v>0</v>
      </c>
      <c r="J167" s="181">
        <f>SUM(J168:J168)</f>
        <v>6316</v>
      </c>
      <c r="K167" s="181">
        <f>SUM(K168:K168)</f>
        <v>0</v>
      </c>
      <c r="L167" s="154">
        <f t="shared" si="137"/>
        <v>0</v>
      </c>
      <c r="M167" s="154">
        <f t="shared" si="137"/>
        <v>6316</v>
      </c>
      <c r="N167" s="154">
        <f t="shared" si="137"/>
        <v>0</v>
      </c>
      <c r="O167" s="181">
        <f>SUM(O168:O168)</f>
        <v>0</v>
      </c>
      <c r="P167" s="181">
        <f>SUM(P168:P168)</f>
        <v>2267.0400000000009</v>
      </c>
      <c r="Q167" s="181">
        <f>SUM(Q168:Q168)</f>
        <v>0</v>
      </c>
      <c r="R167" s="182" t="e">
        <f t="shared" si="147"/>
        <v>#DIV/0!</v>
      </c>
      <c r="S167" s="182">
        <f t="shared" si="147"/>
        <v>0.73586980836626648</v>
      </c>
      <c r="T167" s="182" t="e">
        <f t="shared" si="146"/>
        <v>#DIV/0!</v>
      </c>
      <c r="U167" s="181">
        <f>SUM(U168:U168)</f>
        <v>0</v>
      </c>
      <c r="V167" s="181">
        <f>SUM(V168:V168)</f>
        <v>0</v>
      </c>
      <c r="W167" s="181">
        <f>SUM(W168:W168)</f>
        <v>0</v>
      </c>
      <c r="X167" s="181">
        <f>SUM(X168:X168)</f>
        <v>0</v>
      </c>
      <c r="Y167" s="181">
        <f>SUM(Y168:Y168)</f>
        <v>6316</v>
      </c>
      <c r="Z167" s="181">
        <f>SUM(Z168:Z168)</f>
        <v>0</v>
      </c>
      <c r="AA167" s="181">
        <f>SUM(AA168:AA168)</f>
        <v>0</v>
      </c>
      <c r="AB167" s="181">
        <f>SUM(AB168:AB168)</f>
        <v>0</v>
      </c>
      <c r="AC167" s="181">
        <f>SUM(AC168:AC168)</f>
        <v>0</v>
      </c>
      <c r="AD167" s="181">
        <f>SUM(AD168:AD168)</f>
        <v>0</v>
      </c>
      <c r="AE167" s="181">
        <f>SUM(AE168:AE168)</f>
        <v>0</v>
      </c>
      <c r="AF167" s="181">
        <f>SUM(AF168:AF168)</f>
        <v>0</v>
      </c>
      <c r="AG167" s="181">
        <f>SUM(AG168:AG168)</f>
        <v>0</v>
      </c>
      <c r="AH167" s="181">
        <f>SUM(AH168:AH168)</f>
        <v>0</v>
      </c>
      <c r="AI167" s="181">
        <f>SUM(AI168:AI168)</f>
        <v>0</v>
      </c>
      <c r="AJ167" s="181">
        <f>SUM(AJ168:AJ168)</f>
        <v>0</v>
      </c>
      <c r="AK167" s="181">
        <f>SUM(AK168:AK168)</f>
        <v>0</v>
      </c>
      <c r="AL167" s="181">
        <f>SUM(AL168:AL168)</f>
        <v>0</v>
      </c>
      <c r="AM167" s="181">
        <f>SUM(AM168:AM168)</f>
        <v>0</v>
      </c>
      <c r="AN167" s="181">
        <f>SUM(AN168:AN168)</f>
        <v>0</v>
      </c>
      <c r="AO167" s="181">
        <f>SUM(AO168:AO168)</f>
        <v>0</v>
      </c>
      <c r="AP167" s="181">
        <f>SUM(AP168:AP168)</f>
        <v>0</v>
      </c>
      <c r="AQ167" s="181">
        <f>SUM(AQ168:AQ168)</f>
        <v>0</v>
      </c>
      <c r="AR167" s="181">
        <f>SUM(AR168:AR168)</f>
        <v>0</v>
      </c>
      <c r="AS167" s="181">
        <f>SUM(AS168:AS168)</f>
        <v>0</v>
      </c>
      <c r="AT167" s="181">
        <f>SUM(AT168:AT168)</f>
        <v>0</v>
      </c>
      <c r="AU167" s="181">
        <f>SUM(AU168:AU168)</f>
        <v>0</v>
      </c>
      <c r="AV167" s="181">
        <f>SUM(AV168:AV168)</f>
        <v>0</v>
      </c>
      <c r="AW167" s="181">
        <f>SUM(AW168:AW168)</f>
        <v>0</v>
      </c>
      <c r="AX167" s="181">
        <f>SUM(AX168:AX168)</f>
        <v>0</v>
      </c>
      <c r="AY167" s="181">
        <f>SUM(AY168:AY168)</f>
        <v>0</v>
      </c>
      <c r="AZ167" s="181">
        <f>SUM(AZ168:AZ168)</f>
        <v>0</v>
      </c>
      <c r="BA167" s="181">
        <f>SUM(BA168:BA168)</f>
        <v>0</v>
      </c>
      <c r="BB167" s="181">
        <f>SUM(BB168:BB168)</f>
        <v>0</v>
      </c>
      <c r="BC167" s="181">
        <f>SUM(BC168:BC168)</f>
        <v>0</v>
      </c>
      <c r="BD167" s="181">
        <f>SUM(BD168:BD168)</f>
        <v>0</v>
      </c>
      <c r="BE167" s="181">
        <f>SUM(BE168:BE168)</f>
        <v>0</v>
      </c>
      <c r="BF167" s="181">
        <f>SUM(BF168:BF168)</f>
        <v>0</v>
      </c>
      <c r="BG167" s="181">
        <f>SUM(BG168:BG168)</f>
        <v>0</v>
      </c>
      <c r="BH167" s="152"/>
      <c r="BI167" s="153"/>
      <c r="BJ167" s="153"/>
      <c r="BK167" s="153"/>
      <c r="BL167" s="153"/>
    </row>
    <row r="168" spans="1:64" ht="15" customHeight="1" x14ac:dyDescent="0.25">
      <c r="A168" s="42"/>
      <c r="B168" s="70" t="s">
        <v>297</v>
      </c>
      <c r="C168" s="192" t="s">
        <v>193</v>
      </c>
      <c r="D168" s="191" t="s">
        <v>298</v>
      </c>
      <c r="E168" s="36"/>
      <c r="F168" s="75">
        <f>558+3202+552+358.04+2004+780+675+454</f>
        <v>8583.0400000000009</v>
      </c>
      <c r="G168" s="75"/>
      <c r="H168" s="177"/>
      <c r="I168" s="37">
        <f t="shared" ref="I168:K168" si="148">U168+X168+AA168+AD168+AG168+AJ168+AM168+AP168+AS168+AV168+AY168+BB168</f>
        <v>0</v>
      </c>
      <c r="J168" s="37">
        <f t="shared" si="148"/>
        <v>6316</v>
      </c>
      <c r="K168" s="37">
        <f t="shared" si="148"/>
        <v>0</v>
      </c>
      <c r="L168" s="37">
        <f t="shared" si="137"/>
        <v>0</v>
      </c>
      <c r="M168" s="37">
        <f t="shared" si="137"/>
        <v>6316</v>
      </c>
      <c r="N168" s="37">
        <f t="shared" si="137"/>
        <v>0</v>
      </c>
      <c r="O168" s="37">
        <f t="shared" ref="O168:P168" si="149">E168-I168</f>
        <v>0</v>
      </c>
      <c r="P168" s="37">
        <f t="shared" si="149"/>
        <v>2267.0400000000009</v>
      </c>
      <c r="Q168" s="37">
        <f t="shared" ref="Q168" si="150">H168-K168</f>
        <v>0</v>
      </c>
      <c r="R168" s="39" t="e">
        <f t="shared" si="147"/>
        <v>#DIV/0!</v>
      </c>
      <c r="S168" s="39">
        <f t="shared" si="147"/>
        <v>0.73586980836626648</v>
      </c>
      <c r="T168" s="39" t="e">
        <f t="shared" si="146"/>
        <v>#DIV/0!</v>
      </c>
      <c r="U168" s="35"/>
      <c r="V168" s="35"/>
      <c r="W168" s="35"/>
      <c r="X168" s="35"/>
      <c r="Y168" s="35">
        <f>2004+4312</f>
        <v>6316</v>
      </c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40"/>
      <c r="BI168" s="41"/>
      <c r="BJ168" s="41"/>
      <c r="BK168" s="41"/>
      <c r="BL168" s="41"/>
    </row>
    <row r="169" spans="1:64" ht="15.75" customHeight="1" x14ac:dyDescent="0.25">
      <c r="S169" s="184"/>
    </row>
    <row r="170" spans="1:64" ht="15.75" customHeight="1" x14ac:dyDescent="0.25">
      <c r="S170" s="184"/>
    </row>
    <row r="171" spans="1:64" ht="15.75" customHeight="1" x14ac:dyDescent="0.25">
      <c r="S171" s="184"/>
    </row>
    <row r="172" spans="1:64" ht="15.75" customHeight="1" x14ac:dyDescent="0.25">
      <c r="S172" s="184"/>
    </row>
    <row r="173" spans="1:64" ht="15.75" customHeight="1" x14ac:dyDescent="0.25">
      <c r="S173" s="184"/>
    </row>
    <row r="174" spans="1:64" ht="15.75" customHeight="1" x14ac:dyDescent="0.25">
      <c r="S174" s="184"/>
    </row>
    <row r="175" spans="1:64" ht="15.75" customHeight="1" x14ac:dyDescent="0.25">
      <c r="S175" s="184"/>
    </row>
    <row r="176" spans="1:64" ht="15.75" customHeight="1" x14ac:dyDescent="0.25">
      <c r="S176" s="184"/>
    </row>
    <row r="177" spans="19:19" ht="15.75" customHeight="1" x14ac:dyDescent="0.25">
      <c r="S177" s="184"/>
    </row>
    <row r="178" spans="19:19" ht="15.75" customHeight="1" x14ac:dyDescent="0.25">
      <c r="S178" s="184"/>
    </row>
    <row r="179" spans="19:19" ht="15.75" customHeight="1" x14ac:dyDescent="0.25">
      <c r="S179" s="184"/>
    </row>
    <row r="180" spans="19:19" ht="15.75" customHeight="1" x14ac:dyDescent="0.25">
      <c r="S180" s="184"/>
    </row>
    <row r="181" spans="19:19" ht="15.75" customHeight="1" x14ac:dyDescent="0.25">
      <c r="S181" s="184"/>
    </row>
    <row r="182" spans="19:19" ht="15.75" customHeight="1" x14ac:dyDescent="0.25">
      <c r="S182" s="184"/>
    </row>
    <row r="183" spans="19:19" ht="15.75" customHeight="1" x14ac:dyDescent="0.25">
      <c r="S183" s="184"/>
    </row>
    <row r="184" spans="19:19" ht="15.75" customHeight="1" x14ac:dyDescent="0.25">
      <c r="S184" s="184"/>
    </row>
    <row r="185" spans="19:19" ht="15.75" customHeight="1" x14ac:dyDescent="0.25">
      <c r="S185" s="184"/>
    </row>
    <row r="186" spans="19:19" ht="15.75" customHeight="1" x14ac:dyDescent="0.25">
      <c r="S186" s="184"/>
    </row>
    <row r="187" spans="19:19" ht="15.75" customHeight="1" x14ac:dyDescent="0.25">
      <c r="S187" s="184"/>
    </row>
    <row r="188" spans="19:19" ht="15.75" customHeight="1" x14ac:dyDescent="0.25">
      <c r="S188" s="184"/>
    </row>
    <row r="189" spans="19:19" ht="15.75" customHeight="1" x14ac:dyDescent="0.25">
      <c r="S189" s="184"/>
    </row>
    <row r="190" spans="19:19" ht="15.75" customHeight="1" x14ac:dyDescent="0.25">
      <c r="S190" s="184"/>
    </row>
    <row r="191" spans="19:19" ht="15.75" customHeight="1" x14ac:dyDescent="0.25">
      <c r="S191" s="184"/>
    </row>
    <row r="192" spans="19:19" ht="15.75" customHeight="1" x14ac:dyDescent="0.25">
      <c r="S192" s="184"/>
    </row>
    <row r="193" spans="19:19" ht="15.75" customHeight="1" x14ac:dyDescent="0.25">
      <c r="S193" s="184"/>
    </row>
    <row r="194" spans="19:19" ht="15.75" customHeight="1" x14ac:dyDescent="0.25">
      <c r="S194" s="184"/>
    </row>
    <row r="195" spans="19:19" ht="15.75" customHeight="1" x14ac:dyDescent="0.25">
      <c r="S195" s="184"/>
    </row>
    <row r="196" spans="19:19" ht="15.75" customHeight="1" x14ac:dyDescent="0.25">
      <c r="S196" s="184"/>
    </row>
    <row r="197" spans="19:19" ht="15.75" customHeight="1" x14ac:dyDescent="0.25">
      <c r="S197" s="184"/>
    </row>
    <row r="198" spans="19:19" ht="15.75" customHeight="1" x14ac:dyDescent="0.25">
      <c r="S198" s="184"/>
    </row>
    <row r="199" spans="19:19" ht="15.75" customHeight="1" x14ac:dyDescent="0.25">
      <c r="S199" s="184"/>
    </row>
    <row r="200" spans="19:19" ht="15.75" customHeight="1" x14ac:dyDescent="0.25">
      <c r="S200" s="184"/>
    </row>
    <row r="201" spans="19:19" ht="15.75" customHeight="1" x14ac:dyDescent="0.25">
      <c r="S201" s="184"/>
    </row>
    <row r="202" spans="19:19" ht="15.75" customHeight="1" x14ac:dyDescent="0.25">
      <c r="S202" s="184"/>
    </row>
    <row r="203" spans="19:19" ht="15.75" customHeight="1" x14ac:dyDescent="0.25">
      <c r="S203" s="184"/>
    </row>
    <row r="204" spans="19:19" ht="15.75" customHeight="1" x14ac:dyDescent="0.25">
      <c r="S204" s="184"/>
    </row>
    <row r="205" spans="19:19" ht="15.75" customHeight="1" x14ac:dyDescent="0.25">
      <c r="S205" s="184"/>
    </row>
    <row r="206" spans="19:19" ht="15.75" customHeight="1" x14ac:dyDescent="0.25">
      <c r="S206" s="184"/>
    </row>
    <row r="207" spans="19:19" ht="15.75" customHeight="1" x14ac:dyDescent="0.25">
      <c r="S207" s="184"/>
    </row>
    <row r="208" spans="19:19" ht="15.75" customHeight="1" x14ac:dyDescent="0.25">
      <c r="S208" s="184"/>
    </row>
    <row r="209" spans="19:19" ht="15.75" customHeight="1" x14ac:dyDescent="0.25">
      <c r="S209" s="184"/>
    </row>
    <row r="210" spans="19:19" ht="15.75" customHeight="1" x14ac:dyDescent="0.25">
      <c r="S210" s="184"/>
    </row>
    <row r="211" spans="19:19" ht="15.75" customHeight="1" x14ac:dyDescent="0.25">
      <c r="S211" s="184"/>
    </row>
    <row r="212" spans="19:19" ht="15.75" customHeight="1" x14ac:dyDescent="0.25">
      <c r="S212" s="184"/>
    </row>
    <row r="213" spans="19:19" ht="15.75" customHeight="1" x14ac:dyDescent="0.25">
      <c r="S213" s="184"/>
    </row>
    <row r="214" spans="19:19" ht="15.75" customHeight="1" x14ac:dyDescent="0.25">
      <c r="S214" s="184"/>
    </row>
    <row r="215" spans="19:19" ht="15.75" customHeight="1" x14ac:dyDescent="0.25">
      <c r="S215" s="184"/>
    </row>
    <row r="216" spans="19:19" ht="15.75" customHeight="1" x14ac:dyDescent="0.25">
      <c r="S216" s="184"/>
    </row>
    <row r="217" spans="19:19" ht="15.75" customHeight="1" x14ac:dyDescent="0.25">
      <c r="S217" s="184"/>
    </row>
    <row r="218" spans="19:19" ht="15.75" customHeight="1" x14ac:dyDescent="0.25">
      <c r="S218" s="184"/>
    </row>
    <row r="219" spans="19:19" ht="15.75" customHeight="1" x14ac:dyDescent="0.25">
      <c r="S219" s="184"/>
    </row>
    <row r="220" spans="19:19" ht="15.75" customHeight="1" x14ac:dyDescent="0.25">
      <c r="S220" s="184"/>
    </row>
    <row r="221" spans="19:19" ht="15.75" customHeight="1" x14ac:dyDescent="0.25">
      <c r="S221" s="184"/>
    </row>
    <row r="222" spans="19:19" ht="15.75" customHeight="1" x14ac:dyDescent="0.25">
      <c r="S222" s="184"/>
    </row>
    <row r="223" spans="19:19" ht="15.75" customHeight="1" x14ac:dyDescent="0.25">
      <c r="S223" s="184"/>
    </row>
    <row r="224" spans="19:19" ht="15.75" customHeight="1" x14ac:dyDescent="0.25">
      <c r="S224" s="184"/>
    </row>
    <row r="225" spans="19:19" ht="15.75" customHeight="1" x14ac:dyDescent="0.25">
      <c r="S225" s="184"/>
    </row>
    <row r="226" spans="19:19" ht="15.75" customHeight="1" x14ac:dyDescent="0.25">
      <c r="S226" s="184"/>
    </row>
    <row r="227" spans="19:19" ht="15.75" customHeight="1" x14ac:dyDescent="0.25">
      <c r="S227" s="184"/>
    </row>
    <row r="228" spans="19:19" ht="15.75" customHeight="1" x14ac:dyDescent="0.25">
      <c r="S228" s="184"/>
    </row>
    <row r="229" spans="19:19" ht="15.75" customHeight="1" x14ac:dyDescent="0.25">
      <c r="S229" s="184"/>
    </row>
    <row r="230" spans="19:19" ht="15.75" customHeight="1" x14ac:dyDescent="0.25">
      <c r="S230" s="184"/>
    </row>
    <row r="231" spans="19:19" ht="15.75" customHeight="1" x14ac:dyDescent="0.25">
      <c r="S231" s="184"/>
    </row>
    <row r="232" spans="19:19" ht="15.75" customHeight="1" x14ac:dyDescent="0.25">
      <c r="S232" s="184"/>
    </row>
    <row r="233" spans="19:19" ht="15.75" customHeight="1" x14ac:dyDescent="0.25">
      <c r="S233" s="184"/>
    </row>
    <row r="234" spans="19:19" ht="15.75" customHeight="1" x14ac:dyDescent="0.25">
      <c r="S234" s="184"/>
    </row>
    <row r="235" spans="19:19" ht="15.75" customHeight="1" x14ac:dyDescent="0.25">
      <c r="S235" s="184"/>
    </row>
    <row r="236" spans="19:19" ht="15.75" customHeight="1" x14ac:dyDescent="0.25">
      <c r="S236" s="184"/>
    </row>
    <row r="237" spans="19:19" ht="15.75" customHeight="1" x14ac:dyDescent="0.25">
      <c r="S237" s="184"/>
    </row>
    <row r="238" spans="19:19" ht="15.75" customHeight="1" x14ac:dyDescent="0.25">
      <c r="S238" s="184"/>
    </row>
    <row r="239" spans="19:19" ht="15.75" customHeight="1" x14ac:dyDescent="0.25">
      <c r="S239" s="184"/>
    </row>
    <row r="240" spans="19:19" ht="15.75" customHeight="1" x14ac:dyDescent="0.25">
      <c r="S240" s="184"/>
    </row>
    <row r="241" spans="19:19" ht="15.75" customHeight="1" x14ac:dyDescent="0.25">
      <c r="S241" s="184"/>
    </row>
    <row r="242" spans="19:19" ht="15.75" customHeight="1" x14ac:dyDescent="0.25">
      <c r="S242" s="184"/>
    </row>
    <row r="243" spans="19:19" ht="15.75" customHeight="1" x14ac:dyDescent="0.25">
      <c r="S243" s="184"/>
    </row>
    <row r="244" spans="19:19" ht="15.75" customHeight="1" x14ac:dyDescent="0.25">
      <c r="S244" s="184"/>
    </row>
    <row r="245" spans="19:19" ht="15.75" customHeight="1" x14ac:dyDescent="0.25">
      <c r="S245" s="184"/>
    </row>
    <row r="246" spans="19:19" ht="15.75" customHeight="1" x14ac:dyDescent="0.25">
      <c r="S246" s="184"/>
    </row>
    <row r="247" spans="19:19" ht="15.75" customHeight="1" x14ac:dyDescent="0.25">
      <c r="S247" s="184"/>
    </row>
    <row r="248" spans="19:19" ht="15.75" customHeight="1" x14ac:dyDescent="0.25">
      <c r="S248" s="184"/>
    </row>
    <row r="249" spans="19:19" ht="15.75" customHeight="1" x14ac:dyDescent="0.25">
      <c r="S249" s="184"/>
    </row>
    <row r="250" spans="19:19" ht="15.75" customHeight="1" x14ac:dyDescent="0.25">
      <c r="S250" s="184"/>
    </row>
    <row r="251" spans="19:19" ht="15.75" customHeight="1" x14ac:dyDescent="0.25">
      <c r="S251" s="184"/>
    </row>
    <row r="252" spans="19:19" ht="15.75" customHeight="1" x14ac:dyDescent="0.25">
      <c r="S252" s="184"/>
    </row>
    <row r="253" spans="19:19" ht="15.75" customHeight="1" x14ac:dyDescent="0.25">
      <c r="S253" s="184"/>
    </row>
    <row r="254" spans="19:19" ht="15.75" customHeight="1" x14ac:dyDescent="0.25">
      <c r="S254" s="184"/>
    </row>
    <row r="255" spans="19:19" ht="15.75" customHeight="1" x14ac:dyDescent="0.25">
      <c r="S255" s="184"/>
    </row>
    <row r="256" spans="19:19" ht="15.75" customHeight="1" x14ac:dyDescent="0.25">
      <c r="S256" s="184"/>
    </row>
    <row r="257" spans="19:19" ht="15.75" customHeight="1" x14ac:dyDescent="0.25">
      <c r="S257" s="184"/>
    </row>
    <row r="258" spans="19:19" ht="15.75" customHeight="1" x14ac:dyDescent="0.25">
      <c r="S258" s="184"/>
    </row>
    <row r="259" spans="19:19" ht="15.75" customHeight="1" x14ac:dyDescent="0.25">
      <c r="S259" s="184"/>
    </row>
    <row r="260" spans="19:19" ht="15.75" customHeight="1" x14ac:dyDescent="0.25">
      <c r="S260" s="184"/>
    </row>
    <row r="261" spans="19:19" ht="15.75" customHeight="1" x14ac:dyDescent="0.25">
      <c r="S261" s="184"/>
    </row>
    <row r="262" spans="19:19" ht="15.75" customHeight="1" x14ac:dyDescent="0.25">
      <c r="S262" s="184"/>
    </row>
    <row r="263" spans="19:19" ht="15.75" customHeight="1" x14ac:dyDescent="0.25">
      <c r="S263" s="184"/>
    </row>
    <row r="264" spans="19:19" ht="15.75" customHeight="1" x14ac:dyDescent="0.25">
      <c r="S264" s="184"/>
    </row>
    <row r="265" spans="19:19" ht="15.75" customHeight="1" x14ac:dyDescent="0.25">
      <c r="S265" s="184"/>
    </row>
    <row r="266" spans="19:19" ht="15.75" customHeight="1" x14ac:dyDescent="0.25">
      <c r="S266" s="184"/>
    </row>
    <row r="267" spans="19:19" ht="15.75" customHeight="1" x14ac:dyDescent="0.25">
      <c r="S267" s="184"/>
    </row>
    <row r="268" spans="19:19" ht="15.75" customHeight="1" x14ac:dyDescent="0.25">
      <c r="S268" s="184"/>
    </row>
    <row r="269" spans="19:19" ht="15.75" customHeight="1" x14ac:dyDescent="0.25">
      <c r="S269" s="184"/>
    </row>
    <row r="270" spans="19:19" ht="15.75" customHeight="1" x14ac:dyDescent="0.25">
      <c r="S270" s="184"/>
    </row>
    <row r="271" spans="19:19" ht="15.75" customHeight="1" x14ac:dyDescent="0.25">
      <c r="S271" s="184"/>
    </row>
    <row r="272" spans="19:19" ht="15.75" customHeight="1" x14ac:dyDescent="0.25">
      <c r="S272" s="184"/>
    </row>
    <row r="273" spans="19:19" ht="15.75" customHeight="1" x14ac:dyDescent="0.25">
      <c r="S273" s="184"/>
    </row>
    <row r="274" spans="19:19" ht="15.75" customHeight="1" x14ac:dyDescent="0.25">
      <c r="S274" s="184"/>
    </row>
    <row r="275" spans="19:19" ht="15.75" customHeight="1" x14ac:dyDescent="0.25">
      <c r="S275" s="184"/>
    </row>
    <row r="276" spans="19:19" ht="15.75" customHeight="1" x14ac:dyDescent="0.25">
      <c r="S276" s="184"/>
    </row>
    <row r="277" spans="19:19" ht="15.75" customHeight="1" x14ac:dyDescent="0.25">
      <c r="S277" s="184"/>
    </row>
    <row r="278" spans="19:19" ht="15.75" customHeight="1" x14ac:dyDescent="0.25">
      <c r="S278" s="184"/>
    </row>
    <row r="279" spans="19:19" ht="15.75" customHeight="1" x14ac:dyDescent="0.25">
      <c r="S279" s="184"/>
    </row>
    <row r="280" spans="19:19" ht="15.75" customHeight="1" x14ac:dyDescent="0.25">
      <c r="S280" s="184"/>
    </row>
    <row r="281" spans="19:19" ht="15.75" customHeight="1" x14ac:dyDescent="0.25">
      <c r="S281" s="184"/>
    </row>
    <row r="282" spans="19:19" ht="15.75" customHeight="1" x14ac:dyDescent="0.25">
      <c r="S282" s="184"/>
    </row>
    <row r="283" spans="19:19" ht="15.75" customHeight="1" x14ac:dyDescent="0.25">
      <c r="S283" s="184"/>
    </row>
    <row r="284" spans="19:19" ht="15.75" customHeight="1" x14ac:dyDescent="0.25">
      <c r="S284" s="184"/>
    </row>
    <row r="285" spans="19:19" ht="15.75" customHeight="1" x14ac:dyDescent="0.25">
      <c r="S285" s="184"/>
    </row>
    <row r="286" spans="19:19" ht="15.75" customHeight="1" x14ac:dyDescent="0.25">
      <c r="S286" s="184"/>
    </row>
    <row r="287" spans="19:19" ht="15.75" customHeight="1" x14ac:dyDescent="0.25">
      <c r="S287" s="184"/>
    </row>
    <row r="288" spans="19:19" ht="15.75" customHeight="1" x14ac:dyDescent="0.25">
      <c r="S288" s="184"/>
    </row>
    <row r="289" spans="19:19" ht="15.75" customHeight="1" x14ac:dyDescent="0.25">
      <c r="S289" s="184"/>
    </row>
    <row r="290" spans="19:19" ht="15.75" customHeight="1" x14ac:dyDescent="0.25">
      <c r="S290" s="184"/>
    </row>
    <row r="291" spans="19:19" ht="15.75" customHeight="1" x14ac:dyDescent="0.25">
      <c r="S291" s="184"/>
    </row>
    <row r="292" spans="19:19" ht="15.75" customHeight="1" x14ac:dyDescent="0.25">
      <c r="S292" s="184"/>
    </row>
    <row r="293" spans="19:19" ht="15.75" customHeight="1" x14ac:dyDescent="0.25">
      <c r="S293" s="184"/>
    </row>
    <row r="294" spans="19:19" ht="15.75" customHeight="1" x14ac:dyDescent="0.25">
      <c r="S294" s="184"/>
    </row>
    <row r="295" spans="19:19" ht="15.75" customHeight="1" x14ac:dyDescent="0.25">
      <c r="S295" s="184"/>
    </row>
    <row r="296" spans="19:19" ht="15.75" customHeight="1" x14ac:dyDescent="0.25">
      <c r="S296" s="184"/>
    </row>
    <row r="297" spans="19:19" ht="15.75" customHeight="1" x14ac:dyDescent="0.25">
      <c r="S297" s="184"/>
    </row>
    <row r="298" spans="19:19" ht="15.75" customHeight="1" x14ac:dyDescent="0.25">
      <c r="S298" s="184"/>
    </row>
    <row r="299" spans="19:19" ht="15.75" customHeight="1" x14ac:dyDescent="0.25">
      <c r="S299" s="184"/>
    </row>
    <row r="300" spans="19:19" ht="15.75" customHeight="1" x14ac:dyDescent="0.25">
      <c r="S300" s="184"/>
    </row>
    <row r="301" spans="19:19" ht="15.75" customHeight="1" x14ac:dyDescent="0.25">
      <c r="S301" s="184"/>
    </row>
    <row r="302" spans="19:19" ht="15.75" customHeight="1" x14ac:dyDescent="0.25">
      <c r="S302" s="184"/>
    </row>
    <row r="303" spans="19:19" ht="15.75" customHeight="1" x14ac:dyDescent="0.25">
      <c r="S303" s="184"/>
    </row>
    <row r="304" spans="19:19" ht="15.75" customHeight="1" x14ac:dyDescent="0.25">
      <c r="S304" s="184"/>
    </row>
    <row r="305" spans="19:19" ht="15.75" customHeight="1" x14ac:dyDescent="0.25">
      <c r="S305" s="184"/>
    </row>
    <row r="306" spans="19:19" ht="15.75" customHeight="1" x14ac:dyDescent="0.25">
      <c r="S306" s="184"/>
    </row>
    <row r="307" spans="19:19" ht="15.75" customHeight="1" x14ac:dyDescent="0.25">
      <c r="S307" s="184"/>
    </row>
    <row r="308" spans="19:19" ht="15.75" customHeight="1" x14ac:dyDescent="0.25">
      <c r="S308" s="184"/>
    </row>
    <row r="309" spans="19:19" ht="15.75" customHeight="1" x14ac:dyDescent="0.25">
      <c r="S309" s="184"/>
    </row>
    <row r="310" spans="19:19" ht="15.75" customHeight="1" x14ac:dyDescent="0.25">
      <c r="S310" s="184"/>
    </row>
    <row r="311" spans="19:19" ht="15.75" customHeight="1" x14ac:dyDescent="0.25">
      <c r="S311" s="184"/>
    </row>
    <row r="312" spans="19:19" ht="15.75" customHeight="1" x14ac:dyDescent="0.25">
      <c r="S312" s="184"/>
    </row>
    <row r="313" spans="19:19" ht="15.75" customHeight="1" x14ac:dyDescent="0.25">
      <c r="S313" s="184"/>
    </row>
    <row r="314" spans="19:19" ht="15.75" customHeight="1" x14ac:dyDescent="0.25">
      <c r="S314" s="184"/>
    </row>
    <row r="315" spans="19:19" ht="15.75" customHeight="1" x14ac:dyDescent="0.25">
      <c r="S315" s="184"/>
    </row>
    <row r="316" spans="19:19" ht="15.75" customHeight="1" x14ac:dyDescent="0.25">
      <c r="S316" s="184"/>
    </row>
    <row r="317" spans="19:19" ht="15.75" customHeight="1" x14ac:dyDescent="0.25">
      <c r="S317" s="184"/>
    </row>
    <row r="318" spans="19:19" ht="15.75" customHeight="1" x14ac:dyDescent="0.25">
      <c r="S318" s="184"/>
    </row>
    <row r="319" spans="19:19" ht="15.75" customHeight="1" x14ac:dyDescent="0.25">
      <c r="S319" s="184"/>
    </row>
    <row r="320" spans="19:19" ht="15.75" customHeight="1" x14ac:dyDescent="0.25">
      <c r="S320" s="184"/>
    </row>
    <row r="321" spans="19:19" ht="15.75" customHeight="1" x14ac:dyDescent="0.25">
      <c r="S321" s="184"/>
    </row>
    <row r="322" spans="19:19" ht="15.75" customHeight="1" x14ac:dyDescent="0.25">
      <c r="S322" s="184"/>
    </row>
    <row r="323" spans="19:19" ht="15.75" customHeight="1" x14ac:dyDescent="0.25">
      <c r="S323" s="184"/>
    </row>
    <row r="324" spans="19:19" ht="15.75" customHeight="1" x14ac:dyDescent="0.25">
      <c r="S324" s="184"/>
    </row>
    <row r="325" spans="19:19" ht="15.75" customHeight="1" x14ac:dyDescent="0.25">
      <c r="S325" s="184"/>
    </row>
    <row r="326" spans="19:19" ht="15.75" customHeight="1" x14ac:dyDescent="0.25">
      <c r="S326" s="184"/>
    </row>
    <row r="327" spans="19:19" ht="15.75" customHeight="1" x14ac:dyDescent="0.25">
      <c r="S327" s="184"/>
    </row>
    <row r="328" spans="19:19" ht="15.75" customHeight="1" x14ac:dyDescent="0.25">
      <c r="S328" s="184"/>
    </row>
    <row r="329" spans="19:19" ht="15.75" customHeight="1" x14ac:dyDescent="0.25">
      <c r="S329" s="184"/>
    </row>
    <row r="330" spans="19:19" ht="15.75" customHeight="1" x14ac:dyDescent="0.25">
      <c r="S330" s="184"/>
    </row>
    <row r="331" spans="19:19" ht="15.75" customHeight="1" x14ac:dyDescent="0.25">
      <c r="S331" s="184"/>
    </row>
    <row r="332" spans="19:19" ht="15.75" customHeight="1" x14ac:dyDescent="0.25">
      <c r="S332" s="184"/>
    </row>
    <row r="333" spans="19:19" ht="15.75" customHeight="1" x14ac:dyDescent="0.25">
      <c r="S333" s="184"/>
    </row>
    <row r="334" spans="19:19" ht="15.75" customHeight="1" x14ac:dyDescent="0.25">
      <c r="S334" s="184"/>
    </row>
    <row r="335" spans="19:19" ht="15.75" customHeight="1" x14ac:dyDescent="0.25">
      <c r="S335" s="184"/>
    </row>
    <row r="336" spans="19:19" ht="15.75" customHeight="1" x14ac:dyDescent="0.25">
      <c r="S336" s="184"/>
    </row>
    <row r="337" spans="19:19" ht="15.75" customHeight="1" x14ac:dyDescent="0.25">
      <c r="S337" s="184"/>
    </row>
    <row r="338" spans="19:19" ht="15.75" customHeight="1" x14ac:dyDescent="0.25">
      <c r="S338" s="184"/>
    </row>
    <row r="339" spans="19:19" ht="15.75" customHeight="1" x14ac:dyDescent="0.25">
      <c r="S339" s="184"/>
    </row>
    <row r="340" spans="19:19" ht="15.75" customHeight="1" x14ac:dyDescent="0.25">
      <c r="S340" s="184"/>
    </row>
    <row r="341" spans="19:19" ht="15.75" customHeight="1" x14ac:dyDescent="0.25">
      <c r="S341" s="184"/>
    </row>
    <row r="342" spans="19:19" ht="15.75" customHeight="1" x14ac:dyDescent="0.25">
      <c r="S342" s="184"/>
    </row>
    <row r="343" spans="19:19" ht="15.75" customHeight="1" x14ac:dyDescent="0.25">
      <c r="S343" s="184"/>
    </row>
    <row r="344" spans="19:19" ht="15.75" customHeight="1" x14ac:dyDescent="0.25">
      <c r="S344" s="184"/>
    </row>
    <row r="345" spans="19:19" ht="15.75" customHeight="1" x14ac:dyDescent="0.25">
      <c r="S345" s="184"/>
    </row>
    <row r="346" spans="19:19" ht="15.75" customHeight="1" x14ac:dyDescent="0.25">
      <c r="S346" s="184"/>
    </row>
    <row r="347" spans="19:19" ht="15.75" customHeight="1" x14ac:dyDescent="0.25">
      <c r="S347" s="184"/>
    </row>
    <row r="348" spans="19:19" ht="15.75" customHeight="1" x14ac:dyDescent="0.25">
      <c r="S348" s="184"/>
    </row>
    <row r="349" spans="19:19" ht="15.75" customHeight="1" x14ac:dyDescent="0.25">
      <c r="S349" s="184"/>
    </row>
    <row r="350" spans="19:19" ht="15.75" customHeight="1" x14ac:dyDescent="0.25">
      <c r="S350" s="184"/>
    </row>
    <row r="351" spans="19:19" ht="15.75" customHeight="1" x14ac:dyDescent="0.25">
      <c r="S351" s="184"/>
    </row>
    <row r="352" spans="19:19" ht="15.75" customHeight="1" x14ac:dyDescent="0.25">
      <c r="S352" s="184"/>
    </row>
    <row r="353" spans="19:19" ht="15.75" customHeight="1" x14ac:dyDescent="0.25">
      <c r="S353" s="184"/>
    </row>
    <row r="354" spans="19:19" ht="15.75" customHeight="1" x14ac:dyDescent="0.25">
      <c r="S354" s="184"/>
    </row>
    <row r="355" spans="19:19" ht="15.75" customHeight="1" x14ac:dyDescent="0.25">
      <c r="S355" s="184"/>
    </row>
    <row r="356" spans="19:19" ht="15.75" customHeight="1" x14ac:dyDescent="0.25">
      <c r="S356" s="184"/>
    </row>
    <row r="357" spans="19:19" ht="15.75" customHeight="1" x14ac:dyDescent="0.25">
      <c r="S357" s="184"/>
    </row>
    <row r="358" spans="19:19" ht="15.75" customHeight="1" x14ac:dyDescent="0.25">
      <c r="S358" s="184"/>
    </row>
    <row r="359" spans="19:19" ht="15.75" customHeight="1" x14ac:dyDescent="0.25">
      <c r="S359" s="184"/>
    </row>
    <row r="360" spans="19:19" ht="15.75" customHeight="1" x14ac:dyDescent="0.25">
      <c r="S360" s="184"/>
    </row>
    <row r="361" spans="19:19" ht="15.75" customHeight="1" x14ac:dyDescent="0.25">
      <c r="S361" s="184"/>
    </row>
    <row r="362" spans="19:19" ht="15.75" customHeight="1" x14ac:dyDescent="0.25">
      <c r="S362" s="184"/>
    </row>
    <row r="363" spans="19:19" ht="15.75" customHeight="1" x14ac:dyDescent="0.25">
      <c r="S363" s="184"/>
    </row>
    <row r="364" spans="19:19" ht="15.75" customHeight="1" x14ac:dyDescent="0.25">
      <c r="S364" s="184"/>
    </row>
    <row r="365" spans="19:19" ht="15.75" customHeight="1" x14ac:dyDescent="0.25">
      <c r="S365" s="184"/>
    </row>
    <row r="366" spans="19:19" ht="15.75" customHeight="1" x14ac:dyDescent="0.25">
      <c r="S366" s="184"/>
    </row>
    <row r="367" spans="19:19" ht="15.75" customHeight="1" x14ac:dyDescent="0.25">
      <c r="S367" s="184"/>
    </row>
    <row r="368" spans="19:19" ht="15.75" customHeight="1" x14ac:dyDescent="0.25">
      <c r="S368" s="184"/>
    </row>
    <row r="369" spans="19:19" ht="15.75" customHeight="1" x14ac:dyDescent="0.25">
      <c r="S369" s="184"/>
    </row>
    <row r="370" spans="19:19" ht="15.75" customHeight="1" x14ac:dyDescent="0.25">
      <c r="S370" s="184"/>
    </row>
    <row r="371" spans="19:19" ht="15.75" customHeight="1" x14ac:dyDescent="0.25">
      <c r="S371" s="184"/>
    </row>
    <row r="372" spans="19:19" ht="15.75" customHeight="1" x14ac:dyDescent="0.25">
      <c r="S372" s="184"/>
    </row>
    <row r="373" spans="19:19" ht="15.75" customHeight="1" x14ac:dyDescent="0.25">
      <c r="S373" s="184"/>
    </row>
    <row r="374" spans="19:19" ht="15.75" customHeight="1" x14ac:dyDescent="0.25">
      <c r="S374" s="184"/>
    </row>
    <row r="375" spans="19:19" ht="15.75" customHeight="1" x14ac:dyDescent="0.25">
      <c r="S375" s="184"/>
    </row>
    <row r="376" spans="19:19" ht="15.75" customHeight="1" x14ac:dyDescent="0.25">
      <c r="S376" s="184"/>
    </row>
    <row r="377" spans="19:19" ht="15.75" customHeight="1" x14ac:dyDescent="0.25">
      <c r="S377" s="184"/>
    </row>
    <row r="378" spans="19:19" ht="15.75" customHeight="1" x14ac:dyDescent="0.25">
      <c r="S378" s="184"/>
    </row>
    <row r="379" spans="19:19" ht="15.75" customHeight="1" x14ac:dyDescent="0.25">
      <c r="S379" s="184"/>
    </row>
    <row r="380" spans="19:19" ht="15.75" customHeight="1" x14ac:dyDescent="0.25">
      <c r="S380" s="184"/>
    </row>
    <row r="381" spans="19:19" ht="15.75" customHeight="1" x14ac:dyDescent="0.25">
      <c r="S381" s="184"/>
    </row>
    <row r="382" spans="19:19" ht="15.75" customHeight="1" x14ac:dyDescent="0.25">
      <c r="S382" s="184"/>
    </row>
    <row r="383" spans="19:19" ht="15.75" customHeight="1" x14ac:dyDescent="0.25">
      <c r="S383" s="184"/>
    </row>
    <row r="384" spans="19:19" ht="15.75" customHeight="1" x14ac:dyDescent="0.25">
      <c r="S384" s="184"/>
    </row>
    <row r="385" spans="19:19" ht="15.75" customHeight="1" x14ac:dyDescent="0.25">
      <c r="S385" s="184"/>
    </row>
    <row r="386" spans="19:19" ht="15.75" customHeight="1" x14ac:dyDescent="0.25">
      <c r="S386" s="184"/>
    </row>
    <row r="387" spans="19:19" ht="15.75" customHeight="1" x14ac:dyDescent="0.25">
      <c r="S387" s="184"/>
    </row>
    <row r="388" spans="19:19" ht="15.75" customHeight="1" x14ac:dyDescent="0.25">
      <c r="S388" s="184"/>
    </row>
    <row r="389" spans="19:19" ht="15.75" customHeight="1" x14ac:dyDescent="0.25">
      <c r="S389" s="184"/>
    </row>
    <row r="390" spans="19:19" ht="15.75" customHeight="1" x14ac:dyDescent="0.25">
      <c r="S390" s="184"/>
    </row>
    <row r="391" spans="19:19" ht="15.75" customHeight="1" x14ac:dyDescent="0.25">
      <c r="S391" s="184"/>
    </row>
    <row r="392" spans="19:19" ht="15.75" customHeight="1" x14ac:dyDescent="0.25">
      <c r="S392" s="184"/>
    </row>
    <row r="393" spans="19:19" ht="15.75" customHeight="1" x14ac:dyDescent="0.25">
      <c r="S393" s="184"/>
    </row>
    <row r="394" spans="19:19" ht="15.75" customHeight="1" x14ac:dyDescent="0.25">
      <c r="S394" s="184"/>
    </row>
    <row r="395" spans="19:19" ht="15.75" customHeight="1" x14ac:dyDescent="0.25">
      <c r="S395" s="184"/>
    </row>
    <row r="396" spans="19:19" ht="15.75" customHeight="1" x14ac:dyDescent="0.25">
      <c r="S396" s="184"/>
    </row>
    <row r="397" spans="19:19" ht="15.75" customHeight="1" x14ac:dyDescent="0.25">
      <c r="S397" s="184"/>
    </row>
    <row r="398" spans="19:19" ht="15.75" customHeight="1" x14ac:dyDescent="0.25">
      <c r="S398" s="184"/>
    </row>
    <row r="399" spans="19:19" ht="15.75" customHeight="1" x14ac:dyDescent="0.25">
      <c r="S399" s="184"/>
    </row>
    <row r="400" spans="19:19" ht="15.75" customHeight="1" x14ac:dyDescent="0.25">
      <c r="S400" s="184"/>
    </row>
    <row r="401" spans="19:19" ht="15.75" customHeight="1" x14ac:dyDescent="0.25">
      <c r="S401" s="184"/>
    </row>
    <row r="402" spans="19:19" ht="15.75" customHeight="1" x14ac:dyDescent="0.25">
      <c r="S402" s="184"/>
    </row>
    <row r="403" spans="19:19" ht="15.75" customHeight="1" x14ac:dyDescent="0.25">
      <c r="S403" s="184"/>
    </row>
    <row r="404" spans="19:19" ht="15.75" customHeight="1" x14ac:dyDescent="0.25">
      <c r="S404" s="184"/>
    </row>
    <row r="405" spans="19:19" ht="15.75" customHeight="1" x14ac:dyDescent="0.25">
      <c r="S405" s="184"/>
    </row>
    <row r="406" spans="19:19" ht="15.75" customHeight="1" x14ac:dyDescent="0.25">
      <c r="S406" s="184"/>
    </row>
    <row r="407" spans="19:19" ht="15.75" customHeight="1" x14ac:dyDescent="0.25">
      <c r="S407" s="184"/>
    </row>
    <row r="408" spans="19:19" ht="15.75" customHeight="1" x14ac:dyDescent="0.25">
      <c r="S408" s="184"/>
    </row>
    <row r="409" spans="19:19" ht="15.75" customHeight="1" x14ac:dyDescent="0.25">
      <c r="S409" s="184"/>
    </row>
    <row r="410" spans="19:19" ht="15.75" customHeight="1" x14ac:dyDescent="0.25">
      <c r="S410" s="184"/>
    </row>
    <row r="411" spans="19:19" ht="15.75" customHeight="1" x14ac:dyDescent="0.25">
      <c r="S411" s="184"/>
    </row>
    <row r="412" spans="19:19" ht="15.75" customHeight="1" x14ac:dyDescent="0.25">
      <c r="S412" s="184"/>
    </row>
    <row r="413" spans="19:19" ht="15.75" customHeight="1" x14ac:dyDescent="0.25">
      <c r="S413" s="184"/>
    </row>
    <row r="414" spans="19:19" ht="15.75" customHeight="1" x14ac:dyDescent="0.25">
      <c r="S414" s="184"/>
    </row>
    <row r="415" spans="19:19" ht="15.75" customHeight="1" x14ac:dyDescent="0.25">
      <c r="S415" s="184"/>
    </row>
    <row r="416" spans="19:19" ht="15.75" customHeight="1" x14ac:dyDescent="0.25">
      <c r="S416" s="184"/>
    </row>
    <row r="417" spans="19:19" ht="15.75" customHeight="1" x14ac:dyDescent="0.25">
      <c r="S417" s="184"/>
    </row>
    <row r="418" spans="19:19" ht="15.75" customHeight="1" x14ac:dyDescent="0.25">
      <c r="S418" s="184"/>
    </row>
    <row r="419" spans="19:19" ht="15.75" customHeight="1" x14ac:dyDescent="0.25">
      <c r="S419" s="184"/>
    </row>
    <row r="420" spans="19:19" ht="15.75" customHeight="1" x14ac:dyDescent="0.25">
      <c r="S420" s="184"/>
    </row>
    <row r="421" spans="19:19" ht="15.75" customHeight="1" x14ac:dyDescent="0.25">
      <c r="S421" s="184"/>
    </row>
    <row r="422" spans="19:19" ht="15.75" customHeight="1" x14ac:dyDescent="0.25">
      <c r="S422" s="184"/>
    </row>
    <row r="423" spans="19:19" ht="15.75" customHeight="1" x14ac:dyDescent="0.25">
      <c r="S423" s="184"/>
    </row>
    <row r="424" spans="19:19" ht="15.75" customHeight="1" x14ac:dyDescent="0.25">
      <c r="S424" s="184"/>
    </row>
    <row r="425" spans="19:19" ht="15.75" customHeight="1" x14ac:dyDescent="0.25">
      <c r="S425" s="184"/>
    </row>
    <row r="426" spans="19:19" ht="15.75" customHeight="1" x14ac:dyDescent="0.25">
      <c r="S426" s="184"/>
    </row>
    <row r="427" spans="19:19" ht="15.75" customHeight="1" x14ac:dyDescent="0.25">
      <c r="S427" s="184"/>
    </row>
    <row r="428" spans="19:19" ht="15.75" customHeight="1" x14ac:dyDescent="0.25">
      <c r="S428" s="184"/>
    </row>
    <row r="429" spans="19:19" ht="15.75" customHeight="1" x14ac:dyDescent="0.25">
      <c r="S429" s="184"/>
    </row>
    <row r="430" spans="19:19" ht="15.75" customHeight="1" x14ac:dyDescent="0.25">
      <c r="S430" s="184"/>
    </row>
    <row r="431" spans="19:19" ht="15.75" customHeight="1" x14ac:dyDescent="0.25">
      <c r="S431" s="184"/>
    </row>
    <row r="432" spans="19:19" ht="15.75" customHeight="1" x14ac:dyDescent="0.25">
      <c r="S432" s="184"/>
    </row>
    <row r="433" spans="19:19" ht="15.75" customHeight="1" x14ac:dyDescent="0.25">
      <c r="S433" s="184"/>
    </row>
    <row r="434" spans="19:19" ht="15.75" customHeight="1" x14ac:dyDescent="0.25">
      <c r="S434" s="184"/>
    </row>
    <row r="435" spans="19:19" ht="15.75" customHeight="1" x14ac:dyDescent="0.25">
      <c r="S435" s="184"/>
    </row>
    <row r="436" spans="19:19" ht="15.75" customHeight="1" x14ac:dyDescent="0.25">
      <c r="S436" s="184"/>
    </row>
    <row r="437" spans="19:19" ht="15.75" customHeight="1" x14ac:dyDescent="0.25">
      <c r="S437" s="184"/>
    </row>
    <row r="438" spans="19:19" ht="15.75" customHeight="1" x14ac:dyDescent="0.25">
      <c r="S438" s="184"/>
    </row>
    <row r="439" spans="19:19" ht="15.75" customHeight="1" x14ac:dyDescent="0.25">
      <c r="S439" s="184"/>
    </row>
    <row r="440" spans="19:19" ht="15.75" customHeight="1" x14ac:dyDescent="0.25">
      <c r="S440" s="184"/>
    </row>
    <row r="441" spans="19:19" ht="15.75" customHeight="1" x14ac:dyDescent="0.25">
      <c r="S441" s="184"/>
    </row>
    <row r="442" spans="19:19" ht="15.75" customHeight="1" x14ac:dyDescent="0.25">
      <c r="S442" s="184"/>
    </row>
    <row r="443" spans="19:19" ht="15.75" customHeight="1" x14ac:dyDescent="0.25">
      <c r="S443" s="184"/>
    </row>
    <row r="444" spans="19:19" ht="15.75" customHeight="1" x14ac:dyDescent="0.25">
      <c r="S444" s="184"/>
    </row>
    <row r="445" spans="19:19" ht="15.75" customHeight="1" x14ac:dyDescent="0.25">
      <c r="S445" s="184"/>
    </row>
    <row r="446" spans="19:19" ht="15.75" customHeight="1" x14ac:dyDescent="0.25">
      <c r="S446" s="184"/>
    </row>
    <row r="447" spans="19:19" ht="15.75" customHeight="1" x14ac:dyDescent="0.25">
      <c r="S447" s="184"/>
    </row>
    <row r="448" spans="19:19" ht="15.75" customHeight="1" x14ac:dyDescent="0.25">
      <c r="S448" s="184"/>
    </row>
    <row r="449" spans="19:19" ht="15.75" customHeight="1" x14ac:dyDescent="0.25">
      <c r="S449" s="184"/>
    </row>
    <row r="450" spans="19:19" ht="15.75" customHeight="1" x14ac:dyDescent="0.25">
      <c r="S450" s="184"/>
    </row>
    <row r="451" spans="19:19" ht="15.75" customHeight="1" x14ac:dyDescent="0.25">
      <c r="S451" s="184"/>
    </row>
    <row r="452" spans="19:19" ht="15.75" customHeight="1" x14ac:dyDescent="0.25">
      <c r="S452" s="184"/>
    </row>
    <row r="453" spans="19:19" ht="15.75" customHeight="1" x14ac:dyDescent="0.25">
      <c r="S453" s="184"/>
    </row>
    <row r="454" spans="19:19" ht="15.75" customHeight="1" x14ac:dyDescent="0.25">
      <c r="S454" s="184"/>
    </row>
    <row r="455" spans="19:19" ht="15.75" customHeight="1" x14ac:dyDescent="0.25">
      <c r="S455" s="184"/>
    </row>
    <row r="456" spans="19:19" ht="15.75" customHeight="1" x14ac:dyDescent="0.25">
      <c r="S456" s="184"/>
    </row>
    <row r="457" spans="19:19" ht="15.75" customHeight="1" x14ac:dyDescent="0.25">
      <c r="S457" s="184"/>
    </row>
    <row r="458" spans="19:19" ht="15.75" customHeight="1" x14ac:dyDescent="0.25">
      <c r="S458" s="184"/>
    </row>
    <row r="459" spans="19:19" ht="15.75" customHeight="1" x14ac:dyDescent="0.25">
      <c r="S459" s="184"/>
    </row>
    <row r="460" spans="19:19" ht="15.75" customHeight="1" x14ac:dyDescent="0.25">
      <c r="S460" s="184"/>
    </row>
    <row r="461" spans="19:19" ht="15.75" customHeight="1" x14ac:dyDescent="0.25">
      <c r="S461" s="184"/>
    </row>
    <row r="462" spans="19:19" ht="15.75" customHeight="1" x14ac:dyDescent="0.25">
      <c r="S462" s="184"/>
    </row>
    <row r="463" spans="19:19" ht="15.75" customHeight="1" x14ac:dyDescent="0.25">
      <c r="S463" s="184"/>
    </row>
    <row r="464" spans="19:19" ht="15.75" customHeight="1" x14ac:dyDescent="0.25">
      <c r="S464" s="184"/>
    </row>
    <row r="465" spans="19:19" ht="15.75" customHeight="1" x14ac:dyDescent="0.25">
      <c r="S465" s="184"/>
    </row>
    <row r="466" spans="19:19" ht="15.75" customHeight="1" x14ac:dyDescent="0.25">
      <c r="S466" s="184"/>
    </row>
    <row r="467" spans="19:19" ht="15.75" customHeight="1" x14ac:dyDescent="0.25">
      <c r="S467" s="184"/>
    </row>
    <row r="468" spans="19:19" ht="15.75" customHeight="1" x14ac:dyDescent="0.25">
      <c r="S468" s="184"/>
    </row>
    <row r="469" spans="19:19" ht="15.75" customHeight="1" x14ac:dyDescent="0.25">
      <c r="S469" s="184"/>
    </row>
    <row r="470" spans="19:19" ht="15.75" customHeight="1" x14ac:dyDescent="0.25">
      <c r="S470" s="184"/>
    </row>
    <row r="471" spans="19:19" ht="15.75" customHeight="1" x14ac:dyDescent="0.25">
      <c r="S471" s="184"/>
    </row>
    <row r="472" spans="19:19" ht="15.75" customHeight="1" x14ac:dyDescent="0.25">
      <c r="S472" s="184"/>
    </row>
    <row r="473" spans="19:19" ht="15.75" customHeight="1" x14ac:dyDescent="0.25">
      <c r="S473" s="184"/>
    </row>
    <row r="474" spans="19:19" ht="15.75" customHeight="1" x14ac:dyDescent="0.25">
      <c r="S474" s="184"/>
    </row>
    <row r="475" spans="19:19" ht="15.75" customHeight="1" x14ac:dyDescent="0.25">
      <c r="S475" s="184"/>
    </row>
    <row r="476" spans="19:19" ht="15.75" customHeight="1" x14ac:dyDescent="0.25">
      <c r="S476" s="184"/>
    </row>
    <row r="477" spans="19:19" ht="15.75" customHeight="1" x14ac:dyDescent="0.25">
      <c r="S477" s="184"/>
    </row>
    <row r="478" spans="19:19" ht="15.75" customHeight="1" x14ac:dyDescent="0.25">
      <c r="S478" s="184"/>
    </row>
    <row r="479" spans="19:19" ht="15.75" customHeight="1" x14ac:dyDescent="0.25">
      <c r="S479" s="184"/>
    </row>
    <row r="480" spans="19:19" ht="15.75" customHeight="1" x14ac:dyDescent="0.25">
      <c r="S480" s="184"/>
    </row>
    <row r="481" spans="19:19" ht="15.75" customHeight="1" x14ac:dyDescent="0.25">
      <c r="S481" s="184"/>
    </row>
    <row r="482" spans="19:19" ht="15.75" customHeight="1" x14ac:dyDescent="0.25">
      <c r="S482" s="184"/>
    </row>
    <row r="483" spans="19:19" ht="15.75" customHeight="1" x14ac:dyDescent="0.25">
      <c r="S483" s="184"/>
    </row>
    <row r="484" spans="19:19" ht="15.75" customHeight="1" x14ac:dyDescent="0.25">
      <c r="S484" s="184"/>
    </row>
    <row r="485" spans="19:19" ht="15.75" customHeight="1" x14ac:dyDescent="0.25">
      <c r="S485" s="184"/>
    </row>
    <row r="486" spans="19:19" ht="15.75" customHeight="1" x14ac:dyDescent="0.25">
      <c r="S486" s="184"/>
    </row>
    <row r="487" spans="19:19" ht="15.75" customHeight="1" x14ac:dyDescent="0.25">
      <c r="S487" s="184"/>
    </row>
    <row r="488" spans="19:19" ht="15.75" customHeight="1" x14ac:dyDescent="0.25">
      <c r="S488" s="184"/>
    </row>
    <row r="489" spans="19:19" ht="15.75" customHeight="1" x14ac:dyDescent="0.25">
      <c r="S489" s="184"/>
    </row>
    <row r="490" spans="19:19" ht="15.75" customHeight="1" x14ac:dyDescent="0.25">
      <c r="S490" s="184"/>
    </row>
    <row r="491" spans="19:19" ht="15.75" customHeight="1" x14ac:dyDescent="0.25">
      <c r="S491" s="184"/>
    </row>
    <row r="492" spans="19:19" ht="15.75" customHeight="1" x14ac:dyDescent="0.25">
      <c r="S492" s="184"/>
    </row>
    <row r="493" spans="19:19" ht="15.75" customHeight="1" x14ac:dyDescent="0.25">
      <c r="S493" s="184"/>
    </row>
    <row r="494" spans="19:19" ht="15.75" customHeight="1" x14ac:dyDescent="0.25">
      <c r="S494" s="184"/>
    </row>
    <row r="495" spans="19:19" ht="15.75" customHeight="1" x14ac:dyDescent="0.25">
      <c r="S495" s="184"/>
    </row>
    <row r="496" spans="19:19" ht="15.75" customHeight="1" x14ac:dyDescent="0.25">
      <c r="S496" s="184"/>
    </row>
    <row r="497" spans="19:19" ht="15.75" customHeight="1" x14ac:dyDescent="0.25">
      <c r="S497" s="184"/>
    </row>
    <row r="498" spans="19:19" ht="15.75" customHeight="1" x14ac:dyDescent="0.25">
      <c r="S498" s="184"/>
    </row>
    <row r="499" spans="19:19" ht="15.75" customHeight="1" x14ac:dyDescent="0.25">
      <c r="S499" s="184"/>
    </row>
    <row r="500" spans="19:19" ht="15.75" customHeight="1" x14ac:dyDescent="0.25">
      <c r="S500" s="184"/>
    </row>
    <row r="501" spans="19:19" ht="15.75" customHeight="1" x14ac:dyDescent="0.25">
      <c r="S501" s="184"/>
    </row>
    <row r="502" spans="19:19" ht="15.75" customHeight="1" x14ac:dyDescent="0.25">
      <c r="S502" s="184"/>
    </row>
    <row r="503" spans="19:19" ht="15.75" customHeight="1" x14ac:dyDescent="0.25">
      <c r="S503" s="184"/>
    </row>
    <row r="504" spans="19:19" ht="15.75" customHeight="1" x14ac:dyDescent="0.25">
      <c r="S504" s="184"/>
    </row>
    <row r="505" spans="19:19" ht="15.75" customHeight="1" x14ac:dyDescent="0.25">
      <c r="S505" s="184"/>
    </row>
    <row r="506" spans="19:19" ht="15.75" customHeight="1" x14ac:dyDescent="0.25">
      <c r="S506" s="184"/>
    </row>
    <row r="507" spans="19:19" ht="15.75" customHeight="1" x14ac:dyDescent="0.25">
      <c r="S507" s="184"/>
    </row>
    <row r="508" spans="19:19" ht="15.75" customHeight="1" x14ac:dyDescent="0.25">
      <c r="S508" s="184"/>
    </row>
    <row r="509" spans="19:19" ht="15.75" customHeight="1" x14ac:dyDescent="0.25">
      <c r="S509" s="184"/>
    </row>
    <row r="510" spans="19:19" ht="15.75" customHeight="1" x14ac:dyDescent="0.25">
      <c r="S510" s="184"/>
    </row>
    <row r="511" spans="19:19" ht="15.75" customHeight="1" x14ac:dyDescent="0.25">
      <c r="S511" s="184"/>
    </row>
    <row r="512" spans="19:19" ht="15.75" customHeight="1" x14ac:dyDescent="0.25">
      <c r="S512" s="184"/>
    </row>
    <row r="513" spans="19:19" ht="15.75" customHeight="1" x14ac:dyDescent="0.25">
      <c r="S513" s="184"/>
    </row>
    <row r="514" spans="19:19" ht="15.75" customHeight="1" x14ac:dyDescent="0.25">
      <c r="S514" s="184"/>
    </row>
    <row r="515" spans="19:19" ht="15.75" customHeight="1" x14ac:dyDescent="0.25">
      <c r="S515" s="184"/>
    </row>
    <row r="516" spans="19:19" ht="15.75" customHeight="1" x14ac:dyDescent="0.25">
      <c r="S516" s="184"/>
    </row>
    <row r="517" spans="19:19" ht="15.75" customHeight="1" x14ac:dyDescent="0.25">
      <c r="S517" s="184"/>
    </row>
    <row r="518" spans="19:19" ht="15.75" customHeight="1" x14ac:dyDescent="0.25">
      <c r="S518" s="184"/>
    </row>
    <row r="519" spans="19:19" ht="15.75" customHeight="1" x14ac:dyDescent="0.25">
      <c r="S519" s="184"/>
    </row>
    <row r="520" spans="19:19" ht="15.75" customHeight="1" x14ac:dyDescent="0.25">
      <c r="S520" s="184"/>
    </row>
    <row r="521" spans="19:19" ht="15.75" customHeight="1" x14ac:dyDescent="0.25">
      <c r="S521" s="184"/>
    </row>
    <row r="522" spans="19:19" ht="15.75" customHeight="1" x14ac:dyDescent="0.25">
      <c r="S522" s="184"/>
    </row>
    <row r="523" spans="19:19" ht="15.75" customHeight="1" x14ac:dyDescent="0.25">
      <c r="S523" s="184"/>
    </row>
    <row r="524" spans="19:19" ht="15.75" customHeight="1" x14ac:dyDescent="0.25">
      <c r="S524" s="184"/>
    </row>
    <row r="525" spans="19:19" ht="15.75" customHeight="1" x14ac:dyDescent="0.25">
      <c r="S525" s="184"/>
    </row>
    <row r="526" spans="19:19" ht="15.75" customHeight="1" x14ac:dyDescent="0.25">
      <c r="S526" s="184"/>
    </row>
    <row r="527" spans="19:19" ht="15.75" customHeight="1" x14ac:dyDescent="0.25">
      <c r="S527" s="184"/>
    </row>
    <row r="528" spans="19:19" ht="15.75" customHeight="1" x14ac:dyDescent="0.25">
      <c r="S528" s="184"/>
    </row>
    <row r="529" spans="19:19" ht="15.75" customHeight="1" x14ac:dyDescent="0.25">
      <c r="S529" s="184"/>
    </row>
    <row r="530" spans="19:19" ht="15.75" customHeight="1" x14ac:dyDescent="0.25">
      <c r="S530" s="184"/>
    </row>
    <row r="531" spans="19:19" ht="15.75" customHeight="1" x14ac:dyDescent="0.25">
      <c r="S531" s="184"/>
    </row>
    <row r="532" spans="19:19" ht="15.75" customHeight="1" x14ac:dyDescent="0.25">
      <c r="S532" s="184"/>
    </row>
  </sheetData>
  <mergeCells count="20">
    <mergeCell ref="BB1:BD1"/>
    <mergeCell ref="BE1:BG1"/>
    <mergeCell ref="A2:C2"/>
    <mergeCell ref="AJ1:AL1"/>
    <mergeCell ref="AM1:AO1"/>
    <mergeCell ref="AP1:AR1"/>
    <mergeCell ref="AS1:AU1"/>
    <mergeCell ref="AV1:AX1"/>
    <mergeCell ref="AY1:BA1"/>
    <mergeCell ref="R1:T1"/>
    <mergeCell ref="U1:W1"/>
    <mergeCell ref="X1:Z1"/>
    <mergeCell ref="AA1:AC1"/>
    <mergeCell ref="AD1:AF1"/>
    <mergeCell ref="AG1:AI1"/>
    <mergeCell ref="A1:D1"/>
    <mergeCell ref="E1:H1"/>
    <mergeCell ref="I1:K1"/>
    <mergeCell ref="L1:N1"/>
    <mergeCell ref="O1:Q1"/>
  </mergeCells>
  <conditionalFormatting sqref="R80:T116 R128:T168 R118:T122 R3:T77">
    <cfRule type="cellIs" dxfId="19" priority="11" operator="between">
      <formula>"0%"</formula>
      <formula>"25%"</formula>
    </cfRule>
  </conditionalFormatting>
  <conditionalFormatting sqref="R80:T116 R128:T168 R118:T122 R3:T77">
    <cfRule type="cellIs" dxfId="18" priority="12" operator="between">
      <formula>"25.01%"</formula>
      <formula>"50%"</formula>
    </cfRule>
  </conditionalFormatting>
  <conditionalFormatting sqref="R80:T116 R128:T168 R118:T122 R3:T77">
    <cfRule type="cellIs" dxfId="17" priority="13" operator="between">
      <formula>"50.01%"</formula>
      <formula>"75%"</formula>
    </cfRule>
  </conditionalFormatting>
  <conditionalFormatting sqref="R80:T116 R128:T168 R118:T122 R3:T77">
    <cfRule type="cellIs" dxfId="16" priority="14" operator="between">
      <formula>"75.01%"</formula>
      <formula>"99.99%"</formula>
    </cfRule>
  </conditionalFormatting>
  <conditionalFormatting sqref="R80:T116 R128:T168 R118:T122 R3:T77">
    <cfRule type="cellIs" dxfId="15" priority="15" operator="greaterThanOrEqual">
      <formula>"100%"</formula>
    </cfRule>
  </conditionalFormatting>
  <conditionalFormatting sqref="R124:T126">
    <cfRule type="cellIs" dxfId="14" priority="16" operator="between">
      <formula>"0%"</formula>
      <formula>"25%"</formula>
    </cfRule>
  </conditionalFormatting>
  <conditionalFormatting sqref="R124:T126">
    <cfRule type="cellIs" dxfId="13" priority="17" operator="between">
      <formula>"25.01%"</formula>
      <formula>"50%"</formula>
    </cfRule>
  </conditionalFormatting>
  <conditionalFormatting sqref="R124:T126">
    <cfRule type="cellIs" dxfId="12" priority="18" operator="between">
      <formula>"50.01%"</formula>
      <formula>"75%"</formula>
    </cfRule>
  </conditionalFormatting>
  <conditionalFormatting sqref="R124:T126">
    <cfRule type="cellIs" dxfId="11" priority="19" operator="between">
      <formula>"75.01%"</formula>
      <formula>"99.99%"</formula>
    </cfRule>
  </conditionalFormatting>
  <conditionalFormatting sqref="R124:T126">
    <cfRule type="cellIs" dxfId="10" priority="20" operator="greaterThanOrEqual">
      <formula>"100%"</formula>
    </cfRule>
  </conditionalFormatting>
  <conditionalFormatting sqref="R78:T79">
    <cfRule type="cellIs" dxfId="9" priority="6" operator="between">
      <formula>"0%"</formula>
      <formula>"25%"</formula>
    </cfRule>
  </conditionalFormatting>
  <conditionalFormatting sqref="R78:T79">
    <cfRule type="cellIs" dxfId="8" priority="7" operator="between">
      <formula>"25.01%"</formula>
      <formula>"50%"</formula>
    </cfRule>
  </conditionalFormatting>
  <conditionalFormatting sqref="R78:T79">
    <cfRule type="cellIs" dxfId="7" priority="8" operator="between">
      <formula>"50.01%"</formula>
      <formula>"75%"</formula>
    </cfRule>
  </conditionalFormatting>
  <conditionalFormatting sqref="R78:T79">
    <cfRule type="cellIs" dxfId="6" priority="9" operator="between">
      <formula>"75.01%"</formula>
      <formula>"99.99%"</formula>
    </cfRule>
  </conditionalFormatting>
  <conditionalFormatting sqref="R78:T79">
    <cfRule type="cellIs" dxfId="5" priority="1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PUBL.AGO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2021-10-13T01:14:42Z</dcterms:created>
  <dcterms:modified xsi:type="dcterms:W3CDTF">2021-10-13T01:31:40Z</dcterms:modified>
</cp:coreProperties>
</file>