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comments3.xml" ContentType="application/vnd.openxmlformats-officedocument.spreadsheetml.comments+xml"/>
  <Override PartName="/xl/drawings/drawing9.xml" ContentType="application/vnd.openxmlformats-officedocument.drawing+xml"/>
  <Override PartName="/xl/comments4.xml" ContentType="application/vnd.openxmlformats-officedocument.spreadsheetml.comments+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0370" yWindow="-120" windowWidth="29040" windowHeight="15990" tabRatio="1000"/>
  </bookViews>
  <sheets>
    <sheet name="1. SB ABA DE CARREGAMENTO" sheetId="1" r:id="rId1"/>
    <sheet name="2. SB INSUMOS" sheetId="2" r:id="rId2"/>
    <sheet name="3. SB Área" sheetId="3" r:id="rId3"/>
    <sheet name="4. SB Cálc DEMO Limpeza Geral" sheetId="5" r:id="rId4"/>
    <sheet name="5. SB Cálc. DEMO Banheiros" sheetId="4" r:id="rId5"/>
    <sheet name="6. SB Cálc DEMO Esq e Fach" sheetId="6" r:id="rId6"/>
    <sheet name="7. SB Planilha Área Geral" sheetId="7" r:id="rId7"/>
    <sheet name="8. SB Planilha Área Banheiros" sheetId="8" r:id="rId8"/>
    <sheet name="9. SB Planilha Área Esq e Fach" sheetId="9" r:id="rId9"/>
    <sheet name="11. SB Planilha Encarregado" sheetId="10" r:id="rId10"/>
    <sheet name="11. SB Resumo da Proposta" sheetId="11" r:id="rId11"/>
    <sheet name="Plan1" sheetId="12" r:id="rId12"/>
  </sheets>
  <definedNames>
    <definedName name="Anexo">#REF!</definedName>
    <definedName name="_xlnm.Print_Area" localSheetId="0">'1. SB ABA DE CARREGAMENTO'!$A$1:$C$109</definedName>
    <definedName name="_xlnm.Print_Area" localSheetId="9">'11. SB Planilha Encarregado'!$A$1:$J$172</definedName>
    <definedName name="_xlnm.Print_Area" localSheetId="1">'2. SB INSUMOS'!$A$1:$H$100</definedName>
    <definedName name="_xlnm.Print_Area" localSheetId="3">'4. SB Cálc DEMO Limpeza Geral'!$A$1:$P$35</definedName>
    <definedName name="_xlnm.Print_Area" localSheetId="4">'5. SB Cálc. DEMO Banheiros'!$A$1:$P$17</definedName>
    <definedName name="_xlnm.Print_Area" localSheetId="5">'6. SB Cálc DEMO Esq e Fach'!$A$1:$P$19</definedName>
    <definedName name="_xlnm.Print_Area" localSheetId="6">'7. SB Planilha Área Geral'!$A$1:$J$280</definedName>
    <definedName name="_xlnm.Print_Area" localSheetId="7">'8. SB Planilha Área Banheiros'!$A$1:$J$203</definedName>
    <definedName name="_xlnm.Print_Area" localSheetId="8">'9. SB Planilha Área Esq e Fach'!$A$1:$J$209</definedName>
    <definedName name="Excel_BuiltIn_Print_Area" localSheetId="6">#REF!</definedName>
    <definedName name="Print_Area" localSheetId="6">'7. SB Planilha Área Geral'!$A$7:$J$280</definedName>
  </definedNames>
  <calcPr calcId="14562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7" i="9" l="1"/>
  <c r="A7" i="8"/>
  <c r="A7" i="10"/>
  <c r="D37" i="3" l="1"/>
  <c r="E57" i="2"/>
  <c r="E58" i="2"/>
  <c r="E59" i="2"/>
  <c r="G59" i="2" s="1"/>
  <c r="E60" i="2"/>
  <c r="G60" i="2" s="1"/>
  <c r="E61" i="2"/>
  <c r="E62" i="2"/>
  <c r="G62" i="2" s="1"/>
  <c r="E56" i="2"/>
  <c r="G56" i="2" s="1"/>
  <c r="D38" i="11"/>
  <c r="D37" i="11"/>
  <c r="D36" i="11"/>
  <c r="D35" i="11"/>
  <c r="D34" i="11"/>
  <c r="D27" i="11"/>
  <c r="D26" i="11"/>
  <c r="D16" i="11"/>
  <c r="C15" i="11"/>
  <c r="C11" i="11"/>
  <c r="C10" i="11"/>
  <c r="C9" i="11"/>
  <c r="C8" i="11"/>
  <c r="C4" i="11"/>
  <c r="G171" i="10"/>
  <c r="D11" i="11" s="1"/>
  <c r="H161" i="10"/>
  <c r="I145" i="10"/>
  <c r="I139" i="10"/>
  <c r="I137" i="10"/>
  <c r="J116" i="10"/>
  <c r="J121" i="10" s="1"/>
  <c r="J77" i="10"/>
  <c r="E77" i="10"/>
  <c r="I76" i="10"/>
  <c r="I75" i="10"/>
  <c r="I74" i="10"/>
  <c r="E73" i="10"/>
  <c r="I72" i="10"/>
  <c r="I71" i="10"/>
  <c r="I70" i="10"/>
  <c r="I69" i="10"/>
  <c r="I61" i="10"/>
  <c r="H56" i="10"/>
  <c r="F56" i="10"/>
  <c r="I54" i="10"/>
  <c r="I40" i="10"/>
  <c r="D40" i="10"/>
  <c r="G39" i="10"/>
  <c r="E39" i="10"/>
  <c r="H34" i="10"/>
  <c r="H33" i="10"/>
  <c r="H32" i="10"/>
  <c r="J39" i="10" s="1"/>
  <c r="H31" i="10"/>
  <c r="H30" i="10"/>
  <c r="H21" i="10"/>
  <c r="I165" i="10" s="1"/>
  <c r="H20" i="10"/>
  <c r="H19" i="10"/>
  <c r="H15" i="10"/>
  <c r="H14" i="10"/>
  <c r="A14" i="10"/>
  <c r="I13" i="10"/>
  <c r="F13" i="10"/>
  <c r="B13" i="10"/>
  <c r="I12" i="10"/>
  <c r="B12" i="10"/>
  <c r="J11" i="10"/>
  <c r="H11" i="10"/>
  <c r="E11" i="10"/>
  <c r="B11" i="10"/>
  <c r="I9" i="10"/>
  <c r="A4" i="10"/>
  <c r="H199" i="9"/>
  <c r="H200" i="9" s="1"/>
  <c r="H169" i="9"/>
  <c r="I153" i="9"/>
  <c r="I147" i="9"/>
  <c r="I145" i="9"/>
  <c r="J124" i="9"/>
  <c r="J129" i="9" s="1"/>
  <c r="J85" i="9"/>
  <c r="E85" i="9"/>
  <c r="I84" i="9"/>
  <c r="I83" i="9"/>
  <c r="I82" i="9"/>
  <c r="E81" i="9"/>
  <c r="I80" i="9"/>
  <c r="I79" i="9"/>
  <c r="I78" i="9"/>
  <c r="I77" i="9"/>
  <c r="I69" i="9"/>
  <c r="H64" i="9"/>
  <c r="F64" i="9"/>
  <c r="I62" i="9"/>
  <c r="I48" i="9"/>
  <c r="D48" i="9"/>
  <c r="G47" i="9"/>
  <c r="E47" i="9"/>
  <c r="H42" i="9"/>
  <c r="H41" i="9"/>
  <c r="H40" i="9"/>
  <c r="J47" i="9" s="1"/>
  <c r="H39" i="9"/>
  <c r="H38" i="9"/>
  <c r="I32" i="9"/>
  <c r="H21" i="9"/>
  <c r="I203" i="9" s="1"/>
  <c r="H20" i="9"/>
  <c r="H19" i="9"/>
  <c r="H15" i="9"/>
  <c r="H14" i="9"/>
  <c r="A14" i="9"/>
  <c r="I13" i="9"/>
  <c r="F13" i="9"/>
  <c r="B13" i="9"/>
  <c r="I12" i="9"/>
  <c r="B12" i="9"/>
  <c r="J11" i="9"/>
  <c r="H11" i="9"/>
  <c r="E11" i="9"/>
  <c r="B11" i="9"/>
  <c r="I9" i="9"/>
  <c r="A4" i="9"/>
  <c r="H192" i="8"/>
  <c r="H193" i="8" s="1"/>
  <c r="G181" i="8"/>
  <c r="G177" i="8"/>
  <c r="H167" i="8"/>
  <c r="I151" i="8"/>
  <c r="I145" i="8"/>
  <c r="I143" i="8"/>
  <c r="J122" i="8"/>
  <c r="J127" i="8" s="1"/>
  <c r="J83" i="8"/>
  <c r="E83" i="8"/>
  <c r="I82" i="8"/>
  <c r="I81" i="8"/>
  <c r="I80" i="8"/>
  <c r="J79" i="8" s="1"/>
  <c r="E79" i="8"/>
  <c r="I78" i="8"/>
  <c r="I77" i="8"/>
  <c r="I76" i="8"/>
  <c r="I75" i="8"/>
  <c r="I67" i="8"/>
  <c r="H62" i="8"/>
  <c r="F62" i="8"/>
  <c r="I60" i="8"/>
  <c r="I46" i="8"/>
  <c r="D46" i="8"/>
  <c r="G45" i="8"/>
  <c r="E45" i="8"/>
  <c r="H40" i="8"/>
  <c r="H39" i="8"/>
  <c r="H38" i="8"/>
  <c r="J45" i="8" s="1"/>
  <c r="H37" i="8"/>
  <c r="H36" i="8"/>
  <c r="H21" i="8"/>
  <c r="I196" i="8" s="1"/>
  <c r="H20" i="8"/>
  <c r="H19" i="8"/>
  <c r="H15" i="8"/>
  <c r="H14" i="8"/>
  <c r="A14" i="8"/>
  <c r="I13" i="8"/>
  <c r="F13" i="8"/>
  <c r="B13" i="8"/>
  <c r="I12" i="8"/>
  <c r="B12" i="8"/>
  <c r="J11" i="8"/>
  <c r="H11" i="8"/>
  <c r="E11" i="8"/>
  <c r="B11" i="8"/>
  <c r="I9" i="8"/>
  <c r="A4" i="8"/>
  <c r="H270" i="7"/>
  <c r="H271" i="7" s="1"/>
  <c r="G244" i="7"/>
  <c r="G237" i="7"/>
  <c r="G234" i="7"/>
  <c r="G231" i="7"/>
  <c r="G228" i="7"/>
  <c r="G225" i="7"/>
  <c r="G222" i="7"/>
  <c r="G216" i="7"/>
  <c r="G219" i="7" s="1"/>
  <c r="G210" i="7"/>
  <c r="G207" i="7"/>
  <c r="G204" i="7"/>
  <c r="G201" i="7"/>
  <c r="G198" i="7"/>
  <c r="G195" i="7"/>
  <c r="G192" i="7"/>
  <c r="H183" i="7"/>
  <c r="I167" i="7"/>
  <c r="I161" i="7"/>
  <c r="I159" i="7"/>
  <c r="J138" i="7"/>
  <c r="J143" i="7" s="1"/>
  <c r="J99" i="7"/>
  <c r="E99" i="7"/>
  <c r="I98" i="7"/>
  <c r="I97" i="7"/>
  <c r="I96" i="7"/>
  <c r="E95" i="7"/>
  <c r="I94" i="7"/>
  <c r="I93" i="7"/>
  <c r="I92" i="7"/>
  <c r="I91" i="7"/>
  <c r="I83" i="7"/>
  <c r="H78" i="7"/>
  <c r="F78" i="7"/>
  <c r="I76" i="7"/>
  <c r="I62" i="7"/>
  <c r="D62" i="7"/>
  <c r="G61" i="7"/>
  <c r="E61" i="7"/>
  <c r="H56" i="7"/>
  <c r="H55" i="7"/>
  <c r="H54" i="7"/>
  <c r="J61" i="7" s="1"/>
  <c r="H53" i="7"/>
  <c r="H52" i="7"/>
  <c r="H21" i="7"/>
  <c r="I275" i="7" s="1"/>
  <c r="H20" i="7"/>
  <c r="H19" i="7"/>
  <c r="H15" i="7"/>
  <c r="H14" i="7"/>
  <c r="A14" i="7"/>
  <c r="I13" i="7"/>
  <c r="F13" i="7"/>
  <c r="B13" i="7"/>
  <c r="I12" i="7"/>
  <c r="B12" i="7"/>
  <c r="J11" i="7"/>
  <c r="H11" i="7"/>
  <c r="E11" i="7"/>
  <c r="B11" i="7"/>
  <c r="I9" i="7"/>
  <c r="A4" i="7"/>
  <c r="K12" i="6"/>
  <c r="C11" i="6"/>
  <c r="C188" i="9" s="1"/>
  <c r="C10" i="6"/>
  <c r="C183" i="9" s="1"/>
  <c r="C9" i="6"/>
  <c r="C180" i="9" s="1"/>
  <c r="C8" i="6"/>
  <c r="C176" i="9" s="1"/>
  <c r="A4" i="6"/>
  <c r="K25" i="5"/>
  <c r="K24" i="5"/>
  <c r="C24" i="5"/>
  <c r="E245" i="7" s="1"/>
  <c r="K23" i="5"/>
  <c r="C23" i="5"/>
  <c r="E238" i="7" s="1"/>
  <c r="K22" i="5"/>
  <c r="C22" i="5"/>
  <c r="E235" i="7" s="1"/>
  <c r="F234" i="7" s="1"/>
  <c r="K21" i="5"/>
  <c r="C21" i="5"/>
  <c r="E232" i="7" s="1"/>
  <c r="K20" i="5"/>
  <c r="C20" i="5"/>
  <c r="E229" i="7" s="1"/>
  <c r="K19" i="5"/>
  <c r="C19" i="5"/>
  <c r="E226" i="7" s="1"/>
  <c r="K18" i="5"/>
  <c r="C18" i="5"/>
  <c r="E223" i="7" s="1"/>
  <c r="F222" i="7" s="1"/>
  <c r="K17" i="5"/>
  <c r="C17" i="5"/>
  <c r="E220" i="7" s="1"/>
  <c r="K16" i="5"/>
  <c r="C16" i="5"/>
  <c r="E217" i="7" s="1"/>
  <c r="K15" i="5"/>
  <c r="C15" i="5"/>
  <c r="E211" i="7" s="1"/>
  <c r="K14" i="5"/>
  <c r="C14" i="5"/>
  <c r="E208" i="7" s="1"/>
  <c r="K13" i="5"/>
  <c r="C13" i="5"/>
  <c r="E205" i="7" s="1"/>
  <c r="K12" i="5"/>
  <c r="C12" i="5"/>
  <c r="E202" i="7" s="1"/>
  <c r="K11" i="5"/>
  <c r="C11" i="5"/>
  <c r="E199" i="7" s="1"/>
  <c r="F198" i="7" s="1"/>
  <c r="I198" i="7" s="1"/>
  <c r="K10" i="5"/>
  <c r="C10" i="5"/>
  <c r="E196" i="7" s="1"/>
  <c r="K9" i="5"/>
  <c r="C9" i="5"/>
  <c r="E193" i="7" s="1"/>
  <c r="K8" i="5"/>
  <c r="C8" i="5"/>
  <c r="E190" i="7" s="1"/>
  <c r="A4" i="5"/>
  <c r="K11" i="4"/>
  <c r="C10" i="4"/>
  <c r="E182" i="8" s="1"/>
  <c r="C9" i="4"/>
  <c r="E178" i="8" s="1"/>
  <c r="C8" i="4"/>
  <c r="E174" i="8" s="1"/>
  <c r="A4" i="4"/>
  <c r="AC81" i="3"/>
  <c r="AB81" i="3"/>
  <c r="Y81" i="3"/>
  <c r="X81" i="3"/>
  <c r="W81" i="3"/>
  <c r="V81" i="3"/>
  <c r="U81" i="3"/>
  <c r="T81" i="3"/>
  <c r="S81" i="3"/>
  <c r="R81" i="3"/>
  <c r="Q81" i="3"/>
  <c r="P81" i="3"/>
  <c r="O81" i="3"/>
  <c r="N81" i="3"/>
  <c r="M81" i="3"/>
  <c r="L81" i="3"/>
  <c r="I81" i="3"/>
  <c r="H81" i="3"/>
  <c r="G81" i="3"/>
  <c r="F81" i="3"/>
  <c r="E81" i="3"/>
  <c r="AD80" i="3"/>
  <c r="AR80" i="3" s="1"/>
  <c r="AD79" i="3"/>
  <c r="AZ79" i="3" s="1"/>
  <c r="AE78" i="3"/>
  <c r="AD78" i="3" s="1"/>
  <c r="AX78" i="3" s="1"/>
  <c r="AE77" i="3"/>
  <c r="AD77" i="3"/>
  <c r="BD77" i="3" s="1"/>
  <c r="AE76" i="3"/>
  <c r="AD76" i="3"/>
  <c r="AE75" i="3"/>
  <c r="AD75" i="3" s="1"/>
  <c r="AE74" i="3"/>
  <c r="AD74" i="3" s="1"/>
  <c r="AE73" i="3"/>
  <c r="AD73" i="3"/>
  <c r="AE72" i="3"/>
  <c r="AD72" i="3"/>
  <c r="AE71" i="3"/>
  <c r="AD71" i="3" s="1"/>
  <c r="AS71" i="3" s="1"/>
  <c r="AE70" i="3"/>
  <c r="AD70" i="3" s="1"/>
  <c r="D70" i="3"/>
  <c r="AE69" i="3"/>
  <c r="BB69" i="3" s="1"/>
  <c r="AD69" i="3"/>
  <c r="AE68" i="3"/>
  <c r="AD68" i="3"/>
  <c r="AE67" i="3"/>
  <c r="AD67" i="3"/>
  <c r="AE66" i="3"/>
  <c r="BB66" i="3" s="1"/>
  <c r="AD66" i="3"/>
  <c r="AE65" i="3"/>
  <c r="BC65" i="3" s="1"/>
  <c r="AD65" i="3"/>
  <c r="AE64" i="3"/>
  <c r="AD64" i="3"/>
  <c r="AE63" i="3"/>
  <c r="BC63" i="3" s="1"/>
  <c r="AD63" i="3"/>
  <c r="AE62" i="3"/>
  <c r="BB62" i="3" s="1"/>
  <c r="AD62" i="3"/>
  <c r="AE61" i="3"/>
  <c r="BC61" i="3" s="1"/>
  <c r="AD61" i="3"/>
  <c r="AD60" i="3"/>
  <c r="BC60" i="3" s="1"/>
  <c r="AD59" i="3"/>
  <c r="AO59" i="3" s="1"/>
  <c r="AE58" i="3"/>
  <c r="AD58" i="3" s="1"/>
  <c r="AP58" i="3" s="1"/>
  <c r="AE57" i="3"/>
  <c r="AD57" i="3" s="1"/>
  <c r="AE56" i="3"/>
  <c r="AD56" i="3"/>
  <c r="AE55" i="3"/>
  <c r="AD55" i="3"/>
  <c r="AE54" i="3"/>
  <c r="AD54" i="3"/>
  <c r="AE53" i="3"/>
  <c r="AE52" i="3"/>
  <c r="AD52" i="3"/>
  <c r="D52" i="3"/>
  <c r="AD51" i="3"/>
  <c r="BD51" i="3" s="1"/>
  <c r="AD50" i="3"/>
  <c r="BA50" i="3" s="1"/>
  <c r="AE49" i="3"/>
  <c r="AD49" i="3" s="1"/>
  <c r="AE48" i="3"/>
  <c r="AD48" i="3"/>
  <c r="AE47" i="3"/>
  <c r="AD47" i="3" s="1"/>
  <c r="AE46" i="3"/>
  <c r="AD46" i="3"/>
  <c r="AE45" i="3"/>
  <c r="AD45" i="3"/>
  <c r="AE44" i="3"/>
  <c r="AD44" i="3" s="1"/>
  <c r="BA44" i="3" s="1"/>
  <c r="AE43" i="3"/>
  <c r="AD43" i="3" s="1"/>
  <c r="AX43" i="3" s="1"/>
  <c r="D43" i="3"/>
  <c r="AD42" i="3"/>
  <c r="BD42" i="3" s="1"/>
  <c r="AD41" i="3"/>
  <c r="BC41" i="3" s="1"/>
  <c r="AE40" i="3"/>
  <c r="AD40" i="3"/>
  <c r="AE39" i="3"/>
  <c r="AD39" i="3"/>
  <c r="AE38" i="3"/>
  <c r="AD38" i="3"/>
  <c r="AE37" i="3"/>
  <c r="AD37" i="3" s="1"/>
  <c r="AD36" i="3"/>
  <c r="BD36" i="3" s="1"/>
  <c r="AD35" i="3"/>
  <c r="BD35" i="3" s="1"/>
  <c r="AE34" i="3"/>
  <c r="AD34" i="3"/>
  <c r="AE33" i="3"/>
  <c r="AD33" i="3" s="1"/>
  <c r="AK33" i="3" s="1"/>
  <c r="AE32" i="3"/>
  <c r="AD32" i="3"/>
  <c r="BD32" i="3" s="1"/>
  <c r="AE31" i="3"/>
  <c r="AD31" i="3"/>
  <c r="AE30" i="3"/>
  <c r="AD30" i="3" s="1"/>
  <c r="AU30" i="3" s="1"/>
  <c r="AE29" i="3"/>
  <c r="AD29" i="3" s="1"/>
  <c r="BA29" i="3" s="1"/>
  <c r="AE28" i="3"/>
  <c r="AD28" i="3" s="1"/>
  <c r="AX28" i="3" s="1"/>
  <c r="D28" i="3"/>
  <c r="AE27" i="3"/>
  <c r="AD27" i="3"/>
  <c r="AE26" i="3"/>
  <c r="AD26" i="3"/>
  <c r="AE25" i="3"/>
  <c r="AD25" i="3" s="1"/>
  <c r="BD25" i="3" s="1"/>
  <c r="AE24" i="3"/>
  <c r="AD24" i="3"/>
  <c r="AE23" i="3"/>
  <c r="AD23" i="3" s="1"/>
  <c r="BB23" i="3" s="1"/>
  <c r="AE22" i="3"/>
  <c r="AD22" i="3"/>
  <c r="AE21" i="3"/>
  <c r="AD21" i="3"/>
  <c r="AE20" i="3"/>
  <c r="AD20" i="3" s="1"/>
  <c r="AE19" i="3"/>
  <c r="AD19" i="3" s="1"/>
  <c r="BA19" i="3" s="1"/>
  <c r="D19" i="3"/>
  <c r="AE18" i="3"/>
  <c r="AD18" i="3"/>
  <c r="AE17" i="3"/>
  <c r="AD17" i="3"/>
  <c r="AE16" i="3"/>
  <c r="AD16" i="3" s="1"/>
  <c r="BC16" i="3" s="1"/>
  <c r="AE15" i="3"/>
  <c r="AD15" i="3" s="1"/>
  <c r="BB15" i="3" s="1"/>
  <c r="AE14" i="3"/>
  <c r="AD14" i="3" s="1"/>
  <c r="AE13" i="3"/>
  <c r="AD13" i="3"/>
  <c r="AE12" i="3"/>
  <c r="AD12" i="3"/>
  <c r="AE11" i="3"/>
  <c r="AD11" i="3" s="1"/>
  <c r="BA11" i="3" s="1"/>
  <c r="AE10" i="3"/>
  <c r="AD10" i="3" s="1"/>
  <c r="AE9" i="3"/>
  <c r="AD9" i="3" s="1"/>
  <c r="AE8" i="3"/>
  <c r="AD8" i="3" s="1"/>
  <c r="D8" i="3"/>
  <c r="AN1" i="3"/>
  <c r="T1" i="3"/>
  <c r="E80" i="2"/>
  <c r="E79" i="2"/>
  <c r="E78" i="2"/>
  <c r="E77" i="2"/>
  <c r="E76" i="2"/>
  <c r="E75" i="2"/>
  <c r="E74" i="2"/>
  <c r="E73" i="2"/>
  <c r="E72" i="2"/>
  <c r="E71" i="2"/>
  <c r="E70" i="2"/>
  <c r="E69" i="2"/>
  <c r="E68" i="2"/>
  <c r="E67" i="2"/>
  <c r="G61" i="2"/>
  <c r="G58" i="2"/>
  <c r="G57" i="2"/>
  <c r="E51" i="2"/>
  <c r="G51" i="2" s="1"/>
  <c r="E50" i="2"/>
  <c r="G50" i="2" s="1"/>
  <c r="E49" i="2"/>
  <c r="G49" i="2" s="1"/>
  <c r="E48" i="2"/>
  <c r="G48" i="2" s="1"/>
  <c r="E47" i="2"/>
  <c r="G47" i="2" s="1"/>
  <c r="E46" i="2"/>
  <c r="G46" i="2" s="1"/>
  <c r="E45" i="2"/>
  <c r="G45" i="2" s="1"/>
  <c r="E44" i="2"/>
  <c r="G44" i="2" s="1"/>
  <c r="E43" i="2"/>
  <c r="G43" i="2" s="1"/>
  <c r="E42" i="2"/>
  <c r="G42" i="2" s="1"/>
  <c r="E41" i="2"/>
  <c r="G41" i="2" s="1"/>
  <c r="E40" i="2"/>
  <c r="G40" i="2" s="1"/>
  <c r="E39" i="2"/>
  <c r="G39" i="2" s="1"/>
  <c r="D34" i="2"/>
  <c r="F34" i="2" s="1"/>
  <c r="F33" i="2"/>
  <c r="F32" i="2"/>
  <c r="D31" i="2"/>
  <c r="F31" i="2" s="1"/>
  <c r="D30" i="2"/>
  <c r="F30" i="2" s="1"/>
  <c r="D29" i="2"/>
  <c r="F29" i="2" s="1"/>
  <c r="F28" i="2"/>
  <c r="D27" i="2"/>
  <c r="F27" i="2" s="1"/>
  <c r="D22" i="2"/>
  <c r="F22" i="2" s="1"/>
  <c r="D21" i="2"/>
  <c r="F21" i="2" s="1"/>
  <c r="F20" i="2"/>
  <c r="D20" i="2"/>
  <c r="D19" i="2"/>
  <c r="F19" i="2" s="1"/>
  <c r="F18" i="2"/>
  <c r="D17" i="2"/>
  <c r="F17" i="2" s="1"/>
  <c r="D16" i="2"/>
  <c r="F16" i="2" s="1"/>
  <c r="D15" i="2"/>
  <c r="F15" i="2" s="1"/>
  <c r="D14" i="2"/>
  <c r="F14" i="2" s="1"/>
  <c r="D13" i="2"/>
  <c r="F13" i="2" s="1"/>
  <c r="D12" i="2"/>
  <c r="F12" i="2" s="1"/>
  <c r="D11" i="2"/>
  <c r="F11" i="2" s="1"/>
  <c r="D10" i="2"/>
  <c r="F10" i="2" s="1"/>
  <c r="D9" i="2"/>
  <c r="F9" i="2" s="1"/>
  <c r="D8" i="2"/>
  <c r="F8" i="2" s="1"/>
  <c r="A4" i="2"/>
  <c r="C80" i="1"/>
  <c r="B54" i="1"/>
  <c r="BD39" i="3" l="1"/>
  <c r="AS19" i="3"/>
  <c r="AJ34" i="3"/>
  <c r="J46" i="8"/>
  <c r="F35" i="2"/>
  <c r="F36" i="2" s="1"/>
  <c r="BD46" i="3"/>
  <c r="I149" i="8"/>
  <c r="I148" i="8"/>
  <c r="I165" i="7"/>
  <c r="I164" i="7"/>
  <c r="I151" i="9"/>
  <c r="I150" i="9"/>
  <c r="I143" i="10"/>
  <c r="I142" i="10"/>
  <c r="I61" i="8"/>
  <c r="I15" i="8"/>
  <c r="I80" i="7"/>
  <c r="I15" i="7"/>
  <c r="I15" i="9"/>
  <c r="I57" i="10"/>
  <c r="I15" i="10"/>
  <c r="I59" i="10"/>
  <c r="AI50" i="3"/>
  <c r="AN77" i="3"/>
  <c r="E81" i="2"/>
  <c r="B92" i="2" s="1"/>
  <c r="D92" i="2" s="1"/>
  <c r="F92" i="2" s="1"/>
  <c r="F23" i="2"/>
  <c r="G52" i="2"/>
  <c r="AZ41" i="3"/>
  <c r="J95" i="7"/>
  <c r="AO77" i="3"/>
  <c r="AY27" i="3"/>
  <c r="AZ38" i="3"/>
  <c r="AZ40" i="3"/>
  <c r="J73" i="10"/>
  <c r="J76" i="9"/>
  <c r="AH54" i="3"/>
  <c r="AS48" i="3"/>
  <c r="AX63" i="3"/>
  <c r="AS65" i="3"/>
  <c r="AP54" i="3"/>
  <c r="AJ29" i="3"/>
  <c r="AO31" i="3"/>
  <c r="BA33" i="3"/>
  <c r="AS29" i="3"/>
  <c r="AM32" i="3"/>
  <c r="AP39" i="3"/>
  <c r="AR44" i="3"/>
  <c r="AH51" i="3"/>
  <c r="BC66" i="3"/>
  <c r="BA27" i="3"/>
  <c r="AG44" i="3"/>
  <c r="AK55" i="3"/>
  <c r="AP45" i="3"/>
  <c r="AM64" i="3"/>
  <c r="AK65" i="3"/>
  <c r="AY69" i="3"/>
  <c r="AP77" i="3"/>
  <c r="AM22" i="3"/>
  <c r="AQ26" i="3"/>
  <c r="AH35" i="3"/>
  <c r="AT35" i="3"/>
  <c r="AK36" i="3"/>
  <c r="AI42" i="3"/>
  <c r="AQ50" i="3"/>
  <c r="AS51" i="3"/>
  <c r="AV55" i="3"/>
  <c r="BD61" i="3"/>
  <c r="AU76" i="3"/>
  <c r="AR31" i="3"/>
  <c r="AZ34" i="3"/>
  <c r="AI35" i="3"/>
  <c r="AX35" i="3"/>
  <c r="BA36" i="3"/>
  <c r="AJ41" i="3"/>
  <c r="AT42" i="3"/>
  <c r="AY50" i="3"/>
  <c r="BC51" i="3"/>
  <c r="AN68" i="3"/>
  <c r="AI69" i="3"/>
  <c r="AK71" i="3"/>
  <c r="AS35" i="3"/>
  <c r="AO23" i="3"/>
  <c r="BB25" i="3"/>
  <c r="AM35" i="3"/>
  <c r="BC35" i="3"/>
  <c r="AR46" i="3"/>
  <c r="AK48" i="3"/>
  <c r="AG61" i="3"/>
  <c r="AP72" i="3"/>
  <c r="AT77" i="3"/>
  <c r="AT70" i="3"/>
  <c r="AL70" i="3"/>
  <c r="AR49" i="3"/>
  <c r="AI49" i="3"/>
  <c r="AZ49" i="3"/>
  <c r="AY49" i="3"/>
  <c r="AJ49" i="3"/>
  <c r="BA31" i="3"/>
  <c r="AW13" i="3"/>
  <c r="BB17" i="3"/>
  <c r="BD19" i="3"/>
  <c r="AS22" i="3"/>
  <c r="AH27" i="3"/>
  <c r="AG31" i="3"/>
  <c r="AY32" i="3"/>
  <c r="AX32" i="3"/>
  <c r="AR34" i="3"/>
  <c r="AY34" i="3"/>
  <c r="BC39" i="3"/>
  <c r="AX39" i="3"/>
  <c r="AY42" i="3"/>
  <c r="AS44" i="3"/>
  <c r="AL50" i="3"/>
  <c r="BB50" i="3"/>
  <c r="AL51" i="3"/>
  <c r="AW51" i="3"/>
  <c r="AY54" i="3"/>
  <c r="BA54" i="3"/>
  <c r="AH58" i="3"/>
  <c r="AO61" i="3"/>
  <c r="BC62" i="3"/>
  <c r="AH63" i="3"/>
  <c r="AU66" i="3"/>
  <c r="BC69" i="3"/>
  <c r="AR71" i="3"/>
  <c r="AV80" i="3"/>
  <c r="AX58" i="3"/>
  <c r="BD62" i="3"/>
  <c r="AQ27" i="3"/>
  <c r="AM51" i="3"/>
  <c r="AX51" i="3"/>
  <c r="AW61" i="3"/>
  <c r="AP63" i="3"/>
  <c r="AZ71" i="3"/>
  <c r="BC18" i="3"/>
  <c r="AI19" i="3"/>
  <c r="BA21" i="3"/>
  <c r="AH32" i="3"/>
  <c r="AS33" i="3"/>
  <c r="AI34" i="3"/>
  <c r="AO35" i="3"/>
  <c r="AY35" i="3"/>
  <c r="AS36" i="3"/>
  <c r="AH39" i="3"/>
  <c r="AQ41" i="3"/>
  <c r="AO42" i="3"/>
  <c r="AJ44" i="3"/>
  <c r="AT50" i="3"/>
  <c r="AG51" i="3"/>
  <c r="AQ51" i="3"/>
  <c r="BB51" i="3"/>
  <c r="AN62" i="3"/>
  <c r="AM66" i="3"/>
  <c r="AV68" i="3"/>
  <c r="AJ71" i="3"/>
  <c r="BA71" i="3"/>
  <c r="AP73" i="3"/>
  <c r="AS76" i="3"/>
  <c r="AO79" i="3"/>
  <c r="BA20" i="3"/>
  <c r="BC20" i="3"/>
  <c r="AH20" i="3"/>
  <c r="AX20" i="3"/>
  <c r="AS20" i="3"/>
  <c r="AM20" i="3"/>
  <c r="BA9" i="3"/>
  <c r="AP9" i="3"/>
  <c r="AT9" i="3"/>
  <c r="BB9" i="3"/>
  <c r="AL9" i="3"/>
  <c r="AX9" i="3"/>
  <c r="AH9" i="3"/>
  <c r="AX14" i="3"/>
  <c r="AY14" i="3"/>
  <c r="AS21" i="3"/>
  <c r="AZ47" i="3"/>
  <c r="AJ47" i="3"/>
  <c r="AY47" i="3"/>
  <c r="AI47" i="3"/>
  <c r="AR47" i="3"/>
  <c r="AQ67" i="3"/>
  <c r="BC67" i="3"/>
  <c r="AT11" i="3"/>
  <c r="BC12" i="3"/>
  <c r="AN19" i="3"/>
  <c r="AY21" i="3"/>
  <c r="AH22" i="3"/>
  <c r="BC22" i="3"/>
  <c r="AT23" i="3"/>
  <c r="BD27" i="3"/>
  <c r="AL27" i="3"/>
  <c r="AT27" i="3"/>
  <c r="BB27" i="3"/>
  <c r="AK29" i="3"/>
  <c r="AW29" i="3"/>
  <c r="AH30" i="3"/>
  <c r="BD31" i="3"/>
  <c r="AS31" i="3"/>
  <c r="AJ31" i="3"/>
  <c r="AZ31" i="3"/>
  <c r="BC38" i="3"/>
  <c r="AR38" i="3"/>
  <c r="AJ38" i="3"/>
  <c r="AS40" i="3"/>
  <c r="BC46" i="3"/>
  <c r="BA46" i="3"/>
  <c r="AK46" i="3"/>
  <c r="AZ46" i="3"/>
  <c r="AJ46" i="3"/>
  <c r="AS46" i="3"/>
  <c r="AX52" i="3"/>
  <c r="BB64" i="3"/>
  <c r="BC64" i="3"/>
  <c r="AU64" i="3"/>
  <c r="BB67" i="3"/>
  <c r="BA76" i="3"/>
  <c r="AL76" i="3"/>
  <c r="BA12" i="3"/>
  <c r="AY12" i="3"/>
  <c r="AW12" i="3"/>
  <c r="AH11" i="3"/>
  <c r="AX11" i="3"/>
  <c r="AM27" i="3"/>
  <c r="AU27" i="3"/>
  <c r="BC27" i="3"/>
  <c r="AO29" i="3"/>
  <c r="AZ29" i="3"/>
  <c r="BD40" i="3"/>
  <c r="BA40" i="3"/>
  <c r="AR40" i="3"/>
  <c r="AG40" i="3"/>
  <c r="AY45" i="3"/>
  <c r="BC45" i="3"/>
  <c r="AM45" i="3"/>
  <c r="AX45" i="3"/>
  <c r="AH45" i="3"/>
  <c r="AU45" i="3"/>
  <c r="AQ47" i="3"/>
  <c r="BD65" i="3"/>
  <c r="AX65" i="3"/>
  <c r="AP65" i="3"/>
  <c r="AH65" i="3"/>
  <c r="AW65" i="3"/>
  <c r="AO65" i="3"/>
  <c r="AG65" i="3"/>
  <c r="AT65" i="3"/>
  <c r="AL65" i="3"/>
  <c r="BA65" i="3"/>
  <c r="BD74" i="3"/>
  <c r="AV74" i="3"/>
  <c r="AN74" i="3"/>
  <c r="AP11" i="3"/>
  <c r="AX22" i="3"/>
  <c r="AY30" i="3"/>
  <c r="AP30" i="3"/>
  <c r="BC30" i="3"/>
  <c r="AM30" i="3"/>
  <c r="BB13" i="3"/>
  <c r="AX13" i="3"/>
  <c r="AY13" i="3"/>
  <c r="AI21" i="3"/>
  <c r="BD21" i="3"/>
  <c r="AZ23" i="3"/>
  <c r="AL11" i="3"/>
  <c r="BB11" i="3"/>
  <c r="BA13" i="3"/>
  <c r="AY19" i="3"/>
  <c r="AN21" i="3"/>
  <c r="AJ23" i="3"/>
  <c r="AZ26" i="3"/>
  <c r="AG27" i="3"/>
  <c r="AP27" i="3"/>
  <c r="AX27" i="3"/>
  <c r="AG29" i="3"/>
  <c r="AR29" i="3"/>
  <c r="AX30" i="3"/>
  <c r="AO40" i="3"/>
  <c r="BD48" i="3"/>
  <c r="AX48" i="3"/>
  <c r="AP48" i="3"/>
  <c r="AH48" i="3"/>
  <c r="AW48" i="3"/>
  <c r="AO48" i="3"/>
  <c r="AG48" i="3"/>
  <c r="BB48" i="3"/>
  <c r="AT48" i="3"/>
  <c r="AL48" i="3"/>
  <c r="BA48" i="3"/>
  <c r="AD53" i="3"/>
  <c r="BB53" i="3" s="1"/>
  <c r="AH52" i="3"/>
  <c r="BD58" i="3"/>
  <c r="AW58" i="3"/>
  <c r="AO58" i="3"/>
  <c r="AG58" i="3"/>
  <c r="BB58" i="3"/>
  <c r="AT58" i="3"/>
  <c r="AL58" i="3"/>
  <c r="BA58" i="3"/>
  <c r="AS58" i="3"/>
  <c r="AK58" i="3"/>
  <c r="AY67" i="3"/>
  <c r="AY72" i="3"/>
  <c r="BC72" i="3"/>
  <c r="AM72" i="3"/>
  <c r="AX72" i="3"/>
  <c r="AH72" i="3"/>
  <c r="AU72" i="3"/>
  <c r="AY73" i="3"/>
  <c r="AI73" i="3"/>
  <c r="AX73" i="3"/>
  <c r="AH73" i="3"/>
  <c r="AQ73" i="3"/>
  <c r="AX75" i="3"/>
  <c r="AJ75" i="3"/>
  <c r="AW79" i="3"/>
  <c r="AK79" i="3"/>
  <c r="AS79" i="3"/>
  <c r="AJ79" i="3"/>
  <c r="BA79" i="3"/>
  <c r="AR79" i="3"/>
  <c r="AG79" i="3"/>
  <c r="AX12" i="3"/>
  <c r="BC32" i="3"/>
  <c r="AL36" i="3"/>
  <c r="AT36" i="3"/>
  <c r="BB36" i="3"/>
  <c r="AK39" i="3"/>
  <c r="AS39" i="3"/>
  <c r="BA39" i="3"/>
  <c r="AK42" i="3"/>
  <c r="AP42" i="3"/>
  <c r="AU42" i="3"/>
  <c r="BA42" i="3"/>
  <c r="AW46" i="3"/>
  <c r="AK54" i="3"/>
  <c r="AT54" i="3"/>
  <c r="AX56" i="3"/>
  <c r="AH61" i="3"/>
  <c r="AP61" i="3"/>
  <c r="AX61" i="3"/>
  <c r="BD63" i="3"/>
  <c r="AK63" i="3"/>
  <c r="AS63" i="3"/>
  <c r="BA63" i="3"/>
  <c r="BB65" i="3"/>
  <c r="AI67" i="3"/>
  <c r="AQ69" i="3"/>
  <c r="AJ76" i="3"/>
  <c r="BC76" i="3"/>
  <c r="AP32" i="3"/>
  <c r="AQ34" i="3"/>
  <c r="AK35" i="3"/>
  <c r="AP35" i="3"/>
  <c r="AU35" i="3"/>
  <c r="BA35" i="3"/>
  <c r="AG36" i="3"/>
  <c r="AO36" i="3"/>
  <c r="AW36" i="3"/>
  <c r="AZ39" i="3"/>
  <c r="AL39" i="3"/>
  <c r="AT39" i="3"/>
  <c r="BB39" i="3"/>
  <c r="AJ40" i="3"/>
  <c r="AR41" i="3"/>
  <c r="AG42" i="3"/>
  <c r="AL42" i="3"/>
  <c r="AQ42" i="3"/>
  <c r="AW42" i="3"/>
  <c r="BB42" i="3"/>
  <c r="AK44" i="3"/>
  <c r="AZ44" i="3"/>
  <c r="AQ49" i="3"/>
  <c r="AM50" i="3"/>
  <c r="AU50" i="3"/>
  <c r="BC50" i="3"/>
  <c r="AI51" i="3"/>
  <c r="AO51" i="3"/>
  <c r="AT51" i="3"/>
  <c r="AY51" i="3"/>
  <c r="AP52" i="3"/>
  <c r="AL54" i="3"/>
  <c r="AU54" i="3"/>
  <c r="AK61" i="3"/>
  <c r="AS61" i="3"/>
  <c r="BA61" i="3"/>
  <c r="AL63" i="3"/>
  <c r="AT63" i="3"/>
  <c r="BB63" i="3"/>
  <c r="BC31" i="3"/>
  <c r="AK31" i="3"/>
  <c r="AW31" i="3"/>
  <c r="AU32" i="3"/>
  <c r="AG35" i="3"/>
  <c r="AL35" i="3"/>
  <c r="AQ35" i="3"/>
  <c r="AW35" i="3"/>
  <c r="BB35" i="3"/>
  <c r="AH36" i="3"/>
  <c r="AP36" i="3"/>
  <c r="AX36" i="3"/>
  <c r="AG39" i="3"/>
  <c r="AO39" i="3"/>
  <c r="AW39" i="3"/>
  <c r="BC40" i="3"/>
  <c r="AK40" i="3"/>
  <c r="AW40" i="3"/>
  <c r="AI41" i="3"/>
  <c r="AY41" i="3"/>
  <c r="AH42" i="3"/>
  <c r="AM42" i="3"/>
  <c r="AS42" i="3"/>
  <c r="AX42" i="3"/>
  <c r="BC42" i="3"/>
  <c r="AO44" i="3"/>
  <c r="AH50" i="3"/>
  <c r="AP50" i="3"/>
  <c r="AX50" i="3"/>
  <c r="AK51" i="3"/>
  <c r="AP51" i="3"/>
  <c r="AU51" i="3"/>
  <c r="BA51" i="3"/>
  <c r="AG54" i="3"/>
  <c r="AO54" i="3"/>
  <c r="AP56" i="3"/>
  <c r="AL61" i="3"/>
  <c r="AT61" i="3"/>
  <c r="BB61" i="3"/>
  <c r="AG63" i="3"/>
  <c r="AO63" i="3"/>
  <c r="AW63" i="3"/>
  <c r="BD68" i="3"/>
  <c r="G63" i="2"/>
  <c r="B90" i="2" s="1"/>
  <c r="D90" i="2" s="1"/>
  <c r="B87" i="2"/>
  <c r="D87" i="2" s="1"/>
  <c r="G53" i="2"/>
  <c r="BB37" i="3"/>
  <c r="AX37" i="3"/>
  <c r="AT37" i="3"/>
  <c r="AP37" i="3"/>
  <c r="AL37" i="3"/>
  <c r="AH37" i="3"/>
  <c r="BA37" i="3"/>
  <c r="AW37" i="3"/>
  <c r="AS37" i="3"/>
  <c r="AO37" i="3"/>
  <c r="AK37" i="3"/>
  <c r="AG37" i="3"/>
  <c r="BD37" i="3"/>
  <c r="AV37" i="3"/>
  <c r="AN37" i="3"/>
  <c r="AZ37" i="3"/>
  <c r="BC37" i="3"/>
  <c r="AU37" i="3"/>
  <c r="AM37" i="3"/>
  <c r="AY37" i="3"/>
  <c r="AQ37" i="3"/>
  <c r="AI37" i="3"/>
  <c r="AR37" i="3"/>
  <c r="AJ37" i="3"/>
  <c r="BC10" i="3"/>
  <c r="AY10" i="3"/>
  <c r="AU10" i="3"/>
  <c r="AQ10" i="3"/>
  <c r="AM10" i="3"/>
  <c r="AI10" i="3"/>
  <c r="AS10" i="3"/>
  <c r="AK10" i="3"/>
  <c r="BD10" i="3"/>
  <c r="AZ10" i="3"/>
  <c r="AV10" i="3"/>
  <c r="AR10" i="3"/>
  <c r="AN10" i="3"/>
  <c r="AJ10" i="3"/>
  <c r="BB10" i="3"/>
  <c r="AX10" i="3"/>
  <c r="AT10" i="3"/>
  <c r="AP10" i="3"/>
  <c r="AL10" i="3"/>
  <c r="AH10" i="3"/>
  <c r="BA10" i="3"/>
  <c r="AW10" i="3"/>
  <c r="AO10" i="3"/>
  <c r="AG10" i="3"/>
  <c r="B85" i="2"/>
  <c r="F24" i="2"/>
  <c r="BC8" i="3"/>
  <c r="AY8" i="3"/>
  <c r="AU8" i="3"/>
  <c r="AQ8" i="3"/>
  <c r="AM8" i="3"/>
  <c r="AI8" i="3"/>
  <c r="BA8" i="3"/>
  <c r="AW8" i="3"/>
  <c r="AS8" i="3"/>
  <c r="AO8" i="3"/>
  <c r="AK8" i="3"/>
  <c r="AG8" i="3"/>
  <c r="BD8" i="3"/>
  <c r="AZ8" i="3"/>
  <c r="AV8" i="3"/>
  <c r="AR8" i="3"/>
  <c r="AJ8" i="3"/>
  <c r="BB8" i="3"/>
  <c r="AX8" i="3"/>
  <c r="AT8" i="3"/>
  <c r="AP8" i="3"/>
  <c r="AL8" i="3"/>
  <c r="AH8" i="3"/>
  <c r="AN8" i="3"/>
  <c r="B86" i="2"/>
  <c r="D86" i="2" s="1"/>
  <c r="AP53" i="3"/>
  <c r="AW53" i="3"/>
  <c r="AG53" i="3"/>
  <c r="BD53" i="3"/>
  <c r="AR53" i="3"/>
  <c r="AI53" i="3"/>
  <c r="BB57" i="3"/>
  <c r="AX57" i="3"/>
  <c r="AT57" i="3"/>
  <c r="AP57" i="3"/>
  <c r="AL57" i="3"/>
  <c r="AH57" i="3"/>
  <c r="BA57" i="3"/>
  <c r="AW57" i="3"/>
  <c r="AS57" i="3"/>
  <c r="AO57" i="3"/>
  <c r="AK57" i="3"/>
  <c r="AG57" i="3"/>
  <c r="AZ57" i="3"/>
  <c r="AR57" i="3"/>
  <c r="AJ57" i="3"/>
  <c r="AY57" i="3"/>
  <c r="AQ57" i="3"/>
  <c r="AI57" i="3"/>
  <c r="AU57" i="3"/>
  <c r="AV57" i="3"/>
  <c r="BD57" i="3"/>
  <c r="AN57" i="3"/>
  <c r="BC57" i="3"/>
  <c r="AM57" i="3"/>
  <c r="AY26" i="3"/>
  <c r="AM38" i="3"/>
  <c r="AU43" i="3"/>
  <c r="BC43" i="3"/>
  <c r="BD52" i="3"/>
  <c r="AZ52" i="3"/>
  <c r="AV52" i="3"/>
  <c r="AR52" i="3"/>
  <c r="AN52" i="3"/>
  <c r="AJ52" i="3"/>
  <c r="BC52" i="3"/>
  <c r="AY52" i="3"/>
  <c r="AU52" i="3"/>
  <c r="AQ52" i="3"/>
  <c r="AM52" i="3"/>
  <c r="AI52" i="3"/>
  <c r="AK52" i="3"/>
  <c r="AS52" i="3"/>
  <c r="BA52" i="3"/>
  <c r="BC59" i="3"/>
  <c r="AY59" i="3"/>
  <c r="AU59" i="3"/>
  <c r="AQ59" i="3"/>
  <c r="AM59" i="3"/>
  <c r="AI59" i="3"/>
  <c r="BB59" i="3"/>
  <c r="AX59" i="3"/>
  <c r="AT59" i="3"/>
  <c r="AP59" i="3"/>
  <c r="AL59" i="3"/>
  <c r="AH59" i="3"/>
  <c r="BA59" i="3"/>
  <c r="AS59" i="3"/>
  <c r="AK59" i="3"/>
  <c r="AZ59" i="3"/>
  <c r="AR59" i="3"/>
  <c r="AJ59" i="3"/>
  <c r="AV59" i="3"/>
  <c r="AM60" i="3"/>
  <c r="AX62" i="3"/>
  <c r="AT62" i="3"/>
  <c r="AP62" i="3"/>
  <c r="AL62" i="3"/>
  <c r="AH62" i="3"/>
  <c r="BA62" i="3"/>
  <c r="AW62" i="3"/>
  <c r="AS62" i="3"/>
  <c r="AO62" i="3"/>
  <c r="AK62" i="3"/>
  <c r="AG62" i="3"/>
  <c r="AZ62" i="3"/>
  <c r="AR62" i="3"/>
  <c r="AJ62" i="3"/>
  <c r="AY62" i="3"/>
  <c r="AQ62" i="3"/>
  <c r="AI62" i="3"/>
  <c r="AU62" i="3"/>
  <c r="AR12" i="3"/>
  <c r="BB14" i="3"/>
  <c r="AT14" i="3"/>
  <c r="AP14" i="3"/>
  <c r="AL14" i="3"/>
  <c r="AH14" i="3"/>
  <c r="AO14" i="3"/>
  <c r="AU14" i="3"/>
  <c r="AZ14" i="3"/>
  <c r="AI15" i="3"/>
  <c r="AO15" i="3"/>
  <c r="AT15" i="3"/>
  <c r="AY15" i="3"/>
  <c r="AJ16" i="3"/>
  <c r="AO16" i="3"/>
  <c r="AU16" i="3"/>
  <c r="AZ16" i="3"/>
  <c r="AO17" i="3"/>
  <c r="BA24" i="3"/>
  <c r="AW24" i="3"/>
  <c r="AS24" i="3"/>
  <c r="AO24" i="3"/>
  <c r="AK24" i="3"/>
  <c r="AG24" i="3"/>
  <c r="AJ24" i="3"/>
  <c r="AP24" i="3"/>
  <c r="AU24" i="3"/>
  <c r="AZ24" i="3"/>
  <c r="AK25" i="3"/>
  <c r="AV25" i="3"/>
  <c r="BA25" i="3"/>
  <c r="AN26" i="3"/>
  <c r="AV26" i="3"/>
  <c r="AL28" i="3"/>
  <c r="BB28" i="3"/>
  <c r="AT43" i="3"/>
  <c r="BB60" i="3"/>
  <c r="AX60" i="3"/>
  <c r="AT60" i="3"/>
  <c r="AP60" i="3"/>
  <c r="AL60" i="3"/>
  <c r="AH60" i="3"/>
  <c r="BA60" i="3"/>
  <c r="AW60" i="3"/>
  <c r="AS60" i="3"/>
  <c r="AO60" i="3"/>
  <c r="AK60" i="3"/>
  <c r="AG60" i="3"/>
  <c r="AZ60" i="3"/>
  <c r="AR60" i="3"/>
  <c r="AJ60" i="3"/>
  <c r="AY60" i="3"/>
  <c r="AQ60" i="3"/>
  <c r="AI60" i="3"/>
  <c r="H18" i="10"/>
  <c r="H18" i="9"/>
  <c r="H18" i="8"/>
  <c r="H18" i="7"/>
  <c r="D81" i="3"/>
  <c r="AU9" i="3"/>
  <c r="AI11" i="3"/>
  <c r="AY11" i="3"/>
  <c r="AO12" i="3"/>
  <c r="AG13" i="3"/>
  <c r="BA14" i="3"/>
  <c r="AP15" i="3"/>
  <c r="AK16" i="3"/>
  <c r="AK17" i="3"/>
  <c r="BA17" i="3"/>
  <c r="AK18" i="3"/>
  <c r="AV18" i="3"/>
  <c r="BA18" i="3"/>
  <c r="AU19" i="3"/>
  <c r="AZ22" i="3"/>
  <c r="AV22" i="3"/>
  <c r="AR22" i="3"/>
  <c r="AN22" i="3"/>
  <c r="AJ22" i="3"/>
  <c r="AI22" i="3"/>
  <c r="AO22" i="3"/>
  <c r="AT22" i="3"/>
  <c r="AY22" i="3"/>
  <c r="AK23" i="3"/>
  <c r="AV23" i="3"/>
  <c r="BA23" i="3"/>
  <c r="AQ24" i="3"/>
  <c r="BB24" i="3"/>
  <c r="AL25" i="3"/>
  <c r="AW25" i="3"/>
  <c r="AI26" i="3"/>
  <c r="AM28" i="3"/>
  <c r="BC28" i="3"/>
  <c r="BD33" i="3"/>
  <c r="AZ33" i="3"/>
  <c r="AV33" i="3"/>
  <c r="AR33" i="3"/>
  <c r="AN33" i="3"/>
  <c r="AJ33" i="3"/>
  <c r="BC33" i="3"/>
  <c r="AY33" i="3"/>
  <c r="AU33" i="3"/>
  <c r="AQ33" i="3"/>
  <c r="AM33" i="3"/>
  <c r="AI33" i="3"/>
  <c r="AL33" i="3"/>
  <c r="BB33" i="3"/>
  <c r="BB38" i="3"/>
  <c r="AX38" i="3"/>
  <c r="AT38" i="3"/>
  <c r="AP38" i="3"/>
  <c r="AL38" i="3"/>
  <c r="AH38" i="3"/>
  <c r="BA38" i="3"/>
  <c r="AW38" i="3"/>
  <c r="AS38" i="3"/>
  <c r="AO38" i="3"/>
  <c r="AK38" i="3"/>
  <c r="AG38" i="3"/>
  <c r="AU38" i="3"/>
  <c r="AM43" i="3"/>
  <c r="BB55" i="3"/>
  <c r="AX55" i="3"/>
  <c r="AT55" i="3"/>
  <c r="AP55" i="3"/>
  <c r="AL55" i="3"/>
  <c r="AH55" i="3"/>
  <c r="BD55" i="3"/>
  <c r="AY55" i="3"/>
  <c r="AS55" i="3"/>
  <c r="AN55" i="3"/>
  <c r="AI55" i="3"/>
  <c r="BC55" i="3"/>
  <c r="AW55" i="3"/>
  <c r="AR55" i="3"/>
  <c r="AM55" i="3"/>
  <c r="AG55" i="3"/>
  <c r="AO55" i="3"/>
  <c r="AZ55" i="3"/>
  <c r="AI56" i="3"/>
  <c r="AW56" i="3"/>
  <c r="I56" i="10"/>
  <c r="I64" i="9"/>
  <c r="I78" i="7"/>
  <c r="I62" i="8"/>
  <c r="AJ9" i="3"/>
  <c r="AN9" i="3"/>
  <c r="AR9" i="3"/>
  <c r="AV9" i="3"/>
  <c r="AZ9" i="3"/>
  <c r="BD9" i="3"/>
  <c r="AJ11" i="3"/>
  <c r="AN11" i="3"/>
  <c r="AR11" i="3"/>
  <c r="AV11" i="3"/>
  <c r="AZ11" i="3"/>
  <c r="BD11" i="3"/>
  <c r="AH12" i="3"/>
  <c r="AL12" i="3"/>
  <c r="AP12" i="3"/>
  <c r="AT12" i="3"/>
  <c r="AZ12" i="3"/>
  <c r="BD12" i="3"/>
  <c r="AH13" i="3"/>
  <c r="AL13" i="3"/>
  <c r="AP13" i="3"/>
  <c r="AV13" i="3"/>
  <c r="AG14" i="3"/>
  <c r="AM14" i="3"/>
  <c r="AR14" i="3"/>
  <c r="AW14" i="3"/>
  <c r="BC14" i="3"/>
  <c r="AG15" i="3"/>
  <c r="AL15" i="3"/>
  <c r="AQ15" i="3"/>
  <c r="AW15" i="3"/>
  <c r="AG16" i="3"/>
  <c r="AM16" i="3"/>
  <c r="AR16" i="3"/>
  <c r="AW16" i="3"/>
  <c r="AG17" i="3"/>
  <c r="AL17" i="3"/>
  <c r="AQ17" i="3"/>
  <c r="AW17" i="3"/>
  <c r="AG18" i="3"/>
  <c r="AM18" i="3"/>
  <c r="AR18" i="3"/>
  <c r="AW18" i="3"/>
  <c r="AK19" i="3"/>
  <c r="AQ19" i="3"/>
  <c r="AV19" i="3"/>
  <c r="AK20" i="3"/>
  <c r="AP20" i="3"/>
  <c r="AU20" i="3"/>
  <c r="AK21" i="3"/>
  <c r="AQ21" i="3"/>
  <c r="AV21" i="3"/>
  <c r="AK22" i="3"/>
  <c r="AP22" i="3"/>
  <c r="AU22" i="3"/>
  <c r="BA22" i="3"/>
  <c r="AG23" i="3"/>
  <c r="AL23" i="3"/>
  <c r="AR23" i="3"/>
  <c r="AW23" i="3"/>
  <c r="AH24" i="3"/>
  <c r="AM24" i="3"/>
  <c r="AR24" i="3"/>
  <c r="AX24" i="3"/>
  <c r="BC24" i="3"/>
  <c r="AH25" i="3"/>
  <c r="AN25" i="3"/>
  <c r="AS25" i="3"/>
  <c r="AX25" i="3"/>
  <c r="AJ26" i="3"/>
  <c r="AR26" i="3"/>
  <c r="AH28" i="3"/>
  <c r="AP28" i="3"/>
  <c r="BC29" i="3"/>
  <c r="AY29" i="3"/>
  <c r="AU29" i="3"/>
  <c r="AQ29" i="3"/>
  <c r="AM29" i="3"/>
  <c r="AI29" i="3"/>
  <c r="BB29" i="3"/>
  <c r="AX29" i="3"/>
  <c r="AT29" i="3"/>
  <c r="AP29" i="3"/>
  <c r="AL29" i="3"/>
  <c r="AH29" i="3"/>
  <c r="AN29" i="3"/>
  <c r="AV29" i="3"/>
  <c r="BD29" i="3"/>
  <c r="AI30" i="3"/>
  <c r="AQ30" i="3"/>
  <c r="AN31" i="3"/>
  <c r="AV31" i="3"/>
  <c r="AI32" i="3"/>
  <c r="AQ32" i="3"/>
  <c r="AG33" i="3"/>
  <c r="AO33" i="3"/>
  <c r="AW33" i="3"/>
  <c r="BB34" i="3"/>
  <c r="AX34" i="3"/>
  <c r="AT34" i="3"/>
  <c r="AP34" i="3"/>
  <c r="AL34" i="3"/>
  <c r="AH34" i="3"/>
  <c r="BA34" i="3"/>
  <c r="AW34" i="3"/>
  <c r="AS34" i="3"/>
  <c r="AO34" i="3"/>
  <c r="AK34" i="3"/>
  <c r="AG34" i="3"/>
  <c r="AM34" i="3"/>
  <c r="AU34" i="3"/>
  <c r="BC34" i="3"/>
  <c r="AN38" i="3"/>
  <c r="AV38" i="3"/>
  <c r="BD38" i="3"/>
  <c r="AN40" i="3"/>
  <c r="AV40" i="3"/>
  <c r="AM41" i="3"/>
  <c r="AU41" i="3"/>
  <c r="AH43" i="3"/>
  <c r="AP43" i="3"/>
  <c r="BC44" i="3"/>
  <c r="AY44" i="3"/>
  <c r="AU44" i="3"/>
  <c r="AQ44" i="3"/>
  <c r="AM44" i="3"/>
  <c r="AI44" i="3"/>
  <c r="BB44" i="3"/>
  <c r="AX44" i="3"/>
  <c r="AT44" i="3"/>
  <c r="AP44" i="3"/>
  <c r="AL44" i="3"/>
  <c r="AH44" i="3"/>
  <c r="AN44" i="3"/>
  <c r="AV44" i="3"/>
  <c r="BD44" i="3"/>
  <c r="AI45" i="3"/>
  <c r="AQ45" i="3"/>
  <c r="AN46" i="3"/>
  <c r="AV46" i="3"/>
  <c r="BB47" i="3"/>
  <c r="AX47" i="3"/>
  <c r="AT47" i="3"/>
  <c r="AP47" i="3"/>
  <c r="AL47" i="3"/>
  <c r="AH47" i="3"/>
  <c r="BA47" i="3"/>
  <c r="AW47" i="3"/>
  <c r="AS47" i="3"/>
  <c r="AO47" i="3"/>
  <c r="AK47" i="3"/>
  <c r="AG47" i="3"/>
  <c r="AM47" i="3"/>
  <c r="AU47" i="3"/>
  <c r="BC47" i="3"/>
  <c r="BB49" i="3"/>
  <c r="AX49" i="3"/>
  <c r="AT49" i="3"/>
  <c r="AP49" i="3"/>
  <c r="AL49" i="3"/>
  <c r="AH49" i="3"/>
  <c r="BA49" i="3"/>
  <c r="AW49" i="3"/>
  <c r="AS49" i="3"/>
  <c r="AO49" i="3"/>
  <c r="AK49" i="3"/>
  <c r="AG49" i="3"/>
  <c r="AM49" i="3"/>
  <c r="AU49" i="3"/>
  <c r="BC49" i="3"/>
  <c r="AL52" i="3"/>
  <c r="AT52" i="3"/>
  <c r="BB52" i="3"/>
  <c r="AQ55" i="3"/>
  <c r="BA55" i="3"/>
  <c r="AK56" i="3"/>
  <c r="AG59" i="3"/>
  <c r="AW59" i="3"/>
  <c r="AN60" i="3"/>
  <c r="BD60" i="3"/>
  <c r="AV62" i="3"/>
  <c r="AX66" i="3"/>
  <c r="AT66" i="3"/>
  <c r="AP66" i="3"/>
  <c r="AL66" i="3"/>
  <c r="AH66" i="3"/>
  <c r="BA66" i="3"/>
  <c r="AW66" i="3"/>
  <c r="AS66" i="3"/>
  <c r="AO66" i="3"/>
  <c r="AK66" i="3"/>
  <c r="AG66" i="3"/>
  <c r="AZ66" i="3"/>
  <c r="AR66" i="3"/>
  <c r="AJ66" i="3"/>
  <c r="AY66" i="3"/>
  <c r="AQ66" i="3"/>
  <c r="AI66" i="3"/>
  <c r="AV66" i="3"/>
  <c r="AN66" i="3"/>
  <c r="F210" i="7"/>
  <c r="I210" i="7" s="1"/>
  <c r="AJ12" i="3"/>
  <c r="AN12" i="3"/>
  <c r="AV12" i="3"/>
  <c r="BB12" i="3"/>
  <c r="AJ13" i="3"/>
  <c r="AN13" i="3"/>
  <c r="AS13" i="3"/>
  <c r="AJ14" i="3"/>
  <c r="BD15" i="3"/>
  <c r="AZ15" i="3"/>
  <c r="AV15" i="3"/>
  <c r="AR15" i="3"/>
  <c r="AN15" i="3"/>
  <c r="AJ15" i="3"/>
  <c r="BB16" i="3"/>
  <c r="AX16" i="3"/>
  <c r="AT16" i="3"/>
  <c r="AP16" i="3"/>
  <c r="AL16" i="3"/>
  <c r="AH16" i="3"/>
  <c r="BD17" i="3"/>
  <c r="AZ17" i="3"/>
  <c r="AV17" i="3"/>
  <c r="AR17" i="3"/>
  <c r="AN17" i="3"/>
  <c r="AJ17" i="3"/>
  <c r="AI17" i="3"/>
  <c r="AT17" i="3"/>
  <c r="AY17" i="3"/>
  <c r="BB18" i="3"/>
  <c r="AX18" i="3"/>
  <c r="AT18" i="3"/>
  <c r="AP18" i="3"/>
  <c r="AL18" i="3"/>
  <c r="AH18" i="3"/>
  <c r="AJ18" i="3"/>
  <c r="AO18" i="3"/>
  <c r="AU18" i="3"/>
  <c r="AZ18" i="3"/>
  <c r="BC25" i="3"/>
  <c r="AY25" i="3"/>
  <c r="AU25" i="3"/>
  <c r="AQ25" i="3"/>
  <c r="AM25" i="3"/>
  <c r="AI25" i="3"/>
  <c r="AP25" i="3"/>
  <c r="BD26" i="3"/>
  <c r="BA28" i="3"/>
  <c r="AW28" i="3"/>
  <c r="AS28" i="3"/>
  <c r="AO28" i="3"/>
  <c r="AK28" i="3"/>
  <c r="AG28" i="3"/>
  <c r="BD28" i="3"/>
  <c r="AZ28" i="3"/>
  <c r="AV28" i="3"/>
  <c r="AR28" i="3"/>
  <c r="AN28" i="3"/>
  <c r="AJ28" i="3"/>
  <c r="AT28" i="3"/>
  <c r="BA43" i="3"/>
  <c r="AW43" i="3"/>
  <c r="AS43" i="3"/>
  <c r="AO43" i="3"/>
  <c r="AK43" i="3"/>
  <c r="AG43" i="3"/>
  <c r="BD43" i="3"/>
  <c r="AZ43" i="3"/>
  <c r="AV43" i="3"/>
  <c r="AR43" i="3"/>
  <c r="AN43" i="3"/>
  <c r="AJ43" i="3"/>
  <c r="AL43" i="3"/>
  <c r="BB43" i="3"/>
  <c r="AV60" i="3"/>
  <c r="AI9" i="3"/>
  <c r="AM9" i="3"/>
  <c r="AQ9" i="3"/>
  <c r="AY9" i="3"/>
  <c r="BC9" i="3"/>
  <c r="AM11" i="3"/>
  <c r="AQ11" i="3"/>
  <c r="AU11" i="3"/>
  <c r="BC11" i="3"/>
  <c r="AG12" i="3"/>
  <c r="AK12" i="3"/>
  <c r="AS12" i="3"/>
  <c r="AK13" i="3"/>
  <c r="AO13" i="3"/>
  <c r="AT13" i="3"/>
  <c r="AK14" i="3"/>
  <c r="AQ14" i="3"/>
  <c r="AV14" i="3"/>
  <c r="AK15" i="3"/>
  <c r="AU15" i="3"/>
  <c r="BA15" i="3"/>
  <c r="AQ16" i="3"/>
  <c r="AV16" i="3"/>
  <c r="BA16" i="3"/>
  <c r="AP17" i="3"/>
  <c r="AU17" i="3"/>
  <c r="AQ18" i="3"/>
  <c r="BB19" i="3"/>
  <c r="AX19" i="3"/>
  <c r="AT19" i="3"/>
  <c r="AP19" i="3"/>
  <c r="AL19" i="3"/>
  <c r="AH19" i="3"/>
  <c r="AJ19" i="3"/>
  <c r="AO19" i="3"/>
  <c r="AZ19" i="3"/>
  <c r="BD20" i="3"/>
  <c r="AZ20" i="3"/>
  <c r="AV20" i="3"/>
  <c r="AR20" i="3"/>
  <c r="AN20" i="3"/>
  <c r="AJ20" i="3"/>
  <c r="AI20" i="3"/>
  <c r="AO20" i="3"/>
  <c r="AT20" i="3"/>
  <c r="AY20" i="3"/>
  <c r="BB21" i="3"/>
  <c r="AX21" i="3"/>
  <c r="AT21" i="3"/>
  <c r="AP21" i="3"/>
  <c r="AL21" i="3"/>
  <c r="AH21" i="3"/>
  <c r="AJ21" i="3"/>
  <c r="AO21" i="3"/>
  <c r="AU21" i="3"/>
  <c r="AZ21" i="3"/>
  <c r="BC23" i="3"/>
  <c r="AY23" i="3"/>
  <c r="AU23" i="3"/>
  <c r="AQ23" i="3"/>
  <c r="AM23" i="3"/>
  <c r="AI23" i="3"/>
  <c r="AP23" i="3"/>
  <c r="AL24" i="3"/>
  <c r="AV24" i="3"/>
  <c r="AG25" i="3"/>
  <c r="AR25" i="3"/>
  <c r="AU28" i="3"/>
  <c r="AT33" i="3"/>
  <c r="AE81" i="3"/>
  <c r="AG9" i="3"/>
  <c r="AK9" i="3"/>
  <c r="AO9" i="3"/>
  <c r="AS9" i="3"/>
  <c r="AW9" i="3"/>
  <c r="AG11" i="3"/>
  <c r="AK11" i="3"/>
  <c r="AO11" i="3"/>
  <c r="AS11" i="3"/>
  <c r="AW11" i="3"/>
  <c r="AI12" i="3"/>
  <c r="AM12" i="3"/>
  <c r="AQ12" i="3"/>
  <c r="AU12" i="3"/>
  <c r="BD13" i="3"/>
  <c r="AZ13" i="3"/>
  <c r="AU13" i="3"/>
  <c r="AQ13" i="3"/>
  <c r="AI13" i="3"/>
  <c r="AM13" i="3"/>
  <c r="AR13" i="3"/>
  <c r="BC13" i="3"/>
  <c r="AI14" i="3"/>
  <c r="AN14" i="3"/>
  <c r="AS14" i="3"/>
  <c r="BD14" i="3"/>
  <c r="AH15" i="3"/>
  <c r="AM15" i="3"/>
  <c r="AS15" i="3"/>
  <c r="AX15" i="3"/>
  <c r="BC15" i="3"/>
  <c r="AI16" i="3"/>
  <c r="AN16" i="3"/>
  <c r="AS16" i="3"/>
  <c r="AY16" i="3"/>
  <c r="BD16" i="3"/>
  <c r="AH17" i="3"/>
  <c r="AM17" i="3"/>
  <c r="AS17" i="3"/>
  <c r="BC17" i="3" s="1"/>
  <c r="AX17" i="3"/>
  <c r="AI18" i="3"/>
  <c r="AN18" i="3"/>
  <c r="AS18" i="3"/>
  <c r="AY18" i="3"/>
  <c r="BD18" i="3"/>
  <c r="AG19" i="3"/>
  <c r="AM19" i="3"/>
  <c r="AR19" i="3"/>
  <c r="AW19" i="3"/>
  <c r="BC19" i="3"/>
  <c r="AG20" i="3"/>
  <c r="AL20" i="3"/>
  <c r="AQ20" i="3"/>
  <c r="AW20" i="3"/>
  <c r="BB20" i="3"/>
  <c r="AG21" i="3"/>
  <c r="AM21" i="3"/>
  <c r="AR21" i="3"/>
  <c r="AW21" i="3"/>
  <c r="BC21" i="3"/>
  <c r="AG22" i="3"/>
  <c r="AL22" i="3"/>
  <c r="AQ22" i="3"/>
  <c r="AW22" i="3"/>
  <c r="BB22" i="3"/>
  <c r="AH23" i="3"/>
  <c r="AN23" i="3"/>
  <c r="AS23" i="3"/>
  <c r="AX23" i="3"/>
  <c r="BD23" i="3"/>
  <c r="AI24" i="3"/>
  <c r="AN24" i="3"/>
  <c r="AT24" i="3"/>
  <c r="AY24" i="3"/>
  <c r="BD24" i="3"/>
  <c r="AJ25" i="3"/>
  <c r="AO25" i="3"/>
  <c r="AT25" i="3"/>
  <c r="AZ25" i="3"/>
  <c r="BB26" i="3"/>
  <c r="AX26" i="3"/>
  <c r="AT26" i="3"/>
  <c r="AP26" i="3"/>
  <c r="AL26" i="3"/>
  <c r="AH26" i="3"/>
  <c r="BA26" i="3"/>
  <c r="AW26" i="3"/>
  <c r="AS26" i="3"/>
  <c r="AO26" i="3"/>
  <c r="AK26" i="3"/>
  <c r="AG26" i="3"/>
  <c r="AM26" i="3"/>
  <c r="AU26" i="3"/>
  <c r="BC26" i="3"/>
  <c r="AI28" i="3"/>
  <c r="AQ28" i="3"/>
  <c r="AY28" i="3"/>
  <c r="BA30" i="3"/>
  <c r="AW30" i="3"/>
  <c r="AS30" i="3"/>
  <c r="AO30" i="3"/>
  <c r="AK30" i="3"/>
  <c r="AG30" i="3"/>
  <c r="BD30" i="3"/>
  <c r="AZ30" i="3"/>
  <c r="AV30" i="3"/>
  <c r="AR30" i="3"/>
  <c r="AN30" i="3"/>
  <c r="AJ30" i="3"/>
  <c r="AL30" i="3"/>
  <c r="AT30" i="3"/>
  <c r="BB30" i="3"/>
  <c r="BA32" i="3"/>
  <c r="AW32" i="3"/>
  <c r="AS32" i="3"/>
  <c r="AO32" i="3"/>
  <c r="AK32" i="3"/>
  <c r="AG32" i="3"/>
  <c r="AZ32" i="3"/>
  <c r="AV32" i="3"/>
  <c r="AR32" i="3"/>
  <c r="AN32" i="3"/>
  <c r="AJ32" i="3"/>
  <c r="AL32" i="3"/>
  <c r="AT32" i="3"/>
  <c r="BB32" i="3"/>
  <c r="AH33" i="3"/>
  <c r="AP33" i="3"/>
  <c r="AX33" i="3"/>
  <c r="AN34" i="3"/>
  <c r="AV34" i="3"/>
  <c r="BD34" i="3"/>
  <c r="AI38" i="3"/>
  <c r="AQ38" i="3"/>
  <c r="AY38" i="3"/>
  <c r="BB41" i="3"/>
  <c r="AX41" i="3"/>
  <c r="AT41" i="3"/>
  <c r="AP41" i="3"/>
  <c r="AL41" i="3"/>
  <c r="AH41" i="3"/>
  <c r="BA41" i="3"/>
  <c r="AW41" i="3"/>
  <c r="AS41" i="3"/>
  <c r="AO41" i="3"/>
  <c r="AK41" i="3"/>
  <c r="AG41" i="3"/>
  <c r="AN41" i="3"/>
  <c r="AV41" i="3"/>
  <c r="BD41" i="3"/>
  <c r="AI43" i="3"/>
  <c r="AQ43" i="3"/>
  <c r="AY43" i="3"/>
  <c r="AW44" i="3"/>
  <c r="BA45" i="3"/>
  <c r="AW45" i="3"/>
  <c r="AS45" i="3"/>
  <c r="AO45" i="3"/>
  <c r="AK45" i="3"/>
  <c r="AG45" i="3"/>
  <c r="BD45" i="3"/>
  <c r="AZ45" i="3"/>
  <c r="AV45" i="3"/>
  <c r="AR45" i="3"/>
  <c r="AN45" i="3"/>
  <c r="AJ45" i="3"/>
  <c r="AL45" i="3"/>
  <c r="AT45" i="3"/>
  <c r="BB45" i="3"/>
  <c r="AG46" i="3"/>
  <c r="AO46" i="3"/>
  <c r="AN47" i="3"/>
  <c r="AV47" i="3"/>
  <c r="BD47" i="3"/>
  <c r="AN49" i="3"/>
  <c r="AV49" i="3"/>
  <c r="BD49" i="3"/>
  <c r="AG52" i="3"/>
  <c r="AO52" i="3"/>
  <c r="AW52" i="3"/>
  <c r="AJ55" i="3"/>
  <c r="AU55" i="3"/>
  <c r="BD56" i="3"/>
  <c r="AZ56" i="3"/>
  <c r="AV56" i="3"/>
  <c r="AR56" i="3"/>
  <c r="AN56" i="3"/>
  <c r="AJ56" i="3"/>
  <c r="BC56" i="3"/>
  <c r="AY56" i="3"/>
  <c r="AU56" i="3"/>
  <c r="AQ56" i="3"/>
  <c r="BB56" i="3"/>
  <c r="AT56" i="3"/>
  <c r="AM56" i="3"/>
  <c r="AH56" i="3"/>
  <c r="BA56" i="3"/>
  <c r="AS56" i="3"/>
  <c r="AL56" i="3"/>
  <c r="AG56" i="3"/>
  <c r="AO56" i="3"/>
  <c r="AN59" i="3"/>
  <c r="BD59" i="3"/>
  <c r="AU60" i="3"/>
  <c r="AM62" i="3"/>
  <c r="AX64" i="3"/>
  <c r="AT64" i="3"/>
  <c r="AP64" i="3"/>
  <c r="AL64" i="3"/>
  <c r="AH64" i="3"/>
  <c r="BA64" i="3"/>
  <c r="AW64" i="3"/>
  <c r="AS64" i="3"/>
  <c r="AO64" i="3"/>
  <c r="AK64" i="3"/>
  <c r="AG64" i="3"/>
  <c r="AZ64" i="3"/>
  <c r="AR64" i="3"/>
  <c r="AJ64" i="3"/>
  <c r="AY64" i="3"/>
  <c r="AQ64" i="3"/>
  <c r="AI64" i="3"/>
  <c r="BD64" i="3"/>
  <c r="AV64" i="3"/>
  <c r="AN64" i="3"/>
  <c r="BC68" i="3"/>
  <c r="BB68" i="3"/>
  <c r="BA68" i="3"/>
  <c r="AS68" i="3"/>
  <c r="AK68" i="3"/>
  <c r="AZ68" i="3"/>
  <c r="AR68" i="3"/>
  <c r="AJ68" i="3"/>
  <c r="AW68" i="3"/>
  <c r="AO68" i="3"/>
  <c r="AG68" i="3"/>
  <c r="BA70" i="3"/>
  <c r="AW70" i="3"/>
  <c r="AS70" i="3"/>
  <c r="AO70" i="3"/>
  <c r="AK70" i="3"/>
  <c r="AG70" i="3"/>
  <c r="BD70" i="3"/>
  <c r="AZ70" i="3"/>
  <c r="AV70" i="3"/>
  <c r="AR70" i="3"/>
  <c r="AN70" i="3"/>
  <c r="AJ70" i="3"/>
  <c r="AY70" i="3"/>
  <c r="AQ70" i="3"/>
  <c r="AI70" i="3"/>
  <c r="AX70" i="3"/>
  <c r="AP70" i="3"/>
  <c r="AH70" i="3"/>
  <c r="BC70" i="3"/>
  <c r="AU70" i="3"/>
  <c r="AM70" i="3"/>
  <c r="BB70" i="3"/>
  <c r="BC74" i="3"/>
  <c r="AY74" i="3"/>
  <c r="AU74" i="3"/>
  <c r="AQ74" i="3"/>
  <c r="AM74" i="3"/>
  <c r="AI74" i="3"/>
  <c r="BB74" i="3"/>
  <c r="AX74" i="3"/>
  <c r="AT74" i="3"/>
  <c r="AP74" i="3"/>
  <c r="AL74" i="3"/>
  <c r="AH74" i="3"/>
  <c r="BA74" i="3"/>
  <c r="AS74" i="3"/>
  <c r="AK74" i="3"/>
  <c r="AZ74" i="3"/>
  <c r="AR74" i="3"/>
  <c r="AJ74" i="3"/>
  <c r="AW74" i="3"/>
  <c r="AO74" i="3"/>
  <c r="AG74" i="3"/>
  <c r="BA67" i="3"/>
  <c r="AW67" i="3"/>
  <c r="AS67" i="3"/>
  <c r="AO67" i="3"/>
  <c r="AK67" i="3"/>
  <c r="AG67" i="3"/>
  <c r="BD67" i="3"/>
  <c r="AZ67" i="3"/>
  <c r="AV67" i="3"/>
  <c r="AR67" i="3"/>
  <c r="AN67" i="3"/>
  <c r="AJ67" i="3"/>
  <c r="AL67" i="3"/>
  <c r="AT67" i="3"/>
  <c r="BA69" i="3"/>
  <c r="AW69" i="3"/>
  <c r="AS69" i="3"/>
  <c r="AO69" i="3"/>
  <c r="AK69" i="3"/>
  <c r="AG69" i="3"/>
  <c r="BD69" i="3"/>
  <c r="AZ69" i="3"/>
  <c r="AV69" i="3"/>
  <c r="AR69" i="3"/>
  <c r="AN69" i="3"/>
  <c r="AJ69" i="3"/>
  <c r="AL69" i="3"/>
  <c r="AT69" i="3"/>
  <c r="BC75" i="3"/>
  <c r="AY75" i="3"/>
  <c r="AU75" i="3"/>
  <c r="AQ75" i="3"/>
  <c r="AM75" i="3"/>
  <c r="AI75" i="3"/>
  <c r="BA75" i="3"/>
  <c r="AW75" i="3"/>
  <c r="AS75" i="3"/>
  <c r="AO75" i="3"/>
  <c r="BB75" i="3"/>
  <c r="AT75" i="3"/>
  <c r="AL75" i="3"/>
  <c r="AG75" i="3"/>
  <c r="AZ75" i="3"/>
  <c r="AR75" i="3"/>
  <c r="AK75" i="3"/>
  <c r="AN75" i="3"/>
  <c r="BD75" i="3"/>
  <c r="BD78" i="3"/>
  <c r="AZ78" i="3"/>
  <c r="AV78" i="3"/>
  <c r="AR78" i="3"/>
  <c r="AN78" i="3"/>
  <c r="AJ78" i="3"/>
  <c r="BC78" i="3"/>
  <c r="AY78" i="3"/>
  <c r="AU78" i="3"/>
  <c r="AQ78" i="3"/>
  <c r="AM78" i="3"/>
  <c r="AI78" i="3"/>
  <c r="BA78" i="3"/>
  <c r="AS78" i="3"/>
  <c r="AK78" i="3"/>
  <c r="AW78" i="3"/>
  <c r="AO78" i="3"/>
  <c r="AG78" i="3"/>
  <c r="AP78" i="3"/>
  <c r="BB78" i="3"/>
  <c r="AL78" i="3"/>
  <c r="F219" i="7"/>
  <c r="F225" i="7"/>
  <c r="I225" i="7" s="1"/>
  <c r="AI27" i="3"/>
  <c r="AN27" i="3"/>
  <c r="AR27" i="3"/>
  <c r="AV27" i="3"/>
  <c r="AZ27" i="3"/>
  <c r="AH31" i="3"/>
  <c r="AL31" i="3"/>
  <c r="AP31" i="3"/>
  <c r="AT31" i="3"/>
  <c r="AX31" i="3"/>
  <c r="BB31" i="3"/>
  <c r="AJ35" i="3"/>
  <c r="AN35" i="3"/>
  <c r="AR35" i="3"/>
  <c r="AV35" i="3"/>
  <c r="AZ35" i="3"/>
  <c r="AI36" i="3"/>
  <c r="AM36" i="3"/>
  <c r="AQ36" i="3"/>
  <c r="AU36" i="3"/>
  <c r="AY36" i="3"/>
  <c r="BC36" i="3"/>
  <c r="AI39" i="3"/>
  <c r="AM39" i="3"/>
  <c r="AQ39" i="3"/>
  <c r="AU39" i="3"/>
  <c r="AY39" i="3"/>
  <c r="AH40" i="3"/>
  <c r="AL40" i="3"/>
  <c r="AP40" i="3"/>
  <c r="AT40" i="3"/>
  <c r="AX40" i="3"/>
  <c r="BB40" i="3"/>
  <c r="AJ42" i="3"/>
  <c r="AN42" i="3"/>
  <c r="AR42" i="3"/>
  <c r="AV42" i="3"/>
  <c r="AZ42" i="3"/>
  <c r="AH46" i="3"/>
  <c r="AL46" i="3"/>
  <c r="AP46" i="3"/>
  <c r="AT46" i="3"/>
  <c r="AX46" i="3"/>
  <c r="BB46" i="3"/>
  <c r="AI48" i="3"/>
  <c r="AM48" i="3"/>
  <c r="AQ48" i="3"/>
  <c r="AU48" i="3"/>
  <c r="AY48" i="3"/>
  <c r="BC48" i="3"/>
  <c r="AJ50" i="3"/>
  <c r="AN50" i="3"/>
  <c r="AR50" i="3"/>
  <c r="AV50" i="3"/>
  <c r="AZ50" i="3"/>
  <c r="BD50" i="3"/>
  <c r="BD54" i="3"/>
  <c r="AZ54" i="3"/>
  <c r="AV54" i="3"/>
  <c r="AR54" i="3"/>
  <c r="AI54" i="3"/>
  <c r="AM54" i="3"/>
  <c r="AQ54" i="3"/>
  <c r="AW54" i="3"/>
  <c r="BB54" i="3"/>
  <c r="AM67" i="3"/>
  <c r="AU67" i="3"/>
  <c r="AM69" i="3"/>
  <c r="AU69" i="3"/>
  <c r="BC71" i="3"/>
  <c r="AY71" i="3"/>
  <c r="AU71" i="3"/>
  <c r="AQ71" i="3"/>
  <c r="AM71" i="3"/>
  <c r="AI71" i="3"/>
  <c r="BB71" i="3"/>
  <c r="AX71" i="3"/>
  <c r="AT71" i="3"/>
  <c r="AP71" i="3"/>
  <c r="AL71" i="3"/>
  <c r="AH71" i="3"/>
  <c r="AN71" i="3"/>
  <c r="AV71" i="3"/>
  <c r="BD71" i="3"/>
  <c r="AI72" i="3"/>
  <c r="AQ72" i="3"/>
  <c r="BA73" i="3"/>
  <c r="AW73" i="3"/>
  <c r="AS73" i="3"/>
  <c r="AO73" i="3"/>
  <c r="AK73" i="3"/>
  <c r="AG73" i="3"/>
  <c r="BD73" i="3"/>
  <c r="AZ73" i="3"/>
  <c r="AV73" i="3"/>
  <c r="AR73" i="3"/>
  <c r="AN73" i="3"/>
  <c r="AJ73" i="3"/>
  <c r="AL73" i="3"/>
  <c r="AT73" i="3"/>
  <c r="BB73" i="3"/>
  <c r="AP75" i="3"/>
  <c r="AH78" i="3"/>
  <c r="F181" i="8"/>
  <c r="F189" i="7"/>
  <c r="I189" i="7" s="1"/>
  <c r="F177" i="8"/>
  <c r="I177" i="8" s="1"/>
  <c r="AJ27" i="3"/>
  <c r="AO27" i="3"/>
  <c r="AS27" i="3"/>
  <c r="AW27" i="3"/>
  <c r="AI31" i="3"/>
  <c r="AM31" i="3"/>
  <c r="AQ31" i="3"/>
  <c r="AU31" i="3"/>
  <c r="AY31" i="3"/>
  <c r="AJ36" i="3"/>
  <c r="AN36" i="3"/>
  <c r="AR36" i="3"/>
  <c r="AV36" i="3"/>
  <c r="AZ36" i="3"/>
  <c r="AJ39" i="3"/>
  <c r="AN39" i="3"/>
  <c r="AR39" i="3"/>
  <c r="AV39" i="3"/>
  <c r="AI40" i="3"/>
  <c r="AM40" i="3"/>
  <c r="AQ40" i="3"/>
  <c r="AU40" i="3"/>
  <c r="AY40" i="3"/>
  <c r="AI46" i="3"/>
  <c r="AM46" i="3"/>
  <c r="AQ46" i="3"/>
  <c r="AU46" i="3"/>
  <c r="AY46" i="3"/>
  <c r="AJ48" i="3"/>
  <c r="AN48" i="3"/>
  <c r="AR48" i="3"/>
  <c r="AV48" i="3"/>
  <c r="AZ48" i="3"/>
  <c r="AG50" i="3"/>
  <c r="AK50" i="3"/>
  <c r="AO50" i="3"/>
  <c r="AS50" i="3"/>
  <c r="AW50" i="3"/>
  <c r="AJ51" i="3"/>
  <c r="AN51" i="3"/>
  <c r="AR51" i="3"/>
  <c r="AV51" i="3"/>
  <c r="AZ51" i="3"/>
  <c r="AJ54" i="3"/>
  <c r="AN54" i="3"/>
  <c r="AS54" i="3"/>
  <c r="AX54" i="3"/>
  <c r="BC54" i="3"/>
  <c r="AH67" i="3"/>
  <c r="AP67" i="3"/>
  <c r="AX67" i="3"/>
  <c r="AY68" i="3"/>
  <c r="AH69" i="3"/>
  <c r="AP69" i="3"/>
  <c r="AX69" i="3"/>
  <c r="AG71" i="3"/>
  <c r="AO71" i="3"/>
  <c r="AW71" i="3"/>
  <c r="BA72" i="3"/>
  <c r="AW72" i="3"/>
  <c r="AS72" i="3"/>
  <c r="AO72" i="3"/>
  <c r="AK72" i="3"/>
  <c r="AG72" i="3"/>
  <c r="BD72" i="3"/>
  <c r="AZ72" i="3"/>
  <c r="AV72" i="3"/>
  <c r="AR72" i="3"/>
  <c r="AN72" i="3"/>
  <c r="AJ72" i="3"/>
  <c r="AL72" i="3"/>
  <c r="AT72" i="3"/>
  <c r="BB72" i="3"/>
  <c r="AM73" i="3"/>
  <c r="AU73" i="3"/>
  <c r="BC73" i="3"/>
  <c r="AH75" i="3"/>
  <c r="AV75" i="3"/>
  <c r="AT78" i="3"/>
  <c r="BB80" i="3"/>
  <c r="AX80" i="3"/>
  <c r="AT80" i="3"/>
  <c r="AP80" i="3"/>
  <c r="AL80" i="3"/>
  <c r="AH80" i="3"/>
  <c r="BA80" i="3"/>
  <c r="AW80" i="3"/>
  <c r="AS80" i="3"/>
  <c r="AO80" i="3"/>
  <c r="AK80" i="3"/>
  <c r="AG80" i="3"/>
  <c r="AY80" i="3"/>
  <c r="AQ80" i="3"/>
  <c r="AI80" i="3"/>
  <c r="BC80" i="3"/>
  <c r="AU80" i="3"/>
  <c r="AM80" i="3"/>
  <c r="BD80" i="3"/>
  <c r="AN80" i="3"/>
  <c r="AZ80" i="3"/>
  <c r="AJ80" i="3"/>
  <c r="F173" i="8"/>
  <c r="I173" i="8" s="1"/>
  <c r="F231" i="7"/>
  <c r="I231" i="7" s="1"/>
  <c r="AI58" i="3"/>
  <c r="AM58" i="3"/>
  <c r="AQ58" i="3"/>
  <c r="AU58" i="3"/>
  <c r="AY58" i="3"/>
  <c r="BC58" i="3"/>
  <c r="AI61" i="3"/>
  <c r="AM61" i="3"/>
  <c r="AQ61" i="3"/>
  <c r="AU61" i="3"/>
  <c r="AY61" i="3"/>
  <c r="AI63" i="3"/>
  <c r="AM63" i="3"/>
  <c r="AQ63" i="3"/>
  <c r="AU63" i="3"/>
  <c r="AY63" i="3"/>
  <c r="AI65" i="3"/>
  <c r="AM65" i="3"/>
  <c r="AQ65" i="3"/>
  <c r="AU65" i="3"/>
  <c r="AY65" i="3"/>
  <c r="AH68" i="3"/>
  <c r="AL68" i="3"/>
  <c r="AP68" i="3"/>
  <c r="AT68" i="3"/>
  <c r="AX68" i="3"/>
  <c r="AN76" i="3"/>
  <c r="AX76" i="3"/>
  <c r="BC77" i="3"/>
  <c r="AU77" i="3"/>
  <c r="AK77" i="3"/>
  <c r="AY77" i="3"/>
  <c r="AQ77" i="3"/>
  <c r="AG77" i="3"/>
  <c r="AX77" i="3"/>
  <c r="F207" i="7"/>
  <c r="I207" i="7" s="1"/>
  <c r="AJ58" i="3"/>
  <c r="AN58" i="3"/>
  <c r="AR58" i="3"/>
  <c r="AV58" i="3"/>
  <c r="AZ58" i="3"/>
  <c r="AJ61" i="3"/>
  <c r="AN61" i="3"/>
  <c r="AR61" i="3"/>
  <c r="AV61" i="3"/>
  <c r="AZ61" i="3"/>
  <c r="AJ63" i="3"/>
  <c r="AN63" i="3"/>
  <c r="AR63" i="3"/>
  <c r="AV63" i="3"/>
  <c r="AZ63" i="3"/>
  <c r="AJ65" i="3"/>
  <c r="AN65" i="3"/>
  <c r="AR65" i="3"/>
  <c r="AV65" i="3"/>
  <c r="AZ65" i="3"/>
  <c r="AI68" i="3"/>
  <c r="AM68" i="3"/>
  <c r="AQ68" i="3"/>
  <c r="AU68" i="3"/>
  <c r="AH76" i="3"/>
  <c r="AP76" i="3"/>
  <c r="AJ77" i="3"/>
  <c r="BB77" i="3"/>
  <c r="F195" i="7"/>
  <c r="I195" i="7" s="1"/>
  <c r="F237" i="7"/>
  <c r="I237" i="7" s="1"/>
  <c r="J62" i="7"/>
  <c r="J64" i="7" s="1"/>
  <c r="F192" i="7"/>
  <c r="BD76" i="3"/>
  <c r="AZ76" i="3"/>
  <c r="AV76" i="3"/>
  <c r="AR76" i="3"/>
  <c r="AI76" i="3"/>
  <c r="AM76" i="3"/>
  <c r="AQ76" i="3"/>
  <c r="AW76" i="3"/>
  <c r="BB76" i="3"/>
  <c r="BC79" i="3"/>
  <c r="AY79" i="3"/>
  <c r="AU79" i="3"/>
  <c r="AQ79" i="3"/>
  <c r="AM79" i="3"/>
  <c r="AI79" i="3"/>
  <c r="BB79" i="3"/>
  <c r="AX79" i="3"/>
  <c r="AT79" i="3"/>
  <c r="AP79" i="3"/>
  <c r="AL79" i="3"/>
  <c r="AH79" i="3"/>
  <c r="AN79" i="3"/>
  <c r="AV79" i="3"/>
  <c r="BD79" i="3"/>
  <c r="F244" i="7"/>
  <c r="I244" i="7" s="1"/>
  <c r="J90" i="7"/>
  <c r="J101" i="7" s="1"/>
  <c r="J109" i="7" s="1"/>
  <c r="F204" i="7"/>
  <c r="I204" i="7" s="1"/>
  <c r="AG76" i="3"/>
  <c r="AK76" i="3"/>
  <c r="AO76" i="3"/>
  <c r="AT76" i="3"/>
  <c r="AY76" i="3"/>
  <c r="BA77" i="3"/>
  <c r="F228" i="7"/>
  <c r="I228" i="7" s="1"/>
  <c r="D175" i="9"/>
  <c r="D179" i="9"/>
  <c r="D182" i="9"/>
  <c r="D187" i="9"/>
  <c r="I81" i="7"/>
  <c r="I79" i="7"/>
  <c r="I77" i="7"/>
  <c r="I82" i="7"/>
  <c r="I192" i="7"/>
  <c r="F201" i="7"/>
  <c r="I201" i="7" s="1"/>
  <c r="F216" i="7"/>
  <c r="I216" i="7" s="1"/>
  <c r="I65" i="8"/>
  <c r="I66" i="8"/>
  <c r="I63" i="8"/>
  <c r="I64" i="8"/>
  <c r="J48" i="9"/>
  <c r="J50" i="9" s="1"/>
  <c r="I68" i="9"/>
  <c r="I66" i="9"/>
  <c r="I63" i="9"/>
  <c r="I65" i="9"/>
  <c r="I67" i="9"/>
  <c r="AH77" i="3"/>
  <c r="AL77" i="3"/>
  <c r="AR77" i="3"/>
  <c r="AV77" i="3"/>
  <c r="AZ77" i="3"/>
  <c r="I219" i="7"/>
  <c r="I222" i="7"/>
  <c r="I234" i="7"/>
  <c r="J48" i="8"/>
  <c r="J40" i="10"/>
  <c r="J42" i="10" s="1"/>
  <c r="J68" i="10"/>
  <c r="J79" i="10" s="1"/>
  <c r="J87" i="10" s="1"/>
  <c r="AI77" i="3"/>
  <c r="AM77" i="3"/>
  <c r="AS77" i="3"/>
  <c r="AW77" i="3"/>
  <c r="J74" i="8"/>
  <c r="J85" i="8" s="1"/>
  <c r="J93" i="8" s="1"/>
  <c r="I181" i="8"/>
  <c r="J81" i="9"/>
  <c r="J87" i="9" s="1"/>
  <c r="J95" i="9" s="1"/>
  <c r="I60" i="10"/>
  <c r="I58" i="10"/>
  <c r="I55" i="10"/>
  <c r="J106" i="10" l="1"/>
  <c r="J48" i="10"/>
  <c r="J70" i="7"/>
  <c r="J128" i="7"/>
  <c r="J56" i="9"/>
  <c r="J114" i="9"/>
  <c r="J112" i="8"/>
  <c r="J54" i="8"/>
  <c r="AZ53" i="3"/>
  <c r="AM53" i="3"/>
  <c r="AM81" i="3" s="1"/>
  <c r="D15" i="5" s="1"/>
  <c r="BA53" i="3"/>
  <c r="BA81" i="3" s="1"/>
  <c r="D24" i="5" s="1"/>
  <c r="AT53" i="3"/>
  <c r="AT81" i="3" s="1"/>
  <c r="D21" i="5" s="1"/>
  <c r="AY53" i="3"/>
  <c r="AN53" i="3"/>
  <c r="AN81" i="3" s="1"/>
  <c r="D13" i="5" s="1"/>
  <c r="AU53" i="3"/>
  <c r="AU81" i="3" s="1"/>
  <c r="D22" i="5" s="1"/>
  <c r="AO53" i="3"/>
  <c r="AH53" i="3"/>
  <c r="AX53" i="3"/>
  <c r="AD81" i="3"/>
  <c r="G64" i="2"/>
  <c r="AQ53" i="3"/>
  <c r="AK53" i="3"/>
  <c r="AK81" i="3" s="1"/>
  <c r="D12" i="5" s="1"/>
  <c r="AJ53" i="3"/>
  <c r="AJ81" i="3" s="1"/>
  <c r="D11" i="5" s="1"/>
  <c r="AV53" i="3"/>
  <c r="BC53" i="3"/>
  <c r="AS53" i="3"/>
  <c r="AL53" i="3"/>
  <c r="AL81" i="3" s="1"/>
  <c r="D14" i="5" s="1"/>
  <c r="E82" i="2"/>
  <c r="I70" i="9"/>
  <c r="I141" i="10"/>
  <c r="I163" i="7"/>
  <c r="I62" i="10"/>
  <c r="I68" i="8"/>
  <c r="AF37" i="3"/>
  <c r="J55" i="9"/>
  <c r="J162" i="9"/>
  <c r="C110" i="9"/>
  <c r="J103" i="9"/>
  <c r="AF28" i="3"/>
  <c r="BB81" i="3"/>
  <c r="D8" i="4" s="1"/>
  <c r="AZ81" i="3"/>
  <c r="D11" i="6" s="1"/>
  <c r="AO81" i="3"/>
  <c r="D16" i="5" s="1"/>
  <c r="AI81" i="3"/>
  <c r="D10" i="5" s="1"/>
  <c r="AY81" i="3"/>
  <c r="D10" i="6" s="1"/>
  <c r="J133" i="8"/>
  <c r="J135" i="9"/>
  <c r="J149" i="7"/>
  <c r="J127" i="10"/>
  <c r="J131" i="10" s="1"/>
  <c r="J158" i="10" s="1"/>
  <c r="J69" i="7"/>
  <c r="J176" i="7"/>
  <c r="C124" i="7"/>
  <c r="J117" i="7"/>
  <c r="AX81" i="3"/>
  <c r="D9" i="6" s="1"/>
  <c r="J160" i="8"/>
  <c r="C108" i="8"/>
  <c r="J101" i="8"/>
  <c r="J53" i="8"/>
  <c r="AF70" i="3"/>
  <c r="I149" i="9"/>
  <c r="I147" i="8"/>
  <c r="I84" i="7"/>
  <c r="AF19" i="3"/>
  <c r="AF43" i="3"/>
  <c r="AP81" i="3"/>
  <c r="D17" i="5" s="1"/>
  <c r="BD81" i="3"/>
  <c r="D10" i="4" s="1"/>
  <c r="AS81" i="3"/>
  <c r="D20" i="5" s="1"/>
  <c r="BC81" i="3"/>
  <c r="D9" i="4" s="1"/>
  <c r="AH81" i="3"/>
  <c r="D9" i="5" s="1"/>
  <c r="AV81" i="3"/>
  <c r="D23" i="5" s="1"/>
  <c r="J154" i="10"/>
  <c r="J47" i="10"/>
  <c r="J95" i="10"/>
  <c r="C102" i="10"/>
  <c r="AR81" i="3"/>
  <c r="D19" i="5" s="1"/>
  <c r="AG81" i="3"/>
  <c r="D8" i="5" s="1"/>
  <c r="AF8" i="3"/>
  <c r="AW81" i="3"/>
  <c r="D8" i="6" s="1"/>
  <c r="AQ81" i="3"/>
  <c r="D18" i="5" s="1"/>
  <c r="B88" i="2"/>
  <c r="D85" i="2"/>
  <c r="AF52" i="3" l="1"/>
  <c r="J119" i="7"/>
  <c r="J104" i="9"/>
  <c r="J118" i="7"/>
  <c r="J103" i="8"/>
  <c r="J96" i="10"/>
  <c r="J92" i="10"/>
  <c r="J93" i="10" s="1"/>
  <c r="J97" i="10"/>
  <c r="J116" i="7"/>
  <c r="J57" i="9"/>
  <c r="J49" i="10"/>
  <c r="J98" i="8"/>
  <c r="J99" i="8" s="1"/>
  <c r="J102" i="8"/>
  <c r="J71" i="7"/>
  <c r="J94" i="10"/>
  <c r="B94" i="2"/>
  <c r="D94" i="2" s="1"/>
  <c r="D88" i="2"/>
  <c r="D25" i="5"/>
  <c r="I25" i="7"/>
  <c r="E8" i="5"/>
  <c r="I26" i="7"/>
  <c r="H251" i="7" s="1"/>
  <c r="E9" i="5"/>
  <c r="I27" i="8"/>
  <c r="H190" i="8" s="1"/>
  <c r="E10" i="4"/>
  <c r="I29" i="9"/>
  <c r="I30" i="9" s="1"/>
  <c r="E11" i="6"/>
  <c r="E18" i="5"/>
  <c r="I36" i="7"/>
  <c r="H261" i="7" s="1"/>
  <c r="E22" i="5"/>
  <c r="I40" i="7"/>
  <c r="H265" i="7" s="1"/>
  <c r="E11" i="5"/>
  <c r="I28" i="7"/>
  <c r="H253" i="7" s="1"/>
  <c r="E10" i="6"/>
  <c r="I27" i="9"/>
  <c r="H195" i="9" s="1"/>
  <c r="I25" i="9"/>
  <c r="E8" i="6"/>
  <c r="D12" i="6"/>
  <c r="G10" i="9" s="1"/>
  <c r="I39" i="7"/>
  <c r="H264" i="7" s="1"/>
  <c r="E21" i="5"/>
  <c r="I29" i="7"/>
  <c r="H254" i="7" s="1"/>
  <c r="E12" i="5"/>
  <c r="E15" i="5"/>
  <c r="I32" i="7"/>
  <c r="H257" i="7" s="1"/>
  <c r="E17" i="5"/>
  <c r="I35" i="7"/>
  <c r="H260" i="7" s="1"/>
  <c r="J100" i="8"/>
  <c r="I26" i="9"/>
  <c r="H194" i="9" s="1"/>
  <c r="E9" i="6"/>
  <c r="J114" i="7"/>
  <c r="E10" i="5"/>
  <c r="I27" i="7"/>
  <c r="H252" i="7" s="1"/>
  <c r="E14" i="5"/>
  <c r="I31" i="7"/>
  <c r="H256" i="7" s="1"/>
  <c r="J102" i="9"/>
  <c r="J105" i="9"/>
  <c r="E19" i="5"/>
  <c r="I37" i="7"/>
  <c r="H262" i="7" s="1"/>
  <c r="I26" i="8"/>
  <c r="H189" i="8" s="1"/>
  <c r="E9" i="4"/>
  <c r="J55" i="8"/>
  <c r="I43" i="7"/>
  <c r="I44" i="7" s="1"/>
  <c r="E24" i="5"/>
  <c r="I25" i="8"/>
  <c r="E8" i="4"/>
  <c r="D11" i="4"/>
  <c r="G10" i="8" s="1"/>
  <c r="J100" i="9"/>
  <c r="AF81" i="3"/>
  <c r="I30" i="7"/>
  <c r="H255" i="7" s="1"/>
  <c r="E13" i="5"/>
  <c r="E23" i="5"/>
  <c r="I41" i="7"/>
  <c r="H266" i="7" s="1"/>
  <c r="I38" i="7"/>
  <c r="H263" i="7" s="1"/>
  <c r="E20" i="5"/>
  <c r="I34" i="7"/>
  <c r="E16" i="5"/>
  <c r="J107" i="7" l="1"/>
  <c r="J83" i="7"/>
  <c r="J76" i="7"/>
  <c r="J80" i="7"/>
  <c r="J77" i="7"/>
  <c r="J79" i="7"/>
  <c r="J81" i="7"/>
  <c r="J78" i="7"/>
  <c r="J82" i="7"/>
  <c r="J93" i="9"/>
  <c r="J65" i="9"/>
  <c r="J66" i="9"/>
  <c r="J64" i="9"/>
  <c r="J69" i="9"/>
  <c r="J68" i="9"/>
  <c r="J62" i="9"/>
  <c r="J63" i="9"/>
  <c r="J67" i="9"/>
  <c r="J85" i="10"/>
  <c r="J59" i="10"/>
  <c r="J61" i="10"/>
  <c r="J54" i="10"/>
  <c r="J56" i="10"/>
  <c r="J58" i="10"/>
  <c r="J60" i="10"/>
  <c r="J55" i="10"/>
  <c r="J57" i="10"/>
  <c r="J91" i="8"/>
  <c r="J67" i="8"/>
  <c r="J64" i="8"/>
  <c r="J61" i="8"/>
  <c r="J63" i="8"/>
  <c r="J65" i="8"/>
  <c r="J60" i="8"/>
  <c r="J62" i="8"/>
  <c r="J66" i="8"/>
  <c r="J98" i="10"/>
  <c r="J156" i="10" s="1"/>
  <c r="J104" i="8"/>
  <c r="J162" i="8" s="1"/>
  <c r="I102" i="10"/>
  <c r="H188" i="8"/>
  <c r="H191" i="8" s="1"/>
  <c r="H194" i="8" s="1"/>
  <c r="I28" i="8"/>
  <c r="I31" i="8" s="1"/>
  <c r="F9" i="4"/>
  <c r="I9" i="4" s="1"/>
  <c r="F9" i="6"/>
  <c r="I9" i="6" s="1"/>
  <c r="H197" i="9"/>
  <c r="H198" i="9"/>
  <c r="J101" i="9"/>
  <c r="J106" i="9" s="1"/>
  <c r="F24" i="5"/>
  <c r="I24" i="5" s="1"/>
  <c r="F17" i="5"/>
  <c r="I17" i="5" s="1"/>
  <c r="F11" i="5"/>
  <c r="I11" i="5" s="1"/>
  <c r="F18" i="5"/>
  <c r="I18" i="5" s="1"/>
  <c r="F9" i="5"/>
  <c r="I9" i="5" s="1"/>
  <c r="F8" i="5"/>
  <c r="I8" i="5" s="1"/>
  <c r="E25" i="5"/>
  <c r="I42" i="7"/>
  <c r="H267" i="7" s="1"/>
  <c r="H259" i="7"/>
  <c r="H268" i="7"/>
  <c r="H269" i="7" s="1"/>
  <c r="F14" i="5"/>
  <c r="I14" i="5" s="1"/>
  <c r="J115" i="7"/>
  <c r="J120" i="7" s="1"/>
  <c r="E12" i="6"/>
  <c r="F8" i="6"/>
  <c r="I8" i="6" s="1"/>
  <c r="F10" i="6"/>
  <c r="I10" i="6" s="1"/>
  <c r="H250" i="7"/>
  <c r="I33" i="7"/>
  <c r="H258" i="7" s="1"/>
  <c r="F20" i="5"/>
  <c r="I20" i="5" s="1"/>
  <c r="F10" i="5"/>
  <c r="I10" i="5" s="1"/>
  <c r="F12" i="5"/>
  <c r="I12" i="5" s="1"/>
  <c r="F16" i="5"/>
  <c r="I16" i="5" s="1"/>
  <c r="F13" i="5"/>
  <c r="I13" i="5" s="1"/>
  <c r="F23" i="5"/>
  <c r="I23" i="5" s="1"/>
  <c r="F8" i="4"/>
  <c r="G8" i="4" s="1"/>
  <c r="E11" i="4"/>
  <c r="F19" i="5"/>
  <c r="I19" i="5" s="1"/>
  <c r="F15" i="5"/>
  <c r="I15" i="5" s="1"/>
  <c r="F21" i="5"/>
  <c r="I21" i="5" s="1"/>
  <c r="H193" i="9"/>
  <c r="I28" i="9"/>
  <c r="H196" i="9" s="1"/>
  <c r="F22" i="5"/>
  <c r="I22" i="5" s="1"/>
  <c r="F11" i="6"/>
  <c r="I11" i="6" s="1"/>
  <c r="F10" i="4"/>
  <c r="I10" i="4" s="1"/>
  <c r="G10" i="10"/>
  <c r="G10" i="7"/>
  <c r="J68" i="8" l="1"/>
  <c r="J92" i="8" s="1"/>
  <c r="J94" i="8" s="1"/>
  <c r="J70" i="9"/>
  <c r="J94" i="9" s="1"/>
  <c r="J96" i="9" s="1"/>
  <c r="J110" i="9" s="1"/>
  <c r="J62" i="10"/>
  <c r="J84" i="7"/>
  <c r="J108" i="7" s="1"/>
  <c r="J110" i="7" s="1"/>
  <c r="F124" i="7" s="1"/>
  <c r="J116" i="8"/>
  <c r="I108" i="8"/>
  <c r="G9" i="4"/>
  <c r="H9" i="4" s="1"/>
  <c r="O9" i="4" s="1"/>
  <c r="G10" i="5"/>
  <c r="H10" i="5" s="1"/>
  <c r="O10" i="5" s="1"/>
  <c r="G13" i="5"/>
  <c r="H13" i="5" s="1"/>
  <c r="O13" i="5" s="1"/>
  <c r="G15" i="5"/>
  <c r="H15" i="5" s="1"/>
  <c r="O15" i="5" s="1"/>
  <c r="G21" i="5"/>
  <c r="H21" i="5" s="1"/>
  <c r="O21" i="5" s="1"/>
  <c r="G12" i="5"/>
  <c r="H12" i="5" s="1"/>
  <c r="O12" i="5" s="1"/>
  <c r="G20" i="5"/>
  <c r="H20" i="5" s="1"/>
  <c r="O20" i="5" s="1"/>
  <c r="G8" i="5"/>
  <c r="H8" i="5" s="1"/>
  <c r="O8" i="5" s="1"/>
  <c r="H272" i="7"/>
  <c r="G14" i="5"/>
  <c r="H14" i="5" s="1"/>
  <c r="O14" i="5" s="1"/>
  <c r="G23" i="5"/>
  <c r="H23" i="5" s="1"/>
  <c r="O23" i="5" s="1"/>
  <c r="G17" i="5"/>
  <c r="H17" i="5" s="1"/>
  <c r="O17" i="5" s="1"/>
  <c r="G11" i="5"/>
  <c r="H11" i="5" s="1"/>
  <c r="O11" i="5" s="1"/>
  <c r="G10" i="6"/>
  <c r="H10" i="6" s="1"/>
  <c r="O10" i="6" s="1"/>
  <c r="H183" i="9" s="1"/>
  <c r="H8" i="4"/>
  <c r="O8" i="4" s="1"/>
  <c r="J178" i="7"/>
  <c r="I124" i="7"/>
  <c r="J132" i="7"/>
  <c r="J164" i="9"/>
  <c r="I110" i="9"/>
  <c r="J118" i="9"/>
  <c r="J177" i="7"/>
  <c r="H182" i="9"/>
  <c r="J182" i="9" s="1"/>
  <c r="J161" i="8"/>
  <c r="F108" i="8"/>
  <c r="J108" i="8"/>
  <c r="I33" i="9"/>
  <c r="J163" i="9"/>
  <c r="G11" i="6"/>
  <c r="H11" i="6" s="1"/>
  <c r="O11" i="6" s="1"/>
  <c r="G16" i="5"/>
  <c r="H16" i="5" s="1"/>
  <c r="O16" i="5" s="1"/>
  <c r="G8" i="6"/>
  <c r="H8" i="6" s="1"/>
  <c r="O8" i="6" s="1"/>
  <c r="I47" i="7"/>
  <c r="F25" i="5"/>
  <c r="G25" i="5" s="1"/>
  <c r="H25" i="5" s="1"/>
  <c r="O25" i="5" s="1"/>
  <c r="G9" i="5"/>
  <c r="H9" i="5" s="1"/>
  <c r="O9" i="5" s="1"/>
  <c r="G24" i="5"/>
  <c r="H24" i="5" s="1"/>
  <c r="O24" i="5" s="1"/>
  <c r="H201" i="9"/>
  <c r="F11" i="4"/>
  <c r="I8" i="4"/>
  <c r="I11" i="4" s="1"/>
  <c r="G10" i="4"/>
  <c r="H10" i="4" s="1"/>
  <c r="O10" i="4" s="1"/>
  <c r="G22" i="5"/>
  <c r="H22" i="5" s="1"/>
  <c r="O22" i="5" s="1"/>
  <c r="G19" i="5"/>
  <c r="H19" i="5" s="1"/>
  <c r="O19" i="5" s="1"/>
  <c r="F12" i="6"/>
  <c r="G12" i="6" s="1"/>
  <c r="H12" i="6" s="1"/>
  <c r="O12" i="6" s="1"/>
  <c r="G18" i="5"/>
  <c r="H18" i="5" s="1"/>
  <c r="O18" i="5" s="1"/>
  <c r="G9" i="6"/>
  <c r="H9" i="6" s="1"/>
  <c r="O9" i="6" s="1"/>
  <c r="F110" i="9" l="1"/>
  <c r="J124" i="7"/>
  <c r="J125" i="7" s="1"/>
  <c r="J86" i="10"/>
  <c r="J88" i="10" s="1"/>
  <c r="J110" i="10"/>
  <c r="J115" i="8"/>
  <c r="J109" i="8"/>
  <c r="J113" i="8"/>
  <c r="J117" i="8"/>
  <c r="J114" i="8"/>
  <c r="H176" i="9"/>
  <c r="H175" i="9"/>
  <c r="J175" i="9" s="1"/>
  <c r="H187" i="9"/>
  <c r="J187" i="9" s="1"/>
  <c r="H188" i="9"/>
  <c r="J119" i="9"/>
  <c r="J115" i="9"/>
  <c r="J117" i="9"/>
  <c r="J111" i="9"/>
  <c r="J116" i="9"/>
  <c r="I12" i="6"/>
  <c r="L14" i="6"/>
  <c r="H180" i="9"/>
  <c r="H179" i="9"/>
  <c r="J179" i="9" s="1"/>
  <c r="L27" i="5"/>
  <c r="I25" i="5"/>
  <c r="G11" i="4"/>
  <c r="H11" i="4" s="1"/>
  <c r="O11" i="4" s="1"/>
  <c r="J133" i="7" l="1"/>
  <c r="J130" i="7"/>
  <c r="J131" i="7"/>
  <c r="J129" i="7"/>
  <c r="J134" i="7" s="1"/>
  <c r="J142" i="7" s="1"/>
  <c r="J144" i="7" s="1"/>
  <c r="F102" i="10"/>
  <c r="J102" i="10"/>
  <c r="J155" i="10"/>
  <c r="L13" i="4"/>
  <c r="D9" i="11" s="1"/>
  <c r="D8" i="11"/>
  <c r="G279" i="7"/>
  <c r="D10" i="11"/>
  <c r="G208" i="9"/>
  <c r="J120" i="9"/>
  <c r="J128" i="9" s="1"/>
  <c r="J130" i="9" s="1"/>
  <c r="J118" i="8"/>
  <c r="J126" i="8" s="1"/>
  <c r="J128" i="8" s="1"/>
  <c r="J109" i="10" l="1"/>
  <c r="J103" i="10"/>
  <c r="J111" i="10"/>
  <c r="J107" i="10"/>
  <c r="J108" i="10"/>
  <c r="G201" i="8"/>
  <c r="J165" i="9"/>
  <c r="J179" i="7"/>
  <c r="J163" i="8"/>
  <c r="F14" i="11"/>
  <c r="D12" i="11"/>
  <c r="J112" i="10" l="1"/>
  <c r="J120" i="10" s="1"/>
  <c r="J122" i="10" s="1"/>
  <c r="F15" i="11"/>
  <c r="H96" i="2"/>
  <c r="F86" i="2"/>
  <c r="F90" i="2"/>
  <c r="F87" i="2"/>
  <c r="F85" i="2"/>
  <c r="J157" i="10" l="1"/>
  <c r="J159" i="10" s="1"/>
  <c r="J136" i="10"/>
  <c r="J137" i="10" s="1"/>
  <c r="J138" i="10" s="1"/>
  <c r="J139" i="10" s="1"/>
  <c r="J137" i="9"/>
  <c r="J135" i="8"/>
  <c r="J151" i="7"/>
  <c r="F88" i="2"/>
  <c r="J140" i="10" l="1"/>
  <c r="J134" i="8"/>
  <c r="J137" i="8" s="1"/>
  <c r="J136" i="9"/>
  <c r="J139" i="9" s="1"/>
  <c r="J150" i="7"/>
  <c r="J153" i="7" s="1"/>
  <c r="F94" i="2"/>
  <c r="J143" i="10" l="1"/>
  <c r="J145" i="10"/>
  <c r="J142" i="10"/>
  <c r="J180" i="7"/>
  <c r="J181" i="7" s="1"/>
  <c r="J158" i="7"/>
  <c r="J159" i="7" s="1"/>
  <c r="J160" i="7" s="1"/>
  <c r="J161" i="7" s="1"/>
  <c r="J166" i="9"/>
  <c r="J167" i="9" s="1"/>
  <c r="J144" i="9"/>
  <c r="J145" i="9" s="1"/>
  <c r="J146" i="9" s="1"/>
  <c r="J147" i="9" s="1"/>
  <c r="J164" i="8"/>
  <c r="J165" i="8" s="1"/>
  <c r="J142" i="8"/>
  <c r="J143" i="8" s="1"/>
  <c r="J141" i="10" l="1"/>
  <c r="J146" i="10" s="1"/>
  <c r="J160" i="10" s="1"/>
  <c r="J161" i="10" s="1"/>
  <c r="I163" i="10" s="1"/>
  <c r="J144" i="8"/>
  <c r="J145" i="8" s="1"/>
  <c r="J146" i="8" s="1"/>
  <c r="J148" i="9"/>
  <c r="J162" i="7"/>
  <c r="E11" i="11" l="1"/>
  <c r="I167" i="10"/>
  <c r="G11" i="11" s="1"/>
  <c r="J165" i="7"/>
  <c r="J164" i="7"/>
  <c r="J167" i="7"/>
  <c r="J153" i="9"/>
  <c r="J150" i="9"/>
  <c r="J151" i="9"/>
  <c r="J149" i="8"/>
  <c r="J148" i="8"/>
  <c r="J151" i="8"/>
  <c r="J163" i="7" l="1"/>
  <c r="J168" i="7" s="1"/>
  <c r="J182" i="7" s="1"/>
  <c r="J183" i="7" s="1"/>
  <c r="J149" i="9"/>
  <c r="J154" i="9" s="1"/>
  <c r="J168" i="9" s="1"/>
  <c r="J169" i="9" s="1"/>
  <c r="J147" i="8"/>
  <c r="J152" i="8" s="1"/>
  <c r="J166" i="8" s="1"/>
  <c r="J167" i="8" s="1"/>
  <c r="G174" i="8" l="1"/>
  <c r="I174" i="8" s="1"/>
  <c r="I175" i="8" s="1"/>
  <c r="F188" i="8" s="1"/>
  <c r="I188" i="8" s="1"/>
  <c r="G182" i="8"/>
  <c r="I182" i="8" s="1"/>
  <c r="I183" i="8" s="1"/>
  <c r="F190" i="8" s="1"/>
  <c r="I190" i="8" s="1"/>
  <c r="G178" i="8"/>
  <c r="I178" i="8" s="1"/>
  <c r="I179" i="8" s="1"/>
  <c r="F189" i="8" s="1"/>
  <c r="I189" i="8" s="1"/>
  <c r="I188" i="9"/>
  <c r="J188" i="9" s="1"/>
  <c r="J189" i="9" s="1"/>
  <c r="F197" i="9" s="1"/>
  <c r="I197" i="9" s="1"/>
  <c r="I198" i="9" s="1"/>
  <c r="I180" i="9"/>
  <c r="J180" i="9" s="1"/>
  <c r="J181" i="9" s="1"/>
  <c r="F194" i="9" s="1"/>
  <c r="I194" i="9" s="1"/>
  <c r="I176" i="9"/>
  <c r="J176" i="9" s="1"/>
  <c r="J177" i="9" s="1"/>
  <c r="F193" i="9" s="1"/>
  <c r="I193" i="9" s="1"/>
  <c r="I183" i="9"/>
  <c r="J183" i="9" s="1"/>
  <c r="J184" i="9" s="1"/>
  <c r="F195" i="9" s="1"/>
  <c r="I195" i="9" s="1"/>
  <c r="G238" i="7"/>
  <c r="I238" i="7" s="1"/>
  <c r="I239" i="7" s="1"/>
  <c r="F266" i="7" s="1"/>
  <c r="I266" i="7" s="1"/>
  <c r="G226" i="7"/>
  <c r="I226" i="7" s="1"/>
  <c r="I227" i="7" s="1"/>
  <c r="F262" i="7" s="1"/>
  <c r="I262" i="7" s="1"/>
  <c r="G211" i="7"/>
  <c r="I211" i="7" s="1"/>
  <c r="I212" i="7" s="1"/>
  <c r="F257" i="7" s="1"/>
  <c r="I257" i="7" s="1"/>
  <c r="G245" i="7"/>
  <c r="I245" i="7" s="1"/>
  <c r="I246" i="7" s="1"/>
  <c r="F268" i="7" s="1"/>
  <c r="I268" i="7" s="1"/>
  <c r="I269" i="7" s="1"/>
  <c r="G229" i="7"/>
  <c r="I229" i="7" s="1"/>
  <c r="I230" i="7" s="1"/>
  <c r="F263" i="7" s="1"/>
  <c r="I263" i="7" s="1"/>
  <c r="G217" i="7"/>
  <c r="I217" i="7" s="1"/>
  <c r="I218" i="7" s="1"/>
  <c r="F259" i="7" s="1"/>
  <c r="I259" i="7" s="1"/>
  <c r="G202" i="7"/>
  <c r="I202" i="7" s="1"/>
  <c r="I203" i="7" s="1"/>
  <c r="F254" i="7" s="1"/>
  <c r="I254" i="7" s="1"/>
  <c r="G235" i="7"/>
  <c r="I235" i="7" s="1"/>
  <c r="I236" i="7" s="1"/>
  <c r="F265" i="7" s="1"/>
  <c r="I265" i="7" s="1"/>
  <c r="G223" i="7"/>
  <c r="I223" i="7" s="1"/>
  <c r="I224" i="7" s="1"/>
  <c r="F261" i="7" s="1"/>
  <c r="I261" i="7" s="1"/>
  <c r="G199" i="7"/>
  <c r="I199" i="7" s="1"/>
  <c r="I200" i="7" s="1"/>
  <c r="F253" i="7" s="1"/>
  <c r="I253" i="7" s="1"/>
  <c r="G190" i="7"/>
  <c r="I190" i="7" s="1"/>
  <c r="I191" i="7" s="1"/>
  <c r="F250" i="7" s="1"/>
  <c r="I250" i="7" s="1"/>
  <c r="G232" i="7"/>
  <c r="I232" i="7" s="1"/>
  <c r="I233" i="7" s="1"/>
  <c r="F264" i="7" s="1"/>
  <c r="I264" i="7" s="1"/>
  <c r="G205" i="7"/>
  <c r="I205" i="7" s="1"/>
  <c r="I206" i="7" s="1"/>
  <c r="F255" i="7" s="1"/>
  <c r="I255" i="7" s="1"/>
  <c r="G220" i="7"/>
  <c r="I220" i="7" s="1"/>
  <c r="I221" i="7" s="1"/>
  <c r="F260" i="7" s="1"/>
  <c r="I260" i="7" s="1"/>
  <c r="G208" i="7"/>
  <c r="I208" i="7" s="1"/>
  <c r="I209" i="7" s="1"/>
  <c r="F256" i="7" s="1"/>
  <c r="I256" i="7" s="1"/>
  <c r="G193" i="7"/>
  <c r="I193" i="7" s="1"/>
  <c r="I194" i="7" s="1"/>
  <c r="F251" i="7" s="1"/>
  <c r="I251" i="7" s="1"/>
  <c r="G196" i="7"/>
  <c r="I196" i="7" s="1"/>
  <c r="I197" i="7" s="1"/>
  <c r="F252" i="7" s="1"/>
  <c r="I252" i="7" s="1"/>
  <c r="I258" i="7" l="1"/>
  <c r="I196" i="9"/>
  <c r="I201" i="9" s="1"/>
  <c r="I267" i="7"/>
  <c r="I191" i="8"/>
  <c r="I194" i="8" s="1"/>
  <c r="I202" i="9" l="1"/>
  <c r="I204" i="9"/>
  <c r="G10" i="11" s="1"/>
  <c r="I272" i="7"/>
  <c r="I195" i="8"/>
  <c r="E9" i="11" s="1"/>
  <c r="I197" i="8"/>
  <c r="G9" i="11" s="1"/>
  <c r="E10" i="11" l="1"/>
  <c r="L202" i="9"/>
  <c r="I274" i="7"/>
  <c r="E8" i="11" s="1"/>
  <c r="I276" i="7"/>
  <c r="G8" i="11" s="1"/>
  <c r="G12" i="11" s="1"/>
  <c r="F16" i="11" s="1"/>
  <c r="E12" i="11" l="1"/>
</calcChain>
</file>

<file path=xl/comments1.xml><?xml version="1.0" encoding="utf-8"?>
<comments xmlns="http://schemas.openxmlformats.org/spreadsheetml/2006/main">
  <authors>
    <author/>
  </authors>
  <commentList>
    <comment ref="H20" authorId="0">
      <text>
        <r>
          <rPr>
            <sz val="10"/>
            <color rgb="FF000000"/>
            <rFont val="Arial"/>
            <family val="2"/>
            <charset val="1"/>
          </rPr>
          <t>======
ID#AAAAPerceGA
Evandro    (2021-05-05 13:27:52)
Sindicato das Empresas de Asseio e Conservação do Estado do Rio Grande do Sul- CNPJ nº: 87.078.325/0001-75, e Sindicato Intermunicipal dos Empregados em Empresas de Asseio e Conservação e Serviços Terceirizados em Asseio e Conservação no Rio Grande do Sul (SEEAC/RS) - CNPJ nº: 90.601.956/0001-31.</t>
        </r>
      </text>
    </comment>
    <comment ref="J90" authorId="0">
      <text>
        <r>
          <rPr>
            <sz val="10"/>
            <color rgb="FF000000"/>
            <rFont val="Arial"/>
            <family val="2"/>
            <charset val="1"/>
          </rPr>
          <t>======
ID#AAAAPerceFU
Evandro    (2021-05-05 13:27:52)
Conforme Lei nº 7.418/1985 e atualizações posteriores.</t>
        </r>
      </text>
    </comment>
    <comment ref="B114" authorId="0">
      <text>
        <r>
          <rPr>
            <sz val="10"/>
            <color rgb="FF000000"/>
            <rFont val="Arial"/>
            <family val="2"/>
            <charset val="1"/>
          </rPr>
          <t>======
ID#AAAAPerceGE
Evandro    (2021-05-05 13:27:52)
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116" authorId="0">
      <text>
        <r>
          <rPr>
            <sz val="10"/>
            <color rgb="FF000000"/>
            <rFont val="Arial"/>
            <family val="2"/>
            <charset val="1"/>
          </rPr>
          <t>======
ID#AAAAPerceFk
Evandro    (2021-05-05 13:27:52)
Multa de 40% sobre Saldo da Conta Vinculada do FGTS para RCT s/Justa Causa, com Aviso Indenizado durante a vigência do Contrato de Prestação de Serviços.</t>
        </r>
      </text>
    </comment>
    <comment ref="B117" authorId="0">
      <text>
        <r>
          <rPr>
            <sz val="10"/>
            <color rgb="FF000000"/>
            <rFont val="Arial"/>
            <family val="2"/>
            <charset val="1"/>
          </rPr>
          <t>======
ID#AAAAPerceGI
Evandro    (2021-05-05 13:27:52)
Negociar extinção/redução na 1ª prorrogação contratual</t>
        </r>
      </text>
    </comment>
  </commentList>
</comments>
</file>

<file path=xl/comments2.xml><?xml version="1.0" encoding="utf-8"?>
<comments xmlns="http://schemas.openxmlformats.org/spreadsheetml/2006/main">
  <authors>
    <author/>
  </authors>
  <commentList>
    <comment ref="H20" authorId="0">
      <text>
        <r>
          <rPr>
            <sz val="10"/>
            <color rgb="FF000000"/>
            <rFont val="Arial"/>
            <family val="2"/>
            <charset val="1"/>
          </rPr>
          <t>======
ID#AAAAPerceFQ
Evandro    (2021-05-05 13:27:52)
Sindicato das Empresas de Asseio e Conservação do Estado do Rio Grande do Sul- CNPJ nº: 87.078.325/0001-75, e Sindicato Intermunicipal dos Empregados em Empresas de Asseio e Conservação e Serviços Terceirizados em Asseio e Conservação no Rio Grande do Sul (SEEAC/RS) - CNPJ nº: 90.601.956/0001-31.</t>
        </r>
      </text>
    </comment>
    <comment ref="J74" authorId="0">
      <text>
        <r>
          <rPr>
            <sz val="10"/>
            <color rgb="FF000000"/>
            <rFont val="Arial"/>
            <family val="2"/>
            <charset val="1"/>
          </rPr>
          <t>======
ID#AAAAPerceFw
Evandro    (2021-05-05 13:27:52)
Conforme Lei nº 7.418/1985 e atualizações posteriores.</t>
        </r>
      </text>
    </comment>
    <comment ref="B98" authorId="0">
      <text>
        <r>
          <rPr>
            <sz val="10"/>
            <color rgb="FF000000"/>
            <rFont val="Arial"/>
            <family val="2"/>
            <charset val="1"/>
          </rPr>
          <t>======
ID#AAAAPevwam4
Evandro    (2021-05-05 13:27:52)
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100" authorId="0">
      <text>
        <r>
          <rPr>
            <sz val="10"/>
            <color rgb="FF000000"/>
            <rFont val="Arial"/>
            <family val="2"/>
            <charset val="1"/>
          </rPr>
          <t>======
ID#AAAAPevwam8
Evandro    (2021-05-05 13:27:52)
Multa de 40% sobre Saldo da Conta Vinculada do FGTS para RCT s/Justa Causa, com Aviso Indenizado durante a vigência do Contrato de Prestação de Serviços.</t>
        </r>
      </text>
    </comment>
    <comment ref="B101" authorId="0">
      <text>
        <r>
          <rPr>
            <sz val="10"/>
            <color rgb="FF000000"/>
            <rFont val="Arial"/>
            <family val="2"/>
            <charset val="1"/>
          </rPr>
          <t>======
ID#AAAAPerceFY
Evandro    (2021-05-05 13:27:52)
Negociar extinção/redução na 1ª prorrogação contratual</t>
        </r>
      </text>
    </comment>
  </commentList>
</comments>
</file>

<file path=xl/comments3.xml><?xml version="1.0" encoding="utf-8"?>
<comments xmlns="http://schemas.openxmlformats.org/spreadsheetml/2006/main">
  <authors>
    <author/>
  </authors>
  <commentList>
    <comment ref="H20" authorId="0">
      <text>
        <r>
          <rPr>
            <sz val="10"/>
            <color rgb="FF000000"/>
            <rFont val="Arial"/>
            <family val="2"/>
            <charset val="1"/>
          </rPr>
          <t>======
ID#AAAAPerceF0
Evandro    (2021-05-05 13:27:52)
Sindicato das Empresas de Asseio e Conservação do Estado do Rio Grande do Sul- CNPJ nº: 87.078.325/0001-75, e Sindicato Intermunicipal dos Empregados em Empresas de Asseio e Conservação e Serviços Terceirizados em Asseio e Conservação no Rio Grande do Sul (SEEAC/RS) - CNPJ nº: 90.601.956/0001-31.</t>
        </r>
      </text>
    </comment>
    <comment ref="J76" authorId="0">
      <text>
        <r>
          <rPr>
            <sz val="10"/>
            <color rgb="FF000000"/>
            <rFont val="Arial"/>
            <family val="2"/>
            <charset val="1"/>
          </rPr>
          <t>======
ID#AAAAPerceFs
Evandro    (2021-05-05 13:27:52)
Conforme Lei nº 7.418/1985 e atualizações posteriores.</t>
        </r>
      </text>
    </comment>
    <comment ref="B100" authorId="0">
      <text>
        <r>
          <rPr>
            <sz val="10"/>
            <color rgb="FF000000"/>
            <rFont val="Arial"/>
            <family val="2"/>
            <charset val="1"/>
          </rPr>
          <t>======
ID#AAAAPerceFc
Evandro    (2021-05-05 13:27:52)
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102" authorId="0">
      <text>
        <r>
          <rPr>
            <sz val="10"/>
            <color rgb="FF000000"/>
            <rFont val="Arial"/>
            <family val="2"/>
            <charset val="1"/>
          </rPr>
          <t>======
ID#AAAAPerceF8
Evandro    (2021-05-05 13:27:52)
Multa de 40% sobre Saldo da Conta Vinculada do FGTS para RCT s/Justa Causa, com Aviso Indenizado durante a vigência do Contrato de Prestação de Serviços.</t>
        </r>
      </text>
    </comment>
    <comment ref="B103" authorId="0">
      <text>
        <r>
          <rPr>
            <sz val="10"/>
            <color rgb="FF000000"/>
            <rFont val="Arial"/>
            <family val="2"/>
            <charset val="1"/>
          </rPr>
          <t>======
ID#AAAAPerceFg
Evandro    (2021-05-05 13:27:52)
Negociar extinção/redução na 1ª prorrogação contratual</t>
        </r>
      </text>
    </comment>
  </commentList>
</comments>
</file>

<file path=xl/comments4.xml><?xml version="1.0" encoding="utf-8"?>
<comments xmlns="http://schemas.openxmlformats.org/spreadsheetml/2006/main">
  <authors>
    <author/>
  </authors>
  <commentList>
    <comment ref="H20" authorId="0">
      <text>
        <r>
          <rPr>
            <sz val="10"/>
            <color rgb="FF000000"/>
            <rFont val="Arial"/>
            <family val="2"/>
            <charset val="1"/>
          </rPr>
          <t>======
ID#AAAAPevwanA
Evandro    (2021-05-05 13:27:52)
Sindicato das Empresas de Asseio e Conservação do Estado do Rio Grande do Sul- CNPJ nº: 87.078.325/0001-75, e Sindicato Intermunicipal dos Empregados em Empresas de Asseio e Conservação e Serviços Terceirizados em Asseio e Conservação no Rio Grande do Sul (SEEAC/RS) - CNPJ nº: 90.601.956/0001-31.</t>
        </r>
      </text>
    </comment>
    <comment ref="J68" authorId="0">
      <text>
        <r>
          <rPr>
            <sz val="10"/>
            <color rgb="FF000000"/>
            <rFont val="Arial"/>
            <family val="2"/>
            <charset val="1"/>
          </rPr>
          <t>======
ID#AAAAPerceFM
Evandro    (2021-05-05 13:27:52)
Conforme Lei nº 7.418/1985 e atualizações posteriores.</t>
        </r>
      </text>
    </comment>
    <comment ref="B92" authorId="0">
      <text>
        <r>
          <rPr>
            <sz val="10"/>
            <color rgb="FF000000"/>
            <rFont val="Arial"/>
            <family val="2"/>
            <charset val="1"/>
          </rPr>
          <t>======
ID#AAAAPerceF4
Evandro    (2021-05-05 13:27:52)
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94" authorId="0">
      <text>
        <r>
          <rPr>
            <sz val="10"/>
            <color rgb="FF000000"/>
            <rFont val="Arial"/>
            <family val="2"/>
            <charset val="1"/>
          </rPr>
          <t>======
ID#AAAAPerceFo
Evandro    (2021-05-05 13:27:52)
Multa de 40% sobre Saldo da Conta Vinculada do FGTS para RCT s/Justa Causa, com Aviso Indenizado durante a vigência do Contrato de Prestação de Serviços.</t>
        </r>
      </text>
    </comment>
    <comment ref="B95" authorId="0">
      <text>
        <r>
          <rPr>
            <sz val="10"/>
            <color rgb="FF000000"/>
            <rFont val="Arial"/>
            <family val="2"/>
            <charset val="1"/>
          </rPr>
          <t>======
ID#AAAAPerceBQ
Evandro    (2021-05-05 13:27:52)
Negociar extinção/redução na 1ª prorrogação contratual</t>
        </r>
      </text>
    </comment>
  </commentList>
</comments>
</file>

<file path=xl/sharedStrings.xml><?xml version="1.0" encoding="utf-8"?>
<sst xmlns="http://schemas.openxmlformats.org/spreadsheetml/2006/main" count="2027" uniqueCount="719">
  <si>
    <t>Ministério da Educação</t>
  </si>
  <si>
    <t>Secretaria de Educação Tecnológica</t>
  </si>
  <si>
    <t>Instituto Federal de Educação, Ciência e Tecnologia Farroupilha - IFFar</t>
  </si>
  <si>
    <t>CAMPUS SÃO BORJA</t>
  </si>
  <si>
    <t xml:space="preserve">INFORMAÇÕES BÁSICAS PARA FORMAÇÃO DE PREÇO DE SERVIÇOS DE LIMPEZA </t>
  </si>
  <si>
    <t>SERVIÇOS</t>
  </si>
  <si>
    <t>Serviços de Limpeza e Conservação</t>
  </si>
  <si>
    <t>TIPO</t>
  </si>
  <si>
    <t>JORNADA</t>
  </si>
  <si>
    <t>TURNO</t>
  </si>
  <si>
    <t>Processo:</t>
  </si>
  <si>
    <t>23243.000810/2021-41</t>
  </si>
  <si>
    <t>Licitação:</t>
  </si>
  <si>
    <t>Data:</t>
  </si>
  <si>
    <t>Hora:</t>
  </si>
  <si>
    <t>Razão Social:</t>
  </si>
  <si>
    <t>CNPJ:</t>
  </si>
  <si>
    <t>Responsável pela Empresa:</t>
  </si>
  <si>
    <t>CPF do Responsável:</t>
  </si>
  <si>
    <t>Cargo ou Função:</t>
  </si>
  <si>
    <t>PRODUTIVIDADES</t>
  </si>
  <si>
    <t>TIPO DE ÁREA</t>
  </si>
  <si>
    <t>Tipo de piso</t>
  </si>
  <si>
    <t>ÁREAS INTERNAS</t>
  </si>
  <si>
    <t>Pisos acarpetados</t>
  </si>
  <si>
    <t>Pisos frios</t>
  </si>
  <si>
    <t>Laboratórios</t>
  </si>
  <si>
    <t>Almoxarifados/ galpões</t>
  </si>
  <si>
    <t>Oficinas</t>
  </si>
  <si>
    <t>Áreas com espaços livres - saguão, hall e salão (inclusive passeralas de ligação)</t>
  </si>
  <si>
    <t>Piso Emborrachado</t>
  </si>
  <si>
    <t>Paredes (até 2,5 metros de altura)</t>
  </si>
  <si>
    <t>Teto</t>
  </si>
  <si>
    <t>ÁREAS EXTERNAS</t>
  </si>
  <si>
    <t>Pisos pavimentados adjacentes/contíguos às edificações</t>
  </si>
  <si>
    <t>Passarelas externas (Paredes)</t>
  </si>
  <si>
    <t>Passarelas externas (Teto)</t>
  </si>
  <si>
    <t>Varrição de passeios e arruamentos</t>
  </si>
  <si>
    <t>Pátios e áreas verdes com alta frequência</t>
  </si>
  <si>
    <t>Pátios e áreas verdes com média frequência</t>
  </si>
  <si>
    <t>Pátios e áreas verdes com baixa frequência</t>
  </si>
  <si>
    <t>Coleta de detritos em pátios e áreas verdes com frequência diária</t>
  </si>
  <si>
    <t>BANHEIROS</t>
  </si>
  <si>
    <t>Banheiros (Sanitários, Bancadas e Piso)</t>
  </si>
  <si>
    <t>Banheiros (Paredes)</t>
  </si>
  <si>
    <t>Banheiros (Teto)</t>
  </si>
  <si>
    <t xml:space="preserve">ESQUADRIAS </t>
  </si>
  <si>
    <t>Face externa com exposição a situação de risco</t>
  </si>
  <si>
    <t>Face externa sem exposição a situação de risco</t>
  </si>
  <si>
    <t>Face interna</t>
  </si>
  <si>
    <t>FACHADAS ENVIDRAÇADAS</t>
  </si>
  <si>
    <t>Fachadas envidraçadas</t>
  </si>
  <si>
    <t>ÁREAS HOSPITALARES E ASSEMELHADAS</t>
  </si>
  <si>
    <t>Áreas hospitalares e assemelhadas</t>
  </si>
  <si>
    <t>REGIME DE TRIBUTAÇÃO</t>
  </si>
  <si>
    <t>INFORME AQUI &gt;----&gt;</t>
  </si>
  <si>
    <t>DESCRIÇÃO DO SERVIÇO</t>
  </si>
  <si>
    <t>Data da Proposta</t>
  </si>
  <si>
    <t>Município/UF</t>
  </si>
  <si>
    <t>São Borja/RS</t>
  </si>
  <si>
    <t>Ano CCT/Acordo/Dissídio</t>
  </si>
  <si>
    <t>Nº de Meses do Contrato</t>
  </si>
  <si>
    <t>DADOS COMPLEMENTARES PARA COMPOSIÇÃO DOS CUSTOS</t>
  </si>
  <si>
    <t>Tipo de Serviço:</t>
  </si>
  <si>
    <t>Limpeza, Asseio e Conservação</t>
  </si>
  <si>
    <t>Classificação Brasileira de Ocupações (CBO):</t>
  </si>
  <si>
    <t>Base Legal Salário Base</t>
  </si>
  <si>
    <t>Salário Normativo da Categoria Profissional - Jornada de 44 hs/semanais</t>
  </si>
  <si>
    <t>Categoria Profissional (vinculada à execução contratual)</t>
  </si>
  <si>
    <t>Servente de Limpeza</t>
  </si>
  <si>
    <t>Data-Base da Categoria (dia/mês/ano)</t>
  </si>
  <si>
    <t>COMPOSIÇÃO DA REMUNERAÇÃO</t>
  </si>
  <si>
    <t>CARGA HORÁRIA SEMANAL</t>
  </si>
  <si>
    <t>Base Legal Insalubridade</t>
  </si>
  <si>
    <t>ÍNDICE DA INSALUBRIDADE - ÁREAS DE BANHEIROS</t>
  </si>
  <si>
    <t>ÍNDICE DA INSALUBRIDADE - DEMAIS ÁREAS</t>
  </si>
  <si>
    <t>INFORMAÇÕES DE RAT E FAT ( Comprovação será efetivada no fase de aceitação da proposta)</t>
  </si>
  <si>
    <t>RAT</t>
  </si>
  <si>
    <t>FAP</t>
  </si>
  <si>
    <t xml:space="preserve">Encargos Previdenciários (GPS), Fundo de Garantia por Tempo de Serviço (FGTS) e outras Contribuições  </t>
  </si>
  <si>
    <t>INSS</t>
  </si>
  <si>
    <t>Salário Educação</t>
  </si>
  <si>
    <t>SAT - Seguro Acidente de Trabalho (RAT x FAP)</t>
  </si>
  <si>
    <t>SESC ou SESI</t>
  </si>
  <si>
    <t>SENAC ou SENAI</t>
  </si>
  <si>
    <t>SEBRAE</t>
  </si>
  <si>
    <t>INCRA</t>
  </si>
  <si>
    <t>FGTS</t>
  </si>
  <si>
    <t>INFORMAÇÕES DE VALE TRANSPORTE</t>
  </si>
  <si>
    <t>Vale Transponte</t>
  </si>
  <si>
    <t>Passagens/dia</t>
  </si>
  <si>
    <t>Dias Uteis/Mês</t>
  </si>
  <si>
    <t>Participação do Empregado</t>
  </si>
  <si>
    <t>INFORMAÇÕES DE VALE ALIMENTAÇÃO</t>
  </si>
  <si>
    <t>Base Legal</t>
  </si>
  <si>
    <t>Valor VA - Dia</t>
  </si>
  <si>
    <t>Participação Empregado</t>
  </si>
  <si>
    <t>PLANO DE BENEFÍCIO FAMILIAR</t>
  </si>
  <si>
    <t>INFORMAÇÕES DE TRIBUTOS, CUSTOS INDIRETOS E LUCRO PRETENDIDO</t>
  </si>
  <si>
    <t>Custos indiretos</t>
  </si>
  <si>
    <t>Lucro</t>
  </si>
  <si>
    <t>ISSQN</t>
  </si>
  <si>
    <t>PIS</t>
  </si>
  <si>
    <t>COFINS</t>
  </si>
  <si>
    <t>INSUMOS DIVERSOS</t>
  </si>
  <si>
    <t>Materiais de Limpeza – SANEANTES DOMISSANITÁRIOS</t>
  </si>
  <si>
    <t>Unidade</t>
  </si>
  <si>
    <t>Quantidade Mensal</t>
  </si>
  <si>
    <t>Quantidade Anual</t>
  </si>
  <si>
    <t>Valor Unitário</t>
  </si>
  <si>
    <t>Custo Anual</t>
  </si>
  <si>
    <t>ÁLCOOL ETÍLICO, ASPECTO FÍSICO LÍQUIDO LÍMPIDO, INCOLOR, VOLÁTIL, TEOR ALCOÓLICO DE 70¨GL, FÓRMULA QUÍMICA C2H5OH, PESO MOLECULAR 46,07, CAS 64-17-5. PRAZO DE VALIDADE MÍNIMO DE 12 MESES A CONTAR DA DATA DA ENTREGA.</t>
  </si>
  <si>
    <t>FRASCO 1L</t>
  </si>
  <si>
    <t>ÁLCOOL ETÍLICO, TEOR ALCOÓLICO: 70% V,V, COMPOSIÇÃO BÁSICA: COM EMOLIENTE, FORMA FARMACÊUTICA: GEL, GALÃO 5 LITROS.</t>
  </si>
  <si>
    <t>GALÃO 5L</t>
  </si>
  <si>
    <t>Desincrustrante Alcalino, PH alcalino, Desincrusta e limpa superfícies em geral. Embalagem de 1 litro.</t>
  </si>
  <si>
    <t>litro</t>
  </si>
  <si>
    <t>Desinfetante perfumado de ação fungicida e bactericida para limpeza eficaz de superfícies diversas, tais como: azulejos, pisos, sanitários, pias, ralos, etc. Galão de 5 litros.</t>
  </si>
  <si>
    <t>Galão</t>
  </si>
  <si>
    <t>DESINFETANTE, PRINCÍPIO ATIVO: À BASE DE CLORETO DE BENZALCÔNIO, TEOR ATIVO: A 15%, FORMA FÍSICA: SOLUÇÃO AQUOSA, LAVANDA ou FLORAL, Galão 5 LITROS</t>
  </si>
  <si>
    <t>DESODORIZADOR DE AR, AROMATIZANTE DE AMBIENTES EM GERAL, AROMA: LAVANDA OU FLORAL, AEROSOL, BIODEGRADÁVEL. VALIDADE, IMPRESSA NA EMBALAGEM, MÍNIMA DE 12 MESES A PARTIR DA ENTREGA. FRASCO COM 360 ML</t>
  </si>
  <si>
    <t>FRASCO 360ml</t>
  </si>
  <si>
    <t>DETERGENTE, COMPOSIÇÃO: TESOATIVOS ANIÔNICOS, COADJUVANTE, PRESERVANTES,, COMPONENTE ATIVO: LINEAR ALQUIBENZENO SULFONATO DE SÓDIO, APLICAÇÃO: REMOÇÃO DE GORDURAS DE LOUÇAS, TALHERES E PANELAS, AROMA: NEUTRO, CARACTERÍSTICAS ADICIONAIS: CONTÉM TENSOATIVO BIODEGRADÁVEL</t>
  </si>
  <si>
    <t>FRASCO DE 500ML</t>
  </si>
  <si>
    <t>Hipoclorito de sódio, aspecto físico: solução aquosa, concentração: até 2,5% de cloro ativo. Galão de 5 litros. CATMAT: 437156 Ou Água sanitária, composição química: hipoclorito de sódio, hidróxido de sódio, cloreto, teor cloro ativo: varia de 2 a 2,50%, cor: incolor, aplicação: lavagem e alvejante de roupas, banheiras, pias. Galão de 5 litros.</t>
  </si>
  <si>
    <t>Galão 5L</t>
  </si>
  <si>
    <t>LIMPA-VIDRO, ASPECTO FÍSICO LÍQUIDO, COMPOSIÇÃO LAURIL ÉTER, SULFATO DE SÓDIO,CARACTERÍSTICAS ADICIONAIS PULVERIZADOR COM GATILHO, VALIDADE MÍNIMA 3 ANOS. Frascos de 500 ML</t>
  </si>
  <si>
    <t>frasco</t>
  </si>
  <si>
    <t>LIMPADOR MULTIUSO (DESENGORDURANTE). LÍQUIDO, TRADICIONAL (OU NEUTRO). EMBALAGEM COM 500 ML, COM BICO DOSADOR.</t>
  </si>
  <si>
    <t>Sabão Líquido Concentrado Puro P/ Limp. De Piso. Galão de 5 litros</t>
  </si>
  <si>
    <t>Sabão em pó, Composição: Tensoativo aniônico, tensoativo catiônico, coadjuvante, sinergista, tamponantes, branqueador óptico, corantes, enzimas, alvejante, carga, atenuador de espuma, essência e água. Aplicação: lavar roupas. Embalagem de 1kg.</t>
  </si>
  <si>
    <t>KG</t>
  </si>
  <si>
    <t>SABONETE LÍQUIDO, SABONETE LÍQUIDO, ASPECTO FÍSICO LÍQUIDO CREMOSO PEROLADO, APLICAÇÃO ASSEPSIA DAS MÃOS, CARACTERÍSTICAS ADICIONAIS PH NEUTRO, DENSIDADE 0,9 A 1,05 G/M3, COMPOSIÇÃO AGENTES EMOLIENTES E HIDRATANTES, COMPOSTOS DE SAIS. DEVERÁ APRESENTAR TAMBÉM DATA DE FABRICAÇÃO IMPRESSA NA EMBALAGEM E VALIDADE MÍNIMA DE 06 MESES NO ATO DA ENTREGA. EMBALAGEM DE 5 litros</t>
  </si>
  <si>
    <t xml:space="preserve">Galão </t>
  </si>
  <si>
    <t>Sapólio líquido 300 ml, composto de tensoativos: aniônico e não aniônico, espessante, alcalinizantes, abrasivo, preservante, fragrância e veículo. Com princípio ativo linear, alquilbenzeno, sulfonato de sódio. Frasco de 300 Ml.</t>
  </si>
  <si>
    <t>Frasco</t>
  </si>
  <si>
    <t xml:space="preserve">Desentupidor de pia e ralo, fórmula básica hidróxido de sódio, cloreto de sódio, nitrato de sódio. </t>
  </si>
  <si>
    <t>CUSTO ANUAL DOS SANEANTES DOMISSANITÁRIOS</t>
  </si>
  <si>
    <t>CUSTO MENSAL DOS SANEANTES DOMISSANITÁRIOS</t>
  </si>
  <si>
    <t>PAPEL HIGIÊNICO BRANCO PRODUZIDO COM FIBRA CELULOSE RESISTENTE NAO RECICLADO TIPO GROFADO FOLHA SIMPLES SEM IMPUREZA: ROLOS 10CM X 500 MT. ROLOS DE 500 METROS</t>
  </si>
  <si>
    <t>Rolo</t>
  </si>
  <si>
    <t>Pacote</t>
  </si>
  <si>
    <t>Saco plástico lixo, capacidade 60L, cor preta, largura mínima 39cm, altura 50, características adicionais aplicação coleta de lixo. Pacote COM 100 UM IDADES</t>
  </si>
  <si>
    <t>PACOTE</t>
  </si>
  <si>
    <t>Saco plástico lixo, capacidade 100L, cor preta, largura mínima 39cm, altura 50, características adicionais aplicação coleta de lixo. Pacote COM 100 UM IDADES</t>
  </si>
  <si>
    <t xml:space="preserve">Saco plástico lixo, capacidade 200L, cor preto, largura 90cm, altura 110cm, reforçado. Aplicação coleta de lixo. Pacote com 100 unidades  </t>
  </si>
  <si>
    <t>Toalha de papel, material: papel, tipo folha: interfolha, comprimento: 23 cm, largura: 23 cm, cor: branca, características adicionais: não reciclado -30-40 g, aplicação: higiene pessoal. Embalagem com 1000 folhas.</t>
  </si>
  <si>
    <t>Fardo</t>
  </si>
  <si>
    <t>TOALHA DE PAPEL, MATERIAL: CELULOSE (100% FIBRAS NATURAIS), TIPO FOLHA: DUPLA, COMPRIMENTO: 22 CM, LARGURA: 20 CM, COR: BRANCA, CARACTERÍSTICAS ADICIONAIS: ALTO GRAU DE ABSORÇÃO, APLICAÇÃO: LIMPEZA EM GERAL. Pacote com 2 rolos</t>
  </si>
  <si>
    <t>PEDRA SANITÁRIA (DESODORIZADOR SANITÁRIO). ODORIZANTE SANITÁRIO. PRODUTO SANEANTE COM NOTIFICAÇÃO NA ANVISA. SUBSTÂNCIAS ODORIZANTES, EM ASPECTO SÓLIDO, COM FURO NO MEIO PARA ENGATE DO SUPORTE PLÁSTICO. ACOMPANHADA DE SUPORTE PLÁSTICO PARA PRENDER AO VASO SANITÁRIO. COM 30 A 40G. UNIDADE.</t>
  </si>
  <si>
    <t>UNIDADE</t>
  </si>
  <si>
    <t>CUSTO ANUAL DOS MATERIAIS DE LIMPEZA – COMPLEMENTARES</t>
  </si>
  <si>
    <t>CUSTO MENSAL DOS  MATERIAIS DE LIMPEZA – COMPLEMENTARES</t>
  </si>
  <si>
    <t>UTENSÍLIOS</t>
  </si>
  <si>
    <t>Quantidade a disponibilizar</t>
  </si>
  <si>
    <t>Vida Útil   (em meses)</t>
  </si>
  <si>
    <t>Descrição: Pano de limpeza de chão: saco de algodão. Composição: saco branco duplo, 100% algodão, alvejado, pré-amaciado, medida aproximada 40cm x 70 cm, uso doméstico, Embalagem: pacote contendo 01 unidade.</t>
  </si>
  <si>
    <t>unidade</t>
  </si>
  <si>
    <t>Descrição: Vassoura de nylon com cerdas macias, cepo plástico de 21 cm, cerdas de 11 cm com plumagem nas pontas, com cabo rosqueado de madeira plastificada, para limpeza em geral, tipo doméstica. Unidade</t>
  </si>
  <si>
    <t>Descrição: BORRIFADOR 500ML: em plástico; boa vedação.</t>
  </si>
  <si>
    <t>Descrição: Rodo, com cabo de pelo menos 120 cm, material suporte de plástico, comprimento mínimo do suporte 30 cm, quantidade de borrachas 02 un, características adicionais: cabo com rosca plástica.</t>
  </si>
  <si>
    <t>Descrição: Vassoura sanitária, corpo em plástico, cerdas em nylon com formato redondo, com suporte</t>
  </si>
  <si>
    <t>Descrição: PÁ COLETORA LIXO, MATERIAL COLETOR PLÁSTICO, MATERIAL CABO MADEIRA, COMPRIMENTO CABO 80 CM, COMPRIMENTO 20 CM, LARGURA 18 CM, APLICAÇÃO LIMPEZA, CARACTERÍSTICAS ADICIONAIS CABO REVESTIDO EM PLÁSTICO</t>
  </si>
  <si>
    <t>Descrição: Cabo aplicação limpeza, tipo extensor, tamanho 2,80 m, material alumínio.</t>
  </si>
  <si>
    <t>Descrição: Balde plástico, capacidade 15 litros, material plástico, com alça de arame galvanizado, cor preta, com reforço no fundo e nas bordas, aplicação limpeza geral</t>
  </si>
  <si>
    <t>DESENTUPIDOR PIA, MATERIAL BORRACHA FLEXÍVEL, COR PRETA, ALTURA 10CM, DIÂMETRO 12CM, MATERIAL DO CABO PLÁSTICO, COMPRIMENTO DO CABO 10CM</t>
  </si>
  <si>
    <t>LIXEIRA PLÁSTICA (POLIPROPILENO) COM PEDAL, CAPACIDADE 30 LITROS - LIXEIRA, MATERIAL: POLIETILENO ALTA DENSIDADE, CAPACIDADE: 30 L, TIPO: COM TAMPA PLÁSTICA ACIONADA POR PEDAL, COR: BRANCA, CARACTERÍSTICAS ADICIONAIS: FORMATO RETANGULAR</t>
  </si>
  <si>
    <t>LIXEIRA PLÁSTICA (POLIPROPILENO) COM PEDAL, CAPACIDADE 100 LITROS. MEDIDAS APROXIMADAS: ALTURA 92CM, LARGURA 57CM, COR BRANCA.</t>
  </si>
  <si>
    <t>MANGUEIRA JARDIM, MATERIAL PVC-TRAÇADO EM NÁILON, DIÂMETRO 1/2, ESPESSURA 2, PRESSÃO MÁXIMA 6, COMPRIMENTO 25 METROS, COR (LARANJA OU VERDE OU AZUL), CARACTERÍSTICAS ADICIONAIS (COM ESGUICHO E COM ENGATE ROSQUEADOR)</t>
  </si>
  <si>
    <t>REFIL mop úmido 340gr algodão, ponta cortada crua</t>
  </si>
  <si>
    <t xml:space="preserve">CUSTO ANUAL DOS UTENSÍLIOS </t>
  </si>
  <si>
    <t xml:space="preserve">CUSTO MENSAL DOS UTENSÍLIOS </t>
  </si>
  <si>
    <t>EQUIPAMENTOS</t>
  </si>
  <si>
    <t>Depreciação (em meses)</t>
  </si>
  <si>
    <t>Aspirador de pó / água</t>
  </si>
  <si>
    <t>CARRO FUNCIONAL PARA TRANSPORTE DE MATERIAIS DE LIMPEZA E DE DESINFECÇÃO. CORPO EM POLIPROPILENO, COM SACO PARA RECOLHIMENTO DE LIXO OU ROUPA SUJA PRODUZIDO EM VINIL COM ZÍPERES FRONTAIS E QUE SE ENCAIXAM EM ILHOSES NO BOCAL COM TAMPA DO CARRO. CAPACIDADE PARA 200 LITROS. COM TAMPA COM ESPAÇO PARA CONDICIONAMENTO DE FERRAMENTAS, ACESSÓRIOS OU OUTROS OBJETOS. RODÍZIOS EMBORRACHADOS PARA DESLOCAMENTO COM MENOS RUÍDOS. ESPECIFICAÇÕES: - DIMENSÕES APROXIMADAS DO PRODUTO MONTADO CXLXA (CM): 116 X 57 X 100 – DIMENSÕES APROXIMADAS DO PRODUTO DESMONTADO CXLXA (CM): 87 X 30 X 57 – PESO APROXIMADO DE 18 KG</t>
  </si>
  <si>
    <t>CONJUNTO MOP ÚMIDO, COM CABO DE ALUMÍNIO, TAMANHO 140MM X 24MM DE DIÂMETRO, REFIL MOP ÚMIDO 340GR ALGODÃO, PONTA CORTADA CRUA, SUPORTE COM GANCHO DE METAL E BALDE COM ESPREMEDOR</t>
  </si>
  <si>
    <t>Dispenser para papel toalha</t>
  </si>
  <si>
    <t>DISPENSER HIGIENIZADOR, MATERIAL: PLÁSTICO ABS, CAPACIDADE: 800 ML, TIPO FIXAÇÃO: PAREDE, COR: BRANCA, APLICAÇÃO: MÃOS, CARACTERÍSTICAS ADICIONAIS: VISOR FRONTAL PARA ÁLCOOL GEL OU SABONETE LÍQUIDO.</t>
  </si>
  <si>
    <t>Lavadora de alta pressão</t>
  </si>
  <si>
    <t>DISPENSER PAPEL HIGIÊNICO\, AÇO\, BRANCO SMALT\, COM VISOR\, TRAVA PARA ROLO DE ATÉ 500 M</t>
  </si>
  <si>
    <t xml:space="preserve">CUSTO ANUAL DOS EQUIPAMENTOS </t>
  </si>
  <si>
    <t xml:space="preserve">CUSTO MENSAL DOS EQUIPAMENTOS </t>
  </si>
  <si>
    <t>UNIFORMES</t>
  </si>
  <si>
    <t>CALÇA  100% ALGODÃO, conforme a estação do ano</t>
  </si>
  <si>
    <t>CAMISETA GOLA REDONDA, MANGA CURTA, MALHA 100% ALGODÃO</t>
  </si>
  <si>
    <t>CAMISETA GOLA REDONDA, MANGA LONGA, MALHA 100% ALGODÃO</t>
  </si>
  <si>
    <t>CAPA DE CHUVA PVC, FORRADA, COM CAPUZ</t>
  </si>
  <si>
    <t xml:space="preserve">JAQUETA CONFECCIONADA EM TECIDO 100% POLIAMIDA COM RESINA, FORRADA COM MANTA TÉRMICA E ACOLCHOADA. POSSUI BOLSOS EMBUTIDOS NAS LATERAIS, CAPUZ CONJUGADO, FECHAMENTO FRONTAL ATÉ O PESCOÇO ATRAVÉS DE VELCRO ALINHADO POR BOTÃO GUIA E BARRA LISA. É IDEAL PARA BAIXAS TEMPERATURAS </t>
  </si>
  <si>
    <t>LUVA BORRACHA: LUVA DE LÁTEX NATURAL PARA LIMPEZA EM GERAL, TAMANHO GRANDE, MULTIUSO, PAR</t>
  </si>
  <si>
    <t>Par</t>
  </si>
  <si>
    <t>MÁSCARA MULTIUSO - MÁSCARA MULTIUSO, MATERIAL MANTA SINTÉTICA COM TRATAMENTO ELETROSTÁTICO, TIPO USO DESCARTÁVEL, FINALIDADE PROTEÇÃO CONTRA POEIRAS, FUMOS E NÉVOAS TÓXICAS,TIPO CORREIA CINTA ELÁSTICA COM AJUSTE NO ROSTO, TAMANHO ÚNICO, COR BRANCA, CARACTERÍSTICAS ADICIONAIS N95/PFF2,MÍNIMO FILTRAÇÃO 95% PARTÍCULAS ATÉ 0,3 01 UNIDADE POR FUNCIONÁRIO</t>
  </si>
  <si>
    <t>MÁSCARA CIRÚRGICA COM TRÊS CAMADAS, TIPO USO DESCARTÁVEL, MÁSCARAS DESCARTÁVEIS FABRICADAS EM TNT 100% POLIPROPILENO DE ESTRUTURA PLANA, FLEXÍVEL E POROSA. CLIPE PARA AJUSTE NASAL EM METAL GALVANIZADO E REVESTIDO COM PLÁSTICO, TRIPLA CAMADA COM FILTRO, QUE PROPORCIONA EFICIÊNCIA DE FILTRAÇÃO BACTERIANA MAIOR QUE 95%. COM TRÊS PREGAS HORIZONTAIS. CARACTERÍSTICAS ADICIONAIS SEMIFACIAL, MODELO COM ELÁSTICO.</t>
  </si>
  <si>
    <t>MEIAS DE ALGODÃO</t>
  </si>
  <si>
    <t>par</t>
  </si>
  <si>
    <t>MOLETOM, DOP WORK PESADO 100% ALGODÃO.</t>
  </si>
  <si>
    <t>ÓCULOS PROTEÇÃO, MATERIAL ARMAÇÃO: POLICARBONATO E NYLON, TIPO PROTEÇÃO: LATERAL, MATERIAL PROTEÇÃO: POLICARBONATO, TIPO LENTE: ANTI-RISCO, ANTI-EMBAÇANTE, COR LENTE: INCOLOR, CARACTERÍSTICAS ADICIONAIS: COM CORDÃO DE SEGURANÇA, HASTES DE COR PRETA, MATERIAL LENTE: POLICARBONATO.</t>
  </si>
  <si>
    <t>PROTETOR FACIAL, MATERIAL: POLICARBONATO, COR: INCOLOR, COMPRIMENTO: 250 MM, MATERIAL COROA: PLÁSTICO, CARACTERÍSTICAS ADICIONAIS: COROA AJUSTÁVEL E ARTICULADA. 01 UNIDADE POR FUNCIONÁRIO, POR TRIMESTRE</t>
  </si>
  <si>
    <t>Bota ocupacional preta, cano médio tipo C, classificação II, impermeável, confeccionada em material polimérico (PVC), com forração interna.</t>
  </si>
  <si>
    <t>SAPATO DE SEGURANÇA DE COURO HIDROFUGADO COM FECHAMENTO EM ELÁSTICO</t>
  </si>
  <si>
    <t>CUSTO ANUAL DOS UNIFORMES PARA 1 SERVENTE</t>
  </si>
  <si>
    <t>CUSTO MENSAL DOS UNIFORMES PARA 1 SERVENTE</t>
  </si>
  <si>
    <t>QUADRO RESUMO</t>
  </si>
  <si>
    <t>CUSTO ANUAL</t>
  </si>
  <si>
    <t>CUSTO MENSAL</t>
  </si>
  <si>
    <t>Custo Mensal por SERVENTE</t>
  </si>
  <si>
    <t xml:space="preserve">Materiais de Limpeza – SANEANTES DOMISSANITÁRIOS </t>
  </si>
  <si>
    <t>Materiais de Limpeza – COMPLEMENTARES</t>
  </si>
  <si>
    <t>Materiais de Limpeza – UTENSÍLIOS</t>
  </si>
  <si>
    <t>MATERIAIS</t>
  </si>
  <si>
    <t>TOTAIS</t>
  </si>
  <si>
    <t>Quantidade de mão de obra alocada na prestação dos serviços (informação oriunda da aba 'Resumo da Proposta' - Quantidade de Postos/Mão de Obra a ser alocados) + posto do encarregado</t>
  </si>
  <si>
    <t>Nota 1: os custos totais com materiais e equipamentos são fixos, qualquer que seja a produtividade adotada pois são fixados em função da área a ser limpa e conservada e não dependem do quantitativo de mão de obra utilizada.</t>
  </si>
  <si>
    <t xml:space="preserve">Nota 2: os custos totais com uniformes dependem do número de serventes, o qual varia de acordo com a produtividade adotada. </t>
  </si>
  <si>
    <t>Nota 3: a vida útil, os quantitativos e os preços dos insumos são apenas uma simulação feita para fins didáticos, sem o caráter de estudo técnico ou qualquer métrica, portanto não devem ser copiados, mas sim ajustados à realidade de cada contrato.</t>
  </si>
  <si>
    <t xml:space="preserve"> </t>
  </si>
  <si>
    <t>PLANILHA DE MEDIDA DAS ÁREAS - SERVIÇOS DE LIMPEZA E CONSERVAÇÃO</t>
  </si>
  <si>
    <t>PLANILHA DE CONVERSÃO DE ÁREA - SERVIÇOS DE LIMPEZA E CONSERVAÇÃO</t>
  </si>
  <si>
    <t>Item</t>
  </si>
  <si>
    <t>Descrição (Identificação do Prédio)</t>
  </si>
  <si>
    <t>Segmentação por Prédio</t>
  </si>
  <si>
    <t>Aréa Total (incluindo Janelas e Pátios)</t>
  </si>
  <si>
    <t>Área Medida</t>
  </si>
  <si>
    <t xml:space="preserve">Periodicidade dos serviços </t>
  </si>
  <si>
    <t>Periodicidade por mês (em dias)</t>
  </si>
  <si>
    <t>Dias Úteis por Mês</t>
  </si>
  <si>
    <t>Quantidade área em m² convertida para PRODUTIVIDADE DIÁRIA conforme frequência de limpeza (considerando 24 dias trabalhados)</t>
  </si>
  <si>
    <t>Área Interna</t>
  </si>
  <si>
    <t>Área Externa</t>
  </si>
  <si>
    <t>Esquadrias</t>
  </si>
  <si>
    <t>Fachadas Envidraçadas</t>
  </si>
  <si>
    <t>Áreas Hospitalares e Assemelhadas</t>
  </si>
  <si>
    <t>Banheiros</t>
  </si>
  <si>
    <t>Piso Acarpetado Tabuão Parquet Emborrachado</t>
  </si>
  <si>
    <t>Piso Frio (Cerâmico e/ou Vinílico)</t>
  </si>
  <si>
    <t>Almoxarifados Galpões</t>
  </si>
  <si>
    <t>Paredes</t>
  </si>
  <si>
    <t>Áreas com Espaços Livres (Saguão, Hall e Salão)</t>
  </si>
  <si>
    <t>Pisos Pavimentados Adjacentes / Contíguos às Edificações</t>
  </si>
  <si>
    <t>Passarelas Externas (Paredes)</t>
  </si>
  <si>
    <t>Passarelas Externas (Teto)</t>
  </si>
  <si>
    <t>Varrição de Passeios e Arruamentos</t>
  </si>
  <si>
    <t>Pátios e Áreas Verdes com Alta Freqüência</t>
  </si>
  <si>
    <t>Pátios e Áreas Verdes com Média Freqüência</t>
  </si>
  <si>
    <t>Pátios e Áreas Verdes com Baixa Freqüência</t>
  </si>
  <si>
    <t>Coleta de detritos em pátios e áreas verdes com freqüência diária</t>
  </si>
  <si>
    <t>Face Externa com Exposição a Situação de Risco</t>
  </si>
  <si>
    <t>Face Externa sem Exposição a Situação de Risco</t>
  </si>
  <si>
    <t>Face Interna</t>
  </si>
  <si>
    <t>Banheiros (Piso)</t>
  </si>
  <si>
    <t>Piso Acarpetado Tabuão Emborrachado</t>
  </si>
  <si>
    <t>Prédio Ensino</t>
  </si>
  <si>
    <t>Salas  de aula</t>
  </si>
  <si>
    <t>3xDIA</t>
  </si>
  <si>
    <t>Laboratório</t>
  </si>
  <si>
    <t>Circulação</t>
  </si>
  <si>
    <t>Auditório</t>
  </si>
  <si>
    <t>Janelas (Externas)</t>
  </si>
  <si>
    <t>SEMESTRAL</t>
  </si>
  <si>
    <t>Janelas (Internas)</t>
  </si>
  <si>
    <t>2xSEMANA</t>
  </si>
  <si>
    <t>DIÁRIA</t>
  </si>
  <si>
    <t>Setor de Saúde</t>
  </si>
  <si>
    <t xml:space="preserve">Banheiros (piso) </t>
  </si>
  <si>
    <t>6xDIA</t>
  </si>
  <si>
    <t xml:space="preserve">Banheiros (teto) </t>
  </si>
  <si>
    <t>SEMANAL</t>
  </si>
  <si>
    <t>Banheiros (paredes)</t>
  </si>
  <si>
    <t>Prédio Gastronomia</t>
  </si>
  <si>
    <t>sala servidores</t>
  </si>
  <si>
    <t>depósitos</t>
  </si>
  <si>
    <t>Banheiros (piso)</t>
  </si>
  <si>
    <t xml:space="preserve">Banheiros (parede) </t>
  </si>
  <si>
    <t>Salas servidores</t>
  </si>
  <si>
    <t>Biblioteca</t>
  </si>
  <si>
    <t>Calçadas, Passeios e Pátios</t>
  </si>
  <si>
    <t>Refeitório</t>
  </si>
  <si>
    <t>Salão</t>
  </si>
  <si>
    <t>Buffet</t>
  </si>
  <si>
    <t>cozinha</t>
  </si>
  <si>
    <t>Almoxarifado</t>
  </si>
  <si>
    <t>Armazenagem</t>
  </si>
  <si>
    <t>QUINZENAL</t>
  </si>
  <si>
    <t xml:space="preserve">Banheiros (paredes) </t>
  </si>
  <si>
    <t>Quadra</t>
  </si>
  <si>
    <t>Arquibancadas</t>
  </si>
  <si>
    <t>Banheiros (teto)</t>
  </si>
  <si>
    <t xml:space="preserve">PLANILHA DE CÁLCULO DA MÃO DE OBRA </t>
  </si>
  <si>
    <t>Área (m²) a ser contratada a ser limpa por dia (critério da administração)</t>
  </si>
  <si>
    <t>(1)                  Número de empregados necessários para a execução da tarefa</t>
  </si>
  <si>
    <t xml:space="preserve">(2)                             Exclusão dos empregados que cumprem integralmente a jornada diária  </t>
  </si>
  <si>
    <t>(3) Empregado que cumprirá jornada diária menor</t>
  </si>
  <si>
    <t>(4)                   Jornada diária em minutos do empregado que completará a execução da tarefa</t>
  </si>
  <si>
    <t>(5) Número de empregados que a contratada deverá alocar para a prestação dos serviços</t>
  </si>
  <si>
    <t>Piso</t>
  </si>
  <si>
    <t>empregados com jornada diária de</t>
  </si>
  <si>
    <t xml:space="preserve">horas e mais </t>
  </si>
  <si>
    <t>empregado com jornada diária de</t>
  </si>
  <si>
    <t>minutos.</t>
  </si>
  <si>
    <t>TOTAL (TODAS AS ÁREAS NO MESMO PRÉDIO)</t>
  </si>
  <si>
    <t>JORNADA DIÁRIA (HORAS)</t>
  </si>
  <si>
    <t>horas</t>
  </si>
  <si>
    <t>NÚMERO TOTAL DE SERVENTES EM JORNADA DE 8 HORAS</t>
  </si>
  <si>
    <t>Numero de serventes decorre da produtividade mínima exigida e área de execução dos serviços</t>
  </si>
  <si>
    <t>Notas Explicativas:</t>
  </si>
  <si>
    <t>1) coluna (E) - número de empregados necessários para a execução da tarefa: cada número inteiro significa um empregado. Quando há fração significa que além dos empregados que cumprem integralmente a jornada diária contratada, é necessário empregado com jornada diária menor.</t>
  </si>
  <si>
    <t>Pisos acarpetados, Tabuão, Emborrachado</t>
  </si>
  <si>
    <t>Áreas com espaços livres - saguão, hall e salão</t>
  </si>
  <si>
    <t>TOTAL (TODAS DAS ÁREAS NO MESMO PRÉDIO)</t>
  </si>
  <si>
    <t xml:space="preserve"> Em destaque  o número de empregados que a contratada deve disponibilizar para a prestação dos serviços tarefa a tarefa, em cada tipo de área, com suas respectivas jornadas diárias.</t>
  </si>
  <si>
    <t xml:space="preserve">Área Interna 1ª linha - Metodologia - Coluna 5 = (2.000 / 800) = 2,5 empregados               Coluna 8 = 0,5 x 8 horas x 60 minutos = 240 minutos </t>
  </si>
  <si>
    <t>Cálculo total do nº de serventes = (preço mensal dos serviços / valor do homem-mês)</t>
  </si>
  <si>
    <t>ESQUADRIAS</t>
  </si>
  <si>
    <t>TOTAL (TODAS AS ÁREAS)</t>
  </si>
  <si>
    <t xml:space="preserve">PLANILHA DE CUSTOS E FORMAÇÃO DE PREÇOS  </t>
  </si>
  <si>
    <t>SERVIÇO DE LIMPEZA GERAL (EXCETO BANHEIROS)</t>
  </si>
  <si>
    <t xml:space="preserve">Prestação de serviços de limpeza geral (exceto banheiros) para o IFFAR  </t>
  </si>
  <si>
    <t>conforme área determinada convertida</t>
  </si>
  <si>
    <t>m²</t>
  </si>
  <si>
    <t>para o período de 1 mês.</t>
  </si>
  <si>
    <t>Processo nº:</t>
  </si>
  <si>
    <t>Licitação nº:</t>
  </si>
  <si>
    <t>CNPJ nº:</t>
  </si>
  <si>
    <t>Responsável:</t>
  </si>
  <si>
    <t>CPF:</t>
  </si>
  <si>
    <t>Cargo:</t>
  </si>
  <si>
    <t>DISCRIMINAÇÃO DO SERVIÇO</t>
  </si>
  <si>
    <t>A</t>
  </si>
  <si>
    <t>Data de apresentação da proposta (dia/mês/ano)</t>
  </si>
  <si>
    <t>B</t>
  </si>
  <si>
    <t>C</t>
  </si>
  <si>
    <t>Ano do Acordo, Convenção ou Dissídio Coletivo</t>
  </si>
  <si>
    <t>D</t>
  </si>
  <si>
    <t>Número de meses de execução contratual</t>
  </si>
  <si>
    <t>IDENTIFICAÇÃO DO SERVIÇO</t>
  </si>
  <si>
    <t xml:space="preserve">Tipo de Serviço: Limpeza e Conservação Predial                                                                                                   </t>
  </si>
  <si>
    <t>Unidade de Medida</t>
  </si>
  <si>
    <t xml:space="preserve">Quantidade total a contratar </t>
  </si>
  <si>
    <t>a) Áreas internas - Pisos acarpetados</t>
  </si>
  <si>
    <t>m2</t>
  </si>
  <si>
    <t>b) Áreas internas - Pisos frios</t>
  </si>
  <si>
    <t>c) Áreas internas - Laboratórios</t>
  </si>
  <si>
    <t>d) Áreas internas - Almoxarifados/galpões</t>
  </si>
  <si>
    <t>e) Áreas internas - Oficinas</t>
  </si>
  <si>
    <t>f) Áreas internas - Áreas com espaços livres - saguão, hall e salão</t>
  </si>
  <si>
    <t>h) Áreas internas - Paredes</t>
  </si>
  <si>
    <t>i) Áreas internas - Teto</t>
  </si>
  <si>
    <t>TOTAL DA ÁREA INTERNA</t>
  </si>
  <si>
    <t>a) Áreas externas - Pisos pavimentados adjacentes/contíguos às edificações</t>
  </si>
  <si>
    <t>b) Passarelas externas - Paredes</t>
  </si>
  <si>
    <t>c) Passarelas externas - Teto</t>
  </si>
  <si>
    <t>d) Áreas externas -  Varrição de passeios e arruamentos</t>
  </si>
  <si>
    <t>e) Áreas externas -  Pátios com áreas verdes com alta frequência</t>
  </si>
  <si>
    <t>f) Áreas externas -  Pátios com áreas verdes com média frequência</t>
  </si>
  <si>
    <t>g) Áreas externas -  Pátios com áreas verdes com baixa frequência</t>
  </si>
  <si>
    <t>h) Áreas externas -  Coleta de detritos em pátios e áreas verdes com frequência diária</t>
  </si>
  <si>
    <t>TOTAL DA ÁREA EXTERNA</t>
  </si>
  <si>
    <t>a) Áreas hospitalares e assemelhadas</t>
  </si>
  <si>
    <t xml:space="preserve">                                                                                                     TOTAL DAS ÁREAS HOSPITALARES</t>
  </si>
  <si>
    <t>a) Outras áreas (especificar)</t>
  </si>
  <si>
    <t>TOTAL DAS OUTRAS ÁREAS (ESPECIFICAR)</t>
  </si>
  <si>
    <t>TOTAL GERAL (ÁREA GERAL - Exceto banheiros)</t>
  </si>
  <si>
    <t>MÃO DE OBRA</t>
  </si>
  <si>
    <t>MÃO DE OBRA VINCULADA À EXECUÇÃO CONTRATUAL</t>
  </si>
  <si>
    <t>Dados complementares para composição dos custos referente à mão de obra</t>
  </si>
  <si>
    <t>Nota 1</t>
  </si>
  <si>
    <t>Deverá ser elaborada uma planilha para cada tipo de serviço.</t>
  </si>
  <si>
    <t>MÓDULO 1 - COMPOSIÇÃO DA REMUNERAÇÃO</t>
  </si>
  <si>
    <t xml:space="preserve">Composição da Remuneração </t>
  </si>
  <si>
    <t>Percentual (%)</t>
  </si>
  <si>
    <t xml:space="preserve">Valor (R$) </t>
  </si>
  <si>
    <t>horas semanais</t>
  </si>
  <si>
    <t>Adicional de Insalubridade</t>
  </si>
  <si>
    <t>COMPOSIÇÃO DA REMUNERAÇÃO - TOTAL DO MÓDULO 1</t>
  </si>
  <si>
    <t>Nota 2</t>
  </si>
  <si>
    <t>O Módulo 1 refere-se ao valor mensal devido ao empregado pela prestação do serviço.</t>
  </si>
  <si>
    <t>MÓDULO 2 - ENCARGOS E BENEFÍCIOS ANUAIS, MENSAIS E DIÁRIOS</t>
  </si>
  <si>
    <t xml:space="preserve">Submódulo 2.1 </t>
  </si>
  <si>
    <t>13º (Décimo Terceiro) Salário e Adicional de Férias</t>
  </si>
  <si>
    <t>Valor (R$)</t>
  </si>
  <si>
    <t>Total do Submódulo 2.1</t>
  </si>
  <si>
    <t>Nota 3</t>
  </si>
  <si>
    <t>Como a Planilha de Custos é calculada mensalmente, provisiona-se 1/12 (um doze avos) dos valores referentes à gratificação natalina e adicional de férias.</t>
  </si>
  <si>
    <t>Submódulo 2.2</t>
  </si>
  <si>
    <t>Encargos Previdenciários (GPS), Fundo de Garantia por Tempo de Serviço (FGTS) e outras Contribuições                                                                  BASE DE CÁLCULO = MÓDULO 1 (Total da Remuneração) + SUBMÓDULO 2.1</t>
  </si>
  <si>
    <t>GPS, FGTS e outras Contribuições</t>
  </si>
  <si>
    <t>RAT =</t>
  </si>
  <si>
    <t xml:space="preserve"> FAP =</t>
  </si>
  <si>
    <t>E</t>
  </si>
  <si>
    <t>F</t>
  </si>
  <si>
    <t>G</t>
  </si>
  <si>
    <t>H</t>
  </si>
  <si>
    <t>Total do Submódulo 2.2</t>
  </si>
  <si>
    <t>Nota 4</t>
  </si>
  <si>
    <t>Os percentuais dos encargos previdenciários, do FGTS e demais contribuições são aqueles estabelecidos pela legislação vigente.</t>
  </si>
  <si>
    <t>Nota 5</t>
  </si>
  <si>
    <t>O SAT, a depender do grau de risco do serviço, irá variar entre 1% para risco leve, 2% para risco médio e 3% para risco grave.</t>
  </si>
  <si>
    <t xml:space="preserve">Submódulo 2.3 </t>
  </si>
  <si>
    <t>Benefícios Mensais e Diários</t>
  </si>
  <si>
    <t xml:space="preserve">      A.1) Valor da passagem do transporte coletivo no município de prestação dos serviços: </t>
  </si>
  <si>
    <t xml:space="preserve">      A.2) Quantidade de passagens por dia por empregado:</t>
  </si>
  <si>
    <t xml:space="preserve">      A.3) Quantidade de dias do mês de recebimento de passagens</t>
  </si>
  <si>
    <t xml:space="preserve">      A.4) Participação do empregado em percentual do salário base</t>
  </si>
  <si>
    <t xml:space="preserve">      B.1) Valor do auxílio-alimentação: </t>
  </si>
  <si>
    <t xml:space="preserve">      B.2) Quantidade de dias do mês de recebimento de auxílio-alimentação</t>
  </si>
  <si>
    <t xml:space="preserve">      B3.) Percentual de participação do empregado sobre o auxílio-alimentação</t>
  </si>
  <si>
    <t>Plano de Benefício Familiar</t>
  </si>
  <si>
    <t>Total do Submódulo 2.3</t>
  </si>
  <si>
    <t>Nota 6</t>
  </si>
  <si>
    <t>O valor informado deverá ser o custo real do insumo (descontado o valor eventualmente pago pelo empregado).</t>
  </si>
  <si>
    <t>Nota 7</t>
  </si>
  <si>
    <t>Observar a previsão dos benefícios contidos em Acordos, Convenções e Dissídios Coletivos de Trabalho, atentando-se ao disposto no artigo 6º desta Instrução Normativa nº 05/2017.</t>
  </si>
  <si>
    <t>QUADRO RESUMO - MÓDULO 2 - BENEFÍCIOS E ENCARGOS ANUAIS, MENSAIS E DIÁRIOS</t>
  </si>
  <si>
    <t>Módulo 2</t>
  </si>
  <si>
    <t>Descrição</t>
  </si>
  <si>
    <t>Submódulo 2.1</t>
  </si>
  <si>
    <t>13º (décimo terceiro) Salário e Adicional de Férias</t>
  </si>
  <si>
    <t>Encargos Previdenciários (GPS), Fundo de Garantia por Tempo de Serviço (FGTS) e outras Contribuições</t>
  </si>
  <si>
    <t>Submódulo 2.3</t>
  </si>
  <si>
    <t>Benefícios e Encargos Anuais, Mensais e Diários</t>
  </si>
  <si>
    <t>BENEFÍCIOS ANUAIS, MENSAIS E DIÁRIOS - TOTAL DO MÓDULO 2</t>
  </si>
  <si>
    <t>MÓDULO 3 - PROVISÃO PARA RESCISÃO</t>
  </si>
  <si>
    <t>Valor  (R$)</t>
  </si>
  <si>
    <t>Incidência do FGTS sobre o Aviso Prévio Indenizado</t>
  </si>
  <si>
    <t xml:space="preserve">Incidência do Submódulo 2.2 sobre o Aviso Prévio Trabalhado         </t>
  </si>
  <si>
    <t>PROVISÃO PARA RESCISÃO - TOTAL DO MÓDULO 3</t>
  </si>
  <si>
    <t>MÓDULO 4 - CUSTO DE REPOSIÇÃO DO PROFISSIONAL AUSENTE</t>
  </si>
  <si>
    <t>Módulo 1                    Remuneração</t>
  </si>
  <si>
    <t>Módulo 2                              Sem VA e VT</t>
  </si>
  <si>
    <t>Módulo 3</t>
  </si>
  <si>
    <t>Submódulo 4.1 – Ausências Legais</t>
  </si>
  <si>
    <t>Custo Diário: BCCPA/30</t>
  </si>
  <si>
    <t>Submódulo 4.1</t>
  </si>
  <si>
    <t>Substituto nas Ausências Legais</t>
  </si>
  <si>
    <t>Total do Submódulo 4.1</t>
  </si>
  <si>
    <t xml:space="preserve">Submódulo 4.2 </t>
  </si>
  <si>
    <t>Substituto na Intrajornada</t>
  </si>
  <si>
    <t>Substituto na cobertura de intervalo para Repouso ou Alimentação</t>
  </si>
  <si>
    <t>Total do Submódulo 4.2</t>
  </si>
  <si>
    <t>QUADRO RESUMO - MÓDULO 4 - CUSTO DE REPOSIÇÃO DO PROFISSIONAL AUSENTE</t>
  </si>
  <si>
    <t>Módulo 4</t>
  </si>
  <si>
    <t>Submódulo 4.2</t>
  </si>
  <si>
    <t>CUSTO DE REPOSIÇÃO DO PROFISSIONAL AUSENTE - TOTAL DO MÓDULO 4</t>
  </si>
  <si>
    <t>Nota 8</t>
  </si>
  <si>
    <t>Os itens que contemplam o Módulo 4 se referem ao custo dos dias trabalhados pelo substituto quando o empregado alocado na prestaçãodo serviço estiver ausente, conforme as previsões estabelecidas na legislação.</t>
  </si>
  <si>
    <t>MÓDULO 5 - INSUMOS DIVERSOS</t>
  </si>
  <si>
    <t xml:space="preserve">Uniformes </t>
  </si>
  <si>
    <t xml:space="preserve">Materiais </t>
  </si>
  <si>
    <t xml:space="preserve">Equipamentos </t>
  </si>
  <si>
    <t>0.00</t>
  </si>
  <si>
    <t>INSUMOS DVERSOS - TOTAL DO MÓDULO 5</t>
  </si>
  <si>
    <t>Nota 9</t>
  </si>
  <si>
    <t>Valores mensais por empregado</t>
  </si>
  <si>
    <t>MODULO 6 - CUSTOS INDIRETOS, LUCRO E TRIBUTOS</t>
  </si>
  <si>
    <t xml:space="preserve">Custos Indiretos, Lucro e Tributos </t>
  </si>
  <si>
    <t>Custos Indiretos</t>
  </si>
  <si>
    <t>Tributos</t>
  </si>
  <si>
    <t>C.1</t>
  </si>
  <si>
    <t>Tributos Federais</t>
  </si>
  <si>
    <t>C.2</t>
  </si>
  <si>
    <t>Tributos Estaduais (especificar)</t>
  </si>
  <si>
    <t>--------------</t>
  </si>
  <si>
    <t>C.3</t>
  </si>
  <si>
    <t>Tributos Municipais</t>
  </si>
  <si>
    <t>ISS</t>
  </si>
  <si>
    <t>CUSTOS INDIRETOS, LUCRO E TRIBUTOS - TOTAL DO MÓDULO 6</t>
  </si>
  <si>
    <t>Nota 10</t>
  </si>
  <si>
    <t>Custos Indiretos, Lucro e Tributos por empregado</t>
  </si>
  <si>
    <t>Nota 11</t>
  </si>
  <si>
    <t>Cálculo do Tributo:</t>
  </si>
  <si>
    <t xml:space="preserve">                          MÃO DE OBRA VINCULADA À EXECUÇAO CONTRATUAL (valor por empregado)</t>
  </si>
  <si>
    <t>Módulo 1 - Composição da Remuneração</t>
  </si>
  <si>
    <t>Módulo 2 – Encargos e Benefícios Anuais, Mensais e Diários</t>
  </si>
  <si>
    <t>Módulo 3 – Provisão para Rescisão</t>
  </si>
  <si>
    <t>Módulo 4 – Custo de Reposição do Profissional Ausente</t>
  </si>
  <si>
    <t xml:space="preserve">Módulo 5 - Insumo Diversos </t>
  </si>
  <si>
    <t>Subtotal (A + B + C + D + E)</t>
  </si>
  <si>
    <t>Módulo 6 - Custos Indiretos, Lucro e Tributos</t>
  </si>
  <si>
    <t>Valor Total por Empregado - Servente de Limpeza</t>
  </si>
  <si>
    <t>COMPLEMENTO DOS SERVIÇOS DE LIMPEZA E CONSERVAÇÃO</t>
  </si>
  <si>
    <t>(1) 
PRODUTIVIDADE
(1/M²)</t>
  </si>
  <si>
    <t>(2)
PREÇO HOMEM-MÊS                   (R$)</t>
  </si>
  <si>
    <t>(1 X 2)
SUBTOTAL
(R$/M²)</t>
  </si>
  <si>
    <t xml:space="preserve">ENC. / Pisos acarpetados </t>
  </si>
  <si>
    <t>TOTAL</t>
  </si>
  <si>
    <t xml:space="preserve">SERV. / Pisos frios </t>
  </si>
  <si>
    <t xml:space="preserve">ENC. / Almoxaridados/galpões </t>
  </si>
  <si>
    <t xml:space="preserve">SERV./Almoxaridados/galpões </t>
  </si>
  <si>
    <t>ENC. / Oficinas</t>
  </si>
  <si>
    <t xml:space="preserve">SERV. / Oficinas </t>
  </si>
  <si>
    <t xml:space="preserve">ENC. / Áreas com espaços livres - saguão, hall e salão </t>
  </si>
  <si>
    <t xml:space="preserve">SERV. / Áreas com espaços livres - saguão, hall e salão </t>
  </si>
  <si>
    <t>ENC. / Paredes</t>
  </si>
  <si>
    <t>SERV. / Paredes</t>
  </si>
  <si>
    <t xml:space="preserve">TOTAL  </t>
  </si>
  <si>
    <t>ENC. / Teto</t>
  </si>
  <si>
    <t>SERV. / Teto</t>
  </si>
  <si>
    <t xml:space="preserve">TOTAL   </t>
  </si>
  <si>
    <t>(1)
PRODUTIVIDADE
(1/M²)</t>
  </si>
  <si>
    <t>(2)
PREÇO HOMEM-MÊS
(R$)</t>
  </si>
  <si>
    <t>30</t>
  </si>
  <si>
    <t xml:space="preserve">SERV. / Pisos pavimentados adjacentes/contíguos às edificações          </t>
  </si>
  <si>
    <t>ENC. / Passarelas externas (Paredes)</t>
  </si>
  <si>
    <t>SERV. / Passarelas externas (Paredes)</t>
  </si>
  <si>
    <t>ENC. / Passarelas externas (Teto)</t>
  </si>
  <si>
    <t>SERV. / Passarelas externas (Teto)</t>
  </si>
  <si>
    <t xml:space="preserve">SERV. / Varrição de passeios e arruamentos </t>
  </si>
  <si>
    <t xml:space="preserve">ENC. / pátios e áreas verdes com alta frequência </t>
  </si>
  <si>
    <t xml:space="preserve">SERV. / Pátios e áreas verdes com alta frequência </t>
  </si>
  <si>
    <t xml:space="preserve">Enc. / Pátios e áreas verdes com média frequência </t>
  </si>
  <si>
    <t xml:space="preserve">SERV. / Pátios e áreas verdes com média frequência </t>
  </si>
  <si>
    <t xml:space="preserve">ENC. / Pátios e áreas verdes com baixa frequência </t>
  </si>
  <si>
    <t>1</t>
  </si>
  <si>
    <t xml:space="preserve">SERV. / Pátios e áreas verdes com baixa frequência </t>
  </si>
  <si>
    <t xml:space="preserve">ENC. / Coleta de detritos em pátio e áreas verdes com frequência diária </t>
  </si>
  <si>
    <t xml:space="preserve">SERV. / Coleta de detritos em pátios e áreas verdes com frequência diária </t>
  </si>
  <si>
    <t>ÁREA MÉDICO- HOSPITALAR E ASSEMELHADOS - Conforme Produtividade de referência prevista no item 3.5 do Anexo VI-B da IN MPOG nº 05/2017 atualizada.</t>
  </si>
  <si>
    <t>(2)
PREÇO HOMEM-MÊS            (R$)</t>
  </si>
  <si>
    <t xml:space="preserve">Encarregado </t>
  </si>
  <si>
    <t xml:space="preserve">Servente </t>
  </si>
  <si>
    <t xml:space="preserve">* Caso as produtividades adotadas sejam diferentes, estes valores das planilhas, bem como os coeficientes deles decorrentes (Ki e Ke) deverão ser adequados à nova situação.
** Caso a relação entre serventes e encarregado seja diferente, os valores das planilhas, bem como os coeficientes deles decorrentes (Ki e Ke) deverão ser adequados à nova situação.
*** Frequência sugerida em horas por mês. Caso a frequência adotada em horas, por mês ou semestre, seja diferente, os valores, bem como os coeficientes deles decorrentes (Ki e Ke) deverão ser adequados à nova situação. </t>
  </si>
  <si>
    <t>VALOR MENSAL DOS SERVIÇOS</t>
  </si>
  <si>
    <t>PREÇO MENSAL UNITÁRIO (R$/M²)</t>
  </si>
  <si>
    <t>ÁREA
(M²)</t>
  </si>
  <si>
    <t>SUBTOTAL
(R$)</t>
  </si>
  <si>
    <t>g) Áreas internas - Paredes</t>
  </si>
  <si>
    <t>h) Áreas internas - Teto</t>
  </si>
  <si>
    <t>d) Áreas externas - Varrição de passeios e arruamentos</t>
  </si>
  <si>
    <t>e) Área externa - Pátios e áreas verdes com alta frequência</t>
  </si>
  <si>
    <t>f) Áreas externas - Pátios e áreas verdes com média frequência</t>
  </si>
  <si>
    <t>g) Áreas externas - Pátios e áreas verdes com baixa frequência</t>
  </si>
  <si>
    <t>h) Áreas externas - Coleta de detritos em pátios e áreas verdes com frequência diária</t>
  </si>
  <si>
    <t>TOTAL DAS ÁREAS HOSPITALES E ASSEMELHADAS</t>
  </si>
  <si>
    <t>TOTAL GERAL</t>
  </si>
  <si>
    <t>Valor mensal do serviço</t>
  </si>
  <si>
    <t>Número de meses do contrato</t>
  </si>
  <si>
    <t>Valor global da proposta (valor mensal do serviço x nº de meses do contrato)</t>
  </si>
  <si>
    <t xml:space="preserve">QUANTIDADE DE PESSOAL ALOCADO NA EXECUÇÃO CONTRATUAL </t>
  </si>
  <si>
    <t>Tipo de Mão de Obra</t>
  </si>
  <si>
    <t>Quantidade de Pessoal</t>
  </si>
  <si>
    <t xml:space="preserve"> MATERIAIS, MÁQUINAS E EQUIPAMENTOS ALOCADOS NA EXECUÇÃO CONTRATUAL  (previstos na aba de Insumos Diversos e no Edital do Processo Licitatório</t>
  </si>
  <si>
    <t>SERVIÇO DE LIMPEZA (BANHEIROS)</t>
  </si>
  <si>
    <t xml:space="preserve">Prestação de serviços de limpeza de banheiros para o IFFAR  </t>
  </si>
  <si>
    <t>a) Banheiros - Piso</t>
  </si>
  <si>
    <t>b) Banheiros - Paredes</t>
  </si>
  <si>
    <t>c) Banheiros - Teto</t>
  </si>
  <si>
    <t>TOTAL DA ÁREA DOS BANHEIROS</t>
  </si>
  <si>
    <t>TOTAL GERAL (BANHEIROS)</t>
  </si>
  <si>
    <t>O Módulo 1 refere-se o valor mensal devido ao empregado pela prestação do serviço.</t>
  </si>
  <si>
    <t>Módulo 1         Remuneração</t>
  </si>
  <si>
    <t>Módulo 2                                  Sem VA e VT</t>
  </si>
  <si>
    <t xml:space="preserve">Total </t>
  </si>
  <si>
    <t>ENC. / Banheiros - Piso</t>
  </si>
  <si>
    <t>SERV. / Banheiros - Piso</t>
  </si>
  <si>
    <t>ENC. / Banheiros - Paredes</t>
  </si>
  <si>
    <t>SERV. / Banheiros - Paredes</t>
  </si>
  <si>
    <t>ENC. / Banheiros - Teto</t>
  </si>
  <si>
    <t>SERV. / Banheiros - Teto</t>
  </si>
  <si>
    <t xml:space="preserve">* Caso as produtividades mínimas adotadas sejam diferentes, estes valores das planilhas, bem como os coeficientes deles decorrentes (Ki e Ke) deverão ser adequados à nova situação.
** Caso a relação entre serventes e encarregado seja diferente, os valores das planilhas, bem como os coeficientes deles decorrentes (Ki e Ke) deverão ser adequados à nova situação.
*** Frequência sugerida em horas por mês. Caso a frequência adotada em horas, por mês ou semestre, seja diferente, os valores, bem como os coeficientes deles decorrentes (Ki e Ke) deverão ser adequados à nova situação. </t>
  </si>
  <si>
    <t>a) Áreas Banheiros - Piso</t>
  </si>
  <si>
    <t>b) Áreas Banheiros - Paredes</t>
  </si>
  <si>
    <t>c) Áreas Banheiros - Teto</t>
  </si>
  <si>
    <t>TOTAL DA ÁREA DE BANHEIROS</t>
  </si>
  <si>
    <t>TOTAL DOS BANHEIROS</t>
  </si>
  <si>
    <t xml:space="preserve"> MATERIAIS, MÁQUINAS E EQUIPAMENTOS ALOCADOS NA EXECUÇÃO CONTRATUAL Já previstos na aba de planilha aba geral. Esta planilha prevê apenas uniformes, conforme descrição prevista no ANEXO de execução de São Vicente do Sul.</t>
  </si>
  <si>
    <t>SERVIÇO DE LIMPEZA (ESQUADRIAS E FACHADA ENVIDRAÇADA)</t>
  </si>
  <si>
    <t xml:space="preserve">Serviços de limpeza de esquadrias e fachadas envidraçadas para o IFFAR  </t>
  </si>
  <si>
    <t xml:space="preserve">conforme área determinada convertida de </t>
  </si>
  <si>
    <t>a) Esquadrias - Face externa com exposição a situação de risco</t>
  </si>
  <si>
    <t>b) Esquadrias - Face externa sem exposição a situação de risco</t>
  </si>
  <si>
    <t>c) Esquadrias - Face interna</t>
  </si>
  <si>
    <t>TOTAL DA ÁREA DAS ESQUADRIAS - FACE INTERNA/EXTERNA</t>
  </si>
  <si>
    <t>a) Fachada envidraçada</t>
  </si>
  <si>
    <t>TOTAL DA ÁREA DA FACHADA ENVIDRAÇADA</t>
  </si>
  <si>
    <t>TOTAL GERAL (ESQUADRIAS E FACHADA ENVIDRAÇADA)</t>
  </si>
  <si>
    <t>Encargos Previdenciários (GPS), Fundo de Garantia por Tempo de Serviço (FGTS) e outras Contribuições                                                   BASE DE CÁLCULO = MÓDULO 1 (Total da Remuneração) + SUBMÓDULO 201</t>
  </si>
  <si>
    <t>Módulo 2                               Sem VA e VT</t>
  </si>
  <si>
    <t xml:space="preserve">Outros (especificar) </t>
  </si>
  <si>
    <t>ESQUADRIA  - Conforme Produtividade de referência prevista no item 3.3 do Anexo VI-B da IN MPOG nº 05/2017 atualizada.</t>
  </si>
  <si>
    <t>(1)
PRODUTIVIDADE 
(1/M²)</t>
  </si>
  <si>
    <t>(2) FREQUÊNCIA NO MÊS    (HORAS)      16 ***</t>
  </si>
  <si>
    <t>(3)
 JORNADA DE TRABALHO NO MÊS
 (HORAS)</t>
  </si>
  <si>
    <t>(4) 
= (1 X 2 X 3)
Ki****</t>
  </si>
  <si>
    <t>(5)
PREÇO HOMEM-MÊS 
(R$)</t>
  </si>
  <si>
    <t>(6) = (4 X 5)
 SUBTOTAL
 (R$/M²)</t>
  </si>
  <si>
    <t xml:space="preserve">ENC. / Face externa com exposição a situação de risco </t>
  </si>
  <si>
    <t>188,76</t>
  </si>
  <si>
    <t xml:space="preserve">SERV. / Face externa com exposição a situação de risco </t>
  </si>
  <si>
    <t xml:space="preserve">ENC. / Face externa sem exposição a situação de risco </t>
  </si>
  <si>
    <t xml:space="preserve">SERV. / Face externa sem exposição a situação de risco </t>
  </si>
  <si>
    <t xml:space="preserve">ENC. / Face interna              </t>
  </si>
  <si>
    <t xml:space="preserve">SERV. / Face interna </t>
  </si>
  <si>
    <t xml:space="preserve">TOTAL </t>
  </si>
  <si>
    <t>FACHADA ENVIDRAÇADA  - Conforme Produtividade de referência prevista no item 3.4 do Anexo VI-B da IN MPOG nº 05/2017 atualizada.</t>
  </si>
  <si>
    <t>(1)
PRODUTIVIDADE (1/M²)</t>
  </si>
  <si>
    <t>(2) FREQUÊNCIA NO SEMESTRE (HORAS) 8 ***</t>
  </si>
  <si>
    <t>(3)
JORNADA DE TRABALHO NO SEMESTRE (HORAS)</t>
  </si>
  <si>
    <t>(4) 
= (1 X 2 X 3)                               Ke****</t>
  </si>
  <si>
    <t>(5) PREÇO HOMEM-MÊS (R$)</t>
  </si>
  <si>
    <t>(4 X 5)
                  SUBTOTAL                      (R$/M²)</t>
  </si>
  <si>
    <t xml:space="preserve">Encarregado     </t>
  </si>
  <si>
    <t>TOTAL DA FACHADA ENVIDRAÇADA</t>
  </si>
  <si>
    <t>c) Esquadrias  - Face interna</t>
  </si>
  <si>
    <t>TOTAL DA ÁREA DAS ESQUADRIAS EXTERNAS</t>
  </si>
  <si>
    <t>TOTAL DA ÁREA FACHADA ENVIDRAÇADA</t>
  </si>
  <si>
    <t>TOTAL DAS ESQUADRIAS E FACHADA ENVIDRAÇADA</t>
  </si>
  <si>
    <t>MATERIAIS, MÁQUINAS E EQUIPAMENTOS ALOCADOS NA EXECUÇÃO CONTRATUAL Já previstos na aba de planilha aba geral. Esta planilha prevê apenas uniformes, conforme descrição prevista no ANEXO.</t>
  </si>
  <si>
    <t>SERVIÇO DE LIMPEZA (ENCARREGADO)</t>
  </si>
  <si>
    <t xml:space="preserve">Prestação de serviços de encarregado da limpeza geral para o IFFAR  </t>
  </si>
  <si>
    <t>conforme área determinada total convertida</t>
  </si>
  <si>
    <t>Posto de Trabalho de Encarregado</t>
  </si>
  <si>
    <t>Posto</t>
  </si>
  <si>
    <t>Encargos Previdenciários (GPS), Fundo de Garantia por Tempo de Serviço (FGTS) e outras Contribuições                                                    BASE DE CÁLCULO = MÓDULO 1 (Total da Remuneração) + SUBMÓDULO 201</t>
  </si>
  <si>
    <t>Módulo 2                                Sem VA e VT</t>
  </si>
  <si>
    <t>Encarregado</t>
  </si>
  <si>
    <t>RESUMO DA PROPOSTA</t>
  </si>
  <si>
    <t>TIPO DE SERVIÇO</t>
  </si>
  <si>
    <t>QUANTIDADE DE MÃO DE OBRA A SER ALOCADA</t>
  </si>
  <si>
    <t>VALOR TOTAL POR MÊS EM R$</t>
  </si>
  <si>
    <t>VALOR TOTAL A CONTRATAR</t>
  </si>
  <si>
    <t>TOTALIZADOR</t>
  </si>
  <si>
    <t>Quantidade de mão de obra alocada na prestação dos serviços (Limpeza Geral, Limpeza de Banheiros, Limpeza de Esquadrias)</t>
  </si>
  <si>
    <t>Postos de trabalho responsáveis pela execução dos serviços de limpeza.</t>
  </si>
  <si>
    <t xml:space="preserve">Postos de trabalho, sendo um deles posto de encarregado. </t>
  </si>
  <si>
    <t xml:space="preserve">VALOR TOTAL DO SERVIÇO PARA </t>
  </si>
  <si>
    <t>MESES</t>
  </si>
  <si>
    <t>Declaro para devidos fins que:</t>
  </si>
  <si>
    <t>1. Estou CIENTE e de ACORDO com as condições previstas Projeto Básico.</t>
  </si>
  <si>
    <t>2. Que não emprego menor de 18 anos em trabalho noturno, perigoso ou insalubre e não emprega menor de 16 anos, salvo menor, a partir de 14 anos, na condição de aprendiz, nos termos do artigo 7°, XXXIII, da Constituição.</t>
  </si>
  <si>
    <t>3. Que a proposta foi elaborada de forma independente, nos termos da Instrução Normativa SLTI/MP nº 2, de 16 de setembro de 2009.</t>
  </si>
  <si>
    <t>4. Que não possuo, em sua cadeia produtiva, empregados executando trabalho degradante ou forçado, observando o disposto nos incisos III e IV do art. 1º e no inciso III do art. 5º da Constituição Federal.</t>
  </si>
  <si>
    <t>5. Que para elaboração da presenta proposta foram considereados todos os custos diretos, indiretos, impostos, despesas de pessoa e insumos.</t>
  </si>
  <si>
    <t>6. Que a validade da presente proposta é de 60 dias.</t>
  </si>
  <si>
    <t>Carimbo</t>
  </si>
  <si>
    <t>Assinatura do Responsável</t>
  </si>
  <si>
    <t>Nome</t>
  </si>
  <si>
    <t>CPF</t>
  </si>
  <si>
    <t>Cargo/Função</t>
  </si>
  <si>
    <t>Local</t>
  </si>
  <si>
    <t>Data</t>
  </si>
  <si>
    <t>Prédio Administrativo / Biblioteca</t>
  </si>
  <si>
    <t>Laboratórios / Cozinhas / Restaurante</t>
  </si>
  <si>
    <t>Administrativo (Assistência e Coordenações)</t>
  </si>
  <si>
    <t>Depósito/Cozinha</t>
  </si>
  <si>
    <t>Prédio Moradia Estudantil</t>
  </si>
  <si>
    <t>Depósito Câmaras</t>
  </si>
  <si>
    <t>Depósito</t>
  </si>
  <si>
    <t xml:space="preserve">Salas </t>
  </si>
  <si>
    <t xml:space="preserve">Prédio G           Ginásio de Esportes                </t>
  </si>
  <si>
    <t>2xDIA</t>
  </si>
  <si>
    <t>LUCRO REAL = 1     LUCRO PRESUMIDO = 2   SIMPLES-Anexo III = 3     SIMPLES-Anexo IV = 4     LR NÃO CUMULATIVO = 5</t>
  </si>
  <si>
    <t>Regime de Tributação: (1) Real (2) Presumido (3 e 4) Simples Nacional (5) Real-PIS/COFINS Não Cumulativo</t>
  </si>
  <si>
    <t>IN/MPDG Nº 05/2017 - Anexo VII-D</t>
  </si>
  <si>
    <r>
      <t xml:space="preserve">Salário-Base </t>
    </r>
    <r>
      <rPr>
        <sz val="11"/>
        <color rgb="FF000000"/>
        <rFont val="Arial"/>
        <family val="2"/>
        <charset val="1"/>
      </rPr>
      <t>- Jornada de Trabalho de</t>
    </r>
  </si>
  <si>
    <r>
      <t>Outros</t>
    </r>
    <r>
      <rPr>
        <sz val="11"/>
        <color rgb="FF000000"/>
        <rFont val="Arial"/>
        <family val="2"/>
        <charset val="1"/>
      </rPr>
      <t xml:space="preserve"> (especificar)                  </t>
    </r>
    <r>
      <rPr>
        <b/>
        <sz val="11"/>
        <color rgb="FF000000"/>
        <rFont val="Arial"/>
        <family val="2"/>
        <charset val="1"/>
      </rPr>
      <t xml:space="preserve">                        </t>
    </r>
  </si>
  <si>
    <r>
      <t>13º (Décimo Terceiro) Salário</t>
    </r>
    <r>
      <rPr>
        <sz val="11"/>
        <color rgb="FF000000"/>
        <rFont val="Arial"/>
        <family val="2"/>
        <charset val="1"/>
      </rPr>
      <t xml:space="preserve"> - Rem/12     </t>
    </r>
  </si>
  <si>
    <r>
      <t xml:space="preserve">Transporte - </t>
    </r>
    <r>
      <rPr>
        <sz val="11"/>
        <color rgb="FF000000"/>
        <rFont val="Arial"/>
        <family val="2"/>
        <charset val="1"/>
      </rPr>
      <t>[(2xVTx24) – (6%xSB)]</t>
    </r>
  </si>
  <si>
    <r>
      <t>Auxílio-Alimentação</t>
    </r>
    <r>
      <rPr>
        <sz val="11"/>
        <color rgb="FF000000"/>
        <rFont val="Arial"/>
        <family val="2"/>
        <charset val="1"/>
      </rPr>
      <t xml:space="preserve"> - [(24xVA)x(1-0,19)]</t>
    </r>
  </si>
  <si>
    <r>
      <t xml:space="preserve">Outros </t>
    </r>
    <r>
      <rPr>
        <sz val="11"/>
        <color rgb="FF000000"/>
        <rFont val="Arial"/>
        <family val="2"/>
        <charset val="1"/>
      </rPr>
      <t xml:space="preserve">(especificar)            </t>
    </r>
    <r>
      <rPr>
        <b/>
        <sz val="11"/>
        <color rgb="FF000000"/>
        <rFont val="Arial"/>
        <family val="2"/>
        <charset val="1"/>
      </rPr>
      <t xml:space="preserve">                                </t>
    </r>
  </si>
  <si>
    <r>
      <t>Aviso Prévio Indenizado</t>
    </r>
    <r>
      <rPr>
        <sz val="11"/>
        <color rgb="FF000000"/>
        <rFont val="Arial"/>
        <family val="2"/>
        <charset val="1"/>
      </rPr>
      <t xml:space="preserve"> -  [Rem/12 + 13º/12 + Férias/12 + (1/3 x Férias)/12] x (30/30=1) x 5% de rotatividade anual </t>
    </r>
  </si>
  <si>
    <r>
      <t xml:space="preserve">Multa do FGTS sobre o Aviso Prévio Indenizado </t>
    </r>
    <r>
      <rPr>
        <sz val="11"/>
        <color rgb="FF000000"/>
        <rFont val="Arial"/>
        <family val="2"/>
        <charset val="1"/>
      </rPr>
      <t>- [40% x 8% x (Rem + 13º + Férias + 1/3xFérias)] x 5% de rotatividade</t>
    </r>
  </si>
  <si>
    <r>
      <t xml:space="preserve">Aviso Prévio Trabalhado </t>
    </r>
    <r>
      <rPr>
        <sz val="11"/>
        <color rgb="FF000000"/>
        <rFont val="Arial"/>
        <family val="2"/>
        <charset val="1"/>
      </rPr>
      <t>- [(Rem/30)x7]/12x100% dos empregados ao final do contrato</t>
    </r>
  </si>
  <si>
    <r>
      <t xml:space="preserve">Multa do FGTS sobre o Aviso Prévio Trabalhado </t>
    </r>
    <r>
      <rPr>
        <sz val="11"/>
        <color rgb="FF000000"/>
        <rFont val="Arial"/>
        <family val="2"/>
        <charset val="1"/>
      </rPr>
      <t>- [40% x 8% x (Rem + 13º + Férias + 1/3xFérias)]x100% dos empregados</t>
    </r>
  </si>
  <si>
    <r>
      <t>Substituto na cobertura de Ausências Legais -</t>
    </r>
    <r>
      <rPr>
        <sz val="11"/>
        <color rgb="FF000000"/>
        <rFont val="Arial"/>
        <family val="2"/>
        <charset val="1"/>
      </rPr>
      <t xml:space="preserve"> [(BCCPA/30)x1dia]/12</t>
    </r>
  </si>
  <si>
    <r>
      <t>Substituto na cobertura de Licença-Paternidade -</t>
    </r>
    <r>
      <rPr>
        <sz val="11"/>
        <color rgb="FF000000"/>
        <rFont val="Arial"/>
        <family val="2"/>
        <charset val="1"/>
      </rPr>
      <t xml:space="preserve"> {[(BCCPA/30)x5dias]/12}x1,5%</t>
    </r>
  </si>
  <si>
    <r>
      <t>Substituto na cobertura de Ausência por Acidente de Trabalho -</t>
    </r>
    <r>
      <rPr>
        <sz val="11"/>
        <color rgb="FF000000"/>
        <rFont val="Arial"/>
        <family val="2"/>
        <charset val="1"/>
      </rPr>
      <t xml:space="preserve"> {[(BCCPA/30)x15dias]/12}x0,78%</t>
    </r>
  </si>
  <si>
    <r>
      <t>Substituto na cobertura de Afastamento Maternidade -</t>
    </r>
    <r>
      <rPr>
        <sz val="11"/>
        <color rgb="FF000000"/>
        <rFont val="Arial"/>
        <family val="2"/>
        <charset val="1"/>
      </rPr>
      <t xml:space="preserve"> {[(Mód.1+Mód.1/3)/12+(sub.2.2+sub.2.3-VA-VT+Mód.3)]x(4/12)}x2%</t>
    </r>
  </si>
  <si>
    <r>
      <t xml:space="preserve">Substituto na cobertura de Ausência por Doença - </t>
    </r>
    <r>
      <rPr>
        <sz val="11"/>
        <color rgb="FF000000"/>
        <rFont val="Arial"/>
        <family val="2"/>
        <charset val="1"/>
      </rPr>
      <t>[(BCCPA)/30)x5dias]/12</t>
    </r>
  </si>
  <si>
    <r>
      <t xml:space="preserve">BASE DE CÁLCULO DOS CUSTOS INDIRETOS </t>
    </r>
    <r>
      <rPr>
        <sz val="11"/>
        <color rgb="FF000000"/>
        <rFont val="Arial"/>
        <family val="2"/>
        <charset val="1"/>
      </rPr>
      <t xml:space="preserve"> = Total do Módulo 1 (</t>
    </r>
    <r>
      <rPr>
        <i/>
        <sz val="11"/>
        <color rgb="FF000000"/>
        <rFont val="Arial"/>
        <family val="2"/>
        <charset val="1"/>
      </rPr>
      <t>Composição da  Remuneração</t>
    </r>
    <r>
      <rPr>
        <sz val="11"/>
        <color rgb="FF000000"/>
        <rFont val="Arial"/>
        <family val="2"/>
        <charset val="1"/>
      </rPr>
      <t>) + Total do Módulo 2 (</t>
    </r>
    <r>
      <rPr>
        <i/>
        <sz val="11"/>
        <color rgb="FF000000"/>
        <rFont val="Arial"/>
        <family val="2"/>
        <charset val="1"/>
      </rPr>
      <t>Encargos e Benefícios Anuais, Mensais e Diários</t>
    </r>
    <r>
      <rPr>
        <sz val="11"/>
        <color rgb="FF000000"/>
        <rFont val="Arial"/>
        <family val="2"/>
        <charset val="1"/>
      </rPr>
      <t>) + Total do Módulo 3 (</t>
    </r>
    <r>
      <rPr>
        <i/>
        <sz val="11"/>
        <color rgb="FF000000"/>
        <rFont val="Arial"/>
        <family val="2"/>
        <charset val="1"/>
      </rPr>
      <t>Provisão para Rescisão</t>
    </r>
    <r>
      <rPr>
        <sz val="11"/>
        <color rgb="FF000000"/>
        <rFont val="Arial"/>
        <family val="2"/>
        <charset val="1"/>
      </rPr>
      <t>) + Total do Módulo 4 (</t>
    </r>
    <r>
      <rPr>
        <i/>
        <sz val="11"/>
        <color rgb="FF000000"/>
        <rFont val="Arial"/>
        <family val="2"/>
        <charset val="1"/>
      </rPr>
      <t>Custo de Reposição do Profissional Ausente</t>
    </r>
    <r>
      <rPr>
        <sz val="11"/>
        <color rgb="FF000000"/>
        <rFont val="Arial"/>
        <family val="2"/>
        <charset val="1"/>
      </rPr>
      <t>) + Total do Módulo 5 (</t>
    </r>
    <r>
      <rPr>
        <i/>
        <sz val="11"/>
        <color rgb="FF000000"/>
        <rFont val="Arial"/>
        <family val="2"/>
        <charset val="1"/>
      </rPr>
      <t>Insumos Diversos</t>
    </r>
    <r>
      <rPr>
        <sz val="11"/>
        <color rgb="FF000000"/>
        <rFont val="Arial"/>
        <family val="2"/>
        <charset val="1"/>
      </rPr>
      <t>)</t>
    </r>
  </si>
  <si>
    <r>
      <t xml:space="preserve">BASE DE CÁLCULO DO LUCRO =  </t>
    </r>
    <r>
      <rPr>
        <sz val="11"/>
        <color rgb="FF000000"/>
        <rFont val="Arial"/>
        <family val="2"/>
        <charset val="1"/>
      </rPr>
      <t>Total do Módulo 1 (</t>
    </r>
    <r>
      <rPr>
        <i/>
        <sz val="11"/>
        <color rgb="FF000000"/>
        <rFont val="Arial"/>
        <family val="2"/>
        <charset val="1"/>
      </rPr>
      <t>Composição da  Remuneração</t>
    </r>
    <r>
      <rPr>
        <sz val="11"/>
        <color rgb="FF000000"/>
        <rFont val="Arial"/>
        <family val="2"/>
        <charset val="1"/>
      </rPr>
      <t>) + Total do Módulo 2 (</t>
    </r>
    <r>
      <rPr>
        <i/>
        <sz val="11"/>
        <color rgb="FF000000"/>
        <rFont val="Arial"/>
        <family val="2"/>
        <charset val="1"/>
      </rPr>
      <t>Encargos e Benefícios Anuais, Mensais e Diários</t>
    </r>
    <r>
      <rPr>
        <sz val="11"/>
        <color rgb="FF000000"/>
        <rFont val="Arial"/>
        <family val="2"/>
        <charset val="1"/>
      </rPr>
      <t>) + Total do Módulo 3 (</t>
    </r>
    <r>
      <rPr>
        <i/>
        <sz val="11"/>
        <color rgb="FF000000"/>
        <rFont val="Arial"/>
        <family val="2"/>
        <charset val="1"/>
      </rPr>
      <t>Provisão para Rescisão</t>
    </r>
    <r>
      <rPr>
        <sz val="11"/>
        <color rgb="FF000000"/>
        <rFont val="Arial"/>
        <family val="2"/>
        <charset val="1"/>
      </rPr>
      <t>) + Total do Módulo 4 (</t>
    </r>
    <r>
      <rPr>
        <i/>
        <sz val="11"/>
        <color rgb="FF000000"/>
        <rFont val="Arial"/>
        <family val="2"/>
        <charset val="1"/>
      </rPr>
      <t>Custo de Reposição do Profissional Ausente</t>
    </r>
    <r>
      <rPr>
        <sz val="11"/>
        <color rgb="FF000000"/>
        <rFont val="Arial"/>
        <family val="2"/>
        <charset val="1"/>
      </rPr>
      <t>) + Total do Módulo 5 (</t>
    </r>
    <r>
      <rPr>
        <i/>
        <sz val="11"/>
        <color rgb="FF000000"/>
        <rFont val="Arial"/>
        <family val="2"/>
        <charset val="1"/>
      </rPr>
      <t>Insumos Diversos</t>
    </r>
    <r>
      <rPr>
        <sz val="11"/>
        <color rgb="FF000000"/>
        <rFont val="Arial"/>
        <family val="2"/>
        <charset val="1"/>
      </rPr>
      <t>) + Custos Indiretos</t>
    </r>
  </si>
  <si>
    <r>
      <t xml:space="preserve">BASE DE CÁLCULO DOS TRIBUTOS = </t>
    </r>
    <r>
      <rPr>
        <sz val="11"/>
        <color rgb="FF000000"/>
        <rFont val="Arial"/>
        <family val="2"/>
        <charset val="1"/>
      </rPr>
      <t>Total do Módulo 1 (</t>
    </r>
    <r>
      <rPr>
        <i/>
        <sz val="11"/>
        <color rgb="FF000000"/>
        <rFont val="Arial"/>
        <family val="2"/>
        <charset val="1"/>
      </rPr>
      <t>Composição da  Remuneração</t>
    </r>
    <r>
      <rPr>
        <sz val="11"/>
        <color rgb="FF000000"/>
        <rFont val="Arial"/>
        <family val="2"/>
        <charset val="1"/>
      </rPr>
      <t>) + Total do Módulo 2 (</t>
    </r>
    <r>
      <rPr>
        <i/>
        <sz val="11"/>
        <color rgb="FF000000"/>
        <rFont val="Arial"/>
        <family val="2"/>
        <charset val="1"/>
      </rPr>
      <t>Encargos e Benefícios Anuais, Mensais e Diários</t>
    </r>
    <r>
      <rPr>
        <sz val="11"/>
        <color rgb="FF000000"/>
        <rFont val="Arial"/>
        <family val="2"/>
        <charset val="1"/>
      </rPr>
      <t>) + Total do Módulo 3 (</t>
    </r>
    <r>
      <rPr>
        <i/>
        <sz val="11"/>
        <color rgb="FF000000"/>
        <rFont val="Arial"/>
        <family val="2"/>
        <charset val="1"/>
      </rPr>
      <t>Provisão para Rescisão</t>
    </r>
    <r>
      <rPr>
        <sz val="11"/>
        <color rgb="FF000000"/>
        <rFont val="Arial"/>
        <family val="2"/>
        <charset val="1"/>
      </rPr>
      <t>) + Total do Módulo 4 (</t>
    </r>
    <r>
      <rPr>
        <i/>
        <sz val="11"/>
        <color rgb="FF000000"/>
        <rFont val="Arial"/>
        <family val="2"/>
        <charset val="1"/>
      </rPr>
      <t>Custo de Reposição do Profissional Ausente</t>
    </r>
    <r>
      <rPr>
        <sz val="11"/>
        <color rgb="FF000000"/>
        <rFont val="Arial"/>
        <family val="2"/>
        <charset val="1"/>
      </rPr>
      <t>) + Total do Módulo 5 (</t>
    </r>
    <r>
      <rPr>
        <i/>
        <sz val="11"/>
        <color rgb="FF000000"/>
        <rFont val="Arial"/>
        <family val="2"/>
        <charset val="1"/>
      </rPr>
      <t>Insumos Diversos</t>
    </r>
    <r>
      <rPr>
        <sz val="11"/>
        <color rgb="FF000000"/>
        <rFont val="Arial"/>
        <family val="2"/>
        <charset val="1"/>
      </rPr>
      <t>) + Custos Indiretos + Lucro</t>
    </r>
  </si>
  <si>
    <r>
      <t xml:space="preserve">PREÇO MENSAL UNITÁRIO POR M² </t>
    </r>
    <r>
      <rPr>
        <sz val="11"/>
        <color rgb="FF000000"/>
        <rFont val="Arial"/>
        <family val="2"/>
        <charset val="1"/>
      </rPr>
      <t>(metro quadrado)</t>
    </r>
  </si>
  <si>
    <t>MÃO DE OBRA 
       ENCARREGADO / SERVENTE</t>
  </si>
  <si>
    <r>
      <t xml:space="preserve">TOTAL DAS OUTRAS ÁREAS </t>
    </r>
    <r>
      <rPr>
        <sz val="11"/>
        <color rgb="FF000000"/>
        <rFont val="Arial"/>
        <family val="2"/>
        <charset val="1"/>
      </rPr>
      <t>(ESPECIFICAR)</t>
    </r>
  </si>
  <si>
    <r>
      <t>Outros</t>
    </r>
    <r>
      <rPr>
        <sz val="11"/>
        <color rgb="FF000000"/>
        <rFont val="Arial"/>
        <family val="2"/>
        <charset val="1"/>
      </rPr>
      <t xml:space="preserve"> (especificar) </t>
    </r>
  </si>
  <si>
    <r>
      <t xml:space="preserve">BANHEIROS - </t>
    </r>
    <r>
      <rPr>
        <sz val="11"/>
        <color rgb="FF000000"/>
        <rFont val="Arial"/>
        <family val="2"/>
        <charset val="1"/>
      </rPr>
      <t>Conforme Produtividade de referência prevista no item 3.1 do Anexo VI-B da IN MPOG nº 05/2017 atualizada.</t>
    </r>
  </si>
  <si>
    <r>
      <t>b) Outras áreas</t>
    </r>
    <r>
      <rPr>
        <sz val="11"/>
        <color rgb="FF000000"/>
        <rFont val="Arial"/>
        <family val="2"/>
        <charset val="1"/>
      </rPr>
      <t xml:space="preserve"> (especificar)</t>
    </r>
  </si>
  <si>
    <r>
      <t xml:space="preserve">ÁREA INTERNA - </t>
    </r>
    <r>
      <rPr>
        <sz val="11"/>
        <color rgb="FF000000"/>
        <rFont val="Arial"/>
        <family val="2"/>
        <charset val="1"/>
      </rPr>
      <t>Conforme Produtividade de referência prevista no item 3.1 do Anexo VI-B da IN MPOG nº 05/2017 atualizada.</t>
    </r>
  </si>
  <si>
    <r>
      <t>SERV. / Pisos acarpetados</t>
    </r>
    <r>
      <rPr>
        <sz val="11"/>
        <color rgb="FFFF0000"/>
        <rFont val="Arial"/>
        <family val="2"/>
        <charset val="1"/>
      </rPr>
      <t xml:space="preserve"> </t>
    </r>
  </si>
  <si>
    <r>
      <t xml:space="preserve">ENC. / Pisos frios </t>
    </r>
    <r>
      <rPr>
        <sz val="11"/>
        <color rgb="FFFF3333"/>
        <rFont val="Arial"/>
        <family val="2"/>
        <charset val="1"/>
      </rPr>
      <t xml:space="preserve"> </t>
    </r>
  </si>
  <si>
    <r>
      <t>ENC. / Laboratórios</t>
    </r>
    <r>
      <rPr>
        <sz val="11"/>
        <color rgb="FFFF0000"/>
        <rFont val="Arial"/>
        <family val="2"/>
        <charset val="1"/>
      </rPr>
      <t xml:space="preserve"> </t>
    </r>
  </si>
  <si>
    <r>
      <t>SERV. / Laboratórios</t>
    </r>
    <r>
      <rPr>
        <sz val="11"/>
        <color rgb="FFFF0000"/>
        <rFont val="Arial"/>
        <family val="2"/>
        <charset val="1"/>
      </rPr>
      <t xml:space="preserve"> </t>
    </r>
  </si>
  <si>
    <r>
      <t xml:space="preserve">ÁREA EXTERNA - </t>
    </r>
    <r>
      <rPr>
        <sz val="11"/>
        <color rgb="FF000000"/>
        <rFont val="Arial"/>
        <family val="2"/>
        <charset val="1"/>
      </rPr>
      <t>Conforme Produtividade de referência prevista no item 3.2 do Anexo VI-B da IN MPOG nº 05/2017 atualizada.</t>
    </r>
  </si>
  <si>
    <r>
      <t xml:space="preserve">ENC. / Pisos pavimentados adjacentes/contíguos às edificações          </t>
    </r>
    <r>
      <rPr>
        <sz val="11"/>
        <color rgb="FFFF0000"/>
        <rFont val="Arial"/>
        <family val="2"/>
        <charset val="1"/>
      </rPr>
      <t xml:space="preserve"> </t>
    </r>
  </si>
  <si>
    <r>
      <t>ENC. / Varrição de passeios e arruamentos</t>
    </r>
    <r>
      <rPr>
        <sz val="11"/>
        <color rgb="FFFF0000"/>
        <rFont val="Arial"/>
        <family val="2"/>
        <charset val="1"/>
      </rPr>
      <t xml:space="preserve">  </t>
    </r>
  </si>
  <si>
    <r>
      <t xml:space="preserve">Face externa </t>
    </r>
    <r>
      <rPr>
        <b/>
        <sz val="11"/>
        <color rgb="FF000000"/>
        <rFont val="Arial"/>
        <family val="2"/>
        <charset val="1"/>
      </rPr>
      <t>com</t>
    </r>
    <r>
      <rPr>
        <sz val="11"/>
        <color rgb="FF000000"/>
        <rFont val="Arial"/>
        <family val="2"/>
        <charset val="1"/>
      </rPr>
      <t xml:space="preserve"> exposição a situação de risco</t>
    </r>
  </si>
  <si>
    <r>
      <t xml:space="preserve">Face externa </t>
    </r>
    <r>
      <rPr>
        <b/>
        <sz val="11"/>
        <color rgb="FF000000"/>
        <rFont val="Arial"/>
        <family val="2"/>
        <charset val="1"/>
      </rPr>
      <t xml:space="preserve">sem </t>
    </r>
    <r>
      <rPr>
        <sz val="11"/>
        <color rgb="FF000000"/>
        <rFont val="Arial"/>
        <family val="2"/>
        <charset val="1"/>
      </rPr>
      <t>exposição a situação de risco</t>
    </r>
  </si>
  <si>
    <r>
      <t xml:space="preserve">3) A produtividade da </t>
    </r>
    <r>
      <rPr>
        <b/>
        <sz val="11"/>
        <color rgb="FF000000"/>
        <rFont val="Arial"/>
        <family val="2"/>
        <charset val="1"/>
      </rPr>
      <t>esquadria externa</t>
    </r>
    <r>
      <rPr>
        <sz val="11"/>
        <color rgb="FF000000"/>
        <rFont val="Arial"/>
        <family val="2"/>
        <charset val="1"/>
      </rPr>
      <t xml:space="preserve"> deve ser calculada considerando a metodologia de trabalho que, no Anexo VII-D da IN 5/17 que prevê incidência </t>
    </r>
    <r>
      <rPr>
        <b/>
        <sz val="11"/>
        <color rgb="FF000000"/>
        <rFont val="Arial"/>
        <family val="2"/>
        <charset val="1"/>
      </rPr>
      <t>quinzenal</t>
    </r>
    <r>
      <rPr>
        <sz val="11"/>
        <color rgb="FF000000"/>
        <rFont val="Arial"/>
        <family val="2"/>
        <charset val="1"/>
      </rPr>
      <t xml:space="preserve"> para a limpeza desse tipo de área. </t>
    </r>
  </si>
  <si>
    <r>
      <t xml:space="preserve">4) A produtividade da </t>
    </r>
    <r>
      <rPr>
        <b/>
        <sz val="11"/>
        <color rgb="FF000000"/>
        <rFont val="Arial"/>
        <family val="2"/>
        <charset val="1"/>
      </rPr>
      <t>fachada envidraçada</t>
    </r>
    <r>
      <rPr>
        <sz val="11"/>
        <color rgb="FF000000"/>
        <rFont val="Arial"/>
        <family val="2"/>
        <charset val="1"/>
      </rPr>
      <t xml:space="preserve"> deve ser calculada considerando a metodologia de trabalho que, no Anexo VII-D da IN 5/17 que prevê incidência </t>
    </r>
    <r>
      <rPr>
        <b/>
        <sz val="11"/>
        <color rgb="FF000000"/>
        <rFont val="Arial"/>
        <family val="2"/>
        <charset val="1"/>
      </rPr>
      <t>semestral</t>
    </r>
    <r>
      <rPr>
        <sz val="11"/>
        <color rgb="FF000000"/>
        <rFont val="Arial"/>
        <family val="2"/>
        <charset val="1"/>
      </rPr>
      <t xml:space="preserve"> para a limpeza desse tipo de área. </t>
    </r>
  </si>
  <si>
    <r>
      <t>Área (m²) a ser contratada a ser limpa por dia (critério da administração -</t>
    </r>
    <r>
      <rPr>
        <b/>
        <sz val="11"/>
        <color rgb="FF333399"/>
        <rFont val="Arial"/>
        <family val="2"/>
        <charset val="1"/>
      </rPr>
      <t xml:space="preserve"> informação extraída da aba Área)</t>
    </r>
  </si>
  <si>
    <r>
      <t xml:space="preserve">PAPEL HIGIÊNICO PRODUZIDO COM CELULOSE VIRGEM, COMPRIMENTO: 30 M, LARGURA: 10 CM, TIPO: PICOTADO, QUANTIDADE FOLHAS: DUPLA, COR: BRANCA, CARACTERÍSTICAS ADICIONAIS: </t>
    </r>
    <r>
      <rPr>
        <b/>
        <sz val="11"/>
        <color rgb="FFFF0000"/>
        <rFont val="Arial"/>
        <family val="2"/>
      </rPr>
      <t xml:space="preserve">SEM </t>
    </r>
    <r>
      <rPr>
        <sz val="11"/>
        <color rgb="FF000000"/>
        <rFont val="Arial"/>
        <family val="2"/>
      </rPr>
      <t>PERFUME. PACOTE COM 4 UNIDADES.</t>
    </r>
  </si>
  <si>
    <r>
      <t xml:space="preserve">INFORMAÇÕES LUCRO REAL - PIS COFINS NÃO CUMULATIVO - </t>
    </r>
    <r>
      <rPr>
        <b/>
        <sz val="11"/>
        <color rgb="FFFF0000"/>
        <rFont val="Arial"/>
        <family val="2"/>
        <charset val="1"/>
      </rPr>
      <t>LEI 10637 DE 30/12/2002 E LEI 10833 DE 29/12/2003</t>
    </r>
  </si>
  <si>
    <t>33 /2021</t>
  </si>
  <si>
    <t>09h (Horário de Brasília)</t>
  </si>
  <si>
    <r>
      <t>produtividade (m² / serv x mês) de</t>
    </r>
    <r>
      <rPr>
        <b/>
        <sz val="11"/>
        <rFont val="Arial"/>
        <family val="2"/>
        <charset val="1"/>
      </rPr>
      <t xml:space="preserve"> 44h</t>
    </r>
    <r>
      <rPr>
        <b/>
        <sz val="11"/>
        <color rgb="FF000000"/>
        <rFont val="Arial"/>
        <family val="2"/>
        <charset val="1"/>
      </rPr>
      <t xml:space="preserve"> semanais (8h diárias) </t>
    </r>
    <r>
      <rPr>
        <b/>
        <sz val="11"/>
        <color rgb="FFFF0000"/>
        <rFont val="Arial"/>
        <family val="2"/>
        <charset val="1"/>
      </rPr>
      <t>PREENCHER</t>
    </r>
  </si>
  <si>
    <t xml:space="preserve"> As Produtividades acima são as máximas divulgadas no caderno de encargos do MPDG. Caso o licitante apresente produtividade superior, deverá comprovar, de forma inequívoca e documental, a sua produtividade e a sua capacidade de execução do serviço.</t>
  </si>
  <si>
    <t>BCCPA - Base de cálculo para o Custo de Reposição do Profissional Ausente (substituto): Módulo 1 (Total da Remuneração) + Módulo 2 + Módulo 3</t>
  </si>
  <si>
    <r>
      <rPr>
        <b/>
        <u/>
        <sz val="10"/>
        <color rgb="FF000000"/>
        <rFont val="Calibri"/>
        <family val="2"/>
      </rPr>
      <t xml:space="preserve">  Base de Cálculo para os Tributos  
</t>
    </r>
    <r>
      <rPr>
        <b/>
        <sz val="10"/>
        <color rgb="FF000000"/>
        <rFont val="Calibri"/>
        <family val="2"/>
      </rPr>
      <t>1- (Total de Tributos em % dividido por 100)</t>
    </r>
  </si>
  <si>
    <t>x Alíquota do Tributo</t>
  </si>
  <si>
    <t>QUADRO RESUMO DO CUSTO POR EMPREGADO</t>
  </si>
  <si>
    <t>MÃO DE OBRA        ENCARREGADO / SERVENTE</t>
  </si>
  <si>
    <t>MÃO DE OBRA
       ENCARREGADO / SERVENTE</t>
  </si>
  <si>
    <t>MÃO DE OBRA
ENCARREGADO / SERVENTE</t>
  </si>
  <si>
    <t>Produtividade (m² / serv x mês) de 40h semanais (8h diárias)</t>
  </si>
  <si>
    <t xml:space="preserve">Produtividade (m² / serv x mês) de 40h semanais    (8h diárias) </t>
  </si>
  <si>
    <t xml:space="preserve">Produtividade (m² / serv x mês) de 44h semanais (8h diárias) </t>
  </si>
  <si>
    <t>xxxx xxxx xxxx</t>
  </si>
  <si>
    <t>zz.zzz.zzz/zzzz-zz</t>
  </si>
  <si>
    <t>Nome Completo</t>
  </si>
  <si>
    <t>yyy.yyy.yyy-yy</t>
  </si>
  <si>
    <t>tttt ttt t ttt</t>
  </si>
  <si>
    <r>
      <t>Adicional de Férias</t>
    </r>
    <r>
      <rPr>
        <sz val="10"/>
        <color rgb="FF000000"/>
        <rFont val="Arial"/>
        <family val="2"/>
      </rPr>
      <t xml:space="preserve"> </t>
    </r>
    <r>
      <rPr>
        <b/>
        <sz val="10"/>
        <color rgb="FF000000"/>
        <rFont val="Arial"/>
        <family val="2"/>
      </rPr>
      <t xml:space="preserve">- </t>
    </r>
    <r>
      <rPr>
        <sz val="10"/>
        <color rgb="FF000000"/>
        <rFont val="Arial"/>
        <family val="2"/>
      </rPr>
      <t>Obrigatória a cotação de 3,025% sobre o valor do Módulo 1 - Composição da Remuneração, conforme Anexo XII da IN 05/2017</t>
    </r>
  </si>
  <si>
    <r>
      <t xml:space="preserve">Substituto na cobertura de Férias - </t>
    </r>
    <r>
      <rPr>
        <sz val="10"/>
        <color rgb="FF000000"/>
        <rFont val="Arial"/>
        <family val="2"/>
      </rPr>
      <t>Obrigatória a cotação de 9,075% sobre o valor do Módulo 1 - Composição da Remuneração, conforme Anexo XII da IN 05/2017</t>
    </r>
  </si>
  <si>
    <t>Encargos Previdenciários (GPS), Fundo de Garantia por Tempo de Serviço (FGTS) e outras Contribuições                                                                                           BASE DE CÁLCULO = MÓDULO 1 (Total da Remuneração) + SUBMÓDULO 201</t>
  </si>
  <si>
    <t>CCT Sindasseio 2022/2022 - Registro MTE: RS005021/2021</t>
  </si>
  <si>
    <t>Cláusula Quarta da CCT 2022/2022</t>
  </si>
  <si>
    <t>Cláusula Décima Sétima da CCT 2022/2022</t>
  </si>
  <si>
    <t>Cláusula Décima Oitava da CCT 2022/2022</t>
  </si>
  <si>
    <t>Cláusula Vigésima Nona da CCT 2022/2022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</si>
</sst>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164" formatCode="d/m/yyyy"/>
    <numFmt numFmtId="165" formatCode="_([$R$ -416]* #,##0.00_);_([$R$ -416]* \(#,##0.00\);_([$R$ -416]* \-??_);_(@_)"/>
    <numFmt numFmtId="166" formatCode="0.0000"/>
    <numFmt numFmtId="167" formatCode="&quot;R$ &quot;#,##0.00"/>
    <numFmt numFmtId="168" formatCode="_(* #,##0.00_);_(* \(#,##0.00\);_(* \-??_);_(@_)"/>
    <numFmt numFmtId="169" formatCode="0.0"/>
    <numFmt numFmtId="170" formatCode="_-* #,##0.00_-;\-* #,##0.00_-;_-* \-??_-;_-@"/>
    <numFmt numFmtId="171" formatCode="0.00000000"/>
    <numFmt numFmtId="172" formatCode="0.000000000"/>
    <numFmt numFmtId="173" formatCode="d/m/yyyy\ hh:mm"/>
    <numFmt numFmtId="174" formatCode="[$R$ -416]#,##0.00"/>
    <numFmt numFmtId="175" formatCode="#,##0.00_);\(#,##0.00\)"/>
    <numFmt numFmtId="176" formatCode="#,##0.0000000"/>
    <numFmt numFmtId="177" formatCode="#,##0.00;[Red]#,##0.00"/>
    <numFmt numFmtId="178" formatCode="#,##0_);[Red]\(#,##0\)"/>
    <numFmt numFmtId="179" formatCode="#,##0.000000"/>
    <numFmt numFmtId="180" formatCode="_-&quot;R$ &quot;* #,##0.00_-;&quot;-R$ &quot;* #,##0.00_-;_-&quot;R$ &quot;* \-??_-;_-@_-"/>
    <numFmt numFmtId="181" formatCode="0.000"/>
  </numFmts>
  <fonts count="29" x14ac:knownFonts="1">
    <font>
      <sz val="10"/>
      <color rgb="FF000000"/>
      <name val="Arial"/>
      <charset val="1"/>
    </font>
    <font>
      <b/>
      <sz val="11"/>
      <color rgb="FFFF0000"/>
      <name val="Arial"/>
      <family val="2"/>
      <charset val="1"/>
    </font>
    <font>
      <b/>
      <sz val="11"/>
      <color rgb="FF000000"/>
      <name val="Arial"/>
      <family val="2"/>
      <charset val="1"/>
    </font>
    <font>
      <sz val="10"/>
      <color rgb="FF000000"/>
      <name val="Arial"/>
      <family val="2"/>
      <charset val="1"/>
    </font>
    <font>
      <sz val="11"/>
      <color rgb="FF000000"/>
      <name val="Arial"/>
      <family val="2"/>
      <charset val="1"/>
    </font>
    <font>
      <b/>
      <sz val="11"/>
      <color rgb="FFFF0000"/>
      <name val="Arial"/>
      <family val="2"/>
    </font>
    <font>
      <sz val="10"/>
      <color rgb="FF000000"/>
      <name val="Arial"/>
      <family val="2"/>
    </font>
    <font>
      <b/>
      <sz val="11"/>
      <color rgb="FF000000"/>
      <name val="Arial"/>
      <family val="2"/>
    </font>
    <font>
      <b/>
      <sz val="10"/>
      <color rgb="FF000000"/>
      <name val="Arial"/>
      <family val="2"/>
    </font>
    <font>
      <sz val="10"/>
      <color rgb="FF000000"/>
      <name val="Arial"/>
      <family val="2"/>
    </font>
    <font>
      <sz val="11"/>
      <color rgb="FF000000"/>
      <name val="Arial"/>
      <family val="2"/>
    </font>
    <font>
      <b/>
      <sz val="11"/>
      <color rgb="FF4F6228"/>
      <name val="Arial"/>
      <family val="2"/>
    </font>
    <font>
      <b/>
      <sz val="11"/>
      <name val="Arial"/>
      <family val="2"/>
    </font>
    <font>
      <b/>
      <sz val="11"/>
      <color rgb="FF38761D"/>
      <name val="Arial"/>
      <family val="2"/>
      <charset val="1"/>
    </font>
    <font>
      <sz val="11"/>
      <color rgb="FFFF0000"/>
      <name val="Arial"/>
      <family val="2"/>
      <charset val="1"/>
    </font>
    <font>
      <i/>
      <sz val="11"/>
      <color rgb="FF000000"/>
      <name val="Arial"/>
      <family val="2"/>
      <charset val="1"/>
    </font>
    <font>
      <sz val="11"/>
      <color rgb="FFFF3333"/>
      <name val="Arial"/>
      <family val="2"/>
      <charset val="1"/>
    </font>
    <font>
      <b/>
      <sz val="11"/>
      <color rgb="FF0000FF"/>
      <name val="Arial"/>
      <family val="2"/>
      <charset val="1"/>
    </font>
    <font>
      <b/>
      <sz val="11"/>
      <color rgb="FF333399"/>
      <name val="Arial"/>
      <family val="2"/>
      <charset val="1"/>
    </font>
    <font>
      <b/>
      <sz val="10"/>
      <name val="Arial"/>
      <family val="2"/>
    </font>
    <font>
      <sz val="11"/>
      <color rgb="FF222222"/>
      <name val="Arial"/>
      <family val="2"/>
    </font>
    <font>
      <sz val="11"/>
      <color rgb="FF333333"/>
      <name val="Arial"/>
      <family val="2"/>
    </font>
    <font>
      <b/>
      <sz val="11"/>
      <color rgb="FF000080"/>
      <name val="Arial"/>
      <family val="2"/>
    </font>
    <font>
      <b/>
      <sz val="11"/>
      <color rgb="FF003366"/>
      <name val="Arial"/>
      <family val="2"/>
    </font>
    <font>
      <b/>
      <sz val="11"/>
      <name val="Arial"/>
      <family val="2"/>
      <charset val="1"/>
    </font>
    <font>
      <i/>
      <sz val="11"/>
      <name val="Calibri"/>
      <family val="2"/>
    </font>
    <font>
      <b/>
      <sz val="10"/>
      <color rgb="FF000000"/>
      <name val="Calibri"/>
      <family val="2"/>
    </font>
    <font>
      <b/>
      <u/>
      <sz val="10"/>
      <color rgb="FF000000"/>
      <name val="Calibri"/>
      <family val="2"/>
    </font>
    <font>
      <i/>
      <sz val="8"/>
      <color rgb="FF000000"/>
      <name val="Arial"/>
      <family val="2"/>
    </font>
  </fonts>
  <fills count="28">
    <fill>
      <patternFill patternType="none"/>
    </fill>
    <fill>
      <patternFill patternType="gray125"/>
    </fill>
    <fill>
      <patternFill patternType="solid">
        <fgColor rgb="FFBFBFBF"/>
        <bgColor rgb="FFC0C0C0"/>
      </patternFill>
    </fill>
    <fill>
      <patternFill patternType="solid">
        <fgColor rgb="FFD8D8D8"/>
        <bgColor rgb="FFD9D9D9"/>
      </patternFill>
    </fill>
    <fill>
      <patternFill patternType="solid">
        <fgColor rgb="FFFFFFFF"/>
        <bgColor rgb="FFF3F3F3"/>
      </patternFill>
    </fill>
    <fill>
      <patternFill patternType="solid">
        <fgColor rgb="FFB7B7B7"/>
        <bgColor rgb="FFBFBFBF"/>
      </patternFill>
    </fill>
    <fill>
      <patternFill patternType="solid">
        <fgColor rgb="FFD9D9D9"/>
        <bgColor rgb="FFD8D8D8"/>
      </patternFill>
    </fill>
    <fill>
      <patternFill patternType="solid">
        <fgColor rgb="FFCCCCCC"/>
        <bgColor rgb="FFC0C0C0"/>
      </patternFill>
    </fill>
    <fill>
      <patternFill patternType="solid">
        <fgColor rgb="FFC3D69B"/>
        <bgColor rgb="FFC2D69B"/>
      </patternFill>
    </fill>
    <fill>
      <patternFill patternType="solid">
        <fgColor rgb="FFD6E3BC"/>
        <bgColor rgb="FFD7E4BD"/>
      </patternFill>
    </fill>
    <fill>
      <patternFill patternType="solid">
        <fgColor rgb="FFC2D69B"/>
        <bgColor rgb="FFC3D69B"/>
      </patternFill>
    </fill>
    <fill>
      <patternFill patternType="solid">
        <fgColor rgb="FFD7E4BD"/>
        <bgColor rgb="FFD6E3BC"/>
      </patternFill>
    </fill>
    <fill>
      <patternFill patternType="solid">
        <fgColor rgb="FFCFE2F3"/>
        <bgColor rgb="FFD9D9D9"/>
      </patternFill>
    </fill>
    <fill>
      <patternFill patternType="solid">
        <fgColor rgb="FF99CC00"/>
        <bgColor rgb="FF92D050"/>
      </patternFill>
    </fill>
    <fill>
      <patternFill patternType="solid">
        <fgColor rgb="FFFFFF00"/>
        <bgColor rgb="FFFFC000"/>
      </patternFill>
    </fill>
    <fill>
      <patternFill patternType="solid">
        <fgColor rgb="FFB8CCE4"/>
        <bgColor rgb="FFB6DDE8"/>
      </patternFill>
    </fill>
    <fill>
      <patternFill patternType="solid">
        <fgColor rgb="FFC0C0C0"/>
        <bgColor rgb="FFBFBFBF"/>
      </patternFill>
    </fill>
    <fill>
      <patternFill patternType="solid">
        <fgColor rgb="FF7F7F7F"/>
        <bgColor rgb="FF4F6228"/>
      </patternFill>
    </fill>
    <fill>
      <patternFill patternType="solid">
        <fgColor rgb="FFD9EAD3"/>
        <bgColor rgb="FFD7E4BD"/>
      </patternFill>
    </fill>
    <fill>
      <patternFill patternType="solid">
        <fgColor rgb="FFFFFF99"/>
        <bgColor rgb="FFF3F3F3"/>
      </patternFill>
    </fill>
    <fill>
      <patternFill patternType="solid">
        <fgColor rgb="FFDDD9C3"/>
        <bgColor rgb="FFD8D8D8"/>
      </patternFill>
    </fill>
    <fill>
      <patternFill patternType="solid">
        <fgColor rgb="FFFBD4B4"/>
        <bgColor rgb="FFDDD9C3"/>
      </patternFill>
    </fill>
    <fill>
      <patternFill patternType="solid">
        <fgColor rgb="FFB6DDE8"/>
        <bgColor rgb="FFB8CCE4"/>
      </patternFill>
    </fill>
    <fill>
      <patternFill patternType="solid">
        <fgColor rgb="FF00FF66"/>
        <bgColor rgb="FF00FFFF"/>
      </patternFill>
    </fill>
    <fill>
      <patternFill patternType="solid">
        <fgColor rgb="FFEFEFEF"/>
        <bgColor rgb="FFF2F2F2"/>
      </patternFill>
    </fill>
    <fill>
      <patternFill patternType="solid">
        <fgColor rgb="FFF3F3F3"/>
        <bgColor rgb="FFF2F2F2"/>
      </patternFill>
    </fill>
    <fill>
      <patternFill patternType="solid">
        <fgColor rgb="FFF2F2F2"/>
        <bgColor rgb="FFF3F3F3"/>
      </patternFill>
    </fill>
    <fill>
      <patternFill patternType="solid">
        <fgColor theme="0" tint="-4.9989318521683403E-2"/>
        <bgColor indexed="64"/>
      </patternFill>
    </fill>
  </fills>
  <borders count="50">
    <border>
      <left/>
      <right/>
      <top/>
      <bottom/>
      <diagonal/>
    </border>
    <border>
      <left style="medium">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style="medium">
        <color auto="1"/>
      </left>
      <right style="thin">
        <color auto="1"/>
      </right>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thin">
        <color auto="1"/>
      </left>
      <right/>
      <top style="thin">
        <color auto="1"/>
      </top>
      <bottom style="medium">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right/>
      <top style="thin">
        <color auto="1"/>
      </top>
      <bottom style="thin">
        <color auto="1"/>
      </bottom>
      <diagonal/>
    </border>
    <border>
      <left style="hair">
        <color auto="1"/>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auto="1"/>
      </left>
      <right style="hair">
        <color auto="1"/>
      </right>
      <top/>
      <bottom style="hair">
        <color auto="1"/>
      </bottom>
      <diagonal/>
    </border>
    <border>
      <left/>
      <right/>
      <top/>
      <bottom style="thin">
        <color auto="1"/>
      </bottom>
      <diagonal/>
    </border>
    <border>
      <left style="hair">
        <color auto="1"/>
      </left>
      <right style="hair">
        <color auto="1"/>
      </right>
      <top style="hair">
        <color auto="1"/>
      </top>
      <bottom style="hair">
        <color auto="1"/>
      </bottom>
      <diagonal/>
    </border>
    <border>
      <left style="hair">
        <color auto="1"/>
      </left>
      <right style="hair">
        <color auto="1"/>
      </right>
      <top style="thin">
        <color auto="1"/>
      </top>
      <bottom style="hair">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bottom style="thin">
        <color auto="1"/>
      </bottom>
      <diagonal/>
    </border>
    <border>
      <left style="thin">
        <color auto="1"/>
      </left>
      <right style="thin">
        <color auto="1"/>
      </right>
      <top style="thin">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style="thin">
        <color auto="1"/>
      </top>
      <bottom style="thin">
        <color auto="1"/>
      </bottom>
      <diagonal/>
    </border>
    <border>
      <left style="hair">
        <color auto="1"/>
      </left>
      <right/>
      <top style="thin">
        <color auto="1"/>
      </top>
      <bottom style="thin">
        <color auto="1"/>
      </bottom>
      <diagonal/>
    </border>
    <border>
      <left/>
      <right style="hair">
        <color auto="1"/>
      </right>
      <top style="thin">
        <color auto="1"/>
      </top>
      <bottom style="thin">
        <color auto="1"/>
      </bottom>
      <diagonal/>
    </border>
  </borders>
  <cellStyleXfs count="3">
    <xf numFmtId="0" fontId="0" fillId="0" borderId="0"/>
    <xf numFmtId="0" fontId="6" fillId="0" borderId="0"/>
    <xf numFmtId="180" fontId="9" fillId="0" borderId="0" applyBorder="0" applyProtection="0"/>
  </cellStyleXfs>
  <cellXfs count="528">
    <xf numFmtId="0" fontId="0" fillId="0" borderId="0" xfId="0"/>
    <xf numFmtId="0" fontId="1" fillId="4" borderId="11" xfId="0" applyFont="1" applyFill="1" applyBorder="1" applyAlignment="1">
      <alignment vertical="center" wrapText="1"/>
    </xf>
    <xf numFmtId="0" fontId="2" fillId="4" borderId="0" xfId="0" applyFont="1" applyFill="1" applyBorder="1" applyAlignment="1">
      <alignment horizontal="center" vertical="center" wrapText="1"/>
    </xf>
    <xf numFmtId="0" fontId="1" fillId="14" borderId="21" xfId="0" applyFont="1" applyFill="1" applyBorder="1" applyAlignment="1">
      <alignment horizontal="center" vertical="center" wrapText="1"/>
    </xf>
    <xf numFmtId="0" fontId="2" fillId="18" borderId="0" xfId="0" applyFont="1" applyFill="1" applyBorder="1" applyAlignment="1">
      <alignment horizontal="left" vertical="center" wrapText="1"/>
    </xf>
    <xf numFmtId="0" fontId="2" fillId="18" borderId="22" xfId="0" applyFont="1" applyFill="1" applyBorder="1" applyAlignment="1">
      <alignment horizontal="center" vertical="center" wrapText="1"/>
    </xf>
    <xf numFmtId="0" fontId="2" fillId="18" borderId="8" xfId="0" applyFont="1" applyFill="1" applyBorder="1" applyAlignment="1">
      <alignment vertical="center" wrapText="1"/>
    </xf>
    <xf numFmtId="167" fontId="2" fillId="24" borderId="8" xfId="0" applyNumberFormat="1" applyFont="1" applyFill="1" applyBorder="1" applyAlignment="1">
      <alignment horizontal="center" vertical="center" wrapText="1"/>
    </xf>
    <xf numFmtId="167" fontId="2" fillId="18" borderId="8" xfId="0" applyNumberFormat="1" applyFont="1" applyFill="1" applyBorder="1" applyAlignment="1">
      <alignment horizontal="right" vertical="center" wrapText="1"/>
    </xf>
    <xf numFmtId="167" fontId="2" fillId="18" borderId="8" xfId="0" applyNumberFormat="1" applyFont="1" applyFill="1" applyBorder="1" applyAlignment="1">
      <alignment vertical="center" wrapText="1"/>
    </xf>
    <xf numFmtId="0" fontId="2" fillId="0" borderId="33"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xf numFmtId="167" fontId="2" fillId="0" borderId="36" xfId="0" applyNumberFormat="1" applyFont="1" applyBorder="1" applyAlignment="1">
      <alignment vertical="center" wrapText="1"/>
    </xf>
    <xf numFmtId="4" fontId="2" fillId="18" borderId="8" xfId="0" applyNumberFormat="1" applyFont="1" applyFill="1" applyBorder="1" applyAlignment="1">
      <alignment horizontal="center" vertical="center" wrapText="1"/>
    </xf>
    <xf numFmtId="0" fontId="2" fillId="18" borderId="37" xfId="0" applyFont="1" applyFill="1" applyBorder="1" applyAlignment="1">
      <alignment horizontal="left" vertical="center" wrapText="1"/>
    </xf>
    <xf numFmtId="0" fontId="2" fillId="0" borderId="0" xfId="0" applyFont="1" applyAlignment="1">
      <alignment horizontal="center" vertical="center" wrapText="1"/>
    </xf>
    <xf numFmtId="167" fontId="2" fillId="0" borderId="0" xfId="0" applyNumberFormat="1" applyFont="1" applyAlignment="1">
      <alignment vertical="center" wrapText="1"/>
    </xf>
    <xf numFmtId="0" fontId="2" fillId="14" borderId="8" xfId="0" applyFont="1" applyFill="1" applyBorder="1" applyAlignment="1">
      <alignment horizontal="center" vertical="center" wrapText="1"/>
    </xf>
    <xf numFmtId="0" fontId="2" fillId="18" borderId="8" xfId="0" applyFont="1" applyFill="1" applyBorder="1" applyAlignment="1">
      <alignment horizontal="center" vertical="center" wrapText="1"/>
    </xf>
    <xf numFmtId="0" fontId="2" fillId="24" borderId="8" xfId="0" applyFont="1" applyFill="1" applyBorder="1" applyAlignment="1">
      <alignment horizontal="center" vertical="center" wrapText="1"/>
    </xf>
    <xf numFmtId="0" fontId="9" fillId="0" borderId="0" xfId="0" applyFont="1" applyAlignment="1">
      <alignment vertical="center" wrapText="1"/>
    </xf>
    <xf numFmtId="167" fontId="10" fillId="0" borderId="0" xfId="0" applyNumberFormat="1" applyFont="1" applyAlignment="1">
      <alignment horizontal="center" vertical="center" wrapText="1"/>
    </xf>
    <xf numFmtId="0" fontId="10" fillId="0" borderId="0" xfId="0" applyFont="1" applyAlignment="1">
      <alignment vertical="center" wrapText="1"/>
    </xf>
    <xf numFmtId="0" fontId="7" fillId="0" borderId="0" xfId="0" applyFont="1" applyAlignment="1">
      <alignment vertical="center" wrapText="1"/>
    </xf>
    <xf numFmtId="0" fontId="5" fillId="0" borderId="0" xfId="0" applyFont="1" applyAlignment="1">
      <alignment vertical="center" wrapText="1"/>
    </xf>
    <xf numFmtId="0" fontId="7" fillId="11" borderId="40" xfId="0" applyFont="1" applyFill="1" applyBorder="1" applyAlignment="1">
      <alignment horizontal="center" vertical="center" wrapText="1"/>
    </xf>
    <xf numFmtId="0" fontId="7" fillId="11" borderId="41" xfId="0" applyFont="1" applyFill="1" applyBorder="1" applyAlignment="1">
      <alignment horizontal="center" vertical="center" wrapText="1"/>
    </xf>
    <xf numFmtId="0" fontId="7" fillId="11" borderId="42" xfId="0" applyFont="1" applyFill="1" applyBorder="1" applyAlignment="1">
      <alignment horizontal="center" vertical="center" wrapText="1"/>
    </xf>
    <xf numFmtId="0" fontId="7" fillId="26" borderId="4" xfId="0" applyFont="1" applyFill="1" applyBorder="1" applyAlignment="1">
      <alignment horizontal="left" vertical="center" wrapText="1"/>
    </xf>
    <xf numFmtId="179" fontId="10" fillId="26" borderId="21" xfId="0" applyNumberFormat="1" applyFont="1" applyFill="1" applyBorder="1" applyAlignment="1">
      <alignment horizontal="center" vertical="center" wrapText="1"/>
    </xf>
    <xf numFmtId="167" fontId="10" fillId="26" borderId="44" xfId="0" applyNumberFormat="1" applyFont="1" applyFill="1" applyBorder="1" applyAlignment="1">
      <alignment vertical="center" wrapText="1"/>
    </xf>
    <xf numFmtId="0" fontId="7" fillId="6" borderId="6" xfId="0" applyFont="1" applyFill="1" applyBorder="1" applyAlignment="1">
      <alignment horizontal="left" vertical="center" wrapText="1"/>
    </xf>
    <xf numFmtId="179" fontId="10" fillId="6" borderId="8" xfId="0" applyNumberFormat="1" applyFont="1" applyFill="1" applyBorder="1" applyAlignment="1">
      <alignment horizontal="center" vertical="center" wrapText="1"/>
    </xf>
    <xf numFmtId="167" fontId="10" fillId="6" borderId="5" xfId="0" applyNumberFormat="1" applyFont="1" applyFill="1" applyBorder="1" applyAlignment="1">
      <alignment vertical="center" wrapText="1"/>
    </xf>
    <xf numFmtId="0" fontId="7" fillId="26" borderId="6" xfId="0" applyFont="1" applyFill="1" applyBorder="1" applyAlignment="1">
      <alignment horizontal="left" vertical="center" wrapText="1"/>
    </xf>
    <xf numFmtId="179" fontId="10" fillId="26" borderId="8" xfId="0" applyNumberFormat="1" applyFont="1" applyFill="1" applyBorder="1" applyAlignment="1">
      <alignment horizontal="center" vertical="center" wrapText="1"/>
    </xf>
    <xf numFmtId="167" fontId="10" fillId="26" borderId="5" xfId="0" applyNumberFormat="1" applyFont="1" applyFill="1" applyBorder="1" applyAlignment="1">
      <alignment vertical="center" wrapText="1"/>
    </xf>
    <xf numFmtId="0" fontId="7" fillId="11" borderId="14" xfId="0" applyFont="1" applyFill="1" applyBorder="1" applyAlignment="1">
      <alignment horizontal="center" vertical="center" wrapText="1"/>
    </xf>
    <xf numFmtId="179" fontId="10" fillId="11" borderId="45" xfId="0" applyNumberFormat="1" applyFont="1" applyFill="1" applyBorder="1" applyAlignment="1">
      <alignment horizontal="center" vertical="center" wrapText="1"/>
    </xf>
    <xf numFmtId="167" fontId="10" fillId="11" borderId="15" xfId="0" applyNumberFormat="1" applyFont="1" applyFill="1" applyBorder="1" applyAlignment="1">
      <alignment vertical="center" wrapText="1"/>
    </xf>
    <xf numFmtId="0" fontId="10" fillId="0" borderId="0" xfId="0" applyFont="1" applyAlignment="1">
      <alignment horizontal="center" vertical="center" wrapText="1"/>
    </xf>
    <xf numFmtId="167" fontId="11" fillId="0" borderId="8" xfId="0" applyNumberFormat="1" applyFont="1" applyBorder="1" applyAlignment="1">
      <alignment horizontal="center" vertical="center" wrapText="1"/>
    </xf>
    <xf numFmtId="2" fontId="11" fillId="0" borderId="21" xfId="0" applyNumberFormat="1" applyFont="1" applyBorder="1" applyAlignment="1">
      <alignment horizontal="center" vertical="center" wrapText="1"/>
    </xf>
    <xf numFmtId="0" fontId="11" fillId="0" borderId="44" xfId="0" applyFont="1" applyBorder="1" applyAlignment="1">
      <alignment horizontal="center" vertical="center" wrapText="1"/>
    </xf>
    <xf numFmtId="0" fontId="7" fillId="11" borderId="22" xfId="0" applyFont="1" applyFill="1" applyBorder="1" applyAlignment="1">
      <alignment horizontal="center" vertical="center" wrapText="1"/>
    </xf>
    <xf numFmtId="0" fontId="12" fillId="11" borderId="31" xfId="0" applyFont="1" applyFill="1" applyBorder="1" applyAlignment="1">
      <alignment horizontal="center" vertical="center" wrapText="1"/>
    </xf>
    <xf numFmtId="0" fontId="12" fillId="11" borderId="20" xfId="0" applyFont="1" applyFill="1" applyBorder="1" applyAlignment="1">
      <alignment vertical="center" wrapText="1"/>
    </xf>
    <xf numFmtId="0" fontId="7" fillId="0" borderId="0" xfId="0" applyFont="1" applyAlignment="1">
      <alignment horizontal="left" vertical="center" wrapText="1"/>
    </xf>
    <xf numFmtId="164" fontId="10" fillId="0" borderId="0" xfId="0" applyNumberFormat="1" applyFont="1" applyAlignment="1">
      <alignment vertical="center" wrapText="1"/>
    </xf>
    <xf numFmtId="0" fontId="2" fillId="18" borderId="28" xfId="0" applyFont="1" applyFill="1" applyBorder="1" applyAlignment="1">
      <alignment horizontal="left" vertical="center" wrapText="1"/>
    </xf>
    <xf numFmtId="164" fontId="1" fillId="18" borderId="30" xfId="0" applyNumberFormat="1" applyFont="1" applyFill="1" applyBorder="1" applyAlignment="1">
      <alignment horizontal="center" vertical="center" wrapText="1"/>
    </xf>
    <xf numFmtId="0" fontId="2" fillId="18" borderId="28" xfId="0" applyFont="1" applyFill="1" applyBorder="1" applyAlignment="1">
      <alignment horizontal="center" vertical="center" wrapText="1"/>
    </xf>
    <xf numFmtId="0" fontId="1" fillId="18" borderId="29" xfId="0" applyFont="1" applyFill="1" applyBorder="1" applyAlignment="1">
      <alignment horizontal="center" vertical="center" wrapText="1"/>
    </xf>
    <xf numFmtId="0" fontId="2" fillId="18" borderId="22" xfId="0" applyFont="1" applyFill="1" applyBorder="1" applyAlignment="1">
      <alignment horizontal="left" vertical="center" wrapText="1"/>
    </xf>
    <xf numFmtId="0" fontId="2" fillId="18" borderId="31" xfId="0" applyFont="1" applyFill="1" applyBorder="1" applyAlignment="1">
      <alignment horizontal="left" vertical="center" wrapText="1"/>
    </xf>
    <xf numFmtId="0" fontId="2" fillId="25" borderId="8" xfId="0" applyFont="1" applyFill="1" applyBorder="1" applyAlignment="1">
      <alignment horizontal="center" vertical="center" wrapText="1"/>
    </xf>
    <xf numFmtId="0" fontId="15" fillId="25" borderId="8" xfId="0" applyFont="1" applyFill="1" applyBorder="1" applyAlignment="1">
      <alignment horizontal="center" vertical="center" wrapText="1"/>
    </xf>
    <xf numFmtId="1" fontId="1" fillId="24" borderId="31" xfId="0" applyNumberFormat="1" applyFont="1" applyFill="1" applyBorder="1" applyAlignment="1">
      <alignment horizontal="center" vertical="center" wrapText="1"/>
    </xf>
    <xf numFmtId="0" fontId="4" fillId="24" borderId="31" xfId="0" applyFont="1" applyFill="1" applyBorder="1" applyAlignment="1">
      <alignment horizontal="left" vertical="center" wrapText="1"/>
    </xf>
    <xf numFmtId="0" fontId="15" fillId="0" borderId="8" xfId="0" applyFont="1" applyBorder="1" applyAlignment="1">
      <alignment horizontal="center" vertical="center" wrapText="1"/>
    </xf>
    <xf numFmtId="0" fontId="2" fillId="24" borderId="8" xfId="0" applyFont="1" applyFill="1" applyBorder="1" applyAlignment="1">
      <alignment horizontal="right" vertical="center" wrapText="1"/>
    </xf>
    <xf numFmtId="10" fontId="2" fillId="24" borderId="8" xfId="0" applyNumberFormat="1" applyFont="1" applyFill="1" applyBorder="1" applyAlignment="1">
      <alignment horizontal="center" vertical="center" wrapText="1"/>
    </xf>
    <xf numFmtId="166" fontId="2" fillId="24" borderId="8" xfId="0" applyNumberFormat="1" applyFont="1" applyFill="1" applyBorder="1" applyAlignment="1">
      <alignment horizontal="center" vertical="center" wrapText="1"/>
    </xf>
    <xf numFmtId="167" fontId="2" fillId="24" borderId="8" xfId="0" applyNumberFormat="1" applyFont="1" applyFill="1" applyBorder="1" applyAlignment="1">
      <alignment horizontal="right" vertical="center" wrapText="1"/>
    </xf>
    <xf numFmtId="0" fontId="15" fillId="0" borderId="0" xfId="0" applyFont="1" applyAlignment="1">
      <alignment horizontal="center" vertical="center" wrapText="1"/>
    </xf>
    <xf numFmtId="0" fontId="15" fillId="0" borderId="0" xfId="0" applyFont="1" applyAlignment="1">
      <alignment horizontal="left" vertical="center" wrapText="1"/>
    </xf>
    <xf numFmtId="0" fontId="2" fillId="0" borderId="0" xfId="0" applyFont="1" applyAlignment="1">
      <alignment horizontal="right" vertical="center" wrapText="1"/>
    </xf>
    <xf numFmtId="167" fontId="2" fillId="0" borderId="0" xfId="0" applyNumberFormat="1" applyFont="1" applyAlignment="1">
      <alignment horizontal="right" vertical="center" wrapText="1"/>
    </xf>
    <xf numFmtId="49" fontId="2" fillId="24" borderId="8" xfId="0" applyNumberFormat="1" applyFont="1" applyFill="1" applyBorder="1" applyAlignment="1">
      <alignment horizontal="center" vertical="center" wrapText="1"/>
    </xf>
    <xf numFmtId="4" fontId="2" fillId="24" borderId="8" xfId="0" applyNumberFormat="1" applyFont="1" applyFill="1" applyBorder="1" applyAlignment="1">
      <alignment horizontal="right" vertical="center" wrapText="1"/>
    </xf>
    <xf numFmtId="4" fontId="2" fillId="18" borderId="8" xfId="0" applyNumberFormat="1" applyFont="1" applyFill="1" applyBorder="1" applyAlignment="1">
      <alignment horizontal="right" vertical="center" wrapText="1"/>
    </xf>
    <xf numFmtId="49" fontId="1" fillId="18" borderId="31" xfId="0" applyNumberFormat="1" applyFont="1" applyFill="1" applyBorder="1" applyAlignment="1">
      <alignment horizontal="center" vertical="center" wrapText="1"/>
    </xf>
    <xf numFmtId="49" fontId="2" fillId="18" borderId="20" xfId="0" applyNumberFormat="1" applyFont="1" applyFill="1" applyBorder="1" applyAlignment="1">
      <alignment horizontal="left" vertical="center" wrapText="1"/>
    </xf>
    <xf numFmtId="49" fontId="2" fillId="0" borderId="0" xfId="0" applyNumberFormat="1" applyFont="1" applyAlignment="1">
      <alignment horizontal="right" vertical="center" wrapText="1"/>
    </xf>
    <xf numFmtId="4" fontId="2" fillId="0" borderId="0" xfId="0" applyNumberFormat="1" applyFont="1" applyAlignment="1">
      <alignment horizontal="right" vertical="center" wrapText="1"/>
    </xf>
    <xf numFmtId="49" fontId="1" fillId="0" borderId="8" xfId="0" applyNumberFormat="1" applyFont="1" applyBorder="1" applyAlignment="1">
      <alignment horizontal="center" vertical="center" wrapText="1"/>
    </xf>
    <xf numFmtId="176" fontId="1" fillId="0" borderId="8" xfId="0" applyNumberFormat="1" applyFont="1" applyBorder="1" applyAlignment="1">
      <alignment horizontal="center" vertical="center" wrapText="1"/>
    </xf>
    <xf numFmtId="174" fontId="1" fillId="0" borderId="8" xfId="0" applyNumberFormat="1" applyFont="1" applyBorder="1" applyAlignment="1">
      <alignment horizontal="right" vertical="center" wrapText="1"/>
    </xf>
    <xf numFmtId="174" fontId="2" fillId="18" borderId="8" xfId="0" applyNumberFormat="1" applyFont="1" applyFill="1" applyBorder="1" applyAlignment="1">
      <alignment horizontal="right" vertical="center" wrapText="1"/>
    </xf>
    <xf numFmtId="174" fontId="2" fillId="18" borderId="8" xfId="0" applyNumberFormat="1" applyFont="1" applyFill="1" applyBorder="1" applyAlignment="1">
      <alignment vertical="center" wrapText="1"/>
    </xf>
    <xf numFmtId="167" fontId="2" fillId="24" borderId="8" xfId="0" applyNumberFormat="1" applyFont="1" applyFill="1" applyBorder="1" applyAlignment="1">
      <alignment vertical="center" wrapText="1"/>
    </xf>
    <xf numFmtId="10" fontId="2" fillId="24" borderId="22" xfId="0" applyNumberFormat="1" applyFont="1" applyFill="1" applyBorder="1" applyAlignment="1">
      <alignment horizontal="center" vertical="center" wrapText="1"/>
    </xf>
    <xf numFmtId="4" fontId="2" fillId="0" borderId="38" xfId="0" applyNumberFormat="1" applyFont="1" applyBorder="1" applyAlignment="1">
      <alignment horizontal="right" vertical="center" wrapText="1"/>
    </xf>
    <xf numFmtId="10" fontId="2" fillId="18" borderId="8" xfId="0" applyNumberFormat="1" applyFont="1" applyFill="1" applyBorder="1" applyAlignment="1">
      <alignment horizontal="center" vertical="center" wrapText="1"/>
    </xf>
    <xf numFmtId="174" fontId="2" fillId="24" borderId="8" xfId="0" applyNumberFormat="1" applyFont="1" applyFill="1" applyBorder="1" applyAlignment="1">
      <alignment vertical="center" wrapText="1"/>
    </xf>
    <xf numFmtId="3" fontId="2" fillId="24" borderId="8" xfId="0" applyNumberFormat="1" applyFont="1" applyFill="1" applyBorder="1" applyAlignment="1">
      <alignment vertical="center" wrapText="1"/>
    </xf>
    <xf numFmtId="9" fontId="2" fillId="24" borderId="8" xfId="0" applyNumberFormat="1" applyFont="1" applyFill="1" applyBorder="1" applyAlignment="1">
      <alignment vertical="center" wrapText="1"/>
    </xf>
    <xf numFmtId="10" fontId="2" fillId="24" borderId="8" xfId="0" applyNumberFormat="1" applyFont="1" applyFill="1" applyBorder="1" applyAlignment="1">
      <alignment vertical="center" wrapText="1"/>
    </xf>
    <xf numFmtId="167" fontId="1" fillId="24" borderId="8" xfId="0" applyNumberFormat="1" applyFont="1" applyFill="1" applyBorder="1" applyAlignment="1">
      <alignment horizontal="right" vertical="center" wrapText="1"/>
    </xf>
    <xf numFmtId="167" fontId="1" fillId="24" borderId="38" xfId="0" applyNumberFormat="1" applyFont="1" applyFill="1" applyBorder="1" applyAlignment="1">
      <alignment horizontal="right" vertical="center" wrapText="1"/>
    </xf>
    <xf numFmtId="10" fontId="1" fillId="18" borderId="8" xfId="0" applyNumberFormat="1" applyFont="1" applyFill="1" applyBorder="1" applyAlignment="1">
      <alignment horizontal="center" vertical="center" wrapText="1"/>
    </xf>
    <xf numFmtId="0" fontId="1" fillId="0" borderId="8" xfId="0" applyFont="1" applyBorder="1" applyAlignment="1">
      <alignment horizontal="center" vertical="center" wrapText="1"/>
    </xf>
    <xf numFmtId="2" fontId="1" fillId="0" borderId="8" xfId="0" applyNumberFormat="1" applyFont="1" applyBorder="1" applyAlignment="1">
      <alignment horizontal="center" vertical="center" wrapText="1"/>
    </xf>
    <xf numFmtId="171" fontId="1" fillId="0" borderId="8" xfId="0" applyNumberFormat="1" applyFont="1" applyBorder="1" applyAlignment="1">
      <alignment horizontal="center" vertical="center" wrapText="1"/>
    </xf>
    <xf numFmtId="177" fontId="1" fillId="0" borderId="8" xfId="0" applyNumberFormat="1" applyFont="1" applyBorder="1" applyAlignment="1">
      <alignment horizontal="center" vertical="center" wrapText="1"/>
    </xf>
    <xf numFmtId="176" fontId="1" fillId="0" borderId="8" xfId="0" applyNumberFormat="1" applyFont="1" applyBorder="1" applyAlignment="1">
      <alignment vertical="center" wrapText="1"/>
    </xf>
    <xf numFmtId="174" fontId="1" fillId="0" borderId="8" xfId="0" applyNumberFormat="1" applyFont="1" applyBorder="1" applyAlignment="1">
      <alignment vertical="center" wrapText="1"/>
    </xf>
    <xf numFmtId="175" fontId="2" fillId="18" borderId="8" xfId="0" applyNumberFormat="1" applyFont="1" applyFill="1" applyBorder="1" applyAlignment="1">
      <alignment horizontal="right" vertical="center" wrapText="1"/>
    </xf>
    <xf numFmtId="0" fontId="4" fillId="0" borderId="0" xfId="0" applyFont="1" applyAlignment="1">
      <alignment vertical="center" wrapText="1"/>
    </xf>
    <xf numFmtId="0" fontId="4" fillId="4" borderId="0" xfId="0" applyFont="1" applyFill="1" applyBorder="1" applyAlignment="1">
      <alignment vertical="center" wrapText="1"/>
    </xf>
    <xf numFmtId="4" fontId="2" fillId="18" borderId="37" xfId="0" applyNumberFormat="1" applyFont="1" applyFill="1" applyBorder="1" applyAlignment="1">
      <alignment vertical="center" wrapText="1"/>
    </xf>
    <xf numFmtId="0" fontId="4" fillId="4" borderId="0" xfId="0" applyFont="1" applyFill="1" applyBorder="1" applyAlignment="1">
      <alignment horizontal="center" vertical="center" wrapText="1"/>
    </xf>
    <xf numFmtId="9" fontId="4" fillId="4" borderId="0" xfId="0" applyNumberFormat="1" applyFont="1" applyFill="1" applyBorder="1" applyAlignment="1">
      <alignment horizontal="center" vertical="center" wrapText="1"/>
    </xf>
    <xf numFmtId="0" fontId="4" fillId="0" borderId="8" xfId="0" applyFont="1" applyBorder="1" applyAlignment="1">
      <alignment horizontal="left" vertical="center" wrapText="1"/>
    </xf>
    <xf numFmtId="0" fontId="4" fillId="0" borderId="8" xfId="0" applyFont="1" applyBorder="1" applyAlignment="1">
      <alignment vertical="center" wrapText="1"/>
    </xf>
    <xf numFmtId="178" fontId="1" fillId="0" borderId="8" xfId="0" applyNumberFormat="1" applyFont="1" applyBorder="1" applyAlignment="1">
      <alignment horizontal="center" vertical="center" wrapText="1"/>
    </xf>
    <xf numFmtId="175" fontId="2" fillId="0" borderId="8" xfId="0" applyNumberFormat="1" applyFont="1" applyBorder="1" applyAlignment="1">
      <alignment horizontal="right" vertical="center" wrapText="1"/>
    </xf>
    <xf numFmtId="4" fontId="2" fillId="0" borderId="8" xfId="0" applyNumberFormat="1" applyFont="1" applyBorder="1" applyAlignment="1">
      <alignment horizontal="right" vertical="center" wrapText="1"/>
    </xf>
    <xf numFmtId="0" fontId="4" fillId="0" borderId="38" xfId="0" applyFont="1" applyBorder="1" applyAlignment="1">
      <alignment horizontal="left" vertical="center" wrapText="1"/>
    </xf>
    <xf numFmtId="0" fontId="2" fillId="0" borderId="38" xfId="0" applyFont="1" applyBorder="1" applyAlignment="1">
      <alignment horizontal="center" vertical="center" wrapText="1"/>
    </xf>
    <xf numFmtId="3" fontId="1" fillId="0" borderId="8" xfId="0" applyNumberFormat="1" applyFont="1" applyBorder="1" applyAlignment="1">
      <alignment horizontal="center" vertical="center" wrapText="1"/>
    </xf>
    <xf numFmtId="174" fontId="2" fillId="0" borderId="0" xfId="0" applyNumberFormat="1" applyFont="1" applyAlignment="1">
      <alignment horizontal="right" vertical="center" wrapText="1"/>
    </xf>
    <xf numFmtId="4" fontId="2" fillId="18" borderId="0" xfId="0" applyNumberFormat="1" applyFont="1" applyFill="1" applyBorder="1" applyAlignment="1">
      <alignment vertical="center" wrapText="1"/>
    </xf>
    <xf numFmtId="0" fontId="15" fillId="0" borderId="33" xfId="0" applyFont="1" applyBorder="1" applyAlignment="1">
      <alignment horizontal="center" vertical="center" wrapText="1"/>
    </xf>
    <xf numFmtId="0" fontId="15" fillId="0" borderId="34" xfId="0" applyFont="1" applyBorder="1" applyAlignment="1">
      <alignment horizontal="left" vertical="center" wrapText="1"/>
    </xf>
    <xf numFmtId="0" fontId="15" fillId="0" borderId="35" xfId="0" applyFont="1" applyBorder="1" applyAlignment="1">
      <alignment horizontal="left" vertical="center" wrapText="1"/>
    </xf>
    <xf numFmtId="1" fontId="1" fillId="24" borderId="31" xfId="0" applyNumberFormat="1" applyFont="1" applyFill="1" applyBorder="1" applyAlignment="1">
      <alignment horizontal="right" vertical="center" wrapText="1"/>
    </xf>
    <xf numFmtId="0" fontId="15" fillId="0" borderId="36" xfId="0" applyFont="1" applyBorder="1" applyAlignment="1">
      <alignment horizontal="center" vertical="center" wrapText="1"/>
    </xf>
    <xf numFmtId="0" fontId="15" fillId="0" borderId="33" xfId="0" applyFont="1" applyBorder="1" applyAlignment="1">
      <alignment horizontal="left" vertical="center" wrapText="1"/>
    </xf>
    <xf numFmtId="0" fontId="4" fillId="0" borderId="0" xfId="0" applyFont="1" applyAlignment="1">
      <alignment horizontal="center" vertical="center" wrapText="1"/>
    </xf>
    <xf numFmtId="167" fontId="4" fillId="0" borderId="0" xfId="0" applyNumberFormat="1" applyFont="1" applyAlignment="1">
      <alignment vertical="center" wrapText="1"/>
    </xf>
    <xf numFmtId="0" fontId="1" fillId="4" borderId="8" xfId="0" applyFont="1" applyFill="1" applyBorder="1" applyAlignment="1">
      <alignment horizontal="center" vertical="center" wrapText="1"/>
    </xf>
    <xf numFmtId="3" fontId="1" fillId="4" borderId="8" xfId="0" applyNumberFormat="1" applyFont="1" applyFill="1" applyBorder="1" applyAlignment="1">
      <alignment horizontal="center" vertical="center" wrapText="1"/>
    </xf>
    <xf numFmtId="49" fontId="1" fillId="0" borderId="10" xfId="0" applyNumberFormat="1" applyFont="1" applyBorder="1" applyAlignment="1">
      <alignment horizontal="center" vertical="center" wrapText="1"/>
    </xf>
    <xf numFmtId="0" fontId="2" fillId="4" borderId="0" xfId="0" applyFont="1" applyFill="1" applyBorder="1" applyAlignment="1">
      <alignment horizontal="right" vertical="center" wrapText="1"/>
    </xf>
    <xf numFmtId="4" fontId="2" fillId="4" borderId="0" xfId="0" applyNumberFormat="1" applyFont="1" applyFill="1" applyBorder="1" applyAlignment="1">
      <alignment horizontal="right" vertical="center" wrapText="1"/>
    </xf>
    <xf numFmtId="3" fontId="1" fillId="14" borderId="8" xfId="0" applyNumberFormat="1" applyFont="1" applyFill="1" applyBorder="1" applyAlignment="1">
      <alignment horizontal="center" vertical="center" wrapText="1"/>
    </xf>
    <xf numFmtId="3" fontId="1" fillId="14" borderId="10" xfId="0" applyNumberFormat="1" applyFont="1" applyFill="1" applyBorder="1" applyAlignment="1">
      <alignment horizontal="center" vertical="center" wrapText="1"/>
    </xf>
    <xf numFmtId="0" fontId="1" fillId="14" borderId="8" xfId="0" applyFont="1" applyFill="1" applyBorder="1" applyAlignment="1">
      <alignment horizontal="center" vertical="center" wrapText="1"/>
    </xf>
    <xf numFmtId="0" fontId="2" fillId="11" borderId="8" xfId="0" applyFont="1" applyFill="1" applyBorder="1" applyAlignment="1">
      <alignment horizontal="center" vertical="center" wrapText="1"/>
    </xf>
    <xf numFmtId="0" fontId="2" fillId="10" borderId="8" xfId="0" applyFont="1" applyFill="1" applyBorder="1" applyAlignment="1">
      <alignment horizontal="center" vertical="center" wrapText="1"/>
    </xf>
    <xf numFmtId="4" fontId="17" fillId="18" borderId="8" xfId="0" applyNumberFormat="1" applyFont="1" applyFill="1" applyBorder="1" applyAlignment="1">
      <alignment horizontal="center" vertical="center" wrapText="1"/>
    </xf>
    <xf numFmtId="171" fontId="4" fillId="9" borderId="8" xfId="0" applyNumberFormat="1" applyFont="1" applyFill="1" applyBorder="1" applyAlignment="1">
      <alignment horizontal="center" vertical="center" wrapText="1"/>
    </xf>
    <xf numFmtId="0" fontId="2" fillId="9" borderId="8" xfId="0" applyFont="1" applyFill="1" applyBorder="1" applyAlignment="1">
      <alignment horizontal="center" vertical="center" wrapText="1"/>
    </xf>
    <xf numFmtId="0" fontId="4" fillId="19" borderId="8" xfId="0" applyFont="1" applyFill="1" applyBorder="1" applyAlignment="1">
      <alignment horizontal="center" vertical="center" wrapText="1"/>
    </xf>
    <xf numFmtId="0" fontId="4" fillId="9" borderId="8" xfId="0" applyFont="1" applyFill="1" applyBorder="1" applyAlignment="1">
      <alignment horizontal="center" vertical="center" wrapText="1"/>
    </xf>
    <xf numFmtId="171" fontId="4" fillId="19" borderId="8" xfId="0" applyNumberFormat="1" applyFont="1" applyFill="1" applyBorder="1" applyAlignment="1">
      <alignment horizontal="center" vertical="center" wrapText="1"/>
    </xf>
    <xf numFmtId="4" fontId="17" fillId="11" borderId="8" xfId="0" applyNumberFormat="1" applyFont="1" applyFill="1" applyBorder="1" applyAlignment="1">
      <alignment horizontal="center" vertical="center" wrapText="1"/>
    </xf>
    <xf numFmtId="171" fontId="1" fillId="11" borderId="8" xfId="0" applyNumberFormat="1" applyFont="1" applyFill="1" applyBorder="1" applyAlignment="1">
      <alignment horizontal="center" vertical="center" wrapText="1"/>
    </xf>
    <xf numFmtId="0" fontId="4" fillId="11" borderId="8" xfId="0" applyFont="1" applyFill="1" applyBorder="1" applyAlignment="1">
      <alignment horizontal="center" vertical="center" wrapText="1"/>
    </xf>
    <xf numFmtId="0" fontId="4" fillId="11" borderId="21" xfId="0" applyFont="1" applyFill="1" applyBorder="1" applyAlignment="1">
      <alignment horizontal="center" vertical="center" wrapText="1"/>
    </xf>
    <xf numFmtId="0" fontId="2" fillId="11" borderId="21" xfId="0" applyFont="1" applyFill="1" applyBorder="1" applyAlignment="1">
      <alignment horizontal="center" vertical="center" wrapText="1"/>
    </xf>
    <xf numFmtId="3" fontId="2" fillId="0" borderId="0" xfId="0" applyNumberFormat="1" applyFont="1" applyAlignment="1">
      <alignment vertical="center" wrapText="1"/>
    </xf>
    <xf numFmtId="0" fontId="1" fillId="11" borderId="8" xfId="0" applyFont="1" applyFill="1" applyBorder="1" applyAlignment="1">
      <alignment horizontal="center" vertical="center" wrapText="1"/>
    </xf>
    <xf numFmtId="0" fontId="4" fillId="10" borderId="8" xfId="0" applyFont="1" applyFill="1" applyBorder="1" applyAlignment="1">
      <alignment horizontal="left" vertical="center" wrapText="1"/>
    </xf>
    <xf numFmtId="4" fontId="17" fillId="10" borderId="8" xfId="0" applyNumberFormat="1" applyFont="1" applyFill="1" applyBorder="1" applyAlignment="1">
      <alignment horizontal="center" vertical="center" wrapText="1"/>
    </xf>
    <xf numFmtId="171" fontId="4" fillId="10" borderId="8" xfId="0" applyNumberFormat="1" applyFont="1" applyFill="1" applyBorder="1" applyAlignment="1">
      <alignment horizontal="center" vertical="center" wrapText="1"/>
    </xf>
    <xf numFmtId="0" fontId="4" fillId="10" borderId="8" xfId="0" applyFont="1" applyFill="1" applyBorder="1" applyAlignment="1">
      <alignment horizontal="center" vertical="center" wrapText="1"/>
    </xf>
    <xf numFmtId="1" fontId="4" fillId="0" borderId="0" xfId="0" applyNumberFormat="1" applyFont="1" applyAlignment="1">
      <alignment vertical="center" wrapText="1"/>
    </xf>
    <xf numFmtId="0" fontId="4" fillId="10" borderId="8" xfId="0" applyFont="1" applyFill="1" applyBorder="1" applyAlignment="1">
      <alignment vertical="center" wrapText="1"/>
    </xf>
    <xf numFmtId="0" fontId="4" fillId="21" borderId="8" xfId="0" applyFont="1" applyFill="1" applyBorder="1" applyAlignment="1">
      <alignment vertical="center" wrapText="1"/>
    </xf>
    <xf numFmtId="4" fontId="17" fillId="21" borderId="8" xfId="0" applyNumberFormat="1" applyFont="1" applyFill="1" applyBorder="1" applyAlignment="1">
      <alignment horizontal="center" vertical="center" wrapText="1"/>
    </xf>
    <xf numFmtId="171" fontId="4" fillId="21" borderId="8" xfId="0" applyNumberFormat="1" applyFont="1" applyFill="1" applyBorder="1" applyAlignment="1">
      <alignment horizontal="center" vertical="center" wrapText="1"/>
    </xf>
    <xf numFmtId="0" fontId="2" fillId="21" borderId="8" xfId="0" applyFont="1" applyFill="1" applyBorder="1" applyAlignment="1">
      <alignment horizontal="center" vertical="center" wrapText="1"/>
    </xf>
    <xf numFmtId="0" fontId="4" fillId="21" borderId="8" xfId="0" applyFont="1" applyFill="1" applyBorder="1" applyAlignment="1">
      <alignment horizontal="center" vertical="center" wrapText="1"/>
    </xf>
    <xf numFmtId="172" fontId="4" fillId="21" borderId="8" xfId="0" applyNumberFormat="1" applyFont="1" applyFill="1" applyBorder="1" applyAlignment="1">
      <alignment horizontal="center" vertical="center" wrapText="1"/>
    </xf>
    <xf numFmtId="172" fontId="4" fillId="19" borderId="8" xfId="0" applyNumberFormat="1" applyFont="1" applyFill="1" applyBorder="1" applyAlignment="1">
      <alignment horizontal="center" vertical="center" wrapText="1"/>
    </xf>
    <xf numFmtId="0" fontId="2" fillId="22" borderId="21" xfId="0" applyFont="1" applyFill="1" applyBorder="1" applyAlignment="1">
      <alignment horizontal="center" vertical="center" wrapText="1"/>
    </xf>
    <xf numFmtId="0" fontId="4" fillId="22" borderId="21" xfId="0" applyFont="1" applyFill="1" applyBorder="1" applyAlignment="1">
      <alignment vertical="center" wrapText="1"/>
    </xf>
    <xf numFmtId="4" fontId="17" fillId="22" borderId="23" xfId="0" applyNumberFormat="1" applyFont="1" applyFill="1" applyBorder="1" applyAlignment="1">
      <alignment horizontal="center" vertical="center" wrapText="1"/>
    </xf>
    <xf numFmtId="171" fontId="4" fillId="22" borderId="21" xfId="0" applyNumberFormat="1" applyFont="1" applyFill="1" applyBorder="1" applyAlignment="1">
      <alignment horizontal="center" vertical="center" wrapText="1"/>
    </xf>
    <xf numFmtId="0" fontId="4" fillId="19" borderId="21" xfId="0" applyFont="1" applyFill="1" applyBorder="1" applyAlignment="1">
      <alignment horizontal="center" vertical="center" wrapText="1"/>
    </xf>
    <xf numFmtId="0" fontId="4" fillId="22" borderId="21" xfId="0" applyFont="1" applyFill="1" applyBorder="1" applyAlignment="1">
      <alignment horizontal="center" vertical="center" wrapText="1"/>
    </xf>
    <xf numFmtId="171" fontId="4" fillId="19" borderId="21" xfId="0" applyNumberFormat="1" applyFont="1" applyFill="1" applyBorder="1" applyAlignment="1">
      <alignment horizontal="center" vertical="center" wrapText="1"/>
    </xf>
    <xf numFmtId="4" fontId="17" fillId="14" borderId="8" xfId="0" applyNumberFormat="1" applyFont="1" applyFill="1" applyBorder="1" applyAlignment="1">
      <alignment horizontal="center" vertical="center" wrapText="1"/>
    </xf>
    <xf numFmtId="171" fontId="4" fillId="14" borderId="8" xfId="0" applyNumberFormat="1" applyFont="1" applyFill="1" applyBorder="1" applyAlignment="1">
      <alignment horizontal="center" vertical="center" wrapText="1"/>
    </xf>
    <xf numFmtId="0" fontId="4" fillId="14" borderId="8" xfId="0" applyFont="1" applyFill="1" applyBorder="1" applyAlignment="1">
      <alignment horizontal="center" vertical="center" wrapText="1"/>
    </xf>
    <xf numFmtId="0" fontId="2" fillId="19" borderId="8" xfId="0" applyFont="1" applyFill="1" applyBorder="1" applyAlignment="1">
      <alignment horizontal="center" vertical="center" wrapText="1"/>
    </xf>
    <xf numFmtId="0" fontId="4" fillId="19" borderId="22" xfId="0" applyFont="1" applyFill="1" applyBorder="1" applyAlignment="1">
      <alignment horizontal="center" vertical="center" wrapText="1"/>
    </xf>
    <xf numFmtId="0" fontId="2" fillId="19" borderId="20" xfId="0" applyFont="1" applyFill="1" applyBorder="1" applyAlignment="1">
      <alignment horizontal="center" vertical="center" wrapText="1"/>
    </xf>
    <xf numFmtId="0" fontId="2" fillId="0" borderId="0" xfId="0" applyFont="1" applyAlignment="1">
      <alignment vertical="center" wrapText="1"/>
    </xf>
    <xf numFmtId="0" fontId="1" fillId="14" borderId="10" xfId="0" applyFont="1" applyFill="1" applyBorder="1" applyAlignment="1">
      <alignment horizontal="center" vertical="center" wrapText="1"/>
    </xf>
    <xf numFmtId="0" fontId="2" fillId="14" borderId="10" xfId="0" applyFont="1" applyFill="1" applyBorder="1" applyAlignment="1">
      <alignment horizontal="center" vertical="center" wrapText="1"/>
    </xf>
    <xf numFmtId="0" fontId="4" fillId="0" borderId="24" xfId="0" applyFont="1" applyBorder="1" applyAlignment="1">
      <alignment vertical="center" wrapText="1"/>
    </xf>
    <xf numFmtId="0" fontId="4" fillId="0" borderId="25" xfId="0" applyFont="1" applyBorder="1" applyAlignment="1">
      <alignment vertical="center" wrapText="1"/>
    </xf>
    <xf numFmtId="0" fontId="4" fillId="0" borderId="27" xfId="0" applyFont="1" applyBorder="1" applyAlignment="1">
      <alignment vertical="center" wrapText="1"/>
    </xf>
    <xf numFmtId="1" fontId="8" fillId="15" borderId="8" xfId="0" applyNumberFormat="1" applyFont="1" applyFill="1" applyBorder="1" applyAlignment="1">
      <alignment horizontal="center" vertical="center" wrapText="1"/>
    </xf>
    <xf numFmtId="170" fontId="8" fillId="15" borderId="8" xfId="0" applyNumberFormat="1" applyFont="1" applyFill="1" applyBorder="1" applyAlignment="1">
      <alignment horizontal="center" vertical="center" wrapText="1"/>
    </xf>
    <xf numFmtId="170" fontId="8" fillId="0" borderId="0" xfId="0" applyNumberFormat="1" applyFont="1" applyAlignment="1">
      <alignment horizontal="center" vertical="center" wrapText="1"/>
    </xf>
    <xf numFmtId="170" fontId="8" fillId="0" borderId="8" xfId="0" applyNumberFormat="1" applyFont="1" applyBorder="1" applyAlignment="1">
      <alignment horizontal="center" vertical="center" wrapText="1"/>
    </xf>
    <xf numFmtId="2" fontId="8" fillId="0" borderId="8" xfId="0" applyNumberFormat="1" applyFont="1" applyBorder="1" applyAlignment="1">
      <alignment horizontal="center" vertical="center" wrapText="1"/>
    </xf>
    <xf numFmtId="1" fontId="8" fillId="0" borderId="8" xfId="0" applyNumberFormat="1" applyFont="1" applyBorder="1" applyAlignment="1">
      <alignment horizontal="center" vertical="center" wrapText="1"/>
    </xf>
    <xf numFmtId="168" fontId="8" fillId="0" borderId="8" xfId="0" applyNumberFormat="1" applyFont="1" applyBorder="1" applyAlignment="1">
      <alignment horizontal="center" vertical="center" wrapText="1"/>
    </xf>
    <xf numFmtId="170" fontId="8" fillId="0" borderId="8" xfId="0" applyNumberFormat="1" applyFont="1" applyFill="1" applyBorder="1" applyAlignment="1">
      <alignment horizontal="center" vertical="center" wrapText="1"/>
    </xf>
    <xf numFmtId="0" fontId="9" fillId="0" borderId="8" xfId="0" applyFont="1" applyBorder="1" applyAlignment="1">
      <alignment vertical="center" wrapText="1"/>
    </xf>
    <xf numFmtId="170" fontId="8" fillId="3" borderId="8" xfId="0" applyNumberFormat="1" applyFont="1" applyFill="1" applyBorder="1" applyAlignment="1">
      <alignment horizontal="center" vertical="center" wrapText="1"/>
    </xf>
    <xf numFmtId="170" fontId="8" fillId="6" borderId="8" xfId="0" applyNumberFormat="1" applyFont="1" applyFill="1" applyBorder="1" applyAlignment="1">
      <alignment horizontal="center" vertical="center" wrapText="1"/>
    </xf>
    <xf numFmtId="2" fontId="8" fillId="6" borderId="8" xfId="0" applyNumberFormat="1" applyFont="1" applyFill="1" applyBorder="1" applyAlignment="1">
      <alignment horizontal="center" vertical="center" wrapText="1"/>
    </xf>
    <xf numFmtId="1" fontId="8" fillId="6" borderId="8" xfId="0" applyNumberFormat="1" applyFont="1" applyFill="1" applyBorder="1" applyAlignment="1">
      <alignment horizontal="center" vertical="center" wrapText="1"/>
    </xf>
    <xf numFmtId="168" fontId="8" fillId="3" borderId="8" xfId="0" applyNumberFormat="1" applyFont="1" applyFill="1" applyBorder="1" applyAlignment="1">
      <alignment horizontal="center" vertical="center" wrapText="1"/>
    </xf>
    <xf numFmtId="168" fontId="8" fillId="6" borderId="8" xfId="0" applyNumberFormat="1" applyFont="1" applyFill="1" applyBorder="1" applyAlignment="1">
      <alignment horizontal="center" vertical="center" wrapText="1"/>
    </xf>
    <xf numFmtId="170" fontId="8" fillId="3" borderId="10" xfId="0" applyNumberFormat="1" applyFont="1" applyFill="1" applyBorder="1" applyAlignment="1">
      <alignment horizontal="center" vertical="center" wrapText="1"/>
    </xf>
    <xf numFmtId="170" fontId="8" fillId="3" borderId="22" xfId="0" applyNumberFormat="1" applyFont="1" applyFill="1" applyBorder="1" applyAlignment="1">
      <alignment horizontal="center" vertical="center" wrapText="1"/>
    </xf>
    <xf numFmtId="0" fontId="9" fillId="6" borderId="8" xfId="0" applyFont="1" applyFill="1" applyBorder="1" applyAlignment="1">
      <alignment vertical="center" wrapText="1"/>
    </xf>
    <xf numFmtId="170" fontId="8" fillId="3" borderId="20" xfId="0" applyNumberFormat="1" applyFont="1" applyFill="1" applyBorder="1" applyAlignment="1">
      <alignment horizontal="center" vertical="center" wrapText="1"/>
    </xf>
    <xf numFmtId="170" fontId="8" fillId="3" borderId="21" xfId="0" applyNumberFormat="1" applyFont="1" applyFill="1" applyBorder="1" applyAlignment="1">
      <alignment horizontal="center" vertical="center" wrapText="1"/>
    </xf>
    <xf numFmtId="170" fontId="8" fillId="6" borderId="10" xfId="0" applyNumberFormat="1" applyFont="1" applyFill="1" applyBorder="1" applyAlignment="1">
      <alignment horizontal="center" vertical="center" wrapText="1"/>
    </xf>
    <xf numFmtId="170" fontId="8" fillId="0" borderId="10" xfId="0" applyNumberFormat="1" applyFont="1" applyBorder="1" applyAlignment="1">
      <alignment horizontal="center" vertical="center" wrapText="1"/>
    </xf>
    <xf numFmtId="168" fontId="8" fillId="16" borderId="8" xfId="0" applyNumberFormat="1" applyFont="1" applyFill="1" applyBorder="1" applyAlignment="1">
      <alignment horizontal="center" vertical="center" wrapText="1"/>
    </xf>
    <xf numFmtId="168" fontId="8" fillId="5" borderId="8" xfId="0" applyNumberFormat="1" applyFont="1" applyFill="1" applyBorder="1" applyAlignment="1">
      <alignment horizontal="center" vertical="center" wrapText="1"/>
    </xf>
    <xf numFmtId="168" fontId="8" fillId="2" borderId="8" xfId="0" applyNumberFormat="1" applyFont="1" applyFill="1" applyBorder="1" applyAlignment="1">
      <alignment horizontal="center" vertical="center" wrapText="1"/>
    </xf>
    <xf numFmtId="170" fontId="8" fillId="0" borderId="8" xfId="0" applyNumberFormat="1" applyFont="1" applyBorder="1" applyAlignment="1">
      <alignment vertical="center" wrapText="1"/>
    </xf>
    <xf numFmtId="170" fontId="8" fillId="0" borderId="22" xfId="0" applyNumberFormat="1" applyFont="1" applyBorder="1" applyAlignment="1">
      <alignment horizontal="center" vertical="center" wrapText="1"/>
    </xf>
    <xf numFmtId="170" fontId="8" fillId="0" borderId="20" xfId="0" applyNumberFormat="1" applyFont="1" applyBorder="1" applyAlignment="1">
      <alignment horizontal="center" vertical="center" wrapText="1"/>
    </xf>
    <xf numFmtId="170" fontId="8" fillId="17" borderId="8" xfId="0" applyNumberFormat="1" applyFont="1" applyFill="1" applyBorder="1" applyAlignment="1">
      <alignment horizontal="center" vertical="center" wrapText="1"/>
    </xf>
    <xf numFmtId="0" fontId="8" fillId="14" borderId="0" xfId="0" applyFont="1" applyFill="1" applyBorder="1" applyAlignment="1">
      <alignment horizontal="center" vertical="center" wrapText="1"/>
    </xf>
    <xf numFmtId="0" fontId="0" fillId="0" borderId="0" xfId="0" applyFont="1" applyBorder="1" applyAlignment="1">
      <alignment vertical="center" wrapText="1"/>
    </xf>
    <xf numFmtId="0" fontId="20" fillId="0" borderId="8" xfId="0" applyFont="1" applyBorder="1" applyAlignment="1">
      <alignment vertical="center" wrapText="1"/>
    </xf>
    <xf numFmtId="0" fontId="10" fillId="0" borderId="8" xfId="0" applyFont="1" applyBorder="1" applyAlignment="1">
      <alignment vertical="center" wrapText="1"/>
    </xf>
    <xf numFmtId="0" fontId="10" fillId="4" borderId="0" xfId="0" applyFont="1" applyFill="1" applyAlignment="1">
      <alignment vertical="center" wrapText="1"/>
    </xf>
    <xf numFmtId="0" fontId="10" fillId="0" borderId="0" xfId="0" applyFont="1" applyAlignment="1">
      <alignment horizontal="left" vertical="center" wrapText="1"/>
    </xf>
    <xf numFmtId="0" fontId="7" fillId="8" borderId="8" xfId="0" applyFont="1" applyFill="1" applyBorder="1" applyAlignment="1">
      <alignment horizontal="left" vertical="center" wrapText="1"/>
    </xf>
    <xf numFmtId="0" fontId="7" fillId="8" borderId="8" xfId="0" applyFont="1" applyFill="1" applyBorder="1" applyAlignment="1">
      <alignment horizontal="center" vertical="center" wrapText="1"/>
    </xf>
    <xf numFmtId="168" fontId="7" fillId="8" borderId="8" xfId="0" applyNumberFormat="1" applyFont="1" applyFill="1" applyBorder="1" applyAlignment="1">
      <alignment horizontal="center" vertical="center" wrapText="1"/>
    </xf>
    <xf numFmtId="0" fontId="10" fillId="0" borderId="8" xfId="0" applyFont="1" applyBorder="1" applyAlignment="1">
      <alignment horizontal="center" vertical="center" wrapText="1"/>
    </xf>
    <xf numFmtId="3" fontId="10" fillId="0" borderId="8" xfId="0" applyNumberFormat="1" applyFont="1" applyBorder="1" applyAlignment="1">
      <alignment horizontal="center" vertical="center" wrapText="1"/>
    </xf>
    <xf numFmtId="167" fontId="5" fillId="0" borderId="8" xfId="0" applyNumberFormat="1" applyFont="1" applyBorder="1" applyAlignment="1" applyProtection="1">
      <alignment horizontal="right" vertical="center" wrapText="1"/>
      <protection locked="0"/>
    </xf>
    <xf numFmtId="167" fontId="10" fillId="9" borderId="8" xfId="0" applyNumberFormat="1" applyFont="1" applyFill="1" applyBorder="1" applyAlignment="1">
      <alignment horizontal="right" vertical="center" wrapText="1"/>
    </xf>
    <xf numFmtId="0" fontId="10" fillId="0" borderId="8" xfId="0" applyFont="1" applyBorder="1" applyAlignment="1">
      <alignment horizontal="left" vertical="center" wrapText="1"/>
    </xf>
    <xf numFmtId="0" fontId="21" fillId="0" borderId="8" xfId="0" applyFont="1" applyBorder="1" applyAlignment="1">
      <alignment horizontal="left" vertical="center" wrapText="1"/>
    </xf>
    <xf numFmtId="167" fontId="7" fillId="10" borderId="8" xfId="0" applyNumberFormat="1" applyFont="1" applyFill="1" applyBorder="1" applyAlignment="1">
      <alignment horizontal="right" vertical="center" wrapText="1"/>
    </xf>
    <xf numFmtId="167" fontId="7" fillId="8" borderId="8" xfId="0" applyNumberFormat="1" applyFont="1" applyFill="1" applyBorder="1" applyAlignment="1">
      <alignment horizontal="right" vertical="center" wrapText="1"/>
    </xf>
    <xf numFmtId="0" fontId="22" fillId="0" borderId="0" xfId="0" applyFont="1" applyAlignment="1">
      <alignment horizontal="center" vertical="center" wrapText="1"/>
    </xf>
    <xf numFmtId="168" fontId="22" fillId="0" borderId="0" xfId="0" applyNumberFormat="1" applyFont="1" applyAlignment="1">
      <alignment horizontal="right" vertical="center" wrapText="1"/>
    </xf>
    <xf numFmtId="167" fontId="7" fillId="8" borderId="8" xfId="0" applyNumberFormat="1" applyFont="1" applyFill="1" applyBorder="1" applyAlignment="1">
      <alignment vertical="center" wrapText="1"/>
    </xf>
    <xf numFmtId="168" fontId="10" fillId="0" borderId="0" xfId="0" applyNumberFormat="1" applyFont="1" applyAlignment="1">
      <alignment horizontal="right" vertical="center" wrapText="1"/>
    </xf>
    <xf numFmtId="1" fontId="10" fillId="0" borderId="8" xfId="0" applyNumberFormat="1" applyFont="1" applyBorder="1" applyAlignment="1">
      <alignment horizontal="center" vertical="center" wrapText="1"/>
    </xf>
    <xf numFmtId="0" fontId="10" fillId="0" borderId="8" xfId="0" applyFont="1" applyBorder="1" applyAlignment="1">
      <alignment horizontal="left" vertical="center" wrapText="1" shrinkToFit="1"/>
    </xf>
    <xf numFmtId="169" fontId="10" fillId="0" borderId="8" xfId="0" applyNumberFormat="1" applyFont="1" applyBorder="1" applyAlignment="1">
      <alignment horizontal="center" vertical="center" wrapText="1"/>
    </xf>
    <xf numFmtId="167" fontId="7" fillId="10" borderId="8" xfId="0" applyNumberFormat="1" applyFont="1" applyFill="1" applyBorder="1" applyAlignment="1">
      <alignment vertical="center" wrapText="1"/>
    </xf>
    <xf numFmtId="0" fontId="23" fillId="0" borderId="0" xfId="0" applyFont="1" applyAlignment="1">
      <alignment vertical="center" wrapText="1"/>
    </xf>
    <xf numFmtId="0" fontId="10" fillId="0" borderId="0" xfId="0" applyFont="1" applyBorder="1" applyAlignment="1">
      <alignment vertical="center" wrapText="1"/>
    </xf>
    <xf numFmtId="0" fontId="11" fillId="8" borderId="8" xfId="0" applyFont="1" applyFill="1" applyBorder="1" applyAlignment="1">
      <alignment horizontal="left" vertical="center" wrapText="1"/>
    </xf>
    <xf numFmtId="4" fontId="10" fillId="11" borderId="8" xfId="0" applyNumberFormat="1" applyFont="1" applyFill="1" applyBorder="1" applyAlignment="1">
      <alignment horizontal="left" vertical="center" wrapText="1"/>
    </xf>
    <xf numFmtId="4" fontId="7" fillId="8" borderId="8" xfId="0" applyNumberFormat="1" applyFont="1" applyFill="1" applyBorder="1" applyAlignment="1">
      <alignment horizontal="left" vertical="center" wrapText="1"/>
    </xf>
    <xf numFmtId="4" fontId="10" fillId="0" borderId="0" xfId="0" applyNumberFormat="1" applyFont="1" applyAlignment="1">
      <alignment vertical="center" wrapText="1"/>
    </xf>
    <xf numFmtId="4" fontId="7" fillId="0" borderId="0" xfId="0" applyNumberFormat="1" applyFont="1" applyAlignment="1">
      <alignment horizontal="left" vertical="center" wrapText="1"/>
    </xf>
    <xf numFmtId="4" fontId="22" fillId="0" borderId="0" xfId="0" applyNumberFormat="1" applyFont="1" applyAlignment="1">
      <alignment horizontal="right" vertical="center" wrapText="1"/>
    </xf>
    <xf numFmtId="4" fontId="7" fillId="10" borderId="8" xfId="0" applyNumberFormat="1" applyFont="1" applyFill="1" applyBorder="1" applyAlignment="1">
      <alignment horizontal="center" vertical="center" wrapText="1"/>
    </xf>
    <xf numFmtId="3" fontId="1" fillId="4" borderId="5" xfId="0" applyNumberFormat="1" applyFont="1" applyFill="1" applyBorder="1" applyAlignment="1">
      <alignment vertical="center" wrapText="1"/>
    </xf>
    <xf numFmtId="3" fontId="1" fillId="0" borderId="5" xfId="0" applyNumberFormat="1" applyFont="1" applyBorder="1" applyAlignment="1">
      <alignment vertical="center" wrapText="1"/>
    </xf>
    <xf numFmtId="0" fontId="1" fillId="4" borderId="5" xfId="0" applyFont="1" applyFill="1" applyBorder="1" applyAlignment="1">
      <alignment vertical="center" wrapText="1"/>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4" fillId="6" borderId="8" xfId="0" applyFont="1" applyFill="1" applyBorder="1" applyAlignment="1">
      <alignment vertical="center" wrapText="1"/>
    </xf>
    <xf numFmtId="0" fontId="2" fillId="5" borderId="9" xfId="0" applyFont="1" applyFill="1" applyBorder="1" applyAlignment="1">
      <alignment horizontal="center" vertical="center" wrapText="1"/>
    </xf>
    <xf numFmtId="0" fontId="4" fillId="6" borderId="10" xfId="0" applyFont="1" applyFill="1" applyBorder="1" applyAlignment="1">
      <alignment vertical="center" wrapText="1"/>
    </xf>
    <xf numFmtId="0" fontId="4" fillId="5" borderId="14"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2" fillId="7" borderId="6" xfId="0" applyFont="1" applyFill="1" applyBorder="1" applyAlignment="1">
      <alignment horizontal="left" vertical="center" wrapText="1"/>
    </xf>
    <xf numFmtId="0" fontId="2" fillId="0" borderId="0" xfId="0" applyFont="1" applyAlignment="1">
      <alignment horizontal="left" vertical="center" wrapText="1"/>
    </xf>
    <xf numFmtId="0" fontId="1" fillId="0" borderId="5" xfId="0" applyFont="1" applyBorder="1" applyAlignment="1">
      <alignment horizontal="center" vertical="center" wrapText="1"/>
    </xf>
    <xf numFmtId="165" fontId="1" fillId="0" borderId="5" xfId="0" applyNumberFormat="1" applyFont="1" applyBorder="1" applyAlignment="1">
      <alignment horizontal="left" vertical="center" wrapText="1"/>
    </xf>
    <xf numFmtId="1" fontId="1" fillId="4" borderId="17" xfId="0" applyNumberFormat="1" applyFont="1" applyFill="1" applyBorder="1" applyAlignment="1">
      <alignment horizontal="center" vertical="center" wrapText="1"/>
    </xf>
    <xf numFmtId="0" fontId="1" fillId="4" borderId="0" xfId="0" applyFont="1" applyFill="1" applyBorder="1" applyAlignment="1">
      <alignment vertical="center" wrapText="1"/>
    </xf>
    <xf numFmtId="0" fontId="2" fillId="4" borderId="17" xfId="0" applyFont="1" applyFill="1" applyBorder="1" applyAlignment="1">
      <alignment horizontal="center" vertical="center" wrapText="1"/>
    </xf>
    <xf numFmtId="10" fontId="1" fillId="4" borderId="17" xfId="0" applyNumberFormat="1" applyFont="1" applyFill="1" applyBorder="1" applyAlignment="1">
      <alignment horizontal="center" vertical="center" wrapText="1"/>
    </xf>
    <xf numFmtId="10" fontId="1" fillId="4" borderId="18" xfId="0" applyNumberFormat="1" applyFont="1" applyFill="1" applyBorder="1" applyAlignment="1">
      <alignment horizontal="center" vertical="center" wrapText="1"/>
    </xf>
    <xf numFmtId="10" fontId="1" fillId="0" borderId="5" xfId="0" applyNumberFormat="1" applyFont="1" applyBorder="1" applyAlignment="1">
      <alignment horizontal="center" vertical="center" wrapText="1"/>
    </xf>
    <xf numFmtId="10" fontId="2" fillId="7" borderId="5" xfId="0" applyNumberFormat="1" applyFont="1" applyFill="1" applyBorder="1" applyAlignment="1">
      <alignment horizontal="center" vertical="center" wrapText="1"/>
    </xf>
    <xf numFmtId="10" fontId="2" fillId="0" borderId="0" xfId="0" applyNumberFormat="1" applyFont="1" applyAlignment="1">
      <alignment horizontal="center" vertical="center" wrapText="1"/>
    </xf>
    <xf numFmtId="166" fontId="2" fillId="0" borderId="0" xfId="0" applyNumberFormat="1" applyFont="1" applyAlignment="1">
      <alignment horizontal="center" vertical="center" wrapText="1"/>
    </xf>
    <xf numFmtId="10" fontId="1" fillId="0" borderId="15" xfId="0" applyNumberFormat="1" applyFont="1" applyBorder="1" applyAlignment="1">
      <alignment horizontal="center" vertical="center" wrapText="1"/>
    </xf>
    <xf numFmtId="167" fontId="1" fillId="4" borderId="19" xfId="0" applyNumberFormat="1" applyFont="1" applyFill="1" applyBorder="1" applyAlignment="1">
      <alignment horizontal="center" vertical="center" wrapText="1"/>
    </xf>
    <xf numFmtId="167" fontId="1" fillId="4" borderId="18" xfId="0" applyNumberFormat="1" applyFont="1" applyFill="1" applyBorder="1" applyAlignment="1">
      <alignment horizontal="center" vertical="center" wrapText="1"/>
    </xf>
    <xf numFmtId="0" fontId="2" fillId="5" borderId="6" xfId="1" applyFont="1" applyFill="1" applyBorder="1" applyAlignment="1" applyProtection="1">
      <alignment horizontal="center" vertical="center" wrapText="1"/>
    </xf>
    <xf numFmtId="0" fontId="2" fillId="5" borderId="14" xfId="1" applyFont="1" applyFill="1" applyBorder="1" applyAlignment="1" applyProtection="1">
      <alignment horizontal="center" vertical="center" wrapText="1"/>
    </xf>
    <xf numFmtId="14" fontId="1" fillId="0" borderId="15" xfId="0" applyNumberFormat="1" applyFont="1" applyBorder="1" applyAlignment="1">
      <alignment horizontal="center" vertical="center" wrapText="1"/>
    </xf>
    <xf numFmtId="0" fontId="0" fillId="0" borderId="30" xfId="0" applyFont="1" applyBorder="1" applyAlignment="1">
      <alignment vertical="center" wrapText="1"/>
    </xf>
    <xf numFmtId="0" fontId="0" fillId="0" borderId="37" xfId="0" applyFont="1" applyBorder="1" applyAlignment="1">
      <alignment vertical="center" wrapText="1"/>
    </xf>
    <xf numFmtId="0" fontId="4" fillId="9" borderId="8" xfId="0" applyFont="1" applyFill="1" applyBorder="1" applyAlignment="1">
      <alignment vertical="center" wrapText="1"/>
    </xf>
    <xf numFmtId="4" fontId="17" fillId="9" borderId="8" xfId="0" applyNumberFormat="1" applyFont="1" applyFill="1" applyBorder="1" applyAlignment="1">
      <alignment horizontal="center" vertical="center" wrapText="1"/>
    </xf>
    <xf numFmtId="0" fontId="4" fillId="9" borderId="10" xfId="0" applyFont="1" applyFill="1" applyBorder="1" applyAlignment="1">
      <alignment vertical="center" wrapText="1"/>
    </xf>
    <xf numFmtId="4" fontId="17" fillId="9" borderId="10" xfId="0" applyNumberFormat="1" applyFont="1" applyFill="1" applyBorder="1" applyAlignment="1">
      <alignment horizontal="center" vertical="center" wrapText="1"/>
    </xf>
    <xf numFmtId="171" fontId="4" fillId="9" borderId="10" xfId="0" applyNumberFormat="1" applyFont="1" applyFill="1" applyBorder="1" applyAlignment="1">
      <alignment horizontal="center" vertical="center" wrapText="1"/>
    </xf>
    <xf numFmtId="0" fontId="2" fillId="9" borderId="10" xfId="0" applyFont="1" applyFill="1" applyBorder="1" applyAlignment="1">
      <alignment horizontal="center" vertical="center" wrapText="1"/>
    </xf>
    <xf numFmtId="0" fontId="4" fillId="19" borderId="10" xfId="0" applyFont="1" applyFill="1" applyBorder="1" applyAlignment="1">
      <alignment horizontal="center" vertical="center" wrapText="1"/>
    </xf>
    <xf numFmtId="0" fontId="4" fillId="9" borderId="10" xfId="0" applyFont="1" applyFill="1" applyBorder="1" applyAlignment="1">
      <alignment horizontal="center" vertical="center" wrapText="1"/>
    </xf>
    <xf numFmtId="171" fontId="4" fillId="19" borderId="10" xfId="0" applyNumberFormat="1" applyFont="1" applyFill="1" applyBorder="1" applyAlignment="1">
      <alignment horizontal="center" vertical="center" wrapText="1"/>
    </xf>
    <xf numFmtId="4" fontId="17" fillId="11" borderId="8" xfId="0" applyNumberFormat="1" applyFont="1" applyFill="1" applyBorder="1" applyAlignment="1">
      <alignment vertical="center" wrapText="1"/>
    </xf>
    <xf numFmtId="171" fontId="4" fillId="11" borderId="8" xfId="0" applyNumberFormat="1" applyFont="1" applyFill="1" applyBorder="1" applyAlignment="1">
      <alignment horizontal="center" vertical="center" wrapText="1"/>
    </xf>
    <xf numFmtId="0" fontId="2" fillId="11" borderId="8" xfId="0" applyFont="1" applyFill="1" applyBorder="1" applyAlignment="1">
      <alignment horizontal="left" vertical="center" wrapText="1"/>
    </xf>
    <xf numFmtId="181" fontId="11" fillId="0" borderId="8" xfId="0" applyNumberFormat="1" applyFont="1" applyBorder="1" applyAlignment="1">
      <alignment horizontal="center" vertical="center" wrapText="1"/>
    </xf>
    <xf numFmtId="0" fontId="1" fillId="0" borderId="5" xfId="0" applyFont="1" applyBorder="1" applyAlignment="1">
      <alignment horizontal="center" vertical="center" wrapText="1"/>
    </xf>
    <xf numFmtId="0" fontId="2" fillId="0" borderId="0" xfId="0" applyFont="1" applyBorder="1" applyAlignment="1">
      <alignment horizontal="center" vertical="center" wrapText="1"/>
    </xf>
    <xf numFmtId="0" fontId="1" fillId="0" borderId="0" xfId="0" applyFont="1" applyBorder="1" applyAlignment="1">
      <alignment horizontal="center" vertical="center" wrapText="1"/>
    </xf>
    <xf numFmtId="0" fontId="13" fillId="0" borderId="0" xfId="0" applyFont="1" applyBorder="1" applyAlignment="1">
      <alignment horizontal="center" vertical="center" wrapText="1"/>
    </xf>
    <xf numFmtId="0" fontId="2" fillId="2" borderId="2" xfId="0" applyFont="1" applyFill="1" applyBorder="1" applyAlignment="1">
      <alignment horizontal="center" vertical="center" wrapText="1"/>
    </xf>
    <xf numFmtId="0" fontId="17" fillId="4" borderId="5" xfId="0" applyFont="1" applyFill="1" applyBorder="1" applyAlignment="1">
      <alignment horizontal="center" vertical="center" wrapText="1"/>
    </xf>
    <xf numFmtId="49" fontId="1" fillId="4" borderId="5" xfId="0" applyNumberFormat="1" applyFont="1" applyFill="1" applyBorder="1" applyAlignment="1">
      <alignment horizontal="center" vertical="center" wrapText="1"/>
    </xf>
    <xf numFmtId="14" fontId="1" fillId="4" borderId="5" xfId="0" applyNumberFormat="1" applyFont="1" applyFill="1" applyBorder="1" applyAlignment="1">
      <alignment horizontal="center" vertical="center" wrapText="1"/>
    </xf>
    <xf numFmtId="0" fontId="1" fillId="0" borderId="5" xfId="0" applyFont="1" applyBorder="1" applyAlignment="1">
      <alignment horizontal="center" vertical="center" wrapText="1"/>
    </xf>
    <xf numFmtId="0" fontId="2" fillId="5" borderId="7"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1" fillId="4" borderId="15" xfId="0" applyFont="1" applyFill="1" applyBorder="1" applyAlignment="1">
      <alignment horizontal="center" vertical="center" wrapText="1"/>
    </xf>
    <xf numFmtId="0" fontId="2" fillId="5" borderId="47" xfId="1" applyFont="1" applyFill="1" applyBorder="1" applyAlignment="1" applyProtection="1">
      <alignment horizontal="center" vertical="center" wrapText="1"/>
    </xf>
    <xf numFmtId="0" fontId="2" fillId="5" borderId="31" xfId="1" applyFont="1" applyFill="1" applyBorder="1" applyAlignment="1" applyProtection="1">
      <alignment horizontal="center" vertical="center" wrapText="1"/>
    </xf>
    <xf numFmtId="0" fontId="2" fillId="5" borderId="17" xfId="1" applyFont="1" applyFill="1" applyBorder="1" applyAlignment="1" applyProtection="1">
      <alignment horizontal="center" vertical="center" wrapText="1"/>
    </xf>
    <xf numFmtId="164" fontId="1" fillId="4" borderId="5" xfId="0" applyNumberFormat="1" applyFont="1" applyFill="1" applyBorder="1" applyAlignment="1">
      <alignment horizontal="center" vertical="center" wrapText="1"/>
    </xf>
    <xf numFmtId="0" fontId="1" fillId="4" borderId="5" xfId="0" applyFont="1" applyFill="1" applyBorder="1" applyAlignment="1">
      <alignment horizontal="center" vertical="center" wrapText="1"/>
    </xf>
    <xf numFmtId="0" fontId="2" fillId="7" borderId="16" xfId="0" applyFont="1" applyFill="1" applyBorder="1" applyAlignment="1">
      <alignment horizontal="center" vertical="center" wrapText="1"/>
    </xf>
    <xf numFmtId="0" fontId="1" fillId="0" borderId="5" xfId="0" applyFont="1" applyBorder="1" applyAlignment="1">
      <alignment horizontal="left" vertical="center" wrapText="1"/>
    </xf>
    <xf numFmtId="0" fontId="2" fillId="7" borderId="6" xfId="0" applyFont="1" applyFill="1" applyBorder="1" applyAlignment="1">
      <alignment horizontal="left" vertical="center" wrapText="1"/>
    </xf>
    <xf numFmtId="0" fontId="1" fillId="4" borderId="5" xfId="0" applyFont="1" applyFill="1" applyBorder="1" applyAlignment="1">
      <alignment horizontal="left" vertical="center" wrapText="1"/>
    </xf>
    <xf numFmtId="0" fontId="2" fillId="7" borderId="14" xfId="0" applyFont="1" applyFill="1" applyBorder="1" applyAlignment="1">
      <alignment horizontal="left" vertical="center" wrapText="1"/>
    </xf>
    <xf numFmtId="0" fontId="2" fillId="5" borderId="14" xfId="0" applyFont="1" applyFill="1" applyBorder="1" applyAlignment="1">
      <alignment horizontal="center" vertical="center" wrapText="1"/>
    </xf>
    <xf numFmtId="10" fontId="1" fillId="4" borderId="5" xfId="0" applyNumberFormat="1" applyFont="1" applyFill="1" applyBorder="1" applyAlignment="1">
      <alignment horizontal="center" vertical="center" wrapText="1"/>
    </xf>
    <xf numFmtId="0" fontId="2" fillId="7" borderId="13" xfId="0" applyFont="1" applyFill="1" applyBorder="1" applyAlignment="1">
      <alignment horizontal="center" vertical="center" wrapText="1"/>
    </xf>
    <xf numFmtId="167" fontId="1" fillId="4" borderId="5" xfId="0" applyNumberFormat="1" applyFont="1" applyFill="1" applyBorder="1" applyAlignment="1">
      <alignment horizontal="center" vertical="center" wrapText="1"/>
    </xf>
    <xf numFmtId="9" fontId="1" fillId="4" borderId="15" xfId="0" applyNumberFormat="1" applyFont="1" applyFill="1" applyBorder="1" applyAlignment="1">
      <alignment horizontal="center" vertical="center" wrapText="1"/>
    </xf>
    <xf numFmtId="10" fontId="1" fillId="4" borderId="15" xfId="0" applyNumberFormat="1" applyFont="1" applyFill="1" applyBorder="1" applyAlignment="1">
      <alignment horizontal="center" vertical="center" wrapText="1"/>
    </xf>
    <xf numFmtId="0" fontId="2" fillId="5" borderId="13" xfId="1" applyFont="1" applyFill="1" applyBorder="1" applyAlignment="1" applyProtection="1">
      <alignment horizontal="center" vertical="center" wrapText="1"/>
    </xf>
    <xf numFmtId="10" fontId="1" fillId="4" borderId="5" xfId="1" applyNumberFormat="1" applyFont="1" applyFill="1" applyBorder="1" applyAlignment="1" applyProtection="1">
      <alignment horizontal="center" vertical="center" wrapText="1"/>
      <protection locked="0"/>
    </xf>
    <xf numFmtId="10" fontId="1" fillId="4" borderId="15" xfId="1" applyNumberFormat="1" applyFont="1" applyFill="1" applyBorder="1" applyAlignment="1" applyProtection="1">
      <alignment horizontal="center" vertical="center" wrapText="1"/>
      <protection locked="0"/>
    </xf>
    <xf numFmtId="0" fontId="7" fillId="0" borderId="0" xfId="0" applyFont="1" applyBorder="1" applyAlignment="1">
      <alignment horizontal="center" vertical="center" wrapText="1"/>
    </xf>
    <xf numFmtId="0" fontId="5" fillId="0" borderId="0" xfId="0" applyFont="1" applyBorder="1" applyAlignment="1">
      <alignment horizontal="center" vertical="center" wrapText="1"/>
    </xf>
    <xf numFmtId="0" fontId="11" fillId="0" borderId="0" xfId="0" applyFont="1" applyBorder="1" applyAlignment="1">
      <alignment horizontal="center" vertical="center" wrapText="1"/>
    </xf>
    <xf numFmtId="0" fontId="7" fillId="10" borderId="8" xfId="0" applyFont="1" applyFill="1" applyBorder="1" applyAlignment="1">
      <alignment horizontal="right" vertical="center" wrapText="1"/>
    </xf>
    <xf numFmtId="0" fontId="7" fillId="8" borderId="8" xfId="0" applyFont="1" applyFill="1" applyBorder="1" applyAlignment="1">
      <alignment horizontal="right" vertical="center" wrapText="1"/>
    </xf>
    <xf numFmtId="0" fontId="23" fillId="0" borderId="0" xfId="0" applyFont="1" applyBorder="1" applyAlignment="1">
      <alignment horizontal="center" vertical="center" wrapText="1"/>
    </xf>
    <xf numFmtId="0" fontId="10" fillId="0" borderId="0" xfId="0" applyFont="1" applyBorder="1" applyAlignment="1">
      <alignment horizontal="center" vertical="center" wrapText="1"/>
    </xf>
    <xf numFmtId="0" fontId="11" fillId="8" borderId="8" xfId="0" applyFont="1" applyFill="1" applyBorder="1" applyAlignment="1">
      <alignment horizontal="center" vertical="center" wrapText="1"/>
    </xf>
    <xf numFmtId="167" fontId="10" fillId="11" borderId="8" xfId="0" applyNumberFormat="1" applyFont="1" applyFill="1" applyBorder="1" applyAlignment="1">
      <alignment horizontal="right" vertical="center" wrapText="1"/>
    </xf>
    <xf numFmtId="167" fontId="7" fillId="8" borderId="8" xfId="0" applyNumberFormat="1" applyFont="1" applyFill="1" applyBorder="1" applyAlignment="1">
      <alignment horizontal="right" vertical="center" wrapText="1"/>
    </xf>
    <xf numFmtId="4" fontId="10" fillId="0" borderId="8" xfId="0" applyNumberFormat="1" applyFont="1" applyBorder="1" applyAlignment="1">
      <alignment horizontal="center" vertical="center" wrapText="1"/>
    </xf>
    <xf numFmtId="168" fontId="10" fillId="0" borderId="8" xfId="0" applyNumberFormat="1" applyFont="1" applyBorder="1" applyAlignment="1">
      <alignment horizontal="right" vertical="center" wrapText="1"/>
    </xf>
    <xf numFmtId="4" fontId="7" fillId="0" borderId="8" xfId="0" applyNumberFormat="1" applyFont="1" applyBorder="1" applyAlignment="1">
      <alignment horizontal="center" vertical="center" wrapText="1"/>
    </xf>
    <xf numFmtId="0" fontId="10" fillId="3" borderId="8" xfId="0" applyFont="1" applyFill="1" applyBorder="1" applyAlignment="1">
      <alignment horizontal="left" vertical="center" wrapText="1"/>
    </xf>
    <xf numFmtId="0" fontId="7" fillId="8" borderId="8" xfId="0" applyFont="1" applyFill="1" applyBorder="1" applyAlignment="1">
      <alignment horizontal="center" vertical="center" wrapText="1"/>
    </xf>
    <xf numFmtId="0" fontId="9" fillId="12" borderId="8" xfId="0" applyFont="1" applyFill="1" applyBorder="1" applyAlignment="1">
      <alignment vertical="center" wrapText="1"/>
    </xf>
    <xf numFmtId="0" fontId="9" fillId="13" borderId="8" xfId="0" applyFont="1" applyFill="1" applyBorder="1" applyAlignment="1">
      <alignment horizontal="center" vertical="center" wrapText="1"/>
    </xf>
    <xf numFmtId="0" fontId="9" fillId="14" borderId="8" xfId="0" applyFont="1" applyFill="1" applyBorder="1" applyAlignment="1">
      <alignment horizontal="center" vertical="center" wrapText="1"/>
    </xf>
    <xf numFmtId="0" fontId="8" fillId="14" borderId="20" xfId="0" applyFont="1" applyFill="1" applyBorder="1" applyAlignment="1">
      <alignment horizontal="center" vertical="center" wrapText="1"/>
    </xf>
    <xf numFmtId="1" fontId="8" fillId="15" borderId="8" xfId="0" applyNumberFormat="1" applyFont="1" applyFill="1" applyBorder="1" applyAlignment="1">
      <alignment horizontal="center" vertical="center" wrapText="1"/>
    </xf>
    <xf numFmtId="170" fontId="8" fillId="15" borderId="8" xfId="0" applyNumberFormat="1" applyFont="1" applyFill="1" applyBorder="1" applyAlignment="1">
      <alignment horizontal="center" vertical="center" wrapText="1"/>
    </xf>
    <xf numFmtId="170" fontId="8" fillId="0" borderId="8" xfId="0" applyNumberFormat="1" applyFont="1" applyBorder="1" applyAlignment="1">
      <alignment horizontal="center" vertical="center" wrapText="1"/>
    </xf>
    <xf numFmtId="1" fontId="8" fillId="0" borderId="8" xfId="0" applyNumberFormat="1" applyFont="1" applyBorder="1" applyAlignment="1">
      <alignment horizontal="center" vertical="center" wrapText="1"/>
    </xf>
    <xf numFmtId="168" fontId="8" fillId="0" borderId="8" xfId="0" applyNumberFormat="1" applyFont="1" applyBorder="1" applyAlignment="1">
      <alignment horizontal="center" vertical="center" wrapText="1"/>
    </xf>
    <xf numFmtId="1" fontId="8" fillId="7" borderId="21" xfId="0" applyNumberFormat="1" applyFont="1" applyFill="1" applyBorder="1" applyAlignment="1">
      <alignment horizontal="center" vertical="center" wrapText="1"/>
    </xf>
    <xf numFmtId="170" fontId="8" fillId="3" borderId="8" xfId="0" applyNumberFormat="1" applyFont="1" applyFill="1" applyBorder="1" applyAlignment="1">
      <alignment horizontal="center" vertical="center" wrapText="1"/>
    </xf>
    <xf numFmtId="168" fontId="8" fillId="3" borderId="21" xfId="0" applyNumberFormat="1" applyFont="1" applyFill="1" applyBorder="1" applyAlignment="1">
      <alignment horizontal="center" vertical="center" wrapText="1"/>
    </xf>
    <xf numFmtId="168" fontId="19" fillId="6" borderId="8" xfId="0" applyNumberFormat="1" applyFont="1" applyFill="1" applyBorder="1" applyAlignment="1">
      <alignment horizontal="center" vertical="center" wrapText="1"/>
    </xf>
    <xf numFmtId="168" fontId="8" fillId="6" borderId="8" xfId="0" applyNumberFormat="1" applyFont="1" applyFill="1" applyBorder="1" applyAlignment="1">
      <alignment horizontal="center" vertical="center" wrapText="1"/>
    </xf>
    <xf numFmtId="1" fontId="8" fillId="6" borderId="10" xfId="0" applyNumberFormat="1" applyFont="1" applyFill="1" applyBorder="1" applyAlignment="1">
      <alignment horizontal="center" vertical="center" wrapText="1"/>
    </xf>
    <xf numFmtId="1" fontId="8" fillId="6" borderId="23" xfId="0" applyNumberFormat="1" applyFont="1" applyFill="1" applyBorder="1" applyAlignment="1">
      <alignment horizontal="center" vertical="center" wrapText="1"/>
    </xf>
    <xf numFmtId="1" fontId="8" fillId="6" borderId="21" xfId="0" applyNumberFormat="1" applyFont="1" applyFill="1" applyBorder="1" applyAlignment="1">
      <alignment horizontal="center" vertical="center" wrapText="1"/>
    </xf>
    <xf numFmtId="170" fontId="8" fillId="6" borderId="10" xfId="0" applyNumberFormat="1" applyFont="1" applyFill="1" applyBorder="1" applyAlignment="1">
      <alignment horizontal="center" vertical="center" wrapText="1"/>
    </xf>
    <xf numFmtId="170" fontId="8" fillId="6" borderId="23" xfId="0" applyNumberFormat="1" applyFont="1" applyFill="1" applyBorder="1" applyAlignment="1">
      <alignment horizontal="center" vertical="center" wrapText="1"/>
    </xf>
    <xf numFmtId="170" fontId="8" fillId="6" borderId="21" xfId="0" applyNumberFormat="1" applyFont="1" applyFill="1" applyBorder="1" applyAlignment="1">
      <alignment horizontal="center" vertical="center" wrapText="1"/>
    </xf>
    <xf numFmtId="1" fontId="8" fillId="7" borderId="8" xfId="0" applyNumberFormat="1" applyFont="1" applyFill="1" applyBorder="1" applyAlignment="1">
      <alignment horizontal="center" vertical="center" wrapText="1"/>
    </xf>
    <xf numFmtId="168" fontId="8" fillId="3" borderId="8" xfId="0" applyNumberFormat="1" applyFont="1" applyFill="1" applyBorder="1" applyAlignment="1">
      <alignment horizontal="center" vertical="center" wrapText="1"/>
    </xf>
    <xf numFmtId="1" fontId="8" fillId="17" borderId="8" xfId="0" applyNumberFormat="1" applyFont="1" applyFill="1" applyBorder="1" applyAlignment="1">
      <alignment horizontal="center" vertical="center" wrapText="1"/>
    </xf>
    <xf numFmtId="0" fontId="13" fillId="4" borderId="0" xfId="0" applyFont="1" applyFill="1" applyBorder="1" applyAlignment="1">
      <alignment horizontal="center" vertical="center" wrapText="1"/>
    </xf>
    <xf numFmtId="0" fontId="2" fillId="14" borderId="8" xfId="0" applyFont="1" applyFill="1" applyBorder="1" applyAlignment="1">
      <alignment horizontal="center" vertical="center" wrapText="1"/>
    </xf>
    <xf numFmtId="0" fontId="2" fillId="10" borderId="8" xfId="0" applyFont="1" applyFill="1" applyBorder="1" applyAlignment="1">
      <alignment horizontal="center" vertical="center" wrapText="1"/>
    </xf>
    <xf numFmtId="0" fontId="2" fillId="21" borderId="8" xfId="0" applyFont="1" applyFill="1" applyBorder="1" applyAlignment="1">
      <alignment horizontal="center" vertical="center" wrapText="1"/>
    </xf>
    <xf numFmtId="0" fontId="2" fillId="14" borderId="22" xfId="0" applyFont="1" applyFill="1" applyBorder="1" applyAlignment="1">
      <alignment horizontal="center" vertical="center" wrapText="1"/>
    </xf>
    <xf numFmtId="0" fontId="2" fillId="14" borderId="10" xfId="0" applyFont="1" applyFill="1" applyBorder="1" applyAlignment="1">
      <alignment horizontal="right" vertical="center" wrapText="1"/>
    </xf>
    <xf numFmtId="0" fontId="2" fillId="23" borderId="10" xfId="0" applyFont="1" applyFill="1" applyBorder="1" applyAlignment="1">
      <alignment horizontal="right" vertical="center" wrapText="1"/>
    </xf>
    <xf numFmtId="171" fontId="1" fillId="23" borderId="8" xfId="0" applyNumberFormat="1" applyFont="1" applyFill="1" applyBorder="1" applyAlignment="1">
      <alignment horizontal="center" vertical="center" wrapText="1"/>
    </xf>
    <xf numFmtId="0" fontId="4" fillId="0" borderId="23" xfId="0" applyFont="1" applyBorder="1" applyAlignment="1">
      <alignment horizontal="center" vertical="center" wrapText="1"/>
    </xf>
    <xf numFmtId="0" fontId="4" fillId="0" borderId="26" xfId="0" applyFont="1" applyBorder="1" applyAlignment="1">
      <alignment vertical="center" wrapText="1"/>
    </xf>
    <xf numFmtId="0" fontId="2" fillId="20" borderId="10" xfId="0" applyFont="1" applyFill="1" applyBorder="1" applyAlignment="1">
      <alignment vertical="center" wrapText="1"/>
    </xf>
    <xf numFmtId="0" fontId="4" fillId="0" borderId="23" xfId="0" applyFont="1" applyBorder="1" applyAlignment="1">
      <alignment horizontal="left" vertical="center" wrapText="1"/>
    </xf>
    <xf numFmtId="0" fontId="4" fillId="20" borderId="23" xfId="0" applyFont="1" applyFill="1" applyBorder="1" applyAlignment="1">
      <alignment horizontal="left" vertical="center" wrapText="1"/>
    </xf>
    <xf numFmtId="0" fontId="2" fillId="11" borderId="8" xfId="0" applyFont="1" applyFill="1" applyBorder="1" applyAlignment="1">
      <alignment horizontal="center" vertical="center" wrapText="1"/>
    </xf>
    <xf numFmtId="0" fontId="2" fillId="11" borderId="22" xfId="0" applyFont="1" applyFill="1" applyBorder="1" applyAlignment="1">
      <alignment horizontal="center" vertical="center" wrapText="1"/>
    </xf>
    <xf numFmtId="171" fontId="1" fillId="11" borderId="8" xfId="0" applyNumberFormat="1" applyFont="1" applyFill="1" applyBorder="1" applyAlignment="1">
      <alignment horizontal="center" vertical="center" wrapText="1"/>
    </xf>
    <xf numFmtId="0" fontId="1" fillId="0" borderId="21" xfId="0" applyFont="1" applyBorder="1" applyAlignment="1">
      <alignment horizontal="left" vertical="center" wrapText="1"/>
    </xf>
    <xf numFmtId="0" fontId="4" fillId="0" borderId="0" xfId="0" applyFont="1" applyBorder="1" applyAlignment="1">
      <alignment horizontal="left" vertical="center" wrapText="1"/>
    </xf>
    <xf numFmtId="0" fontId="2" fillId="9" borderId="10" xfId="0" applyFont="1" applyFill="1" applyBorder="1" applyAlignment="1">
      <alignment horizontal="center" vertical="center" wrapText="1"/>
    </xf>
    <xf numFmtId="0" fontId="2" fillId="11" borderId="8" xfId="0" applyFont="1" applyFill="1" applyBorder="1" applyAlignment="1">
      <alignment horizontal="right" vertical="center" wrapText="1"/>
    </xf>
    <xf numFmtId="0" fontId="4" fillId="0" borderId="0" xfId="0" applyFont="1" applyBorder="1" applyAlignment="1">
      <alignment vertical="center" wrapText="1"/>
    </xf>
    <xf numFmtId="0" fontId="14" fillId="0" borderId="0" xfId="0" applyFont="1" applyBorder="1" applyAlignment="1">
      <alignment vertical="center" wrapText="1"/>
    </xf>
    <xf numFmtId="0" fontId="4" fillId="0" borderId="21" xfId="0" applyFont="1" applyBorder="1" applyAlignment="1">
      <alignment horizontal="left" vertical="center" wrapText="1"/>
    </xf>
    <xf numFmtId="0" fontId="2" fillId="18" borderId="8" xfId="0" applyFont="1" applyFill="1" applyBorder="1" applyAlignment="1">
      <alignment horizontal="center" vertical="center" wrapText="1"/>
    </xf>
    <xf numFmtId="0" fontId="4" fillId="18" borderId="28" xfId="0" applyFont="1" applyFill="1" applyBorder="1" applyAlignment="1">
      <alignment horizontal="right" vertical="center" wrapText="1"/>
    </xf>
    <xf numFmtId="0" fontId="2" fillId="18" borderId="29" xfId="0" applyFont="1" applyFill="1" applyBorder="1" applyAlignment="1">
      <alignment horizontal="left" vertical="center" wrapText="1"/>
    </xf>
    <xf numFmtId="0" fontId="4" fillId="18" borderId="24" xfId="0" applyFont="1" applyFill="1" applyBorder="1" applyAlignment="1">
      <alignment horizontal="right" vertical="center" wrapText="1"/>
    </xf>
    <xf numFmtId="0" fontId="4" fillId="18" borderId="25" xfId="0" applyFont="1" applyFill="1" applyBorder="1" applyAlignment="1">
      <alignment horizontal="left" vertical="center" wrapText="1"/>
    </xf>
    <xf numFmtId="0" fontId="1" fillId="18" borderId="29" xfId="0" applyFont="1" applyFill="1" applyBorder="1" applyAlignment="1">
      <alignment horizontal="left" vertical="center" wrapText="1"/>
    </xf>
    <xf numFmtId="49" fontId="1" fillId="18" borderId="29" xfId="0" applyNumberFormat="1" applyFont="1" applyFill="1" applyBorder="1" applyAlignment="1">
      <alignment horizontal="center" vertical="center" wrapText="1"/>
    </xf>
    <xf numFmtId="0" fontId="1" fillId="18" borderId="20" xfId="0" applyFont="1" applyFill="1" applyBorder="1" applyAlignment="1">
      <alignment horizontal="left" vertical="center" wrapText="1"/>
    </xf>
    <xf numFmtId="0" fontId="1" fillId="18" borderId="20" xfId="0" applyFont="1" applyFill="1" applyBorder="1" applyAlignment="1">
      <alignment horizontal="right" vertical="center" wrapText="1"/>
    </xf>
    <xf numFmtId="0" fontId="1" fillId="18" borderId="20" xfId="0" applyFont="1" applyFill="1" applyBorder="1" applyAlignment="1">
      <alignment vertical="center" wrapText="1"/>
    </xf>
    <xf numFmtId="14" fontId="1" fillId="18" borderId="20" xfId="0" applyNumberFormat="1" applyFont="1" applyFill="1" applyBorder="1" applyAlignment="1">
      <alignment horizontal="right" vertical="center" wrapText="1"/>
    </xf>
    <xf numFmtId="0" fontId="2" fillId="4" borderId="0" xfId="0" applyFont="1" applyFill="1" applyBorder="1" applyAlignment="1">
      <alignment horizontal="right" vertical="center" wrapText="1"/>
    </xf>
    <xf numFmtId="0" fontId="2" fillId="4" borderId="0" xfId="0" applyFont="1" applyFill="1" applyBorder="1" applyAlignment="1">
      <alignment horizontal="left" vertical="center" wrapText="1"/>
    </xf>
    <xf numFmtId="0" fontId="1" fillId="18" borderId="8" xfId="0" applyFont="1" applyFill="1" applyBorder="1" applyAlignment="1">
      <alignment horizontal="center" vertical="center" wrapText="1"/>
    </xf>
    <xf numFmtId="0" fontId="2" fillId="24" borderId="8" xfId="0" applyFont="1" applyFill="1" applyBorder="1" applyAlignment="1">
      <alignment horizontal="left" vertical="center" wrapText="1"/>
    </xf>
    <xf numFmtId="164" fontId="1" fillId="24" borderId="8" xfId="0" applyNumberFormat="1" applyFont="1" applyFill="1" applyBorder="1" applyAlignment="1">
      <alignment horizontal="center" vertical="center" wrapText="1"/>
    </xf>
    <xf numFmtId="0" fontId="2" fillId="18" borderId="8" xfId="1" applyFont="1" applyFill="1" applyBorder="1" applyAlignment="1">
      <alignment horizontal="center" vertical="center" wrapText="1"/>
    </xf>
    <xf numFmtId="0" fontId="1" fillId="24" borderId="8" xfId="0" applyFont="1" applyFill="1" applyBorder="1" applyAlignment="1">
      <alignment horizontal="center" vertical="center" wrapText="1"/>
    </xf>
    <xf numFmtId="0" fontId="2" fillId="24" borderId="8" xfId="0" applyFont="1" applyFill="1" applyBorder="1" applyAlignment="1">
      <alignment horizontal="center" vertical="center" wrapText="1"/>
    </xf>
    <xf numFmtId="0" fontId="4" fillId="0" borderId="8" xfId="0" applyFont="1" applyBorder="1" applyAlignment="1">
      <alignment horizontal="left" vertical="center" wrapText="1"/>
    </xf>
    <xf numFmtId="0" fontId="4" fillId="0" borderId="8" xfId="0" applyFont="1" applyBorder="1" applyAlignment="1">
      <alignment horizontal="center" vertical="center" wrapText="1"/>
    </xf>
    <xf numFmtId="2" fontId="2" fillId="0" borderId="8" xfId="0" applyNumberFormat="1" applyFont="1" applyBorder="1" applyAlignment="1">
      <alignment horizontal="right" vertical="center" wrapText="1"/>
    </xf>
    <xf numFmtId="4" fontId="2" fillId="0" borderId="8" xfId="0" applyNumberFormat="1" applyFont="1" applyBorder="1" applyAlignment="1">
      <alignment horizontal="right" vertical="center" wrapText="1"/>
    </xf>
    <xf numFmtId="0" fontId="2" fillId="24" borderId="8" xfId="0" applyFont="1" applyFill="1" applyBorder="1" applyAlignment="1">
      <alignment horizontal="right" vertical="center" wrapText="1"/>
    </xf>
    <xf numFmtId="4" fontId="2" fillId="24" borderId="8" xfId="0" applyNumberFormat="1" applyFont="1" applyFill="1" applyBorder="1" applyAlignment="1">
      <alignment horizontal="right" vertical="center" wrapText="1"/>
    </xf>
    <xf numFmtId="4" fontId="4" fillId="0" borderId="8" xfId="0" applyNumberFormat="1" applyFont="1" applyBorder="1" applyAlignment="1">
      <alignment horizontal="right" vertical="center" wrapText="1"/>
    </xf>
    <xf numFmtId="0" fontId="2" fillId="0" borderId="32" xfId="0" applyFont="1" applyBorder="1" applyAlignment="1">
      <alignment horizontal="center" vertical="center" wrapText="1"/>
    </xf>
    <xf numFmtId="0" fontId="2" fillId="25" borderId="8" xfId="0" applyFont="1" applyFill="1" applyBorder="1" applyAlignment="1">
      <alignment horizontal="left" vertical="center" wrapText="1"/>
    </xf>
    <xf numFmtId="0" fontId="1" fillId="25" borderId="8" xfId="0" applyFont="1" applyFill="1" applyBorder="1" applyAlignment="1">
      <alignment horizontal="right" vertical="center" wrapText="1"/>
    </xf>
    <xf numFmtId="174" fontId="1" fillId="25" borderId="8" xfId="0" applyNumberFormat="1" applyFont="1" applyFill="1" applyBorder="1" applyAlignment="1">
      <alignment horizontal="right" vertical="center" wrapText="1"/>
    </xf>
    <xf numFmtId="164" fontId="1" fillId="25" borderId="8" xfId="0" applyNumberFormat="1" applyFont="1" applyFill="1" applyBorder="1" applyAlignment="1">
      <alignment horizontal="right" vertical="center" wrapText="1"/>
    </xf>
    <xf numFmtId="0" fontId="15" fillId="25" borderId="8" xfId="0" applyFont="1" applyFill="1" applyBorder="1" applyAlignment="1">
      <alignment horizontal="left" vertical="center" wrapText="1"/>
    </xf>
    <xf numFmtId="0" fontId="2" fillId="24" borderId="22" xfId="0" applyFont="1" applyFill="1" applyBorder="1" applyAlignment="1">
      <alignment horizontal="left" vertical="center" wrapText="1"/>
    </xf>
    <xf numFmtId="0" fontId="1" fillId="24" borderId="20" xfId="0" applyFont="1" applyFill="1" applyBorder="1" applyAlignment="1">
      <alignment horizontal="left" vertical="center" wrapText="1"/>
    </xf>
    <xf numFmtId="0" fontId="2" fillId="18" borderId="8" xfId="0" applyFont="1" applyFill="1" applyBorder="1" applyAlignment="1">
      <alignment horizontal="right" vertical="center" wrapText="1"/>
    </xf>
    <xf numFmtId="0" fontId="15" fillId="0" borderId="8" xfId="0" applyFont="1" applyBorder="1" applyAlignment="1">
      <alignment horizontal="left" vertical="center" wrapText="1"/>
    </xf>
    <xf numFmtId="0" fontId="8" fillId="24" borderId="8" xfId="0" applyFont="1" applyFill="1" applyBorder="1" applyAlignment="1">
      <alignment horizontal="left" vertical="center" wrapText="1"/>
    </xf>
    <xf numFmtId="167" fontId="2" fillId="24" borderId="8" xfId="0" applyNumberFormat="1" applyFont="1" applyFill="1" applyBorder="1" applyAlignment="1">
      <alignment horizontal="right" vertical="center" wrapText="1"/>
    </xf>
    <xf numFmtId="0" fontId="4" fillId="24" borderId="8" xfId="0" applyFont="1" applyFill="1" applyBorder="1" applyAlignment="1">
      <alignment horizontal="left" vertical="center" wrapText="1"/>
    </xf>
    <xf numFmtId="167" fontId="1" fillId="24" borderId="31" xfId="0" applyNumberFormat="1" applyFont="1" applyFill="1" applyBorder="1" applyAlignment="1">
      <alignment horizontal="center" vertical="center" wrapText="1"/>
    </xf>
    <xf numFmtId="167" fontId="1" fillId="24" borderId="20" xfId="0" applyNumberFormat="1" applyFont="1" applyFill="1" applyBorder="1" applyAlignment="1">
      <alignment horizontal="center" vertical="center" wrapText="1"/>
    </xf>
    <xf numFmtId="0" fontId="2" fillId="0" borderId="4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49" xfId="0" applyFont="1" applyBorder="1" applyAlignment="1">
      <alignment horizontal="center" vertical="center" wrapText="1"/>
    </xf>
    <xf numFmtId="0" fontId="4" fillId="0" borderId="36" xfId="0" applyFont="1" applyBorder="1" applyAlignment="1">
      <alignment horizontal="left" vertical="center" wrapText="1"/>
    </xf>
    <xf numFmtId="0" fontId="2" fillId="0" borderId="36" xfId="0" applyFont="1" applyBorder="1" applyAlignment="1">
      <alignment horizontal="center" vertical="center" wrapText="1"/>
    </xf>
    <xf numFmtId="0" fontId="2" fillId="18" borderId="8" xfId="0" applyFont="1" applyFill="1" applyBorder="1" applyAlignment="1">
      <alignment horizontal="left" vertical="center" wrapText="1"/>
    </xf>
    <xf numFmtId="0" fontId="4" fillId="4" borderId="0" xfId="0" applyFont="1" applyFill="1" applyBorder="1" applyAlignment="1">
      <alignment horizontal="center" vertical="center" wrapText="1"/>
    </xf>
    <xf numFmtId="4" fontId="15" fillId="0" borderId="8" xfId="0" applyNumberFormat="1" applyFont="1" applyBorder="1" applyAlignment="1">
      <alignment horizontal="center" vertical="center" wrapText="1"/>
    </xf>
    <xf numFmtId="0" fontId="25" fillId="27" borderId="28" xfId="0" applyFont="1" applyFill="1" applyBorder="1" applyAlignment="1" applyProtection="1">
      <alignment horizontal="center" vertical="center" wrapText="1"/>
    </xf>
    <xf numFmtId="0" fontId="25" fillId="27" borderId="30" xfId="0" applyFont="1" applyFill="1" applyBorder="1" applyAlignment="1" applyProtection="1">
      <alignment horizontal="center" vertical="center" wrapText="1"/>
    </xf>
    <xf numFmtId="0" fontId="25" fillId="27" borderId="24" xfId="0" applyFont="1" applyFill="1" applyBorder="1" applyAlignment="1" applyProtection="1">
      <alignment horizontal="center" vertical="center" wrapText="1"/>
    </xf>
    <xf numFmtId="0" fontId="25" fillId="27" borderId="0" xfId="0" applyFont="1" applyFill="1" applyBorder="1" applyAlignment="1" applyProtection="1">
      <alignment horizontal="center" vertical="center" wrapText="1"/>
    </xf>
    <xf numFmtId="0" fontId="25" fillId="27" borderId="26" xfId="0" applyFont="1" applyFill="1" applyBorder="1" applyAlignment="1" applyProtection="1">
      <alignment horizontal="center" vertical="center" wrapText="1"/>
    </xf>
    <xf numFmtId="0" fontId="25" fillId="27" borderId="37" xfId="0" applyFont="1" applyFill="1" applyBorder="1" applyAlignment="1" applyProtection="1">
      <alignment horizontal="center" vertical="center" wrapText="1"/>
    </xf>
    <xf numFmtId="0" fontId="26" fillId="27" borderId="28" xfId="0" applyFont="1" applyFill="1" applyBorder="1" applyAlignment="1" applyProtection="1">
      <alignment horizontal="center" vertical="center" wrapText="1"/>
    </xf>
    <xf numFmtId="0" fontId="26" fillId="27" borderId="30" xfId="0" applyFont="1" applyFill="1" applyBorder="1" applyAlignment="1" applyProtection="1">
      <alignment horizontal="center" vertical="center" wrapText="1"/>
    </xf>
    <xf numFmtId="0" fontId="26" fillId="27" borderId="24" xfId="0" applyFont="1" applyFill="1" applyBorder="1" applyAlignment="1" applyProtection="1">
      <alignment horizontal="center" vertical="center" wrapText="1"/>
    </xf>
    <xf numFmtId="0" fontId="26" fillId="27" borderId="0" xfId="0" applyFont="1" applyFill="1" applyBorder="1" applyAlignment="1" applyProtection="1">
      <alignment horizontal="center" vertical="center" wrapText="1"/>
    </xf>
    <xf numFmtId="0" fontId="26" fillId="27" borderId="26" xfId="0" applyFont="1" applyFill="1" applyBorder="1" applyAlignment="1" applyProtection="1">
      <alignment horizontal="center" vertical="center" wrapText="1"/>
    </xf>
    <xf numFmtId="0" fontId="26" fillId="27" borderId="37" xfId="0" applyFont="1" applyFill="1" applyBorder="1" applyAlignment="1" applyProtection="1">
      <alignment horizontal="center" vertical="center" wrapText="1"/>
    </xf>
    <xf numFmtId="0" fontId="25" fillId="27" borderId="30" xfId="0" applyFont="1" applyFill="1" applyBorder="1" applyAlignment="1" applyProtection="1">
      <alignment horizontal="left" vertical="center" wrapText="1"/>
    </xf>
    <xf numFmtId="0" fontId="25" fillId="27" borderId="29" xfId="0" applyFont="1" applyFill="1" applyBorder="1" applyAlignment="1" applyProtection="1">
      <alignment horizontal="left" vertical="center" wrapText="1"/>
    </xf>
    <xf numFmtId="0" fontId="25" fillId="27" borderId="0" xfId="0" applyFont="1" applyFill="1" applyBorder="1" applyAlignment="1" applyProtection="1">
      <alignment horizontal="left" vertical="center" wrapText="1"/>
    </xf>
    <xf numFmtId="0" fontId="25" fillId="27" borderId="25" xfId="0" applyFont="1" applyFill="1" applyBorder="1" applyAlignment="1" applyProtection="1">
      <alignment horizontal="left" vertical="center" wrapText="1"/>
    </xf>
    <xf numFmtId="0" fontId="25" fillId="27" borderId="37" xfId="0" applyFont="1" applyFill="1" applyBorder="1" applyAlignment="1" applyProtection="1">
      <alignment horizontal="left" vertical="center" wrapText="1"/>
    </xf>
    <xf numFmtId="0" fontId="25" fillId="27" borderId="27" xfId="0" applyFont="1" applyFill="1" applyBorder="1" applyAlignment="1" applyProtection="1">
      <alignment horizontal="left" vertical="center" wrapText="1"/>
    </xf>
    <xf numFmtId="4" fontId="28" fillId="0" borderId="10" xfId="0" applyNumberFormat="1" applyFont="1" applyBorder="1" applyAlignment="1">
      <alignment horizontal="center" vertical="center" wrapText="1"/>
    </xf>
    <xf numFmtId="4" fontId="28" fillId="0" borderId="23" xfId="0" applyNumberFormat="1" applyFont="1" applyBorder="1" applyAlignment="1">
      <alignment horizontal="center" vertical="center" wrapText="1"/>
    </xf>
    <xf numFmtId="4" fontId="28" fillId="0" borderId="21" xfId="0" applyNumberFormat="1" applyFont="1" applyBorder="1" applyAlignment="1">
      <alignment horizontal="center" vertical="center" wrapText="1"/>
    </xf>
    <xf numFmtId="49" fontId="2" fillId="18" borderId="8" xfId="0" applyNumberFormat="1" applyFont="1" applyFill="1" applyBorder="1" applyAlignment="1">
      <alignment horizontal="center" vertical="center" wrapText="1"/>
    </xf>
    <xf numFmtId="49" fontId="2" fillId="18" borderId="8" xfId="0" applyNumberFormat="1" applyFont="1" applyFill="1" applyBorder="1" applyAlignment="1">
      <alignment horizontal="left" vertical="center" wrapText="1"/>
    </xf>
    <xf numFmtId="49" fontId="2" fillId="24" borderId="8" xfId="0" applyNumberFormat="1" applyFont="1" applyFill="1" applyBorder="1" applyAlignment="1">
      <alignment horizontal="left" vertical="center" wrapText="1"/>
    </xf>
    <xf numFmtId="49" fontId="2" fillId="18" borderId="8" xfId="0" applyNumberFormat="1" applyFont="1" applyFill="1" applyBorder="1" applyAlignment="1">
      <alignment horizontal="right" vertical="center" wrapText="1"/>
    </xf>
    <xf numFmtId="49" fontId="2" fillId="18" borderId="22" xfId="0" applyNumberFormat="1" applyFont="1" applyFill="1" applyBorder="1" applyAlignment="1">
      <alignment horizontal="right" vertical="center" wrapText="1"/>
    </xf>
    <xf numFmtId="0" fontId="2" fillId="0" borderId="8" xfId="0" applyFont="1" applyBorder="1" applyAlignment="1">
      <alignment horizontal="left" vertical="center" wrapText="1"/>
    </xf>
    <xf numFmtId="174" fontId="1" fillId="0" borderId="8" xfId="0" applyNumberFormat="1" applyFont="1" applyBorder="1" applyAlignment="1">
      <alignment horizontal="center" vertical="center" wrapText="1"/>
    </xf>
    <xf numFmtId="174" fontId="1" fillId="0" borderId="8" xfId="0" applyNumberFormat="1" applyFont="1" applyBorder="1" applyAlignment="1">
      <alignment horizontal="right" vertical="center" wrapText="1"/>
    </xf>
    <xf numFmtId="3" fontId="1" fillId="0" borderId="8" xfId="0" applyNumberFormat="1" applyFont="1" applyBorder="1" applyAlignment="1">
      <alignment horizontal="center" vertical="center" wrapText="1"/>
    </xf>
    <xf numFmtId="174" fontId="2" fillId="18" borderId="8" xfId="0" applyNumberFormat="1" applyFont="1" applyFill="1" applyBorder="1" applyAlignment="1">
      <alignment horizontal="right" vertical="center" wrapText="1"/>
    </xf>
    <xf numFmtId="167" fontId="1" fillId="0" borderId="8" xfId="0" applyNumberFormat="1" applyFont="1" applyBorder="1" applyAlignment="1">
      <alignment horizontal="center" vertical="center" wrapText="1"/>
    </xf>
    <xf numFmtId="0" fontId="2" fillId="4" borderId="0" xfId="0" applyFont="1" applyFill="1" applyBorder="1" applyAlignment="1">
      <alignment horizontal="center" vertical="center" wrapText="1"/>
    </xf>
    <xf numFmtId="0" fontId="4" fillId="4" borderId="8" xfId="0" applyFont="1" applyFill="1" applyBorder="1" applyAlignment="1">
      <alignment horizontal="left" vertical="center" wrapText="1"/>
    </xf>
    <xf numFmtId="174" fontId="1" fillId="4" borderId="8" xfId="0" applyNumberFormat="1" applyFont="1" applyFill="1" applyBorder="1" applyAlignment="1">
      <alignment horizontal="center" vertical="center" wrapText="1"/>
    </xf>
    <xf numFmtId="174" fontId="1" fillId="4" borderId="8" xfId="0" applyNumberFormat="1" applyFont="1" applyFill="1" applyBorder="1" applyAlignment="1">
      <alignment horizontal="right" vertical="center" wrapText="1"/>
    </xf>
    <xf numFmtId="3" fontId="1" fillId="4" borderId="8" xfId="0" applyNumberFormat="1" applyFont="1" applyFill="1" applyBorder="1" applyAlignment="1">
      <alignment horizontal="center" vertical="center" wrapText="1"/>
    </xf>
    <xf numFmtId="167" fontId="1" fillId="4" borderId="8" xfId="0" applyNumberFormat="1" applyFont="1" applyFill="1" applyBorder="1" applyAlignment="1">
      <alignment horizontal="center" vertical="center" wrapText="1"/>
    </xf>
    <xf numFmtId="0" fontId="4" fillId="0" borderId="10" xfId="0" applyFont="1" applyBorder="1" applyAlignment="1">
      <alignment horizontal="left" vertical="center" wrapText="1"/>
    </xf>
    <xf numFmtId="3" fontId="1" fillId="0" borderId="10" xfId="0" applyNumberFormat="1" applyFont="1" applyBorder="1" applyAlignment="1">
      <alignment horizontal="center" vertical="center" wrapText="1"/>
    </xf>
    <xf numFmtId="174" fontId="1" fillId="0" borderId="10" xfId="0" applyNumberFormat="1" applyFont="1" applyBorder="1" applyAlignment="1">
      <alignment horizontal="center" vertical="center" wrapText="1"/>
    </xf>
    <xf numFmtId="174" fontId="1" fillId="0" borderId="10" xfId="0" applyNumberFormat="1" applyFont="1" applyBorder="1" applyAlignment="1">
      <alignment horizontal="right" vertical="center" wrapText="1"/>
    </xf>
    <xf numFmtId="0" fontId="4" fillId="0" borderId="32" xfId="0" applyFont="1" applyBorder="1" applyAlignment="1">
      <alignment horizontal="left" vertical="center" wrapText="1"/>
    </xf>
    <xf numFmtId="167" fontId="2" fillId="0" borderId="8" xfId="0" applyNumberFormat="1" applyFont="1" applyBorder="1" applyAlignment="1">
      <alignment horizontal="center" vertical="center" wrapText="1"/>
    </xf>
    <xf numFmtId="167" fontId="2" fillId="0" borderId="8" xfId="0" applyNumberFormat="1" applyFont="1" applyBorder="1" applyAlignment="1">
      <alignment horizontal="right" vertical="center" wrapText="1"/>
    </xf>
    <xf numFmtId="174" fontId="2" fillId="0" borderId="8" xfId="0" applyNumberFormat="1" applyFont="1" applyBorder="1" applyAlignment="1">
      <alignment horizontal="center" vertical="center" wrapText="1"/>
    </xf>
    <xf numFmtId="167" fontId="2" fillId="18" borderId="8" xfId="0" applyNumberFormat="1" applyFont="1" applyFill="1" applyBorder="1" applyAlignment="1">
      <alignment horizontal="right" vertical="center" wrapText="1"/>
    </xf>
    <xf numFmtId="0" fontId="1" fillId="0" borderId="8" xfId="0" applyFont="1" applyBorder="1" applyAlignment="1">
      <alignment horizontal="left" vertical="center" wrapText="1"/>
    </xf>
    <xf numFmtId="0" fontId="1" fillId="4" borderId="8" xfId="0" applyFont="1" applyFill="1" applyBorder="1" applyAlignment="1">
      <alignment horizontal="center" vertical="center" wrapText="1"/>
    </xf>
    <xf numFmtId="167" fontId="1" fillId="14" borderId="8" xfId="0" applyNumberFormat="1" applyFont="1" applyFill="1" applyBorder="1" applyAlignment="1">
      <alignment horizontal="right" vertical="center" wrapText="1"/>
    </xf>
    <xf numFmtId="3" fontId="1" fillId="14" borderId="8" xfId="0" applyNumberFormat="1" applyFont="1" applyFill="1" applyBorder="1" applyAlignment="1">
      <alignment horizontal="right" vertical="center" wrapText="1"/>
    </xf>
    <xf numFmtId="4" fontId="15" fillId="0" borderId="48" xfId="0" applyNumberFormat="1" applyFont="1" applyBorder="1" applyAlignment="1">
      <alignment horizontal="center" vertical="center" wrapText="1"/>
    </xf>
    <xf numFmtId="4" fontId="15" fillId="0" borderId="31" xfId="0" applyNumberFormat="1" applyFont="1" applyBorder="1" applyAlignment="1">
      <alignment horizontal="center" vertical="center" wrapText="1"/>
    </xf>
    <xf numFmtId="4" fontId="15" fillId="0" borderId="49"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0" fontId="4" fillId="14" borderId="8" xfId="0" applyFont="1" applyFill="1" applyBorder="1" applyAlignment="1">
      <alignment horizontal="left" vertical="center" wrapText="1"/>
    </xf>
    <xf numFmtId="171" fontId="4" fillId="14" borderId="8" xfId="0" applyNumberFormat="1" applyFont="1" applyFill="1" applyBorder="1" applyAlignment="1">
      <alignment horizontal="center" vertical="center" wrapText="1"/>
    </xf>
    <xf numFmtId="174" fontId="2" fillId="0" borderId="8" xfId="0" applyNumberFormat="1" applyFont="1" applyBorder="1" applyAlignment="1">
      <alignment horizontal="right" vertical="center" wrapText="1"/>
    </xf>
    <xf numFmtId="0" fontId="4" fillId="18" borderId="26" xfId="0" applyFont="1" applyFill="1" applyBorder="1" applyAlignment="1">
      <alignment horizontal="right" vertical="center" wrapText="1"/>
    </xf>
    <xf numFmtId="0" fontId="4" fillId="18" borderId="27" xfId="0" applyFont="1" applyFill="1" applyBorder="1" applyAlignment="1">
      <alignment horizontal="left" vertical="center" wrapText="1"/>
    </xf>
    <xf numFmtId="173" fontId="1" fillId="18" borderId="20" xfId="0" applyNumberFormat="1" applyFont="1" applyFill="1" applyBorder="1" applyAlignment="1">
      <alignment horizontal="right" vertical="center" wrapText="1"/>
    </xf>
    <xf numFmtId="0" fontId="14" fillId="0" borderId="38" xfId="0" applyFont="1" applyBorder="1" applyAlignment="1">
      <alignment horizontal="left" vertical="center" wrapText="1"/>
    </xf>
    <xf numFmtId="0" fontId="4" fillId="0" borderId="38" xfId="0" applyFont="1" applyBorder="1" applyAlignment="1">
      <alignment horizontal="left" vertical="center" wrapText="1"/>
    </xf>
    <xf numFmtId="0" fontId="4" fillId="4" borderId="38" xfId="0" applyFont="1" applyFill="1" applyBorder="1" applyAlignment="1">
      <alignment horizontal="left" vertical="center" wrapText="1"/>
    </xf>
    <xf numFmtId="0" fontId="2" fillId="0" borderId="38" xfId="0" applyFont="1" applyBorder="1" applyAlignment="1">
      <alignment horizontal="right" vertical="center" wrapText="1"/>
    </xf>
    <xf numFmtId="0" fontId="2" fillId="0" borderId="38" xfId="0" applyFont="1" applyBorder="1" applyAlignment="1">
      <alignment horizontal="left" vertical="center" wrapText="1"/>
    </xf>
    <xf numFmtId="0" fontId="2" fillId="0" borderId="38" xfId="0" applyFont="1" applyBorder="1" applyAlignment="1">
      <alignment horizontal="center" vertical="center" wrapText="1"/>
    </xf>
    <xf numFmtId="0" fontId="1" fillId="0" borderId="38" xfId="0" applyFont="1" applyBorder="1" applyAlignment="1">
      <alignment horizontal="center" vertical="center" wrapText="1"/>
    </xf>
    <xf numFmtId="0" fontId="2" fillId="0" borderId="22" xfId="0" applyFont="1" applyBorder="1" applyAlignment="1">
      <alignment horizontal="left" vertical="center" wrapText="1"/>
    </xf>
    <xf numFmtId="0" fontId="1" fillId="4" borderId="36" xfId="0" applyFont="1" applyFill="1" applyBorder="1" applyAlignment="1">
      <alignment horizontal="center" vertical="center" wrapText="1"/>
    </xf>
    <xf numFmtId="0" fontId="14" fillId="0" borderId="36" xfId="0" applyFont="1" applyBorder="1" applyAlignment="1">
      <alignment horizontal="left" vertical="center" wrapText="1"/>
    </xf>
    <xf numFmtId="2" fontId="1" fillId="0" borderId="8" xfId="0" applyNumberFormat="1" applyFont="1" applyBorder="1" applyAlignment="1">
      <alignment horizontal="center" vertical="center" wrapText="1"/>
    </xf>
    <xf numFmtId="0" fontId="14" fillId="4" borderId="8" xfId="0" applyFont="1" applyFill="1" applyBorder="1" applyAlignment="1">
      <alignment horizontal="center" vertical="center" wrapText="1"/>
    </xf>
    <xf numFmtId="4" fontId="1" fillId="0" borderId="8" xfId="0" applyNumberFormat="1" applyFont="1" applyBorder="1" applyAlignment="1">
      <alignment horizontal="center" vertical="center" wrapText="1"/>
    </xf>
    <xf numFmtId="0" fontId="2" fillId="18" borderId="32" xfId="0" applyFont="1" applyFill="1" applyBorder="1" applyAlignment="1">
      <alignment horizontal="center" vertical="center" wrapText="1"/>
    </xf>
    <xf numFmtId="0" fontId="1" fillId="0" borderId="39" xfId="0" applyFont="1" applyBorder="1" applyAlignment="1">
      <alignment horizontal="left" vertical="center" wrapText="1"/>
    </xf>
    <xf numFmtId="0" fontId="14" fillId="0" borderId="0" xfId="0" applyFont="1" applyBorder="1" applyAlignment="1">
      <alignment horizontal="left" vertical="center" wrapText="1"/>
    </xf>
    <xf numFmtId="0" fontId="4" fillId="4" borderId="8" xfId="0" applyFont="1" applyFill="1" applyBorder="1" applyAlignment="1">
      <alignment horizontal="center" vertical="center" wrapText="1"/>
    </xf>
    <xf numFmtId="0" fontId="4" fillId="14" borderId="8" xfId="0" applyFont="1" applyFill="1" applyBorder="1" applyAlignment="1">
      <alignment horizontal="center" vertical="center" wrapText="1"/>
    </xf>
    <xf numFmtId="49" fontId="2" fillId="4" borderId="8" xfId="0" applyNumberFormat="1" applyFont="1" applyFill="1" applyBorder="1" applyAlignment="1">
      <alignment horizontal="center" vertical="center" wrapText="1"/>
    </xf>
    <xf numFmtId="0" fontId="1" fillId="14" borderId="8" xfId="0" applyFont="1" applyFill="1" applyBorder="1" applyAlignment="1">
      <alignment horizontal="right" vertical="center" wrapText="1"/>
    </xf>
    <xf numFmtId="0" fontId="7" fillId="11" borderId="41" xfId="0" applyFont="1" applyFill="1" applyBorder="1" applyAlignment="1">
      <alignment horizontal="center" vertical="center" wrapText="1"/>
    </xf>
    <xf numFmtId="167" fontId="10" fillId="26" borderId="43" xfId="0" applyNumberFormat="1" applyFont="1" applyFill="1" applyBorder="1" applyAlignment="1">
      <alignment horizontal="center" vertical="center" wrapText="1"/>
    </xf>
    <xf numFmtId="167" fontId="10" fillId="6" borderId="8" xfId="0" applyNumberFormat="1" applyFont="1" applyFill="1" applyBorder="1" applyAlignment="1">
      <alignment horizontal="center" vertical="center" wrapText="1"/>
    </xf>
    <xf numFmtId="167" fontId="10" fillId="26" borderId="8" xfId="0" applyNumberFormat="1" applyFont="1" applyFill="1" applyBorder="1" applyAlignment="1">
      <alignment horizontal="center" vertical="center" wrapText="1"/>
    </xf>
    <xf numFmtId="167" fontId="10" fillId="11" borderId="45" xfId="0" applyNumberFormat="1" applyFont="1" applyFill="1" applyBorder="1" applyAlignment="1">
      <alignment horizontal="center" vertical="center" wrapText="1"/>
    </xf>
    <xf numFmtId="0" fontId="11" fillId="0" borderId="8" xfId="0" applyFont="1" applyBorder="1" applyAlignment="1">
      <alignment horizontal="left" vertical="center" wrapText="1"/>
    </xf>
    <xf numFmtId="0" fontId="11" fillId="0" borderId="3" xfId="0" applyFont="1" applyBorder="1" applyAlignment="1">
      <alignment horizontal="left" vertical="center" wrapText="1"/>
    </xf>
    <xf numFmtId="167" fontId="7" fillId="11" borderId="18" xfId="0" applyNumberFormat="1" applyFont="1" applyFill="1" applyBorder="1" applyAlignment="1">
      <alignment horizontal="center" vertical="center" wrapText="1"/>
    </xf>
    <xf numFmtId="0" fontId="10" fillId="0" borderId="0" xfId="0" applyFont="1" applyBorder="1" applyAlignment="1">
      <alignment horizontal="left" vertical="center" wrapText="1"/>
    </xf>
    <xf numFmtId="0" fontId="10" fillId="0" borderId="46" xfId="0" applyFont="1" applyBorder="1" applyAlignment="1">
      <alignment horizontal="center" vertical="center" wrapText="1"/>
    </xf>
    <xf numFmtId="164" fontId="10" fillId="0" borderId="0" xfId="0" applyNumberFormat="1" applyFont="1" applyBorder="1" applyAlignment="1">
      <alignment horizontal="left" vertical="center" wrapText="1"/>
    </xf>
  </cellXfs>
  <cellStyles count="3">
    <cellStyle name="Moeda 2" xfId="2"/>
    <cellStyle name="Normal" xfId="0" builtinId="0"/>
    <cellStyle name="Normal 2" xfId="1"/>
  </cellStyles>
  <dxfs count="8">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ont>
        <color rgb="FF000000"/>
      </font>
      <fill>
        <patternFill>
          <bgColor rgb="FF00FFFF"/>
        </patternFill>
      </fill>
    </dxf>
  </dxfs>
  <tableStyles count="0" defaultTableStyle="TableStyleMedium2" defaultPivotStyle="PivotStyleLight16"/>
  <colors>
    <indexedColors>
      <rgbColor rgb="FF000000"/>
      <rgbColor rgb="FFFFFFFF"/>
      <rgbColor rgb="FFFF0000"/>
      <rgbColor rgb="FF00FF66"/>
      <rgbColor rgb="FF0000FF"/>
      <rgbColor rgb="FFFFFF00"/>
      <rgbColor rgb="FFFF00FF"/>
      <rgbColor rgb="FF00FFFF"/>
      <rgbColor rgb="FF800000"/>
      <rgbColor rgb="FF38761D"/>
      <rgbColor rgb="FF000080"/>
      <rgbColor rgb="FF4F6228"/>
      <rgbColor rgb="FF800080"/>
      <rgbColor rgb="FF008080"/>
      <rgbColor rgb="FFC0C0C0"/>
      <rgbColor rgb="FF7F7F7F"/>
      <rgbColor rgb="FFD8D8D8"/>
      <rgbColor rgb="FF993366"/>
      <rgbColor rgb="FFF3F3F3"/>
      <rgbColor rgb="FFCFE2F3"/>
      <rgbColor rgb="FF660066"/>
      <rgbColor rgb="FFDDD9C3"/>
      <rgbColor rgb="FF0066CC"/>
      <rgbColor rgb="FFB8CCE4"/>
      <rgbColor rgb="FF000080"/>
      <rgbColor rgb="FFFF00FF"/>
      <rgbColor rgb="FFC3D69B"/>
      <rgbColor rgb="FFD7E4BD"/>
      <rgbColor rgb="FF800080"/>
      <rgbColor rgb="FF800000"/>
      <rgbColor rgb="FF008080"/>
      <rgbColor rgb="FF0000FF"/>
      <rgbColor rgb="FF00B0F0"/>
      <rgbColor rgb="FFEFEFEF"/>
      <rgbColor rgb="FFD9EAD3"/>
      <rgbColor rgb="FFFFFF99"/>
      <rgbColor rgb="FFB6DDE8"/>
      <rgbColor rgb="FFCCCCCC"/>
      <rgbColor rgb="FFBFBFBF"/>
      <rgbColor rgb="FFFBD4B4"/>
      <rgbColor rgb="FFF2F2F2"/>
      <rgbColor rgb="FF92D050"/>
      <rgbColor rgb="FF99CC00"/>
      <rgbColor rgb="FFFFC000"/>
      <rgbColor rgb="FFC2D69B"/>
      <rgbColor rgb="FFFF3333"/>
      <rgbColor rgb="FFD9D9D9"/>
      <rgbColor rgb="FFB7B7B7"/>
      <rgbColor rgb="FF003366"/>
      <rgbColor rgb="FFD6E3BC"/>
      <rgbColor rgb="FF003300"/>
      <rgbColor rgb="FF222222"/>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76320</xdr:colOff>
      <xdr:row>0</xdr:row>
      <xdr:rowOff>19080</xdr:rowOff>
    </xdr:from>
    <xdr:to>
      <xdr:col>0</xdr:col>
      <xdr:colOff>1132200</xdr:colOff>
      <xdr:row>5</xdr:row>
      <xdr:rowOff>18000</xdr:rowOff>
    </xdr:to>
    <xdr:pic>
      <xdr:nvPicPr>
        <xdr:cNvPr id="2" name="image1.png" descr="novamarca iff">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cstate="print"/>
        <a:stretch/>
      </xdr:blipFill>
      <xdr:spPr>
        <a:xfrm>
          <a:off x="76320" y="19080"/>
          <a:ext cx="1055880" cy="808200"/>
        </a:xfrm>
        <a:prstGeom prst="rect">
          <a:avLst/>
        </a:prstGeom>
        <a:ln w="0">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38160</xdr:colOff>
      <xdr:row>0</xdr:row>
      <xdr:rowOff>38160</xdr:rowOff>
    </xdr:from>
    <xdr:to>
      <xdr:col>2</xdr:col>
      <xdr:colOff>1122480</xdr:colOff>
      <xdr:row>5</xdr:row>
      <xdr:rowOff>37080</xdr:rowOff>
    </xdr:to>
    <xdr:pic>
      <xdr:nvPicPr>
        <xdr:cNvPr id="9" name="image1.png" descr="novamarca iff">
          <a:extLst>
            <a:ext uri="{FF2B5EF4-FFF2-40B4-BE49-F238E27FC236}">
              <a16:creationId xmlns="" xmlns:a16="http://schemas.microsoft.com/office/drawing/2014/main" id="{00000000-0008-0000-0A00-000009000000}"/>
            </a:ext>
          </a:extLst>
        </xdr:cNvPr>
        <xdr:cNvPicPr/>
      </xdr:nvPicPr>
      <xdr:blipFill>
        <a:blip xmlns:r="http://schemas.openxmlformats.org/officeDocument/2006/relationships" r:embed="rId1" cstate="print"/>
        <a:stretch/>
      </xdr:blipFill>
      <xdr:spPr>
        <a:xfrm>
          <a:off x="379080" y="38160"/>
          <a:ext cx="1084320" cy="80820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57240</xdr:colOff>
      <xdr:row>0</xdr:row>
      <xdr:rowOff>19080</xdr:rowOff>
    </xdr:from>
    <xdr:to>
      <xdr:col>0</xdr:col>
      <xdr:colOff>1113120</xdr:colOff>
      <xdr:row>4</xdr:row>
      <xdr:rowOff>180000</xdr:rowOff>
    </xdr:to>
    <xdr:pic>
      <xdr:nvPicPr>
        <xdr:cNvPr id="2" name="image1.png" descr="novamarca iff">
          <a:extLst>
            <a:ext uri="{FF2B5EF4-FFF2-40B4-BE49-F238E27FC236}">
              <a16:creationId xmlns="" xmlns:a16="http://schemas.microsoft.com/office/drawing/2014/main" id="{00000000-0008-0000-0100-000002000000}"/>
            </a:ext>
          </a:extLst>
        </xdr:cNvPr>
        <xdr:cNvPicPr/>
      </xdr:nvPicPr>
      <xdr:blipFill>
        <a:blip xmlns:r="http://schemas.openxmlformats.org/officeDocument/2006/relationships" r:embed="rId1" cstate="print"/>
        <a:stretch/>
      </xdr:blipFill>
      <xdr:spPr>
        <a:xfrm>
          <a:off x="57240" y="19080"/>
          <a:ext cx="1055880" cy="111312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57240</xdr:colOff>
      <xdr:row>0</xdr:row>
      <xdr:rowOff>19080</xdr:rowOff>
    </xdr:from>
    <xdr:to>
      <xdr:col>0</xdr:col>
      <xdr:colOff>1113120</xdr:colOff>
      <xdr:row>4</xdr:row>
      <xdr:rowOff>246240</xdr:rowOff>
    </xdr:to>
    <xdr:pic>
      <xdr:nvPicPr>
        <xdr:cNvPr id="3" name="image1.png" descr="novamarca iff">
          <a:extLst>
            <a:ext uri="{FF2B5EF4-FFF2-40B4-BE49-F238E27FC236}">
              <a16:creationId xmlns="" xmlns:a16="http://schemas.microsoft.com/office/drawing/2014/main" id="{00000000-0008-0000-0400-000003000000}"/>
            </a:ext>
          </a:extLst>
        </xdr:cNvPr>
        <xdr:cNvPicPr/>
      </xdr:nvPicPr>
      <xdr:blipFill>
        <a:blip xmlns:r="http://schemas.openxmlformats.org/officeDocument/2006/relationships" r:embed="rId1" cstate="print"/>
        <a:stretch/>
      </xdr:blipFill>
      <xdr:spPr>
        <a:xfrm>
          <a:off x="57240" y="19080"/>
          <a:ext cx="1055880" cy="874800"/>
        </a:xfrm>
        <a:prstGeom prst="rect">
          <a:avLst/>
        </a:prstGeom>
        <a:ln w="0">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57240</xdr:colOff>
      <xdr:row>0</xdr:row>
      <xdr:rowOff>0</xdr:rowOff>
    </xdr:from>
    <xdr:to>
      <xdr:col>0</xdr:col>
      <xdr:colOff>1113120</xdr:colOff>
      <xdr:row>4</xdr:row>
      <xdr:rowOff>227160</xdr:rowOff>
    </xdr:to>
    <xdr:pic>
      <xdr:nvPicPr>
        <xdr:cNvPr id="2" name="image1.png" descr="novamarca iff">
          <a:extLst>
            <a:ext uri="{FF2B5EF4-FFF2-40B4-BE49-F238E27FC236}">
              <a16:creationId xmlns="" xmlns:a16="http://schemas.microsoft.com/office/drawing/2014/main" id="{00000000-0008-0000-0300-000002000000}"/>
            </a:ext>
          </a:extLst>
        </xdr:cNvPr>
        <xdr:cNvPicPr/>
      </xdr:nvPicPr>
      <xdr:blipFill>
        <a:blip xmlns:r="http://schemas.openxmlformats.org/officeDocument/2006/relationships" r:embed="rId1" cstate="print"/>
        <a:stretch/>
      </xdr:blipFill>
      <xdr:spPr>
        <a:xfrm>
          <a:off x="57240" y="0"/>
          <a:ext cx="1055880" cy="874800"/>
        </a:xfrm>
        <a:prstGeom prst="rect">
          <a:avLst/>
        </a:prstGeom>
        <a:ln w="0">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57240</xdr:colOff>
      <xdr:row>0</xdr:row>
      <xdr:rowOff>19080</xdr:rowOff>
    </xdr:from>
    <xdr:to>
      <xdr:col>0</xdr:col>
      <xdr:colOff>1113120</xdr:colOff>
      <xdr:row>4</xdr:row>
      <xdr:rowOff>246240</xdr:rowOff>
    </xdr:to>
    <xdr:pic>
      <xdr:nvPicPr>
        <xdr:cNvPr id="4" name="image1.png" descr="novamarca iff">
          <a:extLst>
            <a:ext uri="{FF2B5EF4-FFF2-40B4-BE49-F238E27FC236}">
              <a16:creationId xmlns="" xmlns:a16="http://schemas.microsoft.com/office/drawing/2014/main" id="{00000000-0008-0000-0500-000004000000}"/>
            </a:ext>
          </a:extLst>
        </xdr:cNvPr>
        <xdr:cNvPicPr/>
      </xdr:nvPicPr>
      <xdr:blipFill>
        <a:blip xmlns:r="http://schemas.openxmlformats.org/officeDocument/2006/relationships" r:embed="rId1" cstate="print"/>
        <a:stretch/>
      </xdr:blipFill>
      <xdr:spPr>
        <a:xfrm>
          <a:off x="57240" y="19080"/>
          <a:ext cx="1055880" cy="874800"/>
        </a:xfrm>
        <a:prstGeom prst="rect">
          <a:avLst/>
        </a:prstGeom>
        <a:ln w="0">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38160</xdr:colOff>
      <xdr:row>0</xdr:row>
      <xdr:rowOff>19080</xdr:rowOff>
    </xdr:from>
    <xdr:to>
      <xdr:col>0</xdr:col>
      <xdr:colOff>1094040</xdr:colOff>
      <xdr:row>4</xdr:row>
      <xdr:rowOff>246240</xdr:rowOff>
    </xdr:to>
    <xdr:pic>
      <xdr:nvPicPr>
        <xdr:cNvPr id="5" name="image1.png" descr="novamarca iff">
          <a:extLst>
            <a:ext uri="{FF2B5EF4-FFF2-40B4-BE49-F238E27FC236}">
              <a16:creationId xmlns="" xmlns:a16="http://schemas.microsoft.com/office/drawing/2014/main" id="{00000000-0008-0000-0600-000005000000}"/>
            </a:ext>
          </a:extLst>
        </xdr:cNvPr>
        <xdr:cNvPicPr/>
      </xdr:nvPicPr>
      <xdr:blipFill>
        <a:blip xmlns:r="http://schemas.openxmlformats.org/officeDocument/2006/relationships" r:embed="rId1" cstate="print"/>
        <a:stretch/>
      </xdr:blipFill>
      <xdr:spPr>
        <a:xfrm>
          <a:off x="38160" y="19080"/>
          <a:ext cx="1055880" cy="874800"/>
        </a:xfrm>
        <a:prstGeom prst="rect">
          <a:avLst/>
        </a:prstGeom>
        <a:ln w="0">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57240</xdr:colOff>
      <xdr:row>0</xdr:row>
      <xdr:rowOff>19080</xdr:rowOff>
    </xdr:from>
    <xdr:to>
      <xdr:col>0</xdr:col>
      <xdr:colOff>1113120</xdr:colOff>
      <xdr:row>4</xdr:row>
      <xdr:rowOff>246240</xdr:rowOff>
    </xdr:to>
    <xdr:pic>
      <xdr:nvPicPr>
        <xdr:cNvPr id="6" name="image1.png" descr="novamarca iff">
          <a:extLst>
            <a:ext uri="{FF2B5EF4-FFF2-40B4-BE49-F238E27FC236}">
              <a16:creationId xmlns="" xmlns:a16="http://schemas.microsoft.com/office/drawing/2014/main" id="{00000000-0008-0000-0700-000006000000}"/>
            </a:ext>
          </a:extLst>
        </xdr:cNvPr>
        <xdr:cNvPicPr/>
      </xdr:nvPicPr>
      <xdr:blipFill>
        <a:blip xmlns:r="http://schemas.openxmlformats.org/officeDocument/2006/relationships" r:embed="rId1" cstate="print"/>
        <a:stretch/>
      </xdr:blipFill>
      <xdr:spPr>
        <a:xfrm>
          <a:off x="57240" y="19080"/>
          <a:ext cx="1055880" cy="874800"/>
        </a:xfrm>
        <a:prstGeom prst="rect">
          <a:avLst/>
        </a:prstGeom>
        <a:ln w="0">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57240</xdr:colOff>
      <xdr:row>0</xdr:row>
      <xdr:rowOff>38160</xdr:rowOff>
    </xdr:from>
    <xdr:to>
      <xdr:col>0</xdr:col>
      <xdr:colOff>1132200</xdr:colOff>
      <xdr:row>4</xdr:row>
      <xdr:rowOff>236880</xdr:rowOff>
    </xdr:to>
    <xdr:pic>
      <xdr:nvPicPr>
        <xdr:cNvPr id="7" name="image1.png" descr="novamarca iff">
          <a:extLst>
            <a:ext uri="{FF2B5EF4-FFF2-40B4-BE49-F238E27FC236}">
              <a16:creationId xmlns="" xmlns:a16="http://schemas.microsoft.com/office/drawing/2014/main" id="{00000000-0008-0000-0800-000007000000}"/>
            </a:ext>
          </a:extLst>
        </xdr:cNvPr>
        <xdr:cNvPicPr/>
      </xdr:nvPicPr>
      <xdr:blipFill>
        <a:blip xmlns:r="http://schemas.openxmlformats.org/officeDocument/2006/relationships" r:embed="rId1" cstate="print"/>
        <a:stretch/>
      </xdr:blipFill>
      <xdr:spPr>
        <a:xfrm>
          <a:off x="57240" y="38160"/>
          <a:ext cx="1074960" cy="846360"/>
        </a:xfrm>
        <a:prstGeom prst="rect">
          <a:avLst/>
        </a:prstGeom>
        <a:ln w="0">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57240</xdr:colOff>
      <xdr:row>0</xdr:row>
      <xdr:rowOff>57240</xdr:rowOff>
    </xdr:from>
    <xdr:to>
      <xdr:col>0</xdr:col>
      <xdr:colOff>1151280</xdr:colOff>
      <xdr:row>4</xdr:row>
      <xdr:rowOff>246240</xdr:rowOff>
    </xdr:to>
    <xdr:pic>
      <xdr:nvPicPr>
        <xdr:cNvPr id="8" name="image1.png" descr="novamarca iff">
          <a:extLst>
            <a:ext uri="{FF2B5EF4-FFF2-40B4-BE49-F238E27FC236}">
              <a16:creationId xmlns="" xmlns:a16="http://schemas.microsoft.com/office/drawing/2014/main" id="{00000000-0008-0000-0900-000008000000}"/>
            </a:ext>
          </a:extLst>
        </xdr:cNvPr>
        <xdr:cNvPicPr/>
      </xdr:nvPicPr>
      <xdr:blipFill>
        <a:blip xmlns:r="http://schemas.openxmlformats.org/officeDocument/2006/relationships" r:embed="rId1" cstate="print"/>
        <a:stretch/>
      </xdr:blipFill>
      <xdr:spPr>
        <a:xfrm>
          <a:off x="57240" y="57240"/>
          <a:ext cx="1094040" cy="836640"/>
        </a:xfrm>
        <a:prstGeom prst="rect">
          <a:avLst/>
        </a:prstGeom>
        <a:ln w="0">
          <a:noFill/>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4.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W1000"/>
  <sheetViews>
    <sheetView showGridLines="0" tabSelected="1" topLeftCell="A40" zoomScaleNormal="100" workbookViewId="0">
      <selection activeCell="C64" sqref="C64"/>
    </sheetView>
  </sheetViews>
  <sheetFormatPr defaultColWidth="14.42578125" defaultRowHeight="14.25" x14ac:dyDescent="0.2"/>
  <cols>
    <col min="1" max="1" width="26.7109375" style="99" customWidth="1"/>
    <col min="2" max="2" width="81" style="99" customWidth="1"/>
    <col min="3" max="3" width="20.85546875" style="99" customWidth="1"/>
    <col min="4" max="23" width="8" style="99" customWidth="1"/>
    <col min="24" max="16384" width="14.42578125" style="99"/>
  </cols>
  <sheetData>
    <row r="1" spans="1:3" ht="12.75" customHeight="1" x14ac:dyDescent="0.2">
      <c r="A1" s="291" t="s">
        <v>0</v>
      </c>
      <c r="B1" s="291"/>
      <c r="C1" s="291"/>
    </row>
    <row r="2" spans="1:3" ht="12.75" customHeight="1" x14ac:dyDescent="0.2">
      <c r="A2" s="291" t="s">
        <v>1</v>
      </c>
      <c r="B2" s="291"/>
      <c r="C2" s="291"/>
    </row>
    <row r="3" spans="1:3" ht="12.75" customHeight="1" x14ac:dyDescent="0.2">
      <c r="A3" s="291" t="s">
        <v>2</v>
      </c>
      <c r="B3" s="291"/>
      <c r="C3" s="291"/>
    </row>
    <row r="4" spans="1:3" ht="12.75" customHeight="1" x14ac:dyDescent="0.2">
      <c r="A4" s="292" t="s">
        <v>3</v>
      </c>
      <c r="B4" s="292"/>
      <c r="C4" s="292"/>
    </row>
    <row r="5" spans="1:3" ht="12.75" customHeight="1" x14ac:dyDescent="0.2">
      <c r="A5" s="293" t="s">
        <v>4</v>
      </c>
      <c r="B5" s="293"/>
      <c r="C5" s="293"/>
    </row>
    <row r="6" spans="1:3" ht="12.75" customHeight="1" x14ac:dyDescent="0.2">
      <c r="A6" s="120"/>
      <c r="B6" s="120"/>
    </row>
    <row r="7" spans="1:3" ht="12.75" customHeight="1" x14ac:dyDescent="0.2">
      <c r="A7" s="243" t="s">
        <v>5</v>
      </c>
      <c r="B7" s="294" t="s">
        <v>6</v>
      </c>
      <c r="C7" s="294"/>
    </row>
    <row r="8" spans="1:3" ht="12.75" customHeight="1" x14ac:dyDescent="0.2">
      <c r="A8" s="244" t="s">
        <v>7</v>
      </c>
      <c r="B8" s="294"/>
      <c r="C8" s="294"/>
    </row>
    <row r="9" spans="1:3" ht="12.75" customHeight="1" x14ac:dyDescent="0.2">
      <c r="A9" s="244" t="s">
        <v>8</v>
      </c>
      <c r="B9" s="294"/>
      <c r="C9" s="294"/>
    </row>
    <row r="10" spans="1:3" ht="12.75" customHeight="1" x14ac:dyDescent="0.2">
      <c r="A10" s="245" t="s">
        <v>9</v>
      </c>
      <c r="B10" s="294"/>
      <c r="C10" s="294"/>
    </row>
    <row r="11" spans="1:3" ht="12.75" customHeight="1" x14ac:dyDescent="0.2">
      <c r="A11" s="246" t="s">
        <v>10</v>
      </c>
      <c r="B11" s="295" t="s">
        <v>11</v>
      </c>
      <c r="C11" s="295"/>
    </row>
    <row r="12" spans="1:3" ht="12.75" customHeight="1" x14ac:dyDescent="0.2">
      <c r="A12" s="247" t="s">
        <v>12</v>
      </c>
      <c r="B12" s="296" t="s">
        <v>692</v>
      </c>
      <c r="C12" s="296"/>
    </row>
    <row r="13" spans="1:3" ht="12.75" customHeight="1" x14ac:dyDescent="0.2">
      <c r="A13" s="247" t="s">
        <v>13</v>
      </c>
      <c r="B13" s="297"/>
      <c r="C13" s="297"/>
    </row>
    <row r="14" spans="1:3" ht="12.75" customHeight="1" x14ac:dyDescent="0.2">
      <c r="A14" s="247" t="s">
        <v>14</v>
      </c>
      <c r="B14" s="298" t="s">
        <v>693</v>
      </c>
      <c r="C14" s="298"/>
    </row>
    <row r="15" spans="1:3" ht="12.75" customHeight="1" x14ac:dyDescent="0.2">
      <c r="A15" s="247" t="s">
        <v>15</v>
      </c>
      <c r="B15" s="298" t="s">
        <v>706</v>
      </c>
      <c r="C15" s="298"/>
    </row>
    <row r="16" spans="1:3" ht="12.75" customHeight="1" x14ac:dyDescent="0.2">
      <c r="A16" s="247" t="s">
        <v>16</v>
      </c>
      <c r="B16" s="298" t="s">
        <v>707</v>
      </c>
      <c r="C16" s="298"/>
    </row>
    <row r="17" spans="1:3" ht="12.75" customHeight="1" x14ac:dyDescent="0.2">
      <c r="A17" s="247" t="s">
        <v>17</v>
      </c>
      <c r="B17" s="298" t="s">
        <v>708</v>
      </c>
      <c r="C17" s="298"/>
    </row>
    <row r="18" spans="1:3" ht="12.75" customHeight="1" x14ac:dyDescent="0.2">
      <c r="A18" s="247" t="s">
        <v>18</v>
      </c>
      <c r="B18" s="298" t="s">
        <v>709</v>
      </c>
      <c r="C18" s="298"/>
    </row>
    <row r="19" spans="1:3" ht="12.75" customHeight="1" x14ac:dyDescent="0.2">
      <c r="A19" s="247" t="s">
        <v>19</v>
      </c>
      <c r="B19" s="298" t="s">
        <v>710</v>
      </c>
      <c r="C19" s="298"/>
    </row>
    <row r="20" spans="1:3" ht="15.75" customHeight="1" x14ac:dyDescent="0.2">
      <c r="A20" s="299" t="s">
        <v>20</v>
      </c>
      <c r="B20" s="299"/>
      <c r="C20" s="299"/>
    </row>
    <row r="21" spans="1:3" ht="58.5" customHeight="1" x14ac:dyDescent="0.2">
      <c r="A21" s="248" t="s">
        <v>21</v>
      </c>
      <c r="B21" s="249" t="s">
        <v>22</v>
      </c>
      <c r="C21" s="250" t="s">
        <v>694</v>
      </c>
    </row>
    <row r="22" spans="1:3" ht="15" customHeight="1" x14ac:dyDescent="0.2">
      <c r="A22" s="300" t="s">
        <v>23</v>
      </c>
      <c r="B22" s="251" t="s">
        <v>24</v>
      </c>
      <c r="C22" s="240">
        <v>1200</v>
      </c>
    </row>
    <row r="23" spans="1:3" ht="15" customHeight="1" x14ac:dyDescent="0.2">
      <c r="A23" s="300"/>
      <c r="B23" s="251" t="s">
        <v>25</v>
      </c>
      <c r="C23" s="240">
        <v>1200</v>
      </c>
    </row>
    <row r="24" spans="1:3" ht="15" customHeight="1" x14ac:dyDescent="0.2">
      <c r="A24" s="300"/>
      <c r="B24" s="251" t="s">
        <v>26</v>
      </c>
      <c r="C24" s="240">
        <v>450</v>
      </c>
    </row>
    <row r="25" spans="1:3" ht="15" customHeight="1" x14ac:dyDescent="0.2">
      <c r="A25" s="300"/>
      <c r="B25" s="251" t="s">
        <v>27</v>
      </c>
      <c r="C25" s="240">
        <v>2500</v>
      </c>
    </row>
    <row r="26" spans="1:3" ht="15" customHeight="1" x14ac:dyDescent="0.2">
      <c r="A26" s="300"/>
      <c r="B26" s="251" t="s">
        <v>28</v>
      </c>
      <c r="C26" s="240">
        <v>1800</v>
      </c>
    </row>
    <row r="27" spans="1:3" ht="15" customHeight="1" x14ac:dyDescent="0.2">
      <c r="A27" s="300"/>
      <c r="B27" s="251" t="s">
        <v>29</v>
      </c>
      <c r="C27" s="240">
        <v>1500</v>
      </c>
    </row>
    <row r="28" spans="1:3" ht="15" customHeight="1" x14ac:dyDescent="0.2">
      <c r="A28" s="300"/>
      <c r="B28" s="251" t="s">
        <v>30</v>
      </c>
      <c r="C28" s="240">
        <v>1200</v>
      </c>
    </row>
    <row r="29" spans="1:3" ht="15" hidden="1" customHeight="1" x14ac:dyDescent="0.2">
      <c r="A29" s="300"/>
      <c r="B29" s="251" t="s">
        <v>31</v>
      </c>
      <c r="C29" s="241">
        <v>800</v>
      </c>
    </row>
    <row r="30" spans="1:3" ht="15" hidden="1" customHeight="1" x14ac:dyDescent="0.2">
      <c r="A30" s="300"/>
      <c r="B30" s="251" t="s">
        <v>32</v>
      </c>
      <c r="C30" s="241">
        <v>450</v>
      </c>
    </row>
    <row r="31" spans="1:3" ht="15" customHeight="1" x14ac:dyDescent="0.2">
      <c r="A31" s="300" t="s">
        <v>33</v>
      </c>
      <c r="B31" s="251" t="s">
        <v>34</v>
      </c>
      <c r="C31" s="240">
        <v>2700</v>
      </c>
    </row>
    <row r="32" spans="1:3" ht="15" hidden="1" customHeight="1" x14ac:dyDescent="0.2">
      <c r="A32" s="300"/>
      <c r="B32" s="251" t="s">
        <v>35</v>
      </c>
      <c r="C32" s="241">
        <v>800</v>
      </c>
    </row>
    <row r="33" spans="1:3" ht="15" hidden="1" customHeight="1" x14ac:dyDescent="0.2">
      <c r="A33" s="300"/>
      <c r="B33" s="251" t="s">
        <v>36</v>
      </c>
      <c r="C33" s="241">
        <v>450</v>
      </c>
    </row>
    <row r="34" spans="1:3" ht="15" customHeight="1" x14ac:dyDescent="0.2">
      <c r="A34" s="300"/>
      <c r="B34" s="251" t="s">
        <v>37</v>
      </c>
      <c r="C34" s="241">
        <v>9000</v>
      </c>
    </row>
    <row r="35" spans="1:3" ht="15" customHeight="1" x14ac:dyDescent="0.2">
      <c r="A35" s="300"/>
      <c r="B35" s="251" t="s">
        <v>38</v>
      </c>
      <c r="C35" s="241">
        <v>2700</v>
      </c>
    </row>
    <row r="36" spans="1:3" ht="15" customHeight="1" x14ac:dyDescent="0.2">
      <c r="A36" s="300"/>
      <c r="B36" s="251" t="s">
        <v>39</v>
      </c>
      <c r="C36" s="241">
        <v>2700</v>
      </c>
    </row>
    <row r="37" spans="1:3" ht="15" customHeight="1" x14ac:dyDescent="0.2">
      <c r="A37" s="300"/>
      <c r="B37" s="251" t="s">
        <v>40</v>
      </c>
      <c r="C37" s="241">
        <v>2700</v>
      </c>
    </row>
    <row r="38" spans="1:3" ht="15" customHeight="1" x14ac:dyDescent="0.2">
      <c r="A38" s="300"/>
      <c r="B38" s="251" t="s">
        <v>41</v>
      </c>
      <c r="C38" s="241">
        <v>100000</v>
      </c>
    </row>
    <row r="39" spans="1:3" ht="15" customHeight="1" x14ac:dyDescent="0.2">
      <c r="A39" s="301" t="s">
        <v>42</v>
      </c>
      <c r="B39" s="251" t="s">
        <v>43</v>
      </c>
      <c r="C39" s="241">
        <v>300</v>
      </c>
    </row>
    <row r="40" spans="1:3" ht="15" customHeight="1" x14ac:dyDescent="0.2">
      <c r="A40" s="301"/>
      <c r="B40" s="251" t="s">
        <v>44</v>
      </c>
      <c r="C40" s="241">
        <v>800</v>
      </c>
    </row>
    <row r="41" spans="1:3" ht="15" customHeight="1" x14ac:dyDescent="0.2">
      <c r="A41" s="301"/>
      <c r="B41" s="251" t="s">
        <v>45</v>
      </c>
      <c r="C41" s="241">
        <v>450</v>
      </c>
    </row>
    <row r="42" spans="1:3" ht="15" customHeight="1" x14ac:dyDescent="0.2">
      <c r="A42" s="300" t="s">
        <v>46</v>
      </c>
      <c r="B42" s="251" t="s">
        <v>47</v>
      </c>
      <c r="C42" s="240">
        <v>160</v>
      </c>
    </row>
    <row r="43" spans="1:3" ht="15" customHeight="1" x14ac:dyDescent="0.2">
      <c r="A43" s="300"/>
      <c r="B43" s="251" t="s">
        <v>48</v>
      </c>
      <c r="C43" s="240">
        <v>380</v>
      </c>
    </row>
    <row r="44" spans="1:3" ht="15" customHeight="1" x14ac:dyDescent="0.2">
      <c r="A44" s="300"/>
      <c r="B44" s="251" t="s">
        <v>49</v>
      </c>
      <c r="C44" s="240">
        <v>380</v>
      </c>
    </row>
    <row r="45" spans="1:3" ht="25.5" customHeight="1" x14ac:dyDescent="0.2">
      <c r="A45" s="248" t="s">
        <v>50</v>
      </c>
      <c r="B45" s="251" t="s">
        <v>51</v>
      </c>
      <c r="C45" s="242">
        <v>160</v>
      </c>
    </row>
    <row r="46" spans="1:3" ht="25.5" customHeight="1" x14ac:dyDescent="0.2">
      <c r="A46" s="252" t="s">
        <v>52</v>
      </c>
      <c r="B46" s="253" t="s">
        <v>53</v>
      </c>
      <c r="C46" s="1">
        <v>450</v>
      </c>
    </row>
    <row r="47" spans="1:3" ht="53.25" customHeight="1" x14ac:dyDescent="0.2">
      <c r="A47" s="302" t="s">
        <v>695</v>
      </c>
      <c r="B47" s="302"/>
      <c r="C47" s="302"/>
    </row>
    <row r="48" spans="1:3" ht="12.75" customHeight="1" x14ac:dyDescent="0.2"/>
    <row r="49" spans="1:23" ht="12.75" customHeight="1" x14ac:dyDescent="0.2">
      <c r="A49" s="303" t="s">
        <v>54</v>
      </c>
      <c r="B49" s="303"/>
      <c r="C49" s="303"/>
      <c r="D49" s="100"/>
      <c r="E49" s="100"/>
      <c r="F49" s="100"/>
      <c r="G49" s="100"/>
      <c r="H49" s="100"/>
      <c r="I49" s="100"/>
      <c r="J49" s="100"/>
      <c r="K49" s="100"/>
      <c r="L49" s="100"/>
      <c r="M49" s="100"/>
      <c r="N49" s="100"/>
      <c r="O49" s="100"/>
      <c r="P49" s="100"/>
      <c r="Q49" s="100"/>
      <c r="R49" s="100"/>
      <c r="S49" s="100"/>
      <c r="T49" s="100"/>
      <c r="U49" s="100"/>
      <c r="V49" s="100"/>
      <c r="W49" s="100"/>
    </row>
    <row r="50" spans="1:23" ht="15.75" customHeight="1" x14ac:dyDescent="0.2">
      <c r="A50" s="305" t="s">
        <v>650</v>
      </c>
      <c r="B50" s="306"/>
      <c r="C50" s="307"/>
      <c r="D50" s="100"/>
      <c r="E50" s="100"/>
      <c r="F50" s="100"/>
      <c r="G50" s="100"/>
      <c r="H50" s="100"/>
      <c r="I50" s="100"/>
      <c r="J50" s="100"/>
      <c r="K50" s="100"/>
      <c r="L50" s="100"/>
      <c r="M50" s="100"/>
      <c r="N50" s="100"/>
      <c r="O50" s="100"/>
      <c r="P50" s="100"/>
      <c r="Q50" s="100"/>
      <c r="R50" s="100"/>
      <c r="S50" s="100"/>
      <c r="T50" s="100"/>
      <c r="U50" s="100"/>
      <c r="V50" s="100"/>
      <c r="W50" s="100"/>
    </row>
    <row r="51" spans="1:23" ht="12.75" customHeight="1" thickBot="1" x14ac:dyDescent="0.25">
      <c r="A51" s="254" t="s">
        <v>55</v>
      </c>
      <c r="B51" s="304">
        <v>1</v>
      </c>
      <c r="C51" s="304"/>
      <c r="D51" s="100"/>
      <c r="E51" s="100"/>
      <c r="F51" s="100"/>
      <c r="G51" s="100"/>
      <c r="H51" s="100"/>
      <c r="I51" s="100"/>
      <c r="J51" s="100"/>
      <c r="K51" s="100"/>
      <c r="L51" s="100"/>
      <c r="M51" s="100"/>
      <c r="N51" s="100"/>
      <c r="O51" s="100"/>
      <c r="P51" s="100"/>
      <c r="Q51" s="100"/>
      <c r="R51" s="100"/>
      <c r="S51" s="100"/>
      <c r="T51" s="100"/>
      <c r="U51" s="100"/>
      <c r="V51" s="100"/>
      <c r="W51" s="100"/>
    </row>
    <row r="52" spans="1:23" ht="12.75" customHeight="1" thickBot="1" x14ac:dyDescent="0.25">
      <c r="A52" s="2"/>
      <c r="B52" s="2"/>
      <c r="C52" s="2"/>
      <c r="D52" s="100"/>
      <c r="E52" s="100"/>
      <c r="F52" s="100"/>
      <c r="G52" s="100"/>
      <c r="H52" s="100"/>
      <c r="I52" s="100"/>
      <c r="J52" s="100"/>
      <c r="K52" s="100"/>
      <c r="L52" s="100"/>
      <c r="M52" s="100"/>
      <c r="N52" s="100"/>
      <c r="O52" s="100"/>
      <c r="P52" s="100"/>
      <c r="Q52" s="100"/>
      <c r="R52" s="100"/>
      <c r="S52" s="100"/>
      <c r="T52" s="100"/>
      <c r="U52" s="100"/>
      <c r="V52" s="100"/>
      <c r="W52" s="100"/>
    </row>
    <row r="53" spans="1:23" ht="12.75" customHeight="1" x14ac:dyDescent="0.2">
      <c r="A53" s="303" t="s">
        <v>56</v>
      </c>
      <c r="B53" s="303"/>
      <c r="C53" s="303"/>
      <c r="D53" s="100"/>
      <c r="E53" s="100"/>
      <c r="F53" s="100"/>
      <c r="G53" s="100"/>
      <c r="H53" s="100"/>
      <c r="I53" s="100"/>
      <c r="J53" s="100"/>
      <c r="K53" s="100"/>
      <c r="L53" s="100"/>
      <c r="M53" s="100"/>
      <c r="N53" s="100"/>
      <c r="O53" s="100"/>
      <c r="P53" s="100"/>
      <c r="Q53" s="100"/>
      <c r="R53" s="100"/>
      <c r="S53" s="100"/>
      <c r="T53" s="100"/>
      <c r="U53" s="100"/>
      <c r="V53" s="100"/>
      <c r="W53" s="100"/>
    </row>
    <row r="54" spans="1:23" ht="12.75" customHeight="1" x14ac:dyDescent="0.2">
      <c r="A54" s="248" t="s">
        <v>57</v>
      </c>
      <c r="B54" s="308">
        <f ca="1">TODAY()</f>
        <v>44609</v>
      </c>
      <c r="C54" s="308"/>
      <c r="D54" s="100"/>
      <c r="E54" s="100"/>
      <c r="F54" s="100"/>
      <c r="G54" s="100"/>
      <c r="H54" s="100"/>
      <c r="I54" s="100"/>
      <c r="J54" s="100"/>
      <c r="K54" s="100"/>
      <c r="L54" s="100"/>
      <c r="M54" s="100"/>
      <c r="N54" s="100"/>
      <c r="O54" s="100"/>
      <c r="P54" s="100"/>
      <c r="Q54" s="100"/>
      <c r="R54" s="100"/>
      <c r="S54" s="100"/>
      <c r="T54" s="100"/>
      <c r="U54" s="100"/>
      <c r="V54" s="100"/>
      <c r="W54" s="100"/>
    </row>
    <row r="55" spans="1:23" ht="12.75" customHeight="1" x14ac:dyDescent="0.2">
      <c r="A55" s="248" t="s">
        <v>58</v>
      </c>
      <c r="B55" s="309" t="s">
        <v>59</v>
      </c>
      <c r="C55" s="309"/>
      <c r="D55" s="100"/>
      <c r="E55" s="100"/>
      <c r="F55" s="100"/>
      <c r="G55" s="100"/>
      <c r="H55" s="100"/>
      <c r="I55" s="100"/>
      <c r="J55" s="100"/>
      <c r="K55" s="100"/>
      <c r="L55" s="100"/>
      <c r="M55" s="100"/>
      <c r="N55" s="100"/>
      <c r="O55" s="100"/>
      <c r="P55" s="100"/>
      <c r="Q55" s="100"/>
      <c r="R55" s="100"/>
      <c r="S55" s="100"/>
      <c r="T55" s="100"/>
      <c r="U55" s="100"/>
      <c r="V55" s="100"/>
      <c r="W55" s="100"/>
    </row>
    <row r="56" spans="1:23" ht="12.75" customHeight="1" x14ac:dyDescent="0.2">
      <c r="A56" s="248" t="s">
        <v>60</v>
      </c>
      <c r="B56" s="309" t="s">
        <v>714</v>
      </c>
      <c r="C56" s="309"/>
      <c r="D56" s="100"/>
      <c r="E56" s="100"/>
      <c r="F56" s="100"/>
      <c r="G56" s="100"/>
      <c r="H56" s="100"/>
      <c r="I56" s="100"/>
      <c r="J56" s="100"/>
      <c r="K56" s="100"/>
      <c r="L56" s="100"/>
      <c r="M56" s="100"/>
      <c r="N56" s="100"/>
      <c r="O56" s="100"/>
      <c r="P56" s="100"/>
      <c r="Q56" s="100"/>
      <c r="R56" s="100"/>
      <c r="S56" s="100"/>
      <c r="T56" s="100"/>
      <c r="U56" s="100"/>
      <c r="V56" s="100"/>
      <c r="W56" s="100"/>
    </row>
    <row r="57" spans="1:23" ht="12.75" customHeight="1" x14ac:dyDescent="0.2">
      <c r="A57" s="255" t="s">
        <v>61</v>
      </c>
      <c r="B57" s="304">
        <v>20</v>
      </c>
      <c r="C57" s="304"/>
      <c r="D57" s="100"/>
      <c r="E57" s="100"/>
      <c r="F57" s="100"/>
      <c r="G57" s="100"/>
      <c r="H57" s="100"/>
      <c r="I57" s="100"/>
      <c r="J57" s="100"/>
      <c r="K57" s="100"/>
      <c r="L57" s="100"/>
      <c r="M57" s="100"/>
      <c r="N57" s="100"/>
      <c r="O57" s="100"/>
      <c r="P57" s="100"/>
      <c r="Q57" s="100"/>
      <c r="R57" s="100"/>
      <c r="S57" s="100"/>
      <c r="T57" s="100"/>
      <c r="U57" s="100"/>
      <c r="V57" s="100"/>
      <c r="W57" s="100"/>
    </row>
    <row r="58" spans="1:23" ht="12.75" customHeight="1" x14ac:dyDescent="0.2">
      <c r="A58" s="2"/>
      <c r="B58" s="2"/>
      <c r="C58" s="2"/>
      <c r="D58" s="100"/>
      <c r="E58" s="100"/>
      <c r="F58" s="100"/>
      <c r="G58" s="100"/>
      <c r="H58" s="100"/>
      <c r="I58" s="100"/>
      <c r="J58" s="100"/>
      <c r="K58" s="100"/>
      <c r="L58" s="100"/>
      <c r="M58" s="100"/>
      <c r="N58" s="100"/>
      <c r="O58" s="100"/>
      <c r="P58" s="100"/>
      <c r="Q58" s="100"/>
      <c r="R58" s="100"/>
      <c r="S58" s="100"/>
      <c r="T58" s="100"/>
      <c r="U58" s="100"/>
      <c r="V58" s="100"/>
      <c r="W58" s="100"/>
    </row>
    <row r="59" spans="1:23" ht="12.75" customHeight="1" x14ac:dyDescent="0.2">
      <c r="A59" s="310" t="s">
        <v>62</v>
      </c>
      <c r="B59" s="310"/>
      <c r="C59" s="310"/>
      <c r="D59" s="100"/>
      <c r="E59" s="100"/>
      <c r="F59" s="100"/>
      <c r="G59" s="100"/>
      <c r="H59" s="100"/>
      <c r="I59" s="100"/>
      <c r="J59" s="100"/>
      <c r="K59" s="100"/>
      <c r="L59" s="100"/>
      <c r="M59" s="100"/>
      <c r="N59" s="100"/>
      <c r="O59" s="100"/>
      <c r="P59" s="100"/>
      <c r="Q59" s="100"/>
      <c r="R59" s="100"/>
      <c r="S59" s="100"/>
      <c r="T59" s="100"/>
      <c r="U59" s="100"/>
      <c r="V59" s="100"/>
      <c r="W59" s="100"/>
    </row>
    <row r="60" spans="1:23" ht="15" customHeight="1" x14ac:dyDescent="0.2">
      <c r="A60" s="256" t="s">
        <v>63</v>
      </c>
      <c r="B60" s="311" t="s">
        <v>64</v>
      </c>
      <c r="C60" s="311"/>
      <c r="D60" s="257"/>
      <c r="E60" s="257"/>
      <c r="F60" s="257"/>
      <c r="G60" s="257"/>
      <c r="H60" s="2"/>
      <c r="I60" s="2"/>
      <c r="J60" s="2"/>
      <c r="K60" s="100"/>
      <c r="L60" s="100"/>
      <c r="M60" s="100"/>
      <c r="N60" s="100"/>
      <c r="O60" s="100"/>
      <c r="P60" s="100"/>
      <c r="Q60" s="100"/>
      <c r="R60" s="100"/>
      <c r="S60" s="100"/>
      <c r="T60" s="100"/>
      <c r="U60" s="100"/>
      <c r="V60" s="100"/>
      <c r="W60" s="100"/>
    </row>
    <row r="61" spans="1:23" ht="12.75" customHeight="1" x14ac:dyDescent="0.2">
      <c r="A61" s="312" t="s">
        <v>65</v>
      </c>
      <c r="B61" s="312"/>
      <c r="C61" s="258">
        <v>5143</v>
      </c>
      <c r="D61" s="257"/>
      <c r="E61" s="257"/>
      <c r="F61" s="257"/>
      <c r="G61" s="257"/>
      <c r="H61" s="100"/>
      <c r="I61" s="100"/>
      <c r="J61" s="100"/>
      <c r="K61" s="100"/>
      <c r="L61" s="100"/>
      <c r="M61" s="100"/>
      <c r="N61" s="100"/>
      <c r="O61" s="100"/>
      <c r="P61" s="100"/>
      <c r="Q61" s="100"/>
      <c r="R61" s="100"/>
      <c r="S61" s="100"/>
      <c r="T61" s="100"/>
      <c r="U61" s="100"/>
      <c r="V61" s="100"/>
      <c r="W61" s="100"/>
    </row>
    <row r="62" spans="1:23" ht="12.75" customHeight="1" x14ac:dyDescent="0.2">
      <c r="A62" s="256" t="s">
        <v>66</v>
      </c>
      <c r="B62" s="313" t="s">
        <v>715</v>
      </c>
      <c r="C62" s="313"/>
      <c r="D62" s="257"/>
      <c r="E62" s="257"/>
      <c r="F62" s="257"/>
      <c r="G62" s="257"/>
      <c r="H62" s="100"/>
      <c r="I62" s="100"/>
      <c r="J62" s="100"/>
      <c r="K62" s="100"/>
      <c r="L62" s="100"/>
      <c r="M62" s="100"/>
      <c r="N62" s="100"/>
      <c r="O62" s="100"/>
      <c r="P62" s="100"/>
      <c r="Q62" s="100"/>
      <c r="R62" s="100"/>
      <c r="S62" s="100"/>
      <c r="T62" s="100"/>
      <c r="U62" s="100"/>
      <c r="V62" s="100"/>
      <c r="W62" s="100"/>
    </row>
    <row r="63" spans="1:23" ht="24.75" customHeight="1" x14ac:dyDescent="0.2">
      <c r="A63" s="312" t="s">
        <v>67</v>
      </c>
      <c r="B63" s="312"/>
      <c r="C63" s="259">
        <v>1314.09</v>
      </c>
      <c r="D63" s="257"/>
      <c r="E63" s="257"/>
      <c r="F63" s="257"/>
      <c r="G63" s="257"/>
      <c r="H63" s="100"/>
      <c r="I63" s="100"/>
      <c r="J63" s="100"/>
      <c r="K63" s="100"/>
      <c r="L63" s="100"/>
      <c r="M63" s="100"/>
      <c r="N63" s="100"/>
      <c r="O63" s="100"/>
      <c r="P63" s="100"/>
      <c r="Q63" s="100"/>
      <c r="R63" s="100"/>
      <c r="S63" s="100"/>
      <c r="T63" s="100"/>
      <c r="U63" s="100"/>
      <c r="V63" s="100"/>
      <c r="W63" s="100"/>
    </row>
    <row r="64" spans="1:23" ht="30" x14ac:dyDescent="0.2">
      <c r="A64" s="312" t="s">
        <v>68</v>
      </c>
      <c r="B64" s="312"/>
      <c r="C64" s="290" t="s">
        <v>69</v>
      </c>
      <c r="D64" s="257"/>
      <c r="E64" s="257"/>
      <c r="F64" s="257"/>
      <c r="G64" s="257"/>
      <c r="H64" s="100"/>
      <c r="I64" s="100"/>
      <c r="J64" s="100"/>
      <c r="K64" s="100"/>
      <c r="L64" s="100"/>
      <c r="M64" s="100"/>
      <c r="N64" s="100"/>
      <c r="O64" s="100"/>
      <c r="P64" s="100"/>
      <c r="Q64" s="100"/>
      <c r="R64" s="100"/>
      <c r="S64" s="100"/>
      <c r="T64" s="100"/>
      <c r="U64" s="100"/>
      <c r="V64" s="100"/>
      <c r="W64" s="100"/>
    </row>
    <row r="65" spans="1:23" ht="13.5" customHeight="1" thickBot="1" x14ac:dyDescent="0.25">
      <c r="A65" s="314" t="s">
        <v>70</v>
      </c>
      <c r="B65" s="314"/>
      <c r="C65" s="274">
        <v>44562</v>
      </c>
      <c r="D65" s="257"/>
      <c r="E65" s="257"/>
      <c r="F65" s="257"/>
      <c r="G65" s="257"/>
      <c r="H65" s="100"/>
      <c r="I65" s="100"/>
      <c r="J65" s="100"/>
      <c r="K65" s="100"/>
      <c r="L65" s="100"/>
      <c r="M65" s="100"/>
      <c r="N65" s="100"/>
      <c r="O65" s="100"/>
      <c r="P65" s="100"/>
      <c r="Q65" s="100"/>
      <c r="R65" s="100"/>
      <c r="S65" s="100"/>
      <c r="T65" s="100"/>
      <c r="U65" s="100"/>
      <c r="V65" s="100"/>
      <c r="W65" s="100"/>
    </row>
    <row r="66" spans="1:23" ht="12.75" customHeight="1" x14ac:dyDescent="0.2">
      <c r="A66" s="2"/>
      <c r="B66" s="2"/>
      <c r="C66" s="2"/>
      <c r="D66" s="100"/>
      <c r="E66" s="100"/>
      <c r="F66" s="100"/>
      <c r="G66" s="100"/>
      <c r="H66" s="100"/>
      <c r="I66" s="100"/>
      <c r="J66" s="100"/>
      <c r="K66" s="100"/>
      <c r="L66" s="100"/>
      <c r="M66" s="100"/>
      <c r="N66" s="100"/>
      <c r="O66" s="100"/>
      <c r="P66" s="100"/>
      <c r="Q66" s="100"/>
      <c r="R66" s="100"/>
      <c r="S66" s="100"/>
      <c r="T66" s="100"/>
      <c r="U66" s="100"/>
      <c r="V66" s="100"/>
      <c r="W66" s="100"/>
    </row>
    <row r="67" spans="1:23" ht="12.75" customHeight="1" x14ac:dyDescent="0.2">
      <c r="A67" s="303" t="s">
        <v>71</v>
      </c>
      <c r="B67" s="303"/>
      <c r="C67" s="303"/>
      <c r="D67" s="100"/>
      <c r="E67" s="100"/>
      <c r="F67" s="100"/>
      <c r="G67" s="100"/>
      <c r="H67" s="100"/>
      <c r="I67" s="100"/>
      <c r="J67" s="100"/>
      <c r="K67" s="100"/>
      <c r="L67" s="100"/>
      <c r="M67" s="100"/>
      <c r="N67" s="100"/>
      <c r="O67" s="100"/>
      <c r="P67" s="100"/>
      <c r="Q67" s="100"/>
      <c r="R67" s="100"/>
      <c r="S67" s="100"/>
      <c r="T67" s="100"/>
      <c r="U67" s="100"/>
      <c r="V67" s="100"/>
      <c r="W67" s="100"/>
    </row>
    <row r="68" spans="1:23" ht="12.75" customHeight="1" x14ac:dyDescent="0.2">
      <c r="A68" s="300" t="s">
        <v>72</v>
      </c>
      <c r="B68" s="300"/>
      <c r="C68" s="260">
        <v>44</v>
      </c>
      <c r="D68" s="100"/>
      <c r="E68" s="100"/>
      <c r="F68" s="100"/>
      <c r="G68" s="100"/>
      <c r="H68" s="100"/>
      <c r="I68" s="100"/>
      <c r="J68" s="100"/>
      <c r="K68" s="100"/>
      <c r="L68" s="100"/>
      <c r="M68" s="100"/>
      <c r="N68" s="100"/>
      <c r="O68" s="100"/>
      <c r="P68" s="100"/>
      <c r="Q68" s="100"/>
      <c r="R68" s="100"/>
      <c r="S68" s="100"/>
      <c r="T68" s="100"/>
      <c r="U68" s="100"/>
      <c r="V68" s="100"/>
      <c r="W68" s="100"/>
    </row>
    <row r="69" spans="1:23" ht="12.75" customHeight="1" x14ac:dyDescent="0.2">
      <c r="A69" s="248" t="s">
        <v>73</v>
      </c>
      <c r="B69" s="261" t="s">
        <v>716</v>
      </c>
      <c r="C69" s="262"/>
      <c r="D69" s="100"/>
      <c r="E69" s="100"/>
      <c r="F69" s="100"/>
      <c r="G69" s="100"/>
      <c r="H69" s="100"/>
      <c r="I69" s="100"/>
      <c r="J69" s="100"/>
      <c r="K69" s="100"/>
      <c r="L69" s="100"/>
      <c r="M69" s="100"/>
      <c r="N69" s="100"/>
      <c r="O69" s="100"/>
      <c r="P69" s="100"/>
      <c r="Q69" s="100"/>
      <c r="R69" s="100"/>
      <c r="S69" s="100"/>
      <c r="T69" s="100"/>
      <c r="U69" s="100"/>
      <c r="V69" s="100"/>
      <c r="W69" s="100"/>
    </row>
    <row r="70" spans="1:23" ht="12.75" customHeight="1" x14ac:dyDescent="0.2">
      <c r="A70" s="300" t="s">
        <v>74</v>
      </c>
      <c r="B70" s="300"/>
      <c r="C70" s="263">
        <v>0.4</v>
      </c>
      <c r="D70" s="100"/>
      <c r="E70" s="100"/>
      <c r="F70" s="100"/>
      <c r="G70" s="100"/>
      <c r="H70" s="100"/>
      <c r="I70" s="100"/>
      <c r="J70" s="100"/>
      <c r="K70" s="100"/>
      <c r="L70" s="100"/>
      <c r="M70" s="100"/>
      <c r="N70" s="100"/>
      <c r="O70" s="100"/>
      <c r="P70" s="100"/>
      <c r="Q70" s="100"/>
      <c r="R70" s="100"/>
      <c r="S70" s="100"/>
      <c r="T70" s="100"/>
      <c r="U70" s="100"/>
      <c r="V70" s="100"/>
      <c r="W70" s="100"/>
    </row>
    <row r="71" spans="1:23" ht="12.75" customHeight="1" x14ac:dyDescent="0.2">
      <c r="A71" s="315" t="s">
        <v>75</v>
      </c>
      <c r="B71" s="315"/>
      <c r="C71" s="264">
        <v>0.2</v>
      </c>
      <c r="D71" s="100"/>
      <c r="E71" s="100"/>
      <c r="F71" s="100"/>
      <c r="G71" s="100"/>
      <c r="H71" s="100"/>
      <c r="I71" s="100"/>
      <c r="J71" s="100"/>
      <c r="K71" s="100"/>
      <c r="L71" s="100"/>
      <c r="M71" s="100"/>
      <c r="N71" s="100"/>
      <c r="O71" s="100"/>
      <c r="P71" s="100"/>
      <c r="Q71" s="100"/>
      <c r="R71" s="100"/>
      <c r="S71" s="100"/>
      <c r="T71" s="100"/>
      <c r="U71" s="100"/>
      <c r="V71" s="100"/>
      <c r="W71" s="100"/>
    </row>
    <row r="72" spans="1:23" ht="12.75" customHeight="1" x14ac:dyDescent="0.2">
      <c r="A72" s="2"/>
      <c r="B72" s="2"/>
      <c r="C72" s="2"/>
      <c r="D72" s="100"/>
      <c r="E72" s="100"/>
      <c r="F72" s="100"/>
      <c r="G72" s="100"/>
      <c r="H72" s="100"/>
      <c r="I72" s="100"/>
      <c r="J72" s="100"/>
      <c r="K72" s="100"/>
      <c r="L72" s="100"/>
      <c r="M72" s="100"/>
      <c r="N72" s="100"/>
      <c r="O72" s="100"/>
      <c r="P72" s="100"/>
      <c r="Q72" s="100"/>
      <c r="R72" s="100"/>
      <c r="S72" s="100"/>
      <c r="T72" s="100"/>
      <c r="U72" s="100"/>
      <c r="V72" s="100"/>
      <c r="W72" s="100"/>
    </row>
    <row r="73" spans="1:23" ht="12.75" customHeight="1" x14ac:dyDescent="0.2">
      <c r="A73" s="303" t="s">
        <v>76</v>
      </c>
      <c r="B73" s="303"/>
      <c r="C73" s="303"/>
      <c r="D73" s="2"/>
      <c r="E73" s="2"/>
      <c r="F73" s="2"/>
      <c r="G73" s="2"/>
      <c r="H73" s="2"/>
      <c r="I73" s="2"/>
      <c r="J73" s="100"/>
      <c r="K73" s="100"/>
      <c r="L73" s="100"/>
      <c r="M73" s="100"/>
      <c r="N73" s="100"/>
      <c r="O73" s="100"/>
      <c r="P73" s="100"/>
      <c r="Q73" s="100"/>
      <c r="R73" s="100"/>
      <c r="S73" s="100"/>
      <c r="T73" s="100"/>
      <c r="U73" s="100"/>
      <c r="V73" s="100"/>
      <c r="W73" s="100"/>
    </row>
    <row r="74" spans="1:23" ht="12.75" customHeight="1" x14ac:dyDescent="0.2">
      <c r="A74" s="248" t="s">
        <v>77</v>
      </c>
      <c r="B74" s="316">
        <v>0.03</v>
      </c>
      <c r="C74" s="316"/>
      <c r="D74" s="100"/>
      <c r="E74" s="100"/>
      <c r="F74" s="100"/>
      <c r="G74" s="100"/>
      <c r="H74" s="100"/>
      <c r="I74" s="100"/>
      <c r="J74" s="100"/>
      <c r="K74" s="100"/>
      <c r="L74" s="100"/>
      <c r="M74" s="100"/>
      <c r="N74" s="100"/>
      <c r="O74" s="100"/>
      <c r="P74" s="100"/>
      <c r="Q74" s="100"/>
      <c r="R74" s="100"/>
      <c r="S74" s="100"/>
      <c r="T74" s="100"/>
      <c r="U74" s="100"/>
      <c r="V74" s="100"/>
      <c r="W74" s="100"/>
    </row>
    <row r="75" spans="1:23" ht="12.75" customHeight="1" x14ac:dyDescent="0.2">
      <c r="A75" s="255" t="s">
        <v>78</v>
      </c>
      <c r="B75" s="304">
        <v>1</v>
      </c>
      <c r="C75" s="304"/>
      <c r="D75" s="100"/>
      <c r="E75" s="100"/>
      <c r="F75" s="100"/>
      <c r="G75" s="100"/>
      <c r="H75" s="100"/>
      <c r="I75" s="100"/>
      <c r="J75" s="100"/>
      <c r="K75" s="100"/>
      <c r="L75" s="100"/>
      <c r="M75" s="100"/>
      <c r="N75" s="100"/>
      <c r="O75" s="100"/>
      <c r="P75" s="100"/>
      <c r="Q75" s="100"/>
      <c r="R75" s="100"/>
      <c r="S75" s="100"/>
      <c r="T75" s="100"/>
      <c r="U75" s="100"/>
      <c r="V75" s="100"/>
      <c r="W75" s="100"/>
    </row>
    <row r="76" spans="1:23" ht="12.75" customHeight="1" x14ac:dyDescent="0.2">
      <c r="A76" s="2"/>
      <c r="B76" s="2"/>
      <c r="C76" s="2"/>
      <c r="D76" s="100"/>
      <c r="E76" s="100"/>
      <c r="F76" s="100"/>
      <c r="G76" s="100"/>
      <c r="H76" s="100"/>
      <c r="I76" s="100"/>
      <c r="J76" s="100"/>
      <c r="K76" s="100"/>
      <c r="L76" s="100"/>
      <c r="M76" s="100"/>
      <c r="N76" s="100"/>
      <c r="O76" s="100"/>
      <c r="P76" s="100"/>
      <c r="Q76" s="100"/>
      <c r="R76" s="100"/>
      <c r="S76" s="100"/>
      <c r="T76" s="100"/>
      <c r="U76" s="100"/>
      <c r="V76" s="100"/>
      <c r="W76" s="100"/>
    </row>
    <row r="77" spans="1:23" ht="12.75" customHeight="1" x14ac:dyDescent="0.2">
      <c r="A77" s="317" t="s">
        <v>79</v>
      </c>
      <c r="B77" s="317"/>
      <c r="C77" s="317"/>
      <c r="D77" s="100"/>
      <c r="E77" s="100"/>
      <c r="F77" s="100"/>
      <c r="G77" s="100"/>
      <c r="H77" s="100"/>
      <c r="I77" s="100"/>
      <c r="J77" s="100"/>
      <c r="K77" s="100"/>
      <c r="L77" s="100"/>
      <c r="M77" s="100"/>
      <c r="N77" s="100"/>
      <c r="O77" s="100"/>
      <c r="P77" s="100"/>
      <c r="Q77" s="100"/>
      <c r="R77" s="100"/>
      <c r="S77" s="100"/>
      <c r="T77" s="100"/>
      <c r="U77" s="100"/>
      <c r="V77" s="100"/>
      <c r="W77" s="100"/>
    </row>
    <row r="78" spans="1:23" ht="12.75" customHeight="1" x14ac:dyDescent="0.2">
      <c r="A78" s="312" t="s">
        <v>80</v>
      </c>
      <c r="B78" s="312"/>
      <c r="C78" s="265">
        <v>0.2</v>
      </c>
      <c r="D78" s="257"/>
      <c r="E78" s="257"/>
      <c r="F78" s="257"/>
      <c r="G78" s="257"/>
      <c r="H78" s="100"/>
      <c r="I78" s="100"/>
      <c r="J78" s="100"/>
      <c r="K78" s="100"/>
      <c r="L78" s="100"/>
      <c r="M78" s="100"/>
      <c r="N78" s="100"/>
      <c r="O78" s="100"/>
      <c r="P78" s="100"/>
      <c r="Q78" s="100"/>
      <c r="R78" s="100"/>
      <c r="S78" s="100"/>
      <c r="T78" s="100"/>
      <c r="U78" s="100"/>
      <c r="V78" s="100"/>
      <c r="W78" s="100"/>
    </row>
    <row r="79" spans="1:23" ht="12.75" customHeight="1" x14ac:dyDescent="0.2">
      <c r="A79" s="312" t="s">
        <v>81</v>
      </c>
      <c r="B79" s="312"/>
      <c r="C79" s="265">
        <v>2.5000000000000001E-2</v>
      </c>
      <c r="D79" s="257"/>
      <c r="E79" s="257"/>
      <c r="F79" s="257"/>
      <c r="G79" s="257"/>
      <c r="H79" s="100"/>
      <c r="I79" s="100"/>
      <c r="J79" s="100"/>
      <c r="K79" s="100"/>
      <c r="L79" s="100"/>
      <c r="M79" s="100"/>
      <c r="N79" s="100"/>
      <c r="O79" s="100"/>
      <c r="P79" s="100"/>
      <c r="Q79" s="100"/>
      <c r="R79" s="100"/>
      <c r="S79" s="100"/>
      <c r="T79" s="100"/>
      <c r="U79" s="100"/>
      <c r="V79" s="100"/>
      <c r="W79" s="100"/>
    </row>
    <row r="80" spans="1:23" ht="12.75" customHeight="1" x14ac:dyDescent="0.2">
      <c r="A80" s="312" t="s">
        <v>82</v>
      </c>
      <c r="B80" s="312"/>
      <c r="C80" s="266">
        <f>B74*B75</f>
        <v>0.03</v>
      </c>
      <c r="D80" s="67"/>
      <c r="E80" s="267"/>
      <c r="F80" s="67"/>
      <c r="G80" s="268"/>
      <c r="H80" s="100"/>
      <c r="I80" s="100"/>
      <c r="J80" s="100"/>
      <c r="K80" s="100"/>
      <c r="L80" s="100"/>
      <c r="M80" s="100"/>
      <c r="N80" s="100"/>
      <c r="O80" s="100"/>
      <c r="P80" s="100"/>
      <c r="Q80" s="100"/>
      <c r="R80" s="100"/>
      <c r="S80" s="100"/>
      <c r="T80" s="100"/>
      <c r="U80" s="100"/>
      <c r="V80" s="100"/>
      <c r="W80" s="100"/>
    </row>
    <row r="81" spans="1:23" ht="12.75" customHeight="1" x14ac:dyDescent="0.2">
      <c r="A81" s="312" t="s">
        <v>83</v>
      </c>
      <c r="B81" s="312"/>
      <c r="C81" s="265">
        <v>1.4999999999999999E-2</v>
      </c>
      <c r="D81" s="257"/>
      <c r="E81" s="257"/>
      <c r="F81" s="257"/>
      <c r="G81" s="257"/>
      <c r="H81" s="100"/>
      <c r="I81" s="100"/>
      <c r="J81" s="100"/>
      <c r="K81" s="100"/>
      <c r="L81" s="100"/>
      <c r="M81" s="100"/>
      <c r="N81" s="100"/>
      <c r="O81" s="100"/>
      <c r="P81" s="100"/>
      <c r="Q81" s="100"/>
      <c r="R81" s="100"/>
      <c r="S81" s="100"/>
      <c r="T81" s="100"/>
      <c r="U81" s="100"/>
      <c r="V81" s="100"/>
      <c r="W81" s="100"/>
    </row>
    <row r="82" spans="1:23" ht="12.75" customHeight="1" x14ac:dyDescent="0.2">
      <c r="A82" s="312" t="s">
        <v>84</v>
      </c>
      <c r="B82" s="312"/>
      <c r="C82" s="265">
        <v>0.01</v>
      </c>
      <c r="D82" s="257"/>
      <c r="E82" s="257"/>
      <c r="F82" s="257"/>
      <c r="G82" s="257"/>
      <c r="H82" s="100"/>
      <c r="I82" s="100"/>
      <c r="J82" s="100"/>
      <c r="K82" s="100"/>
      <c r="L82" s="100"/>
      <c r="M82" s="100"/>
      <c r="N82" s="100"/>
      <c r="O82" s="100"/>
      <c r="P82" s="100"/>
      <c r="Q82" s="100"/>
      <c r="R82" s="100"/>
      <c r="S82" s="100"/>
      <c r="T82" s="100"/>
      <c r="U82" s="100"/>
      <c r="V82" s="100"/>
      <c r="W82" s="100"/>
    </row>
    <row r="83" spans="1:23" ht="12.75" customHeight="1" x14ac:dyDescent="0.2">
      <c r="A83" s="312" t="s">
        <v>85</v>
      </c>
      <c r="B83" s="312"/>
      <c r="C83" s="265">
        <v>6.0000000000000001E-3</v>
      </c>
      <c r="D83" s="257"/>
      <c r="E83" s="257"/>
      <c r="F83" s="257"/>
      <c r="G83" s="257"/>
      <c r="H83" s="100"/>
      <c r="I83" s="100"/>
      <c r="J83" s="100"/>
      <c r="K83" s="100"/>
      <c r="L83" s="100"/>
      <c r="M83" s="100"/>
      <c r="N83" s="100"/>
      <c r="O83" s="100"/>
      <c r="P83" s="100"/>
      <c r="Q83" s="100"/>
      <c r="R83" s="100"/>
      <c r="S83" s="100"/>
      <c r="T83" s="100"/>
      <c r="U83" s="100"/>
      <c r="V83" s="100"/>
      <c r="W83" s="100"/>
    </row>
    <row r="84" spans="1:23" ht="12.75" customHeight="1" x14ac:dyDescent="0.2">
      <c r="A84" s="312" t="s">
        <v>86</v>
      </c>
      <c r="B84" s="312"/>
      <c r="C84" s="265">
        <v>2E-3</v>
      </c>
      <c r="D84" s="257"/>
      <c r="E84" s="257"/>
      <c r="F84" s="257"/>
      <c r="G84" s="257"/>
      <c r="H84" s="100"/>
      <c r="I84" s="100"/>
      <c r="J84" s="100"/>
      <c r="K84" s="100"/>
      <c r="L84" s="100"/>
      <c r="M84" s="100"/>
      <c r="N84" s="100"/>
      <c r="O84" s="100"/>
      <c r="P84" s="100"/>
      <c r="Q84" s="100"/>
      <c r="R84" s="100"/>
      <c r="S84" s="100"/>
      <c r="T84" s="100"/>
      <c r="U84" s="100"/>
      <c r="V84" s="100"/>
      <c r="W84" s="100"/>
    </row>
    <row r="85" spans="1:23" ht="12.75" customHeight="1" x14ac:dyDescent="0.2">
      <c r="A85" s="314" t="s">
        <v>87</v>
      </c>
      <c r="B85" s="314"/>
      <c r="C85" s="269">
        <v>0.08</v>
      </c>
      <c r="D85" s="257"/>
      <c r="E85" s="257"/>
      <c r="F85" s="257"/>
      <c r="G85" s="257"/>
    </row>
    <row r="86" spans="1:23" ht="12.75" customHeight="1" x14ac:dyDescent="0.2"/>
    <row r="87" spans="1:23" ht="12.75" customHeight="1" x14ac:dyDescent="0.2">
      <c r="A87" s="303" t="s">
        <v>88</v>
      </c>
      <c r="B87" s="303"/>
      <c r="C87" s="303"/>
    </row>
    <row r="88" spans="1:23" ht="12.75" customHeight="1" x14ac:dyDescent="0.2">
      <c r="A88" s="248" t="s">
        <v>89</v>
      </c>
      <c r="B88" s="318">
        <v>3.55</v>
      </c>
      <c r="C88" s="318"/>
    </row>
    <row r="89" spans="1:23" ht="12.75" customHeight="1" x14ac:dyDescent="0.2">
      <c r="A89" s="248" t="s">
        <v>90</v>
      </c>
      <c r="B89" s="309">
        <v>2</v>
      </c>
      <c r="C89" s="309"/>
    </row>
    <row r="90" spans="1:23" ht="12.75" customHeight="1" x14ac:dyDescent="0.2">
      <c r="A90" s="248" t="s">
        <v>91</v>
      </c>
      <c r="B90" s="309">
        <v>24</v>
      </c>
      <c r="C90" s="309"/>
    </row>
    <row r="91" spans="1:23" ht="12.75" customHeight="1" x14ac:dyDescent="0.2">
      <c r="A91" s="255" t="s">
        <v>92</v>
      </c>
      <c r="B91" s="319">
        <v>0.06</v>
      </c>
      <c r="C91" s="319"/>
    </row>
    <row r="92" spans="1:23" ht="12.75" customHeight="1" x14ac:dyDescent="0.2"/>
    <row r="93" spans="1:23" ht="12.75" customHeight="1" x14ac:dyDescent="0.2">
      <c r="A93" s="303" t="s">
        <v>93</v>
      </c>
      <c r="B93" s="303"/>
      <c r="C93" s="303"/>
    </row>
    <row r="94" spans="1:23" ht="12.75" customHeight="1" x14ac:dyDescent="0.2">
      <c r="A94" s="248" t="s">
        <v>94</v>
      </c>
      <c r="B94" s="318" t="s">
        <v>717</v>
      </c>
      <c r="C94" s="318"/>
    </row>
    <row r="95" spans="1:23" ht="12.75" customHeight="1" x14ac:dyDescent="0.2">
      <c r="A95" s="248" t="s">
        <v>95</v>
      </c>
      <c r="B95" s="318">
        <v>20.18</v>
      </c>
      <c r="C95" s="318"/>
    </row>
    <row r="96" spans="1:23" ht="12.75" customHeight="1" x14ac:dyDescent="0.2">
      <c r="A96" s="248" t="s">
        <v>96</v>
      </c>
      <c r="B96" s="316">
        <v>0.19</v>
      </c>
      <c r="C96" s="316"/>
    </row>
    <row r="97" spans="1:3" ht="12.75" customHeight="1" x14ac:dyDescent="0.2">
      <c r="A97" s="255" t="s">
        <v>91</v>
      </c>
      <c r="B97" s="304">
        <v>24</v>
      </c>
      <c r="C97" s="304"/>
    </row>
    <row r="98" spans="1:3" ht="12.75" customHeight="1" x14ac:dyDescent="0.2"/>
    <row r="99" spans="1:3" ht="12.75" customHeight="1" x14ac:dyDescent="0.2">
      <c r="A99" s="303" t="s">
        <v>97</v>
      </c>
      <c r="B99" s="303"/>
      <c r="C99" s="303"/>
    </row>
    <row r="100" spans="1:3" ht="12.75" customHeight="1" x14ac:dyDescent="0.2">
      <c r="A100" s="255" t="s">
        <v>94</v>
      </c>
      <c r="B100" s="270" t="s">
        <v>718</v>
      </c>
      <c r="C100" s="271">
        <v>17.32</v>
      </c>
    </row>
    <row r="101" spans="1:3" ht="12.75" customHeight="1" x14ac:dyDescent="0.2"/>
    <row r="102" spans="1:3" ht="12.75" customHeight="1" x14ac:dyDescent="0.2">
      <c r="A102" s="303" t="s">
        <v>98</v>
      </c>
      <c r="B102" s="303"/>
      <c r="C102" s="303"/>
    </row>
    <row r="103" spans="1:3" ht="12.75" customHeight="1" x14ac:dyDescent="0.2">
      <c r="A103" s="248" t="s">
        <v>99</v>
      </c>
      <c r="B103" s="316">
        <v>0.06</v>
      </c>
      <c r="C103" s="316"/>
    </row>
    <row r="104" spans="1:3" ht="12.75" customHeight="1" x14ac:dyDescent="0.2">
      <c r="A104" s="248" t="s">
        <v>100</v>
      </c>
      <c r="B104" s="316">
        <v>6.7900000000000002E-2</v>
      </c>
      <c r="C104" s="316"/>
    </row>
    <row r="105" spans="1:3" ht="12.75" customHeight="1" x14ac:dyDescent="0.2">
      <c r="A105" s="255" t="s">
        <v>101</v>
      </c>
      <c r="B105" s="320">
        <v>0.03</v>
      </c>
      <c r="C105" s="320"/>
    </row>
    <row r="106" spans="1:3" ht="12.75" customHeight="1" thickBot="1" x14ac:dyDescent="0.25"/>
    <row r="107" spans="1:3" ht="12.75" customHeight="1" x14ac:dyDescent="0.2">
      <c r="A107" s="321" t="s">
        <v>691</v>
      </c>
      <c r="B107" s="321"/>
      <c r="C107" s="321"/>
    </row>
    <row r="108" spans="1:3" ht="12.75" customHeight="1" x14ac:dyDescent="0.2">
      <c r="A108" s="272" t="s">
        <v>102</v>
      </c>
      <c r="B108" s="322">
        <v>0</v>
      </c>
      <c r="C108" s="322"/>
    </row>
    <row r="109" spans="1:3" ht="12.75" customHeight="1" thickBot="1" x14ac:dyDescent="0.25">
      <c r="A109" s="273" t="s">
        <v>103</v>
      </c>
      <c r="B109" s="323">
        <v>0</v>
      </c>
      <c r="C109" s="323"/>
    </row>
    <row r="110" spans="1:3" ht="12.75" customHeight="1" x14ac:dyDescent="0.2"/>
    <row r="111" spans="1:3" ht="12.75" customHeight="1" x14ac:dyDescent="0.2"/>
    <row r="112" spans="1:3"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mergeCells count="70">
    <mergeCell ref="B104:C104"/>
    <mergeCell ref="B105:C105"/>
    <mergeCell ref="A107:C107"/>
    <mergeCell ref="B108:C108"/>
    <mergeCell ref="B109:C109"/>
    <mergeCell ref="B96:C96"/>
    <mergeCell ref="B97:C97"/>
    <mergeCell ref="A99:C99"/>
    <mergeCell ref="A102:C102"/>
    <mergeCell ref="B103:C103"/>
    <mergeCell ref="B90:C90"/>
    <mergeCell ref="B91:C91"/>
    <mergeCell ref="A93:C93"/>
    <mergeCell ref="B94:C94"/>
    <mergeCell ref="B95:C95"/>
    <mergeCell ref="A84:B84"/>
    <mergeCell ref="A85:B85"/>
    <mergeCell ref="A87:C87"/>
    <mergeCell ref="B88:C88"/>
    <mergeCell ref="B89:C89"/>
    <mergeCell ref="A79:B79"/>
    <mergeCell ref="A80:B80"/>
    <mergeCell ref="A81:B81"/>
    <mergeCell ref="A82:B82"/>
    <mergeCell ref="A83:B83"/>
    <mergeCell ref="A73:C73"/>
    <mergeCell ref="B74:C74"/>
    <mergeCell ref="B75:C75"/>
    <mergeCell ref="A77:C77"/>
    <mergeCell ref="A78:B78"/>
    <mergeCell ref="A65:B65"/>
    <mergeCell ref="A67:C67"/>
    <mergeCell ref="A68:B68"/>
    <mergeCell ref="A70:B70"/>
    <mergeCell ref="A71:B71"/>
    <mergeCell ref="B60:C60"/>
    <mergeCell ref="A61:B61"/>
    <mergeCell ref="B62:C62"/>
    <mergeCell ref="A63:B63"/>
    <mergeCell ref="A64:B64"/>
    <mergeCell ref="B54:C54"/>
    <mergeCell ref="B55:C55"/>
    <mergeCell ref="B56:C56"/>
    <mergeCell ref="B57:C57"/>
    <mergeCell ref="A59:C59"/>
    <mergeCell ref="A47:C47"/>
    <mergeCell ref="A49:C49"/>
    <mergeCell ref="B51:C51"/>
    <mergeCell ref="A53:C53"/>
    <mergeCell ref="A50:C50"/>
    <mergeCell ref="A20:C20"/>
    <mergeCell ref="A22:A30"/>
    <mergeCell ref="A31:A38"/>
    <mergeCell ref="A39:A41"/>
    <mergeCell ref="A42:A44"/>
    <mergeCell ref="B15:C15"/>
    <mergeCell ref="B16:C16"/>
    <mergeCell ref="B17:C17"/>
    <mergeCell ref="B18:C18"/>
    <mergeCell ref="B19:C19"/>
    <mergeCell ref="B7:C10"/>
    <mergeCell ref="B11:C11"/>
    <mergeCell ref="B12:C12"/>
    <mergeCell ref="B13:C13"/>
    <mergeCell ref="B14:C14"/>
    <mergeCell ref="A1:C1"/>
    <mergeCell ref="A2:C2"/>
    <mergeCell ref="A3:C3"/>
    <mergeCell ref="A4:C4"/>
    <mergeCell ref="A5:C5"/>
  </mergeCells>
  <printOptions horizontalCentered="1"/>
  <pageMargins left="0" right="0" top="0.39370078740157483" bottom="0" header="0" footer="0.51181102362204722"/>
  <pageSetup paperSize="9" scale="65" pageOrder="overThenDown" orientation="portrait" r:id="rId1"/>
  <headerFooter>
    <oddHeader>&amp;R&amp;P de &amp;N</oddHeader>
    <oddFooter>&amp;L&amp;F - &amp;A&amp;CPágina &amp;P de &amp;N</oddFooter>
  </headerFooter>
  <rowBreaks count="1" manualBreakCount="1">
    <brk id="75" max="16383" man="1"/>
  </row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Z999"/>
  <sheetViews>
    <sheetView showGridLines="0" topLeftCell="A40" zoomScaleNormal="100" workbookViewId="0">
      <selection activeCell="C64" sqref="C64"/>
    </sheetView>
  </sheetViews>
  <sheetFormatPr defaultColWidth="14.42578125" defaultRowHeight="14.25" x14ac:dyDescent="0.2"/>
  <cols>
    <col min="1" max="1" width="17.28515625" style="99" customWidth="1"/>
    <col min="2" max="2" width="8" style="99" customWidth="1"/>
    <col min="3" max="3" width="17.28515625" style="99" customWidth="1"/>
    <col min="4" max="7" width="15.42578125" style="99" customWidth="1"/>
    <col min="8" max="8" width="12.28515625" style="99" customWidth="1"/>
    <col min="9" max="10" width="20.42578125" style="99" customWidth="1"/>
    <col min="11" max="11" width="11.42578125" style="99" customWidth="1"/>
    <col min="12" max="12" width="11.7109375" style="99" customWidth="1"/>
    <col min="13" max="26" width="8" style="99" customWidth="1"/>
    <col min="27" max="16384" width="14.42578125" style="99"/>
  </cols>
  <sheetData>
    <row r="1" spans="1:26" ht="12.75" customHeight="1" x14ac:dyDescent="0.2">
      <c r="A1" s="291" t="s">
        <v>0</v>
      </c>
      <c r="B1" s="291"/>
      <c r="C1" s="291"/>
      <c r="D1" s="291"/>
      <c r="E1" s="291"/>
      <c r="F1" s="291"/>
      <c r="G1" s="291"/>
      <c r="H1" s="291"/>
      <c r="I1" s="291"/>
      <c r="J1" s="291"/>
    </row>
    <row r="2" spans="1:26" ht="12.75" customHeight="1" x14ac:dyDescent="0.2">
      <c r="A2" s="291" t="s">
        <v>1</v>
      </c>
      <c r="B2" s="291"/>
      <c r="C2" s="291"/>
      <c r="D2" s="291"/>
      <c r="E2" s="291"/>
      <c r="F2" s="291"/>
      <c r="G2" s="291"/>
      <c r="H2" s="291"/>
      <c r="I2" s="291"/>
      <c r="J2" s="291"/>
    </row>
    <row r="3" spans="1:26" ht="12.75" customHeight="1" x14ac:dyDescent="0.2">
      <c r="A3" s="291" t="s">
        <v>2</v>
      </c>
      <c r="B3" s="291"/>
      <c r="C3" s="291"/>
      <c r="D3" s="291"/>
      <c r="E3" s="291"/>
      <c r="F3" s="291"/>
      <c r="G3" s="291"/>
      <c r="H3" s="291"/>
      <c r="I3" s="291"/>
      <c r="J3" s="291"/>
    </row>
    <row r="4" spans="1:26" ht="12.75" customHeight="1" x14ac:dyDescent="0.2">
      <c r="A4" s="292" t="str">
        <f>'1. SB ABA DE CARREGAMENTO'!A4</f>
        <v>CAMPUS SÃO BORJA</v>
      </c>
      <c r="B4" s="292"/>
      <c r="C4" s="292"/>
      <c r="D4" s="292"/>
      <c r="E4" s="292"/>
      <c r="F4" s="292"/>
      <c r="G4" s="292"/>
      <c r="H4" s="292"/>
      <c r="I4" s="292"/>
      <c r="J4" s="292"/>
    </row>
    <row r="5" spans="1:26" ht="20.25" customHeight="1" x14ac:dyDescent="0.2">
      <c r="A5" s="362" t="s">
        <v>314</v>
      </c>
      <c r="B5" s="362"/>
      <c r="C5" s="362"/>
      <c r="D5" s="362"/>
      <c r="E5" s="362"/>
      <c r="F5" s="362"/>
      <c r="G5" s="362"/>
      <c r="H5" s="362"/>
      <c r="I5" s="362"/>
      <c r="J5" s="362"/>
    </row>
    <row r="6" spans="1:26" ht="9.75" customHeight="1" x14ac:dyDescent="0.2">
      <c r="A6" s="2"/>
      <c r="B6" s="2"/>
      <c r="C6" s="2"/>
      <c r="D6" s="2"/>
      <c r="E6" s="2"/>
      <c r="F6" s="2"/>
      <c r="G6" s="2"/>
      <c r="H6" s="2"/>
      <c r="I6" s="2"/>
      <c r="J6" s="2"/>
      <c r="K6" s="100"/>
      <c r="L6" s="100"/>
      <c r="M6" s="100"/>
      <c r="N6" s="100"/>
      <c r="O6" s="100"/>
      <c r="P6" s="100"/>
      <c r="Q6" s="100"/>
      <c r="R6" s="100"/>
      <c r="S6" s="100"/>
      <c r="T6" s="100"/>
      <c r="U6" s="100"/>
      <c r="V6" s="100"/>
      <c r="W6" s="100"/>
      <c r="X6" s="100"/>
      <c r="Y6" s="100"/>
      <c r="Z6" s="100"/>
    </row>
    <row r="7" spans="1:26" ht="20.25" customHeight="1" x14ac:dyDescent="0.2">
      <c r="A7" s="385" t="str">
        <f>'7. SB Planilha Área Geral'!A7:J7</f>
        <v>IN/MPDG Nº 05/2017 - Anexo VII-D</v>
      </c>
      <c r="B7" s="385"/>
      <c r="C7" s="385"/>
      <c r="D7" s="385"/>
      <c r="E7" s="385"/>
      <c r="F7" s="385"/>
      <c r="G7" s="385"/>
      <c r="H7" s="385"/>
      <c r="I7" s="385"/>
      <c r="J7" s="385"/>
    </row>
    <row r="8" spans="1:26" ht="9.75" customHeight="1" x14ac:dyDescent="0.2">
      <c r="A8" s="466"/>
      <c r="B8" s="466"/>
      <c r="C8" s="466"/>
      <c r="D8" s="466"/>
      <c r="E8" s="466"/>
      <c r="F8" s="466"/>
      <c r="G8" s="466"/>
      <c r="H8" s="466"/>
      <c r="I8" s="466"/>
      <c r="J8" s="466"/>
      <c r="K8" s="100"/>
      <c r="L8" s="100"/>
      <c r="M8" s="100"/>
      <c r="N8" s="100"/>
      <c r="O8" s="100"/>
      <c r="P8" s="100"/>
      <c r="Q8" s="100"/>
      <c r="R8" s="100"/>
      <c r="S8" s="100"/>
      <c r="T8" s="100"/>
      <c r="U8" s="100"/>
      <c r="V8" s="100"/>
      <c r="W8" s="100"/>
      <c r="X8" s="100"/>
      <c r="Y8" s="100"/>
      <c r="Z8" s="100"/>
    </row>
    <row r="9" spans="1:26" ht="18.75" customHeight="1" x14ac:dyDescent="0.2">
      <c r="A9" s="385" t="s">
        <v>607</v>
      </c>
      <c r="B9" s="385"/>
      <c r="C9" s="385"/>
      <c r="D9" s="386" t="s">
        <v>608</v>
      </c>
      <c r="E9" s="386"/>
      <c r="F9" s="386"/>
      <c r="G9" s="386"/>
      <c r="H9" s="386"/>
      <c r="I9" s="387" t="str">
        <f>'1. SB ABA DE CARREGAMENTO'!A4</f>
        <v>CAMPUS SÃO BORJA</v>
      </c>
      <c r="J9" s="387"/>
    </row>
    <row r="10" spans="1:26" ht="18.75" customHeight="1" x14ac:dyDescent="0.2">
      <c r="A10" s="385"/>
      <c r="B10" s="385"/>
      <c r="C10" s="385"/>
      <c r="D10" s="494" t="s">
        <v>609</v>
      </c>
      <c r="E10" s="494"/>
      <c r="F10" s="494"/>
      <c r="G10" s="101">
        <f>'4. SB Cálc DEMO Limpeza Geral'!D25+'5. SB Cálc. DEMO Banheiros'!D11+'6. SB Cálc DEMO Esq e Fach'!D12</f>
        <v>24558.298108333336</v>
      </c>
      <c r="H10" s="15" t="s">
        <v>318</v>
      </c>
      <c r="I10" s="495" t="s">
        <v>319</v>
      </c>
      <c r="J10" s="495"/>
    </row>
    <row r="11" spans="1:26" ht="26.25" customHeight="1" x14ac:dyDescent="0.2">
      <c r="A11" s="50" t="s">
        <v>320</v>
      </c>
      <c r="B11" s="390" t="str">
        <f>'1. SB ABA DE CARREGAMENTO'!B11</f>
        <v>23243.000810/2021-41</v>
      </c>
      <c r="C11" s="390"/>
      <c r="D11" s="50" t="s">
        <v>321</v>
      </c>
      <c r="E11" s="391" t="str">
        <f>'1. SB ABA DE CARREGAMENTO'!B12</f>
        <v>33 /2021</v>
      </c>
      <c r="F11" s="391"/>
      <c r="G11" s="50" t="s">
        <v>13</v>
      </c>
      <c r="H11" s="51">
        <f>'1. SB ABA DE CARREGAMENTO'!B13</f>
        <v>0</v>
      </c>
      <c r="I11" s="52" t="s">
        <v>14</v>
      </c>
      <c r="J11" s="53" t="str">
        <f>'1. SB ABA DE CARREGAMENTO'!B14</f>
        <v>09h (Horário de Brasília)</v>
      </c>
    </row>
    <row r="12" spans="1:26" ht="18.75" customHeight="1" x14ac:dyDescent="0.2">
      <c r="A12" s="54" t="s">
        <v>15</v>
      </c>
      <c r="B12" s="392" t="str">
        <f>'1. SB ABA DE CARREGAMENTO'!B15</f>
        <v>xxxx xxxx xxxx</v>
      </c>
      <c r="C12" s="392"/>
      <c r="D12" s="392"/>
      <c r="E12" s="392"/>
      <c r="F12" s="392"/>
      <c r="G12" s="392"/>
      <c r="H12" s="55" t="s">
        <v>322</v>
      </c>
      <c r="I12" s="393" t="str">
        <f>'1. SB ABA DE CARREGAMENTO'!B16</f>
        <v>zz.zzz.zzz/zzzz-zz</v>
      </c>
      <c r="J12" s="393"/>
    </row>
    <row r="13" spans="1:26" ht="18.75" customHeight="1" x14ac:dyDescent="0.2">
      <c r="A13" s="54" t="s">
        <v>323</v>
      </c>
      <c r="B13" s="392" t="str">
        <f>'1. SB ABA DE CARREGAMENTO'!B17</f>
        <v>Nome Completo</v>
      </c>
      <c r="C13" s="392"/>
      <c r="D13" s="392"/>
      <c r="E13" s="54" t="s">
        <v>324</v>
      </c>
      <c r="F13" s="394" t="str">
        <f>'1. SB ABA DE CARREGAMENTO'!B18</f>
        <v>yyy.yyy.yyy-yy</v>
      </c>
      <c r="G13" s="394"/>
      <c r="H13" s="54" t="s">
        <v>325</v>
      </c>
      <c r="I13" s="395" t="str">
        <f>'1. SB ABA DE CARREGAMENTO'!B19</f>
        <v>tttt ttt t ttt</v>
      </c>
      <c r="J13" s="395"/>
    </row>
    <row r="14" spans="1:26" ht="18.75" customHeight="1" x14ac:dyDescent="0.2">
      <c r="A14" s="396" t="str">
        <f>IF('1. SB ABA DE CARREGAMENTO'!B15="","PLANILHA CUSTOS E FORMAÇÃO DE PREÇOS DA ADMINISTRAÇÃO DO","")</f>
        <v/>
      </c>
      <c r="B14" s="396"/>
      <c r="C14" s="396"/>
      <c r="D14" s="396"/>
      <c r="E14" s="396"/>
      <c r="F14" s="396"/>
      <c r="G14" s="396"/>
      <c r="H14" s="397" t="str">
        <f>IF('1. SB ABA DE CARREGAMENTO'!B15="",'1. SB ABA DE CARREGAMENTO'!A4,"")</f>
        <v/>
      </c>
      <c r="I14" s="397"/>
      <c r="J14" s="397"/>
    </row>
    <row r="15" spans="1:26" ht="34.5" customHeight="1" x14ac:dyDescent="0.2">
      <c r="A15" s="401" t="s">
        <v>651</v>
      </c>
      <c r="B15" s="401"/>
      <c r="C15" s="401"/>
      <c r="D15" s="401"/>
      <c r="E15" s="401"/>
      <c r="F15" s="401"/>
      <c r="G15" s="401"/>
      <c r="H15" s="19">
        <f>'1. SB ABA DE CARREGAMENTO'!B51</f>
        <v>1</v>
      </c>
      <c r="I15" s="398" t="str">
        <f>IF(H15=1,"LUCRO REAL",IF(H15=2,"LUCRO PRESUMIDO",IF(H15=3,"SIMPLES-Anexo III",IF(H15=4,"SIMPLES-Anexo IV",IF(H15=5,"LUCRO REAL - PIS/COFINS Não Cumulativo","RT Inválido")))))</f>
        <v>LUCRO REAL</v>
      </c>
      <c r="J15" s="398"/>
    </row>
    <row r="16" spans="1:26" ht="18.75" customHeight="1" x14ac:dyDescent="0.2">
      <c r="A16" s="2"/>
      <c r="B16" s="2"/>
      <c r="C16" s="2"/>
      <c r="D16" s="2"/>
      <c r="E16" s="2"/>
      <c r="F16" s="2"/>
      <c r="G16" s="2"/>
      <c r="H16" s="2"/>
      <c r="I16" s="2"/>
      <c r="J16" s="2"/>
      <c r="K16" s="100"/>
      <c r="L16" s="100"/>
      <c r="M16" s="100"/>
      <c r="N16" s="100"/>
      <c r="O16" s="100"/>
      <c r="P16" s="100"/>
      <c r="Q16" s="100"/>
      <c r="R16" s="100"/>
      <c r="S16" s="100"/>
      <c r="T16" s="100"/>
      <c r="U16" s="100"/>
      <c r="V16" s="100"/>
      <c r="W16" s="100"/>
      <c r="X16" s="100"/>
      <c r="Y16" s="100"/>
      <c r="Z16" s="100"/>
    </row>
    <row r="17" spans="1:26" ht="18.75" customHeight="1" x14ac:dyDescent="0.2">
      <c r="A17" s="385" t="s">
        <v>326</v>
      </c>
      <c r="B17" s="385"/>
      <c r="C17" s="385"/>
      <c r="D17" s="385"/>
      <c r="E17" s="385"/>
      <c r="F17" s="385"/>
      <c r="G17" s="385"/>
      <c r="H17" s="385"/>
      <c r="I17" s="385"/>
      <c r="J17" s="385"/>
    </row>
    <row r="18" spans="1:26" ht="18.75" customHeight="1" x14ac:dyDescent="0.2">
      <c r="A18" s="20" t="s">
        <v>327</v>
      </c>
      <c r="B18" s="399" t="s">
        <v>328</v>
      </c>
      <c r="C18" s="399"/>
      <c r="D18" s="399"/>
      <c r="E18" s="399"/>
      <c r="F18" s="399"/>
      <c r="G18" s="399"/>
      <c r="H18" s="400">
        <f ca="1">'1. SB ABA DE CARREGAMENTO'!B54</f>
        <v>44609</v>
      </c>
      <c r="I18" s="400"/>
      <c r="J18" s="400"/>
    </row>
    <row r="19" spans="1:26" ht="18.75" customHeight="1" x14ac:dyDescent="0.2">
      <c r="A19" s="20" t="s">
        <v>329</v>
      </c>
      <c r="B19" s="399" t="s">
        <v>58</v>
      </c>
      <c r="C19" s="399"/>
      <c r="D19" s="399"/>
      <c r="E19" s="399"/>
      <c r="F19" s="399"/>
      <c r="G19" s="399"/>
      <c r="H19" s="400" t="str">
        <f>'1. SB ABA DE CARREGAMENTO'!B55</f>
        <v>São Borja/RS</v>
      </c>
      <c r="I19" s="400"/>
      <c r="J19" s="400"/>
    </row>
    <row r="20" spans="1:26" ht="33" customHeight="1" x14ac:dyDescent="0.2">
      <c r="A20" s="20" t="s">
        <v>330</v>
      </c>
      <c r="B20" s="399" t="s">
        <v>331</v>
      </c>
      <c r="C20" s="399"/>
      <c r="D20" s="399"/>
      <c r="E20" s="399"/>
      <c r="F20" s="399"/>
      <c r="G20" s="399"/>
      <c r="H20" s="400" t="str">
        <f>'1. SB ABA DE CARREGAMENTO'!B56</f>
        <v>CCT Sindasseio 2022/2022 - Registro MTE: RS005021/2021</v>
      </c>
      <c r="I20" s="400"/>
      <c r="J20" s="400"/>
    </row>
    <row r="21" spans="1:26" ht="18.75" customHeight="1" x14ac:dyDescent="0.2">
      <c r="A21" s="20" t="s">
        <v>332</v>
      </c>
      <c r="B21" s="399" t="s">
        <v>333</v>
      </c>
      <c r="C21" s="399"/>
      <c r="D21" s="399"/>
      <c r="E21" s="399"/>
      <c r="F21" s="399"/>
      <c r="G21" s="399"/>
      <c r="H21" s="402">
        <f>'1. SB ABA DE CARREGAMENTO'!B57</f>
        <v>20</v>
      </c>
      <c r="I21" s="402"/>
      <c r="J21" s="402"/>
    </row>
    <row r="22" spans="1:26" ht="18.75" customHeight="1" x14ac:dyDescent="0.2">
      <c r="A22" s="2"/>
      <c r="B22" s="2"/>
      <c r="C22" s="2"/>
      <c r="D22" s="2"/>
      <c r="E22" s="2"/>
      <c r="F22" s="2"/>
      <c r="G22" s="2"/>
      <c r="H22" s="2"/>
      <c r="I22" s="2"/>
      <c r="J22" s="2"/>
      <c r="K22" s="100"/>
      <c r="L22" s="100"/>
      <c r="M22" s="100"/>
      <c r="N22" s="100"/>
      <c r="O22" s="100"/>
      <c r="P22" s="100"/>
      <c r="Q22" s="100"/>
      <c r="R22" s="100"/>
      <c r="S22" s="100"/>
      <c r="T22" s="100"/>
      <c r="U22" s="100"/>
      <c r="V22" s="100"/>
      <c r="W22" s="100"/>
      <c r="X22" s="100"/>
      <c r="Y22" s="100"/>
      <c r="Z22" s="100"/>
    </row>
    <row r="23" spans="1:26" ht="18.75" customHeight="1" x14ac:dyDescent="0.2">
      <c r="A23" s="385" t="s">
        <v>334</v>
      </c>
      <c r="B23" s="385"/>
      <c r="C23" s="385"/>
      <c r="D23" s="385"/>
      <c r="E23" s="385"/>
      <c r="F23" s="385"/>
      <c r="G23" s="385"/>
      <c r="H23" s="385"/>
      <c r="I23" s="385"/>
      <c r="J23" s="385"/>
    </row>
    <row r="24" spans="1:26" ht="18.75" customHeight="1" x14ac:dyDescent="0.2">
      <c r="A24" s="385" t="s">
        <v>335</v>
      </c>
      <c r="B24" s="385"/>
      <c r="C24" s="385"/>
      <c r="D24" s="385"/>
      <c r="E24" s="385"/>
      <c r="F24" s="385"/>
      <c r="G24" s="385" t="s">
        <v>336</v>
      </c>
      <c r="H24" s="385"/>
      <c r="I24" s="385" t="s">
        <v>337</v>
      </c>
      <c r="J24" s="385"/>
    </row>
    <row r="25" spans="1:26" ht="18.75" customHeight="1" x14ac:dyDescent="0.2">
      <c r="A25" s="431" t="s">
        <v>610</v>
      </c>
      <c r="B25" s="431"/>
      <c r="C25" s="431"/>
      <c r="D25" s="431"/>
      <c r="E25" s="431"/>
      <c r="F25" s="431"/>
      <c r="G25" s="385" t="s">
        <v>611</v>
      </c>
      <c r="H25" s="385"/>
      <c r="I25" s="385">
        <v>1</v>
      </c>
      <c r="J25" s="385"/>
    </row>
    <row r="26" spans="1:26" ht="18.75" customHeight="1" x14ac:dyDescent="0.2">
      <c r="A26" s="512"/>
      <c r="B26" s="512"/>
      <c r="C26" s="512"/>
      <c r="D26" s="512"/>
      <c r="E26" s="512"/>
      <c r="F26" s="512"/>
      <c r="G26" s="512"/>
      <c r="H26" s="512"/>
      <c r="I26" s="512"/>
      <c r="J26" s="512"/>
    </row>
    <row r="27" spans="1:26" ht="18.75" customHeight="1" x14ac:dyDescent="0.2">
      <c r="A27" s="385" t="s">
        <v>362</v>
      </c>
      <c r="B27" s="385"/>
      <c r="C27" s="385"/>
      <c r="D27" s="385"/>
      <c r="E27" s="385"/>
      <c r="F27" s="385"/>
      <c r="G27" s="385"/>
      <c r="H27" s="385"/>
      <c r="I27" s="385"/>
      <c r="J27" s="385"/>
    </row>
    <row r="28" spans="1:26" ht="18.75" customHeight="1" x14ac:dyDescent="0.2">
      <c r="A28" s="385" t="s">
        <v>363</v>
      </c>
      <c r="B28" s="385"/>
      <c r="C28" s="385"/>
      <c r="D28" s="385"/>
      <c r="E28" s="385"/>
      <c r="F28" s="385"/>
      <c r="G28" s="385"/>
      <c r="H28" s="385"/>
      <c r="I28" s="385"/>
      <c r="J28" s="385"/>
    </row>
    <row r="29" spans="1:26" ht="18.75" customHeight="1" x14ac:dyDescent="0.2">
      <c r="A29" s="385" t="s">
        <v>364</v>
      </c>
      <c r="B29" s="385"/>
      <c r="C29" s="385"/>
      <c r="D29" s="385"/>
      <c r="E29" s="385"/>
      <c r="F29" s="385"/>
      <c r="G29" s="385"/>
      <c r="H29" s="385"/>
      <c r="I29" s="385"/>
      <c r="J29" s="385"/>
    </row>
    <row r="30" spans="1:26" ht="18.75" customHeight="1" x14ac:dyDescent="0.2">
      <c r="A30" s="56">
        <v>1</v>
      </c>
      <c r="B30" s="412" t="s">
        <v>63</v>
      </c>
      <c r="C30" s="412"/>
      <c r="D30" s="412"/>
      <c r="E30" s="412"/>
      <c r="F30" s="412"/>
      <c r="G30" s="412"/>
      <c r="H30" s="413" t="str">
        <f>'1. SB ABA DE CARREGAMENTO'!B60</f>
        <v>Limpeza, Asseio e Conservação</v>
      </c>
      <c r="I30" s="413"/>
      <c r="J30" s="413"/>
    </row>
    <row r="31" spans="1:26" ht="18.75" customHeight="1" x14ac:dyDescent="0.2">
      <c r="A31" s="56">
        <v>2</v>
      </c>
      <c r="B31" s="412" t="s">
        <v>65</v>
      </c>
      <c r="C31" s="412"/>
      <c r="D31" s="412"/>
      <c r="E31" s="412"/>
      <c r="F31" s="412"/>
      <c r="G31" s="412"/>
      <c r="H31" s="413">
        <f>'1. SB ABA DE CARREGAMENTO'!C61</f>
        <v>5143</v>
      </c>
      <c r="I31" s="413"/>
      <c r="J31" s="413"/>
    </row>
    <row r="32" spans="1:26" ht="18.75" customHeight="1" x14ac:dyDescent="0.2">
      <c r="A32" s="56">
        <v>3</v>
      </c>
      <c r="B32" s="412" t="s">
        <v>67</v>
      </c>
      <c r="C32" s="412"/>
      <c r="D32" s="412"/>
      <c r="E32" s="412"/>
      <c r="F32" s="412"/>
      <c r="G32" s="412"/>
      <c r="H32" s="414">
        <f>'1. SB ABA DE CARREGAMENTO'!C63</f>
        <v>1314.09</v>
      </c>
      <c r="I32" s="414"/>
      <c r="J32" s="414"/>
    </row>
    <row r="33" spans="1:10" ht="18.75" customHeight="1" x14ac:dyDescent="0.2">
      <c r="A33" s="56">
        <v>4</v>
      </c>
      <c r="B33" s="412" t="s">
        <v>68</v>
      </c>
      <c r="C33" s="412"/>
      <c r="D33" s="412"/>
      <c r="E33" s="412"/>
      <c r="F33" s="412"/>
      <c r="G33" s="412"/>
      <c r="H33" s="413" t="str">
        <f>'1. SB ABA DE CARREGAMENTO'!C64</f>
        <v>Servente de Limpeza</v>
      </c>
      <c r="I33" s="413"/>
      <c r="J33" s="413"/>
    </row>
    <row r="34" spans="1:10" ht="18.75" customHeight="1" x14ac:dyDescent="0.2">
      <c r="A34" s="56">
        <v>5</v>
      </c>
      <c r="B34" s="412" t="s">
        <v>70</v>
      </c>
      <c r="C34" s="412"/>
      <c r="D34" s="412"/>
      <c r="E34" s="412"/>
      <c r="F34" s="412"/>
      <c r="G34" s="412"/>
      <c r="H34" s="415">
        <f>'1. SB ABA DE CARREGAMENTO'!C65</f>
        <v>44562</v>
      </c>
      <c r="I34" s="415"/>
      <c r="J34" s="415"/>
    </row>
    <row r="35" spans="1:10" ht="18.75" customHeight="1" x14ac:dyDescent="0.2">
      <c r="A35" s="57" t="s">
        <v>365</v>
      </c>
      <c r="B35" s="416" t="s">
        <v>366</v>
      </c>
      <c r="C35" s="416"/>
      <c r="D35" s="416"/>
      <c r="E35" s="416"/>
      <c r="F35" s="416"/>
      <c r="G35" s="416"/>
      <c r="H35" s="416"/>
      <c r="I35" s="416"/>
      <c r="J35" s="416"/>
    </row>
    <row r="36" spans="1:10" ht="18.75" customHeight="1" x14ac:dyDescent="0.2">
      <c r="A36" s="498"/>
      <c r="B36" s="498"/>
      <c r="C36" s="498"/>
      <c r="D36" s="498"/>
      <c r="E36" s="498"/>
      <c r="F36" s="498"/>
      <c r="G36" s="498"/>
      <c r="H36" s="498"/>
      <c r="I36" s="498"/>
      <c r="J36" s="498"/>
    </row>
    <row r="37" spans="1:10" ht="18.75" customHeight="1" x14ac:dyDescent="0.2">
      <c r="A37" s="385" t="s">
        <v>367</v>
      </c>
      <c r="B37" s="385"/>
      <c r="C37" s="385"/>
      <c r="D37" s="385"/>
      <c r="E37" s="385"/>
      <c r="F37" s="385"/>
      <c r="G37" s="385"/>
      <c r="H37" s="385"/>
      <c r="I37" s="385"/>
      <c r="J37" s="385"/>
    </row>
    <row r="38" spans="1:10" ht="18.75" customHeight="1" x14ac:dyDescent="0.2">
      <c r="A38" s="19">
        <v>1</v>
      </c>
      <c r="B38" s="385" t="s">
        <v>368</v>
      </c>
      <c r="C38" s="385"/>
      <c r="D38" s="385"/>
      <c r="E38" s="385"/>
      <c r="F38" s="385"/>
      <c r="G38" s="385"/>
      <c r="H38" s="385"/>
      <c r="I38" s="5" t="s">
        <v>369</v>
      </c>
      <c r="J38" s="19" t="s">
        <v>370</v>
      </c>
    </row>
    <row r="39" spans="1:10" ht="24" customHeight="1" x14ac:dyDescent="0.2">
      <c r="A39" s="20" t="s">
        <v>327</v>
      </c>
      <c r="B39" s="417" t="s">
        <v>653</v>
      </c>
      <c r="C39" s="417"/>
      <c r="D39" s="417"/>
      <c r="E39" s="58">
        <f>'1. SB ABA DE CARREGAMENTO'!C68</f>
        <v>44</v>
      </c>
      <c r="F39" s="59" t="s">
        <v>371</v>
      </c>
      <c r="G39" s="418" t="str">
        <f>'1. SB ABA DE CARREGAMENTO'!B62</f>
        <v>Cláusula Quarta da CCT 2022/2022</v>
      </c>
      <c r="H39" s="418"/>
      <c r="I39" s="418"/>
      <c r="J39" s="81">
        <f>H32/44*'1. SB ABA DE CARREGAMENTO'!C68</f>
        <v>1314.09</v>
      </c>
    </row>
    <row r="40" spans="1:10" ht="31.5" customHeight="1" x14ac:dyDescent="0.2">
      <c r="A40" s="20" t="s">
        <v>329</v>
      </c>
      <c r="B40" s="417" t="s">
        <v>372</v>
      </c>
      <c r="C40" s="417"/>
      <c r="D40" s="418" t="str">
        <f>'1. SB ABA DE CARREGAMENTO'!B69</f>
        <v>Cláusula Décima Sétima da CCT 2022/2022</v>
      </c>
      <c r="E40" s="418"/>
      <c r="F40" s="418"/>
      <c r="G40" s="418"/>
      <c r="H40" s="418"/>
      <c r="I40" s="82">
        <f>'1. SB ABA DE CARREGAMENTO'!C71</f>
        <v>0.2</v>
      </c>
      <c r="J40" s="81">
        <f>ROUND(I40*J39,2)</f>
        <v>262.82</v>
      </c>
    </row>
    <row r="41" spans="1:10" ht="18.75" customHeight="1" x14ac:dyDescent="0.2">
      <c r="A41" s="20" t="s">
        <v>330</v>
      </c>
      <c r="B41" s="399" t="s">
        <v>654</v>
      </c>
      <c r="C41" s="399"/>
      <c r="D41" s="399"/>
      <c r="E41" s="399"/>
      <c r="F41" s="399"/>
      <c r="G41" s="399"/>
      <c r="H41" s="399"/>
      <c r="I41" s="399"/>
      <c r="J41" s="81">
        <v>0</v>
      </c>
    </row>
    <row r="42" spans="1:10" ht="18.75" customHeight="1" x14ac:dyDescent="0.2">
      <c r="A42" s="419" t="s">
        <v>373</v>
      </c>
      <c r="B42" s="419"/>
      <c r="C42" s="419"/>
      <c r="D42" s="419"/>
      <c r="E42" s="419"/>
      <c r="F42" s="419"/>
      <c r="G42" s="419"/>
      <c r="H42" s="419"/>
      <c r="I42" s="419"/>
      <c r="J42" s="9">
        <f>SUM(J39:J41)</f>
        <v>1576.9099999999999</v>
      </c>
    </row>
    <row r="43" spans="1:10" ht="18.75" customHeight="1" x14ac:dyDescent="0.2">
      <c r="A43" s="60" t="s">
        <v>374</v>
      </c>
      <c r="B43" s="420" t="s">
        <v>548</v>
      </c>
      <c r="C43" s="420"/>
      <c r="D43" s="420"/>
      <c r="E43" s="420"/>
      <c r="F43" s="420"/>
      <c r="G43" s="420"/>
      <c r="H43" s="420"/>
      <c r="I43" s="420"/>
      <c r="J43" s="420"/>
    </row>
    <row r="44" spans="1:10" ht="18.75" customHeight="1" x14ac:dyDescent="0.2">
      <c r="A44" s="502"/>
      <c r="B44" s="502"/>
      <c r="C44" s="502"/>
      <c r="D44" s="502"/>
      <c r="E44" s="502"/>
      <c r="F44" s="502"/>
      <c r="G44" s="502"/>
      <c r="H44" s="502"/>
      <c r="I44" s="502"/>
      <c r="J44" s="502"/>
    </row>
    <row r="45" spans="1:10" ht="18.75" customHeight="1" x14ac:dyDescent="0.2">
      <c r="A45" s="385" t="s">
        <v>376</v>
      </c>
      <c r="B45" s="385"/>
      <c r="C45" s="385"/>
      <c r="D45" s="385"/>
      <c r="E45" s="385"/>
      <c r="F45" s="385"/>
      <c r="G45" s="385"/>
      <c r="H45" s="385"/>
      <c r="I45" s="385"/>
      <c r="J45" s="385"/>
    </row>
    <row r="46" spans="1:10" ht="18.75" customHeight="1" x14ac:dyDescent="0.2">
      <c r="A46" s="19" t="s">
        <v>377</v>
      </c>
      <c r="B46" s="385" t="s">
        <v>378</v>
      </c>
      <c r="C46" s="385"/>
      <c r="D46" s="385"/>
      <c r="E46" s="385"/>
      <c r="F46" s="385"/>
      <c r="G46" s="385"/>
      <c r="H46" s="385"/>
      <c r="I46" s="385"/>
      <c r="J46" s="19" t="s">
        <v>379</v>
      </c>
    </row>
    <row r="47" spans="1:10" ht="18.75" customHeight="1" x14ac:dyDescent="0.2">
      <c r="A47" s="20" t="s">
        <v>327</v>
      </c>
      <c r="B47" s="399" t="s">
        <v>655</v>
      </c>
      <c r="C47" s="399"/>
      <c r="D47" s="399"/>
      <c r="E47" s="399"/>
      <c r="F47" s="399"/>
      <c r="G47" s="399"/>
      <c r="H47" s="399"/>
      <c r="I47" s="399"/>
      <c r="J47" s="64">
        <f>ROUND(J42/12,2)</f>
        <v>131.41</v>
      </c>
    </row>
    <row r="48" spans="1:10" ht="18.75" customHeight="1" x14ac:dyDescent="0.2">
      <c r="A48" s="20" t="s">
        <v>329</v>
      </c>
      <c r="B48" s="421" t="s">
        <v>711</v>
      </c>
      <c r="C48" s="421"/>
      <c r="D48" s="421"/>
      <c r="E48" s="421"/>
      <c r="F48" s="421"/>
      <c r="G48" s="421"/>
      <c r="H48" s="421"/>
      <c r="I48" s="421"/>
      <c r="J48" s="64">
        <f>ROUND(J42*3.025%,2)</f>
        <v>47.7</v>
      </c>
    </row>
    <row r="49" spans="1:10" ht="18.75" customHeight="1" x14ac:dyDescent="0.2">
      <c r="A49" s="419" t="s">
        <v>380</v>
      </c>
      <c r="B49" s="419"/>
      <c r="C49" s="419"/>
      <c r="D49" s="419"/>
      <c r="E49" s="419"/>
      <c r="F49" s="419"/>
      <c r="G49" s="419"/>
      <c r="H49" s="419"/>
      <c r="I49" s="419"/>
      <c r="J49" s="8">
        <f>SUM(J47:J48)</f>
        <v>179.11</v>
      </c>
    </row>
    <row r="50" spans="1:10" ht="29.25" customHeight="1" x14ac:dyDescent="0.2">
      <c r="A50" s="60" t="s">
        <v>381</v>
      </c>
      <c r="B50" s="420" t="s">
        <v>382</v>
      </c>
      <c r="C50" s="420"/>
      <c r="D50" s="420"/>
      <c r="E50" s="420"/>
      <c r="F50" s="420"/>
      <c r="G50" s="420"/>
      <c r="H50" s="420"/>
      <c r="I50" s="420"/>
      <c r="J50" s="420"/>
    </row>
    <row r="51" spans="1:10" ht="18.75" customHeight="1" x14ac:dyDescent="0.2">
      <c r="A51" s="500"/>
      <c r="B51" s="500"/>
      <c r="C51" s="500"/>
      <c r="D51" s="500"/>
      <c r="E51" s="500"/>
      <c r="F51" s="500"/>
      <c r="G51" s="500"/>
      <c r="H51" s="500"/>
      <c r="I51" s="500"/>
      <c r="J51" s="83"/>
    </row>
    <row r="52" spans="1:10" ht="38.25" customHeight="1" x14ac:dyDescent="0.2">
      <c r="A52" s="19" t="s">
        <v>383</v>
      </c>
      <c r="B52" s="385" t="s">
        <v>612</v>
      </c>
      <c r="C52" s="385"/>
      <c r="D52" s="385"/>
      <c r="E52" s="385"/>
      <c r="F52" s="385"/>
      <c r="G52" s="385"/>
      <c r="H52" s="385"/>
      <c r="I52" s="385"/>
      <c r="J52" s="385"/>
    </row>
    <row r="53" spans="1:10" ht="18.75" customHeight="1" x14ac:dyDescent="0.2">
      <c r="A53" s="19"/>
      <c r="B53" s="385" t="s">
        <v>385</v>
      </c>
      <c r="C53" s="385"/>
      <c r="D53" s="385"/>
      <c r="E53" s="385"/>
      <c r="F53" s="385"/>
      <c r="G53" s="385"/>
      <c r="H53" s="385"/>
      <c r="I53" s="19" t="s">
        <v>369</v>
      </c>
      <c r="J53" s="19" t="s">
        <v>379</v>
      </c>
    </row>
    <row r="54" spans="1:10" ht="18.75" customHeight="1" x14ac:dyDescent="0.2">
      <c r="A54" s="20" t="s">
        <v>327</v>
      </c>
      <c r="B54" s="399" t="s">
        <v>80</v>
      </c>
      <c r="C54" s="399"/>
      <c r="D54" s="399"/>
      <c r="E54" s="399"/>
      <c r="F54" s="399"/>
      <c r="G54" s="399"/>
      <c r="H54" s="399"/>
      <c r="I54" s="62">
        <f>'1. SB ABA DE CARREGAMENTO'!C78</f>
        <v>0.2</v>
      </c>
      <c r="J54" s="64">
        <f>ROUND((J42+J49)*I54,2)</f>
        <v>351.2</v>
      </c>
    </row>
    <row r="55" spans="1:10" ht="18.75" customHeight="1" x14ac:dyDescent="0.2">
      <c r="A55" s="20" t="s">
        <v>329</v>
      </c>
      <c r="B55" s="399" t="s">
        <v>81</v>
      </c>
      <c r="C55" s="399"/>
      <c r="D55" s="399"/>
      <c r="E55" s="399"/>
      <c r="F55" s="399"/>
      <c r="G55" s="399"/>
      <c r="H55" s="399"/>
      <c r="I55" s="62">
        <f>IF($H$15=1,'1. SB ABA DE CARREGAMENTO'!C79,IF($H$15=2,'1. SB ABA DE CARREGAMENTO'!C79,0))</f>
        <v>2.5000000000000001E-2</v>
      </c>
      <c r="J55" s="64">
        <f>ROUND((J42+J49)*I55,2)</f>
        <v>43.9</v>
      </c>
    </row>
    <row r="56" spans="1:10" ht="35.25" customHeight="1" x14ac:dyDescent="0.2">
      <c r="A56" s="20" t="s">
        <v>330</v>
      </c>
      <c r="B56" s="399" t="s">
        <v>82</v>
      </c>
      <c r="C56" s="399"/>
      <c r="D56" s="399"/>
      <c r="E56" s="61" t="s">
        <v>386</v>
      </c>
      <c r="F56" s="62">
        <f>'1. SB ABA DE CARREGAMENTO'!$B$74</f>
        <v>0.03</v>
      </c>
      <c r="G56" s="61" t="s">
        <v>387</v>
      </c>
      <c r="H56" s="63">
        <f>'1. SB ABA DE CARREGAMENTO'!$B$75</f>
        <v>1</v>
      </c>
      <c r="I56" s="62">
        <f>'1. SB ABA DE CARREGAMENTO'!C80</f>
        <v>0.03</v>
      </c>
      <c r="J56" s="64">
        <f>ROUND((J42+J49)*I56,2)</f>
        <v>52.68</v>
      </c>
    </row>
    <row r="57" spans="1:10" ht="18.75" customHeight="1" x14ac:dyDescent="0.2">
      <c r="A57" s="20" t="s">
        <v>332</v>
      </c>
      <c r="B57" s="399" t="s">
        <v>83</v>
      </c>
      <c r="C57" s="399"/>
      <c r="D57" s="399"/>
      <c r="E57" s="399"/>
      <c r="F57" s="399"/>
      <c r="G57" s="399"/>
      <c r="H57" s="399"/>
      <c r="I57" s="62">
        <f>IF($H$15=1,'1. SB ABA DE CARREGAMENTO'!C81,IF($H$15=2,'1. SB ABA DE CARREGAMENTO'!C81,0))</f>
        <v>1.4999999999999999E-2</v>
      </c>
      <c r="J57" s="64">
        <f>ROUND((J42+J49)*I57,2)</f>
        <v>26.34</v>
      </c>
    </row>
    <row r="58" spans="1:10" ht="18.75" customHeight="1" x14ac:dyDescent="0.2">
      <c r="A58" s="20" t="s">
        <v>388</v>
      </c>
      <c r="B58" s="399" t="s">
        <v>84</v>
      </c>
      <c r="C58" s="399"/>
      <c r="D58" s="399"/>
      <c r="E58" s="399"/>
      <c r="F58" s="399"/>
      <c r="G58" s="399"/>
      <c r="H58" s="399"/>
      <c r="I58" s="62">
        <f>IF($H$15=1,'1. SB ABA DE CARREGAMENTO'!C82,IF($H$15=2,'1. SB ABA DE CARREGAMENTO'!C82,0))</f>
        <v>0.01</v>
      </c>
      <c r="J58" s="64">
        <f>ROUND((J42+J49)*I58,2)</f>
        <v>17.559999999999999</v>
      </c>
    </row>
    <row r="59" spans="1:10" ht="18.75" customHeight="1" x14ac:dyDescent="0.2">
      <c r="A59" s="20" t="s">
        <v>389</v>
      </c>
      <c r="B59" s="399" t="s">
        <v>85</v>
      </c>
      <c r="C59" s="399"/>
      <c r="D59" s="399"/>
      <c r="E59" s="399"/>
      <c r="F59" s="399"/>
      <c r="G59" s="399"/>
      <c r="H59" s="399"/>
      <c r="I59" s="62">
        <f>IF($H$15=1,'1. SB ABA DE CARREGAMENTO'!C83,IF($H$15=2,'1. SB ABA DE CARREGAMENTO'!C83,0))</f>
        <v>6.0000000000000001E-3</v>
      </c>
      <c r="J59" s="64">
        <f>ROUND((J42+J49)*I59,2)</f>
        <v>10.54</v>
      </c>
    </row>
    <row r="60" spans="1:10" ht="18.75" customHeight="1" x14ac:dyDescent="0.2">
      <c r="A60" s="20" t="s">
        <v>390</v>
      </c>
      <c r="B60" s="399" t="s">
        <v>86</v>
      </c>
      <c r="C60" s="399"/>
      <c r="D60" s="399"/>
      <c r="E60" s="399"/>
      <c r="F60" s="399"/>
      <c r="G60" s="399"/>
      <c r="H60" s="399"/>
      <c r="I60" s="62">
        <f>IF($H$15=1,'1. SB ABA DE CARREGAMENTO'!C84,IF($H$15=2,'1. SB ABA DE CARREGAMENTO'!C84,0))</f>
        <v>2E-3</v>
      </c>
      <c r="J60" s="64">
        <f>ROUND((J42+J49)*I60,2)</f>
        <v>3.51</v>
      </c>
    </row>
    <row r="61" spans="1:10" ht="18.75" customHeight="1" x14ac:dyDescent="0.2">
      <c r="A61" s="20" t="s">
        <v>391</v>
      </c>
      <c r="B61" s="399" t="s">
        <v>87</v>
      </c>
      <c r="C61" s="399"/>
      <c r="D61" s="399"/>
      <c r="E61" s="399"/>
      <c r="F61" s="399"/>
      <c r="G61" s="399"/>
      <c r="H61" s="399"/>
      <c r="I61" s="62">
        <f>'1. SB ABA DE CARREGAMENTO'!C85</f>
        <v>0.08</v>
      </c>
      <c r="J61" s="64">
        <f>ROUND((J42+J49)*I61,2)</f>
        <v>140.47999999999999</v>
      </c>
    </row>
    <row r="62" spans="1:10" ht="18.75" customHeight="1" x14ac:dyDescent="0.2">
      <c r="A62" s="419" t="s">
        <v>392</v>
      </c>
      <c r="B62" s="419"/>
      <c r="C62" s="419"/>
      <c r="D62" s="419"/>
      <c r="E62" s="419"/>
      <c r="F62" s="419"/>
      <c r="G62" s="419"/>
      <c r="H62" s="419"/>
      <c r="I62" s="84">
        <f>SUM(I54:I61)</f>
        <v>0.36800000000000005</v>
      </c>
      <c r="J62" s="8">
        <f>SUM(J54:J61)</f>
        <v>646.20999999999992</v>
      </c>
    </row>
    <row r="63" spans="1:10" ht="18.75" customHeight="1" x14ac:dyDescent="0.2">
      <c r="A63" s="60" t="s">
        <v>393</v>
      </c>
      <c r="B63" s="420" t="s">
        <v>394</v>
      </c>
      <c r="C63" s="420"/>
      <c r="D63" s="420"/>
      <c r="E63" s="420"/>
      <c r="F63" s="420"/>
      <c r="G63" s="420"/>
      <c r="H63" s="420"/>
      <c r="I63" s="420"/>
      <c r="J63" s="420"/>
    </row>
    <row r="64" spans="1:10" ht="18.75" customHeight="1" x14ac:dyDescent="0.2">
      <c r="A64" s="60" t="s">
        <v>395</v>
      </c>
      <c r="B64" s="420" t="s">
        <v>396</v>
      </c>
      <c r="C64" s="420"/>
      <c r="D64" s="420"/>
      <c r="E64" s="420"/>
      <c r="F64" s="420"/>
      <c r="G64" s="420"/>
      <c r="H64" s="420"/>
      <c r="I64" s="420"/>
      <c r="J64" s="420"/>
    </row>
    <row r="65" spans="1:10" ht="18.75" customHeight="1" x14ac:dyDescent="0.2">
      <c r="A65" s="65"/>
      <c r="B65" s="66"/>
      <c r="C65" s="66"/>
      <c r="D65" s="66"/>
      <c r="E65" s="66"/>
      <c r="F65" s="66"/>
      <c r="G65" s="66"/>
      <c r="H65" s="66"/>
      <c r="I65" s="66"/>
      <c r="J65" s="66"/>
    </row>
    <row r="66" spans="1:10" ht="18.75" customHeight="1" x14ac:dyDescent="0.2">
      <c r="A66" s="6" t="s">
        <v>397</v>
      </c>
      <c r="B66" s="385" t="s">
        <v>398</v>
      </c>
      <c r="C66" s="385"/>
      <c r="D66" s="385"/>
      <c r="E66" s="385"/>
      <c r="F66" s="385"/>
      <c r="G66" s="385"/>
      <c r="H66" s="385"/>
      <c r="I66" s="385"/>
      <c r="J66" s="385"/>
    </row>
    <row r="67" spans="1:10" ht="18.75" customHeight="1" x14ac:dyDescent="0.2">
      <c r="A67" s="19"/>
      <c r="B67" s="385" t="s">
        <v>398</v>
      </c>
      <c r="C67" s="385"/>
      <c r="D67" s="385"/>
      <c r="E67" s="385"/>
      <c r="F67" s="385"/>
      <c r="G67" s="385"/>
      <c r="H67" s="385"/>
      <c r="I67" s="385"/>
      <c r="J67" s="19" t="s">
        <v>379</v>
      </c>
    </row>
    <row r="68" spans="1:10" ht="18.75" customHeight="1" x14ac:dyDescent="0.2">
      <c r="A68" s="403" t="s">
        <v>327</v>
      </c>
      <c r="B68" s="399" t="s">
        <v>656</v>
      </c>
      <c r="C68" s="399"/>
      <c r="D68" s="399"/>
      <c r="E68" s="399"/>
      <c r="F68" s="399"/>
      <c r="G68" s="399"/>
      <c r="H68" s="399"/>
      <c r="I68" s="399"/>
      <c r="J68" s="422">
        <f>IF(ROUND((I71*I69*I70)-(J39*0.06),2)&lt;0,0,ROUND((I71*I69*I70)-(J39*0.06),2))*1+(I69*I70*21.726-0.06*J39)*0</f>
        <v>91.55</v>
      </c>
    </row>
    <row r="69" spans="1:10" ht="18.75" customHeight="1" x14ac:dyDescent="0.2">
      <c r="A69" s="403"/>
      <c r="B69" s="423" t="s">
        <v>399</v>
      </c>
      <c r="C69" s="423"/>
      <c r="D69" s="423"/>
      <c r="E69" s="423"/>
      <c r="F69" s="423"/>
      <c r="G69" s="423"/>
      <c r="H69" s="423"/>
      <c r="I69" s="85">
        <f>'1. SB ABA DE CARREGAMENTO'!$B$88</f>
        <v>3.55</v>
      </c>
      <c r="J69" s="422"/>
    </row>
    <row r="70" spans="1:10" ht="18.75" customHeight="1" x14ac:dyDescent="0.2">
      <c r="A70" s="403"/>
      <c r="B70" s="423" t="s">
        <v>400</v>
      </c>
      <c r="C70" s="423"/>
      <c r="D70" s="423"/>
      <c r="E70" s="423"/>
      <c r="F70" s="423"/>
      <c r="G70" s="423"/>
      <c r="H70" s="423"/>
      <c r="I70" s="86">
        <f>'1. SB ABA DE CARREGAMENTO'!$B$89</f>
        <v>2</v>
      </c>
      <c r="J70" s="422"/>
    </row>
    <row r="71" spans="1:10" ht="18.75" customHeight="1" x14ac:dyDescent="0.2">
      <c r="A71" s="403"/>
      <c r="B71" s="423" t="s">
        <v>401</v>
      </c>
      <c r="C71" s="423"/>
      <c r="D71" s="423"/>
      <c r="E71" s="423"/>
      <c r="F71" s="423"/>
      <c r="G71" s="423"/>
      <c r="H71" s="423"/>
      <c r="I71" s="86">
        <f>'1. SB ABA DE CARREGAMENTO'!$B$90</f>
        <v>24</v>
      </c>
      <c r="J71" s="422"/>
    </row>
    <row r="72" spans="1:10" ht="18.75" customHeight="1" x14ac:dyDescent="0.2">
      <c r="A72" s="403"/>
      <c r="B72" s="423" t="s">
        <v>402</v>
      </c>
      <c r="C72" s="423"/>
      <c r="D72" s="423"/>
      <c r="E72" s="423"/>
      <c r="F72" s="423"/>
      <c r="G72" s="423"/>
      <c r="H72" s="423"/>
      <c r="I72" s="87">
        <f>'1. SB ABA DE CARREGAMENTO'!B91</f>
        <v>0.06</v>
      </c>
      <c r="J72" s="422"/>
    </row>
    <row r="73" spans="1:10" ht="18.75" customHeight="1" x14ac:dyDescent="0.2">
      <c r="A73" s="403" t="s">
        <v>329</v>
      </c>
      <c r="B73" s="417" t="s">
        <v>657</v>
      </c>
      <c r="C73" s="417"/>
      <c r="D73" s="417"/>
      <c r="E73" s="424" t="str">
        <f>'1. SB ABA DE CARREGAMENTO'!B94</f>
        <v>Cláusula Décima Oitava da CCT 2022/2022</v>
      </c>
      <c r="F73" s="424"/>
      <c r="G73" s="424"/>
      <c r="H73" s="424"/>
      <c r="I73" s="425"/>
      <c r="J73" s="422">
        <f>ROUND((I74*I75)-((I74*I75)*I76),2)</f>
        <v>392.3</v>
      </c>
    </row>
    <row r="74" spans="1:10" ht="18.75" customHeight="1" x14ac:dyDescent="0.2">
      <c r="A74" s="403"/>
      <c r="B74" s="423" t="s">
        <v>403</v>
      </c>
      <c r="C74" s="423"/>
      <c r="D74" s="423"/>
      <c r="E74" s="423"/>
      <c r="F74" s="423"/>
      <c r="G74" s="423"/>
      <c r="H74" s="423"/>
      <c r="I74" s="81">
        <f>'1. SB ABA DE CARREGAMENTO'!B95</f>
        <v>20.18</v>
      </c>
      <c r="J74" s="422"/>
    </row>
    <row r="75" spans="1:10" ht="18.75" customHeight="1" x14ac:dyDescent="0.2">
      <c r="A75" s="403"/>
      <c r="B75" s="423" t="s">
        <v>404</v>
      </c>
      <c r="C75" s="423"/>
      <c r="D75" s="423"/>
      <c r="E75" s="423"/>
      <c r="F75" s="423"/>
      <c r="G75" s="423"/>
      <c r="H75" s="423"/>
      <c r="I75" s="86">
        <f>'1. SB ABA DE CARREGAMENTO'!B97</f>
        <v>24</v>
      </c>
      <c r="J75" s="422"/>
    </row>
    <row r="76" spans="1:10" ht="18.75" customHeight="1" x14ac:dyDescent="0.2">
      <c r="A76" s="403"/>
      <c r="B76" s="423" t="s">
        <v>405</v>
      </c>
      <c r="C76" s="423"/>
      <c r="D76" s="423"/>
      <c r="E76" s="423"/>
      <c r="F76" s="423"/>
      <c r="G76" s="423"/>
      <c r="H76" s="423"/>
      <c r="I76" s="88">
        <f>'1. SB ABA DE CARREGAMENTO'!B96</f>
        <v>0.19</v>
      </c>
      <c r="J76" s="422"/>
    </row>
    <row r="77" spans="1:10" ht="18.75" customHeight="1" x14ac:dyDescent="0.2">
      <c r="A77" s="20" t="s">
        <v>330</v>
      </c>
      <c r="B77" s="417" t="s">
        <v>406</v>
      </c>
      <c r="C77" s="417"/>
      <c r="D77" s="417"/>
      <c r="E77" s="424" t="str">
        <f>'1. SB ABA DE CARREGAMENTO'!B100</f>
        <v>Cláusula Vigésima Nona da CCT 2022/2022</v>
      </c>
      <c r="F77" s="424"/>
      <c r="G77" s="424"/>
      <c r="H77" s="424"/>
      <c r="I77" s="425"/>
      <c r="J77" s="89">
        <f>'1. SB ABA DE CARREGAMENTO'!C100</f>
        <v>17.32</v>
      </c>
    </row>
    <row r="78" spans="1:10" ht="18.75" customHeight="1" x14ac:dyDescent="0.2">
      <c r="A78" s="20" t="s">
        <v>332</v>
      </c>
      <c r="B78" s="399" t="s">
        <v>658</v>
      </c>
      <c r="C78" s="399"/>
      <c r="D78" s="399"/>
      <c r="E78" s="399"/>
      <c r="F78" s="399"/>
      <c r="G78" s="399"/>
      <c r="H78" s="399"/>
      <c r="I78" s="399"/>
      <c r="J78" s="64">
        <v>0</v>
      </c>
    </row>
    <row r="79" spans="1:10" ht="18.75" customHeight="1" x14ac:dyDescent="0.2">
      <c r="A79" s="419" t="s">
        <v>407</v>
      </c>
      <c r="B79" s="419"/>
      <c r="C79" s="419"/>
      <c r="D79" s="419"/>
      <c r="E79" s="419"/>
      <c r="F79" s="419"/>
      <c r="G79" s="419"/>
      <c r="H79" s="419"/>
      <c r="I79" s="419"/>
      <c r="J79" s="8">
        <f>SUM(J68:J77)</f>
        <v>501.17</v>
      </c>
    </row>
    <row r="80" spans="1:10" ht="18.75" customHeight="1" x14ac:dyDescent="0.2">
      <c r="A80" s="60" t="s">
        <v>408</v>
      </c>
      <c r="B80" s="420" t="s">
        <v>409</v>
      </c>
      <c r="C80" s="420"/>
      <c r="D80" s="420"/>
      <c r="E80" s="420"/>
      <c r="F80" s="420"/>
      <c r="G80" s="420"/>
      <c r="H80" s="420"/>
      <c r="I80" s="420"/>
      <c r="J80" s="420"/>
    </row>
    <row r="81" spans="1:10" ht="31.5" customHeight="1" x14ac:dyDescent="0.2">
      <c r="A81" s="60" t="s">
        <v>410</v>
      </c>
      <c r="B81" s="420" t="s">
        <v>411</v>
      </c>
      <c r="C81" s="420"/>
      <c r="D81" s="420"/>
      <c r="E81" s="420"/>
      <c r="F81" s="420"/>
      <c r="G81" s="420"/>
      <c r="H81" s="420"/>
      <c r="I81" s="420"/>
      <c r="J81" s="420"/>
    </row>
    <row r="82" spans="1:10" ht="18.75" customHeight="1" x14ac:dyDescent="0.2">
      <c r="A82" s="65"/>
      <c r="B82" s="66"/>
      <c r="C82" s="66"/>
      <c r="D82" s="66"/>
      <c r="E82" s="66"/>
      <c r="F82" s="66"/>
      <c r="G82" s="66"/>
      <c r="H82" s="66"/>
      <c r="I82" s="66"/>
      <c r="J82" s="66"/>
    </row>
    <row r="83" spans="1:10" ht="18.75" customHeight="1" x14ac:dyDescent="0.2">
      <c r="A83" s="385" t="s">
        <v>412</v>
      </c>
      <c r="B83" s="385"/>
      <c r="C83" s="385"/>
      <c r="D83" s="385"/>
      <c r="E83" s="385"/>
      <c r="F83" s="385"/>
      <c r="G83" s="385"/>
      <c r="H83" s="385"/>
      <c r="I83" s="385"/>
      <c r="J83" s="385"/>
    </row>
    <row r="84" spans="1:10" ht="18.75" customHeight="1" x14ac:dyDescent="0.2">
      <c r="A84" s="19" t="s">
        <v>413</v>
      </c>
      <c r="B84" s="385" t="s">
        <v>414</v>
      </c>
      <c r="C84" s="385"/>
      <c r="D84" s="385"/>
      <c r="E84" s="385"/>
      <c r="F84" s="385"/>
      <c r="G84" s="385"/>
      <c r="H84" s="385"/>
      <c r="I84" s="385"/>
      <c r="J84" s="19" t="s">
        <v>379</v>
      </c>
    </row>
    <row r="85" spans="1:10" ht="18.75" customHeight="1" x14ac:dyDescent="0.2">
      <c r="A85" s="20" t="s">
        <v>415</v>
      </c>
      <c r="B85" s="423" t="s">
        <v>416</v>
      </c>
      <c r="C85" s="423"/>
      <c r="D85" s="423"/>
      <c r="E85" s="423"/>
      <c r="F85" s="423"/>
      <c r="G85" s="423"/>
      <c r="H85" s="423"/>
      <c r="I85" s="423"/>
      <c r="J85" s="64">
        <f>J49</f>
        <v>179.11</v>
      </c>
    </row>
    <row r="86" spans="1:10" ht="18.75" customHeight="1" x14ac:dyDescent="0.2">
      <c r="A86" s="20" t="s">
        <v>383</v>
      </c>
      <c r="B86" s="423" t="s">
        <v>417</v>
      </c>
      <c r="C86" s="423"/>
      <c r="D86" s="423"/>
      <c r="E86" s="423"/>
      <c r="F86" s="423"/>
      <c r="G86" s="423"/>
      <c r="H86" s="423"/>
      <c r="I86" s="423"/>
      <c r="J86" s="64">
        <f>J62</f>
        <v>646.20999999999992</v>
      </c>
    </row>
    <row r="87" spans="1:10" ht="18.75" customHeight="1" x14ac:dyDescent="0.2">
      <c r="A87" s="20" t="s">
        <v>418</v>
      </c>
      <c r="B87" s="423" t="s">
        <v>419</v>
      </c>
      <c r="C87" s="423"/>
      <c r="D87" s="423"/>
      <c r="E87" s="423"/>
      <c r="F87" s="423"/>
      <c r="G87" s="423"/>
      <c r="H87" s="423"/>
      <c r="I87" s="423"/>
      <c r="J87" s="64">
        <f>J79</f>
        <v>501.17</v>
      </c>
    </row>
    <row r="88" spans="1:10" ht="18.75" customHeight="1" x14ac:dyDescent="0.2">
      <c r="A88" s="419" t="s">
        <v>420</v>
      </c>
      <c r="B88" s="419"/>
      <c r="C88" s="419"/>
      <c r="D88" s="419"/>
      <c r="E88" s="419"/>
      <c r="F88" s="419"/>
      <c r="G88" s="419"/>
      <c r="H88" s="419"/>
      <c r="I88" s="419"/>
      <c r="J88" s="8">
        <f>SUM(J85+J86+J87)</f>
        <v>1326.49</v>
      </c>
    </row>
    <row r="89" spans="1:10" ht="18.75" customHeight="1" x14ac:dyDescent="0.2">
      <c r="A89" s="67"/>
      <c r="B89" s="67"/>
      <c r="C89" s="67"/>
      <c r="D89" s="67"/>
      <c r="E89" s="67"/>
      <c r="F89" s="67"/>
      <c r="G89" s="67"/>
      <c r="H89" s="67"/>
      <c r="I89" s="67"/>
      <c r="J89" s="68"/>
    </row>
    <row r="90" spans="1:10" ht="18.75" customHeight="1" x14ac:dyDescent="0.2">
      <c r="A90" s="385" t="s">
        <v>421</v>
      </c>
      <c r="B90" s="385"/>
      <c r="C90" s="385"/>
      <c r="D90" s="385"/>
      <c r="E90" s="385"/>
      <c r="F90" s="385"/>
      <c r="G90" s="385"/>
      <c r="H90" s="385"/>
      <c r="I90" s="385"/>
      <c r="J90" s="385"/>
    </row>
    <row r="91" spans="1:10" ht="18.75" customHeight="1" x14ac:dyDescent="0.2">
      <c r="A91" s="19"/>
      <c r="B91" s="385" t="s">
        <v>414</v>
      </c>
      <c r="C91" s="385"/>
      <c r="D91" s="385"/>
      <c r="E91" s="385"/>
      <c r="F91" s="385"/>
      <c r="G91" s="385"/>
      <c r="H91" s="385"/>
      <c r="I91" s="385"/>
      <c r="J91" s="19" t="s">
        <v>422</v>
      </c>
    </row>
    <row r="92" spans="1:10" ht="18.75" customHeight="1" x14ac:dyDescent="0.2">
      <c r="A92" s="20" t="s">
        <v>327</v>
      </c>
      <c r="B92" s="399" t="s">
        <v>659</v>
      </c>
      <c r="C92" s="399"/>
      <c r="D92" s="399"/>
      <c r="E92" s="399"/>
      <c r="F92" s="399"/>
      <c r="G92" s="399"/>
      <c r="H92" s="399"/>
      <c r="I92" s="399"/>
      <c r="J92" s="64">
        <f>ROUND((($J$42/12)+($J$47/12)+($J$42/12/12)+($J$48/12))*(30/30)*0.05,2)</f>
        <v>7.86</v>
      </c>
    </row>
    <row r="93" spans="1:10" ht="18.75" customHeight="1" x14ac:dyDescent="0.2">
      <c r="A93" s="20" t="s">
        <v>329</v>
      </c>
      <c r="B93" s="399" t="s">
        <v>423</v>
      </c>
      <c r="C93" s="399"/>
      <c r="D93" s="399"/>
      <c r="E93" s="399"/>
      <c r="F93" s="399"/>
      <c r="G93" s="399"/>
      <c r="H93" s="399"/>
      <c r="I93" s="399"/>
      <c r="J93" s="64">
        <f>ROUND($J$92*I61,2)</f>
        <v>0.63</v>
      </c>
    </row>
    <row r="94" spans="1:10" ht="18.75" customHeight="1" x14ac:dyDescent="0.2">
      <c r="A94" s="20" t="s">
        <v>330</v>
      </c>
      <c r="B94" s="399" t="s">
        <v>660</v>
      </c>
      <c r="C94" s="399"/>
      <c r="D94" s="399"/>
      <c r="E94" s="399"/>
      <c r="F94" s="399"/>
      <c r="G94" s="399"/>
      <c r="H94" s="399"/>
      <c r="I94" s="399"/>
      <c r="J94" s="64">
        <f>ROUND(0.08*0.4*($J$42+$J$47+$J$48)*0.05,2)</f>
        <v>2.81</v>
      </c>
    </row>
    <row r="95" spans="1:10" ht="18.75" customHeight="1" x14ac:dyDescent="0.2">
      <c r="A95" s="20" t="s">
        <v>332</v>
      </c>
      <c r="B95" s="399" t="s">
        <v>661</v>
      </c>
      <c r="C95" s="399"/>
      <c r="D95" s="399"/>
      <c r="E95" s="399"/>
      <c r="F95" s="399"/>
      <c r="G95" s="399"/>
      <c r="H95" s="399"/>
      <c r="I95" s="399"/>
      <c r="J95" s="64">
        <f>ROUND(((($J$42/30)*7)/$H$21)*1,2)</f>
        <v>18.399999999999999</v>
      </c>
    </row>
    <row r="96" spans="1:10" ht="18.75" customHeight="1" x14ac:dyDescent="0.2">
      <c r="A96" s="20" t="s">
        <v>388</v>
      </c>
      <c r="B96" s="399" t="s">
        <v>424</v>
      </c>
      <c r="C96" s="399"/>
      <c r="D96" s="399"/>
      <c r="E96" s="399"/>
      <c r="F96" s="399"/>
      <c r="G96" s="399"/>
      <c r="H96" s="399"/>
      <c r="I96" s="399"/>
      <c r="J96" s="64">
        <f>ROUND($I$62*J95,2)</f>
        <v>6.77</v>
      </c>
    </row>
    <row r="97" spans="1:10" ht="18.75" customHeight="1" x14ac:dyDescent="0.2">
      <c r="A97" s="20" t="s">
        <v>389</v>
      </c>
      <c r="B97" s="399" t="s">
        <v>662</v>
      </c>
      <c r="C97" s="399"/>
      <c r="D97" s="399"/>
      <c r="E97" s="399"/>
      <c r="F97" s="399"/>
      <c r="G97" s="399"/>
      <c r="H97" s="399"/>
      <c r="I97" s="399"/>
      <c r="J97" s="64">
        <f>ROUND(0.08*0.4*($J$42+$J$47+$J$48)*0.9,2)</f>
        <v>50.57</v>
      </c>
    </row>
    <row r="98" spans="1:10" ht="18.75" customHeight="1" x14ac:dyDescent="0.2">
      <c r="A98" s="419" t="s">
        <v>425</v>
      </c>
      <c r="B98" s="419"/>
      <c r="C98" s="419"/>
      <c r="D98" s="419"/>
      <c r="E98" s="419"/>
      <c r="F98" s="419"/>
      <c r="G98" s="419"/>
      <c r="H98" s="419"/>
      <c r="I98" s="419"/>
      <c r="J98" s="8">
        <f>SUM(J92:J97)</f>
        <v>87.039999999999992</v>
      </c>
    </row>
    <row r="99" spans="1:10" ht="18.75" customHeight="1" x14ac:dyDescent="0.2">
      <c r="A99" s="67"/>
      <c r="B99" s="67"/>
      <c r="C99" s="67"/>
      <c r="D99" s="67"/>
      <c r="E99" s="67"/>
      <c r="F99" s="67"/>
      <c r="G99" s="67"/>
      <c r="H99" s="67"/>
      <c r="I99" s="67"/>
      <c r="J99" s="68"/>
    </row>
    <row r="100" spans="1:10" ht="18.75" customHeight="1" x14ac:dyDescent="0.2">
      <c r="A100" s="385" t="s">
        <v>426</v>
      </c>
      <c r="B100" s="385"/>
      <c r="C100" s="385"/>
      <c r="D100" s="385"/>
      <c r="E100" s="385"/>
      <c r="F100" s="385"/>
      <c r="G100" s="385"/>
      <c r="H100" s="385"/>
      <c r="I100" s="385"/>
      <c r="J100" s="385"/>
    </row>
    <row r="101" spans="1:10" ht="35.25" customHeight="1" x14ac:dyDescent="0.2">
      <c r="A101" s="385" t="s">
        <v>696</v>
      </c>
      <c r="B101" s="385"/>
      <c r="C101" s="385"/>
      <c r="D101" s="385"/>
      <c r="E101" s="385"/>
      <c r="F101" s="385"/>
      <c r="G101" s="385"/>
      <c r="H101" s="385"/>
      <c r="I101" s="385"/>
      <c r="J101" s="385"/>
    </row>
    <row r="102" spans="1:10" ht="33.75" customHeight="1" x14ac:dyDescent="0.2">
      <c r="A102" s="385" t="s">
        <v>427</v>
      </c>
      <c r="B102" s="385"/>
      <c r="C102" s="7">
        <f>J42</f>
        <v>1576.9099999999999</v>
      </c>
      <c r="D102" s="385" t="s">
        <v>613</v>
      </c>
      <c r="E102" s="385"/>
      <c r="F102" s="7">
        <f>J88-J73-J68</f>
        <v>842.6400000000001</v>
      </c>
      <c r="G102" s="385" t="s">
        <v>429</v>
      </c>
      <c r="H102" s="385"/>
      <c r="I102" s="7">
        <f>J98</f>
        <v>87.039999999999992</v>
      </c>
      <c r="J102" s="8">
        <f>ROUND((J42+(J88-J73-J68)+J98),2)</f>
        <v>2506.59</v>
      </c>
    </row>
    <row r="103" spans="1:10" ht="18.75" customHeight="1" x14ac:dyDescent="0.2">
      <c r="A103" s="385" t="s">
        <v>430</v>
      </c>
      <c r="B103" s="385"/>
      <c r="C103" s="385"/>
      <c r="D103" s="385"/>
      <c r="E103" s="385"/>
      <c r="F103" s="385"/>
      <c r="G103" s="385" t="s">
        <v>431</v>
      </c>
      <c r="H103" s="385"/>
      <c r="I103" s="385"/>
      <c r="J103" s="9">
        <f>ROUND(J102/30,2)</f>
        <v>83.55</v>
      </c>
    </row>
    <row r="104" spans="1:10" ht="18.75" customHeight="1" x14ac:dyDescent="0.2">
      <c r="A104" s="16"/>
      <c r="B104" s="16"/>
      <c r="C104" s="16"/>
      <c r="D104" s="16"/>
      <c r="E104" s="16"/>
      <c r="F104" s="16"/>
      <c r="G104" s="16"/>
      <c r="H104" s="16"/>
      <c r="I104" s="16"/>
      <c r="J104" s="17"/>
    </row>
    <row r="105" spans="1:10" ht="18.75" customHeight="1" x14ac:dyDescent="0.2">
      <c r="A105" s="19" t="s">
        <v>432</v>
      </c>
      <c r="B105" s="385" t="s">
        <v>433</v>
      </c>
      <c r="C105" s="385"/>
      <c r="D105" s="385"/>
      <c r="E105" s="385"/>
      <c r="F105" s="385"/>
      <c r="G105" s="385"/>
      <c r="H105" s="385"/>
      <c r="I105" s="385"/>
      <c r="J105" s="19" t="s">
        <v>379</v>
      </c>
    </row>
    <row r="106" spans="1:10" ht="18.75" customHeight="1" x14ac:dyDescent="0.2">
      <c r="A106" s="20" t="s">
        <v>327</v>
      </c>
      <c r="B106" s="421" t="s">
        <v>712</v>
      </c>
      <c r="C106" s="421"/>
      <c r="D106" s="421"/>
      <c r="E106" s="421"/>
      <c r="F106" s="421"/>
      <c r="G106" s="421"/>
      <c r="H106" s="421"/>
      <c r="I106" s="421"/>
      <c r="J106" s="64">
        <f>ROUND(J42*9.075%,2)</f>
        <v>143.1</v>
      </c>
    </row>
    <row r="107" spans="1:10" ht="18.75" customHeight="1" x14ac:dyDescent="0.2">
      <c r="A107" s="20" t="s">
        <v>329</v>
      </c>
      <c r="B107" s="399" t="s">
        <v>663</v>
      </c>
      <c r="C107" s="399"/>
      <c r="D107" s="399"/>
      <c r="E107" s="399"/>
      <c r="F107" s="399"/>
      <c r="G107" s="399"/>
      <c r="H107" s="399"/>
      <c r="I107" s="399"/>
      <c r="J107" s="81">
        <f>ROUND((($J$102/30)*1)/12,2)</f>
        <v>6.96</v>
      </c>
    </row>
    <row r="108" spans="1:10" ht="18.75" customHeight="1" x14ac:dyDescent="0.2">
      <c r="A108" s="20" t="s">
        <v>330</v>
      </c>
      <c r="B108" s="399" t="s">
        <v>664</v>
      </c>
      <c r="C108" s="399"/>
      <c r="D108" s="399"/>
      <c r="E108" s="399"/>
      <c r="F108" s="399"/>
      <c r="G108" s="399"/>
      <c r="H108" s="399"/>
      <c r="I108" s="399"/>
      <c r="J108" s="81">
        <f>ROUND((($J$102/30)*5)/12*0.015,2)</f>
        <v>0.52</v>
      </c>
    </row>
    <row r="109" spans="1:10" ht="18.75" customHeight="1" x14ac:dyDescent="0.2">
      <c r="A109" s="20" t="s">
        <v>332</v>
      </c>
      <c r="B109" s="399" t="s">
        <v>665</v>
      </c>
      <c r="C109" s="399"/>
      <c r="D109" s="399"/>
      <c r="E109" s="399"/>
      <c r="F109" s="399"/>
      <c r="G109" s="399"/>
      <c r="H109" s="399"/>
      <c r="I109" s="399"/>
      <c r="J109" s="64">
        <f>ROUND(((($J$102/30)*15)/12)*0.0078,2)</f>
        <v>0.81</v>
      </c>
    </row>
    <row r="110" spans="1:10" ht="18.75" customHeight="1" x14ac:dyDescent="0.2">
      <c r="A110" s="20" t="s">
        <v>388</v>
      </c>
      <c r="B110" s="399" t="s">
        <v>666</v>
      </c>
      <c r="C110" s="399"/>
      <c r="D110" s="399"/>
      <c r="E110" s="399"/>
      <c r="F110" s="399"/>
      <c r="G110" s="399"/>
      <c r="H110" s="399"/>
      <c r="I110" s="399"/>
      <c r="J110" s="64">
        <f>ROUND((((J42+J42/3)/12+(J62+J79-J73-J68+J98))*4/12)*0.02,2)</f>
        <v>6.17</v>
      </c>
    </row>
    <row r="111" spans="1:10" ht="18.75" customHeight="1" x14ac:dyDescent="0.2">
      <c r="A111" s="20" t="s">
        <v>389</v>
      </c>
      <c r="B111" s="399" t="s">
        <v>667</v>
      </c>
      <c r="C111" s="399"/>
      <c r="D111" s="399"/>
      <c r="E111" s="399"/>
      <c r="F111" s="399"/>
      <c r="G111" s="399"/>
      <c r="H111" s="399"/>
      <c r="I111" s="399"/>
      <c r="J111" s="64">
        <f>ROUND(((($J$102/30)*5)/12),2)</f>
        <v>34.81</v>
      </c>
    </row>
    <row r="112" spans="1:10" ht="18.75" customHeight="1" x14ac:dyDescent="0.2">
      <c r="A112" s="419" t="s">
        <v>434</v>
      </c>
      <c r="B112" s="419"/>
      <c r="C112" s="419"/>
      <c r="D112" s="419"/>
      <c r="E112" s="419"/>
      <c r="F112" s="419"/>
      <c r="G112" s="419"/>
      <c r="H112" s="419"/>
      <c r="I112" s="419"/>
      <c r="J112" s="8">
        <f>SUM(J106:J111)</f>
        <v>192.37</v>
      </c>
    </row>
    <row r="113" spans="1:10" ht="18.75" customHeight="1" x14ac:dyDescent="0.2">
      <c r="A113" s="500"/>
      <c r="B113" s="500"/>
      <c r="C113" s="500"/>
      <c r="D113" s="500"/>
      <c r="E113" s="500"/>
      <c r="F113" s="500"/>
      <c r="G113" s="500"/>
      <c r="H113" s="500"/>
      <c r="I113" s="500"/>
      <c r="J113" s="83"/>
    </row>
    <row r="114" spans="1:10" ht="18.75" customHeight="1" x14ac:dyDescent="0.2">
      <c r="A114" s="19" t="s">
        <v>435</v>
      </c>
      <c r="B114" s="385" t="s">
        <v>436</v>
      </c>
      <c r="C114" s="385"/>
      <c r="D114" s="385"/>
      <c r="E114" s="385"/>
      <c r="F114" s="385"/>
      <c r="G114" s="385"/>
      <c r="H114" s="385"/>
      <c r="I114" s="385"/>
      <c r="J114" s="19" t="s">
        <v>379</v>
      </c>
    </row>
    <row r="115" spans="1:10" ht="18.75" customHeight="1" x14ac:dyDescent="0.2">
      <c r="A115" s="20" t="s">
        <v>327</v>
      </c>
      <c r="B115" s="399" t="s">
        <v>437</v>
      </c>
      <c r="C115" s="399"/>
      <c r="D115" s="399"/>
      <c r="E115" s="399"/>
      <c r="F115" s="399"/>
      <c r="G115" s="399"/>
      <c r="H115" s="399"/>
      <c r="I115" s="399"/>
      <c r="J115" s="64">
        <v>0</v>
      </c>
    </row>
    <row r="116" spans="1:10" ht="18.75" customHeight="1" x14ac:dyDescent="0.2">
      <c r="A116" s="419" t="s">
        <v>438</v>
      </c>
      <c r="B116" s="419"/>
      <c r="C116" s="419"/>
      <c r="D116" s="419"/>
      <c r="E116" s="419"/>
      <c r="F116" s="419"/>
      <c r="G116" s="419"/>
      <c r="H116" s="419"/>
      <c r="I116" s="419"/>
      <c r="J116" s="8">
        <f>SUM(J115)</f>
        <v>0</v>
      </c>
    </row>
    <row r="117" spans="1:10" ht="18.75" customHeight="1" x14ac:dyDescent="0.2">
      <c r="A117" s="500"/>
      <c r="B117" s="500"/>
      <c r="C117" s="500"/>
      <c r="D117" s="500"/>
      <c r="E117" s="500"/>
      <c r="F117" s="500"/>
      <c r="G117" s="500"/>
      <c r="H117" s="500"/>
      <c r="I117" s="500"/>
      <c r="J117" s="83"/>
    </row>
    <row r="118" spans="1:10" ht="18.75" customHeight="1" x14ac:dyDescent="0.2">
      <c r="A118" s="385" t="s">
        <v>439</v>
      </c>
      <c r="B118" s="385"/>
      <c r="C118" s="385"/>
      <c r="D118" s="385"/>
      <c r="E118" s="385"/>
      <c r="F118" s="385"/>
      <c r="G118" s="385"/>
      <c r="H118" s="385"/>
      <c r="I118" s="385"/>
      <c r="J118" s="385"/>
    </row>
    <row r="119" spans="1:10" ht="18.75" customHeight="1" x14ac:dyDescent="0.2">
      <c r="A119" s="19" t="s">
        <v>440</v>
      </c>
      <c r="B119" s="385" t="s">
        <v>414</v>
      </c>
      <c r="C119" s="385"/>
      <c r="D119" s="385"/>
      <c r="E119" s="385"/>
      <c r="F119" s="385"/>
      <c r="G119" s="385"/>
      <c r="H119" s="385"/>
      <c r="I119" s="385"/>
      <c r="J119" s="14" t="s">
        <v>379</v>
      </c>
    </row>
    <row r="120" spans="1:10" ht="18.75" customHeight="1" x14ac:dyDescent="0.2">
      <c r="A120" s="20" t="s">
        <v>432</v>
      </c>
      <c r="B120" s="399" t="s">
        <v>433</v>
      </c>
      <c r="C120" s="399"/>
      <c r="D120" s="399"/>
      <c r="E120" s="399"/>
      <c r="F120" s="399"/>
      <c r="G120" s="399"/>
      <c r="H120" s="399"/>
      <c r="I120" s="399"/>
      <c r="J120" s="64">
        <f>J112</f>
        <v>192.37</v>
      </c>
    </row>
    <row r="121" spans="1:10" ht="18.75" customHeight="1" x14ac:dyDescent="0.2">
      <c r="A121" s="20" t="s">
        <v>441</v>
      </c>
      <c r="B121" s="399" t="s">
        <v>436</v>
      </c>
      <c r="C121" s="399"/>
      <c r="D121" s="399"/>
      <c r="E121" s="399"/>
      <c r="F121" s="399"/>
      <c r="G121" s="399"/>
      <c r="H121" s="399"/>
      <c r="I121" s="399"/>
      <c r="J121" s="64">
        <f>J116</f>
        <v>0</v>
      </c>
    </row>
    <row r="122" spans="1:10" ht="18.75" customHeight="1" x14ac:dyDescent="0.2">
      <c r="A122" s="419" t="s">
        <v>442</v>
      </c>
      <c r="B122" s="419"/>
      <c r="C122" s="419"/>
      <c r="D122" s="419"/>
      <c r="E122" s="419"/>
      <c r="F122" s="419"/>
      <c r="G122" s="419"/>
      <c r="H122" s="419"/>
      <c r="I122" s="419"/>
      <c r="J122" s="8">
        <f>SUM(J120+J121)</f>
        <v>192.37</v>
      </c>
    </row>
    <row r="123" spans="1:10" ht="27.75" customHeight="1" x14ac:dyDescent="0.2">
      <c r="A123" s="60" t="s">
        <v>443</v>
      </c>
      <c r="B123" s="420" t="s">
        <v>444</v>
      </c>
      <c r="C123" s="420"/>
      <c r="D123" s="420"/>
      <c r="E123" s="420"/>
      <c r="F123" s="420"/>
      <c r="G123" s="420"/>
      <c r="H123" s="420"/>
      <c r="I123" s="420"/>
      <c r="J123" s="420"/>
    </row>
    <row r="124" spans="1:10" ht="18.75" customHeight="1" x14ac:dyDescent="0.2">
      <c r="A124" s="65"/>
      <c r="B124" s="66"/>
      <c r="C124" s="66"/>
      <c r="D124" s="66"/>
      <c r="E124" s="66"/>
      <c r="F124" s="66"/>
      <c r="G124" s="66"/>
      <c r="H124" s="66"/>
      <c r="I124" s="66"/>
      <c r="J124" s="66"/>
    </row>
    <row r="125" spans="1:10" ht="18.75" customHeight="1" x14ac:dyDescent="0.2">
      <c r="A125" s="385" t="s">
        <v>445</v>
      </c>
      <c r="B125" s="385"/>
      <c r="C125" s="385"/>
      <c r="D125" s="385"/>
      <c r="E125" s="385"/>
      <c r="F125" s="385"/>
      <c r="G125" s="385"/>
      <c r="H125" s="385"/>
      <c r="I125" s="385"/>
      <c r="J125" s="385"/>
    </row>
    <row r="126" spans="1:10" ht="18.75" customHeight="1" x14ac:dyDescent="0.2">
      <c r="A126" s="19"/>
      <c r="B126" s="385" t="s">
        <v>414</v>
      </c>
      <c r="C126" s="385"/>
      <c r="D126" s="385"/>
      <c r="E126" s="385"/>
      <c r="F126" s="385"/>
      <c r="G126" s="385"/>
      <c r="H126" s="385"/>
      <c r="I126" s="385"/>
      <c r="J126" s="19" t="s">
        <v>379</v>
      </c>
    </row>
    <row r="127" spans="1:10" ht="18.75" customHeight="1" x14ac:dyDescent="0.2">
      <c r="A127" s="20" t="s">
        <v>327</v>
      </c>
      <c r="B127" s="399" t="s">
        <v>446</v>
      </c>
      <c r="C127" s="399"/>
      <c r="D127" s="399"/>
      <c r="E127" s="399"/>
      <c r="F127" s="399"/>
      <c r="G127" s="399"/>
      <c r="H127" s="399"/>
      <c r="I127" s="399"/>
      <c r="J127" s="64">
        <f>'2. SB INSUMOS'!F92</f>
        <v>104.81833333333334</v>
      </c>
    </row>
    <row r="128" spans="1:10" ht="18.75" customHeight="1" x14ac:dyDescent="0.2">
      <c r="A128" s="20" t="s">
        <v>329</v>
      </c>
      <c r="B128" s="399" t="s">
        <v>447</v>
      </c>
      <c r="C128" s="399"/>
      <c r="D128" s="399"/>
      <c r="E128" s="399"/>
      <c r="F128" s="399"/>
      <c r="G128" s="399"/>
      <c r="H128" s="399"/>
      <c r="I128" s="399"/>
      <c r="J128" s="64">
        <v>0</v>
      </c>
    </row>
    <row r="129" spans="1:12" ht="18.75" customHeight="1" x14ac:dyDescent="0.2">
      <c r="A129" s="20" t="s">
        <v>330</v>
      </c>
      <c r="B129" s="399" t="s">
        <v>448</v>
      </c>
      <c r="C129" s="399"/>
      <c r="D129" s="399"/>
      <c r="E129" s="399"/>
      <c r="F129" s="399"/>
      <c r="G129" s="399"/>
      <c r="H129" s="399"/>
      <c r="I129" s="399"/>
      <c r="J129" s="64">
        <v>0</v>
      </c>
    </row>
    <row r="130" spans="1:12" ht="18.75" customHeight="1" x14ac:dyDescent="0.2">
      <c r="A130" s="20" t="s">
        <v>332</v>
      </c>
      <c r="B130" s="399" t="s">
        <v>577</v>
      </c>
      <c r="C130" s="399"/>
      <c r="D130" s="399"/>
      <c r="E130" s="399"/>
      <c r="F130" s="399"/>
      <c r="G130" s="399"/>
      <c r="H130" s="399"/>
      <c r="I130" s="399"/>
      <c r="J130" s="64" t="s">
        <v>449</v>
      </c>
    </row>
    <row r="131" spans="1:12" ht="18.75" customHeight="1" x14ac:dyDescent="0.2">
      <c r="A131" s="419" t="s">
        <v>551</v>
      </c>
      <c r="B131" s="419"/>
      <c r="C131" s="419"/>
      <c r="D131" s="419"/>
      <c r="E131" s="419"/>
      <c r="F131" s="419"/>
      <c r="G131" s="419"/>
      <c r="H131" s="419"/>
      <c r="I131" s="419"/>
      <c r="J131" s="8">
        <f>SUM(J127:J130)</f>
        <v>104.81833333333334</v>
      </c>
    </row>
    <row r="132" spans="1:12" ht="18.75" customHeight="1" x14ac:dyDescent="0.2">
      <c r="A132" s="60" t="s">
        <v>451</v>
      </c>
      <c r="B132" s="420" t="s">
        <v>452</v>
      </c>
      <c r="C132" s="420"/>
      <c r="D132" s="420"/>
      <c r="E132" s="420"/>
      <c r="F132" s="420"/>
      <c r="G132" s="420"/>
      <c r="H132" s="420"/>
      <c r="I132" s="420"/>
      <c r="J132" s="420"/>
    </row>
    <row r="133" spans="1:12" ht="18.75" customHeight="1" x14ac:dyDescent="0.2">
      <c r="A133" s="498"/>
      <c r="B133" s="498"/>
      <c r="C133" s="498"/>
      <c r="D133" s="498"/>
      <c r="E133" s="498"/>
      <c r="F133" s="498"/>
      <c r="G133" s="498"/>
      <c r="H133" s="498"/>
      <c r="I133" s="498"/>
      <c r="J133" s="498"/>
    </row>
    <row r="134" spans="1:12" ht="18.75" customHeight="1" x14ac:dyDescent="0.2">
      <c r="A134" s="385" t="s">
        <v>453</v>
      </c>
      <c r="B134" s="385"/>
      <c r="C134" s="385"/>
      <c r="D134" s="385"/>
      <c r="E134" s="385"/>
      <c r="F134" s="385"/>
      <c r="G134" s="385"/>
      <c r="H134" s="385"/>
      <c r="I134" s="385"/>
      <c r="J134" s="385"/>
    </row>
    <row r="135" spans="1:12" ht="18.75" customHeight="1" x14ac:dyDescent="0.2">
      <c r="A135" s="19"/>
      <c r="B135" s="385" t="s">
        <v>454</v>
      </c>
      <c r="C135" s="385"/>
      <c r="D135" s="385"/>
      <c r="E135" s="385"/>
      <c r="F135" s="385"/>
      <c r="G135" s="385"/>
      <c r="H135" s="385"/>
      <c r="I135" s="19" t="s">
        <v>369</v>
      </c>
      <c r="J135" s="14" t="s">
        <v>379</v>
      </c>
    </row>
    <row r="136" spans="1:12" ht="45.75" customHeight="1" x14ac:dyDescent="0.2">
      <c r="A136" s="399" t="s">
        <v>668</v>
      </c>
      <c r="B136" s="399"/>
      <c r="C136" s="399"/>
      <c r="D136" s="399"/>
      <c r="E136" s="399"/>
      <c r="F136" s="399"/>
      <c r="G136" s="399"/>
      <c r="H136" s="399"/>
      <c r="I136" s="399"/>
      <c r="J136" s="90">
        <f>SUM(J42+J88+J98+J122+J131)</f>
        <v>3287.6283333333326</v>
      </c>
    </row>
    <row r="137" spans="1:12" ht="18.75" customHeight="1" x14ac:dyDescent="0.2">
      <c r="A137" s="19" t="s">
        <v>327</v>
      </c>
      <c r="B137" s="431" t="s">
        <v>455</v>
      </c>
      <c r="C137" s="431"/>
      <c r="D137" s="431"/>
      <c r="E137" s="431"/>
      <c r="F137" s="431"/>
      <c r="G137" s="431"/>
      <c r="H137" s="431"/>
      <c r="I137" s="91">
        <f>'1. SB ABA DE CARREGAMENTO'!$B$103</f>
        <v>0.06</v>
      </c>
      <c r="J137" s="8">
        <f>ROUND(I137*J136,2)</f>
        <v>197.26</v>
      </c>
    </row>
    <row r="138" spans="1:12" ht="43.5" customHeight="1" x14ac:dyDescent="0.2">
      <c r="A138" s="399" t="s">
        <v>669</v>
      </c>
      <c r="B138" s="399"/>
      <c r="C138" s="399"/>
      <c r="D138" s="399"/>
      <c r="E138" s="399"/>
      <c r="F138" s="399"/>
      <c r="G138" s="399"/>
      <c r="H138" s="399"/>
      <c r="I138" s="399"/>
      <c r="J138" s="89">
        <f>SUM(J42+J88+J98+J122+J131+J137)</f>
        <v>3484.8883333333324</v>
      </c>
    </row>
    <row r="139" spans="1:12" ht="18.75" customHeight="1" x14ac:dyDescent="0.2">
      <c r="A139" s="19" t="s">
        <v>329</v>
      </c>
      <c r="B139" s="431" t="s">
        <v>100</v>
      </c>
      <c r="C139" s="431"/>
      <c r="D139" s="431"/>
      <c r="E139" s="431"/>
      <c r="F139" s="431"/>
      <c r="G139" s="431"/>
      <c r="H139" s="431"/>
      <c r="I139" s="91">
        <f>'1. SB ABA DE CARREGAMENTO'!$B$104</f>
        <v>6.7900000000000002E-2</v>
      </c>
      <c r="J139" s="8">
        <f>ROUND(I139*J138,2)</f>
        <v>236.62</v>
      </c>
    </row>
    <row r="140" spans="1:12" ht="43.5" customHeight="1" x14ac:dyDescent="0.2">
      <c r="A140" s="399" t="s">
        <v>670</v>
      </c>
      <c r="B140" s="399"/>
      <c r="C140" s="399"/>
      <c r="D140" s="399"/>
      <c r="E140" s="399"/>
      <c r="F140" s="399"/>
      <c r="G140" s="399"/>
      <c r="H140" s="399"/>
      <c r="I140" s="399"/>
      <c r="J140" s="89">
        <f>SUM(J42+J88+J98+J122+J131+J137+J139)</f>
        <v>3721.5083333333323</v>
      </c>
    </row>
    <row r="141" spans="1:12" ht="18.75" customHeight="1" x14ac:dyDescent="0.2">
      <c r="A141" s="19" t="s">
        <v>330</v>
      </c>
      <c r="B141" s="431" t="s">
        <v>456</v>
      </c>
      <c r="C141" s="431"/>
      <c r="D141" s="431"/>
      <c r="E141" s="431"/>
      <c r="F141" s="431"/>
      <c r="G141" s="431"/>
      <c r="H141" s="431"/>
      <c r="I141" s="91">
        <f>SUM(I142:I145)</f>
        <v>0.1225</v>
      </c>
      <c r="J141" s="8">
        <f>SUM(J142:J145)</f>
        <v>519.53</v>
      </c>
      <c r="K141" s="432"/>
      <c r="L141" s="432"/>
    </row>
    <row r="142" spans="1:12" ht="18.75" customHeight="1" x14ac:dyDescent="0.2">
      <c r="A142" s="403" t="s">
        <v>457</v>
      </c>
      <c r="B142" s="399" t="s">
        <v>458</v>
      </c>
      <c r="C142" s="399"/>
      <c r="D142" s="399"/>
      <c r="E142" s="399"/>
      <c r="F142" s="399" t="s">
        <v>102</v>
      </c>
      <c r="G142" s="399"/>
      <c r="H142" s="399"/>
      <c r="I142" s="62">
        <f>IF(H15=1,0.0165,IF(H15=2,0.0065,IF(H15=3,'1. SB ABA DE CARREGAMENTO'!B108,IF(H15=4,'1. SB ABA DE CARREGAMENTO'!B108,IF(H15=5,'1. SB ABA DE CARREGAMENTO'!B108,"RT Indefinido")))))</f>
        <v>1.6500000000000001E-2</v>
      </c>
      <c r="J142" s="89">
        <f>ROUND(($J$140/(1-$I$141))*I142,2)</f>
        <v>69.98</v>
      </c>
      <c r="K142" s="102"/>
      <c r="L142" s="103"/>
    </row>
    <row r="143" spans="1:12" ht="18.75" customHeight="1" x14ac:dyDescent="0.2">
      <c r="A143" s="403"/>
      <c r="B143" s="399"/>
      <c r="C143" s="399"/>
      <c r="D143" s="399"/>
      <c r="E143" s="399"/>
      <c r="F143" s="399" t="s">
        <v>103</v>
      </c>
      <c r="G143" s="399"/>
      <c r="H143" s="399"/>
      <c r="I143" s="62">
        <f>IF(H15=1,0.076,IF(H15=2,0.03,IF(H15=3,'1. SB ABA DE CARREGAMENTO'!B109,IF(H15=4,'1. SB ABA DE CARREGAMENTO'!B109,IF(H15=5,'1. SB ABA DE CARREGAMENTO'!B109,"RT Indefinido")))))</f>
        <v>7.5999999999999998E-2</v>
      </c>
      <c r="J143" s="89">
        <f>ROUND(($J$140/(1-$I$141))*I143,2)</f>
        <v>322.32</v>
      </c>
      <c r="K143" s="102"/>
      <c r="L143" s="103"/>
    </row>
    <row r="144" spans="1:12" ht="18.75" customHeight="1" x14ac:dyDescent="0.2">
      <c r="A144" s="20" t="s">
        <v>459</v>
      </c>
      <c r="B144" s="399" t="s">
        <v>460</v>
      </c>
      <c r="C144" s="399"/>
      <c r="D144" s="399"/>
      <c r="E144" s="399"/>
      <c r="F144" s="399" t="s">
        <v>461</v>
      </c>
      <c r="G144" s="399"/>
      <c r="H144" s="399"/>
      <c r="I144" s="62">
        <v>0</v>
      </c>
      <c r="J144" s="64">
        <v>0</v>
      </c>
      <c r="K144" s="102"/>
      <c r="L144" s="103"/>
    </row>
    <row r="145" spans="1:10" ht="18.75" customHeight="1" x14ac:dyDescent="0.2">
      <c r="A145" s="20" t="s">
        <v>462</v>
      </c>
      <c r="B145" s="399" t="s">
        <v>463</v>
      </c>
      <c r="C145" s="399"/>
      <c r="D145" s="399"/>
      <c r="E145" s="399"/>
      <c r="F145" s="399" t="s">
        <v>464</v>
      </c>
      <c r="G145" s="399"/>
      <c r="H145" s="399"/>
      <c r="I145" s="62">
        <f>'1. SB ABA DE CARREGAMENTO'!$B$105</f>
        <v>0.03</v>
      </c>
      <c r="J145" s="89">
        <f>ROUND(($J$140/(1-$I$141))*I145,2)</f>
        <v>127.23</v>
      </c>
    </row>
    <row r="146" spans="1:10" ht="18.75" customHeight="1" x14ac:dyDescent="0.2">
      <c r="A146" s="419" t="s">
        <v>465</v>
      </c>
      <c r="B146" s="419"/>
      <c r="C146" s="419"/>
      <c r="D146" s="419"/>
      <c r="E146" s="419"/>
      <c r="F146" s="419"/>
      <c r="G146" s="419"/>
      <c r="H146" s="419"/>
      <c r="I146" s="419"/>
      <c r="J146" s="8">
        <f>SUM(J137+J139+J141)</f>
        <v>953.41</v>
      </c>
    </row>
    <row r="147" spans="1:10" ht="18.75" customHeight="1" x14ac:dyDescent="0.2">
      <c r="A147" s="60" t="s">
        <v>466</v>
      </c>
      <c r="B147" s="420" t="s">
        <v>467</v>
      </c>
      <c r="C147" s="420"/>
      <c r="D147" s="420"/>
      <c r="E147" s="420"/>
      <c r="F147" s="420"/>
      <c r="G147" s="420"/>
      <c r="H147" s="420"/>
      <c r="I147" s="420"/>
      <c r="J147" s="420"/>
    </row>
    <row r="148" spans="1:10" ht="18.75" customHeight="1" x14ac:dyDescent="0.2">
      <c r="A148" s="433" t="s">
        <v>468</v>
      </c>
      <c r="B148" s="434" t="s">
        <v>469</v>
      </c>
      <c r="C148" s="435"/>
      <c r="D148" s="440" t="s">
        <v>697</v>
      </c>
      <c r="E148" s="441"/>
      <c r="F148" s="441"/>
      <c r="G148" s="446" t="s">
        <v>698</v>
      </c>
      <c r="H148" s="447"/>
      <c r="I148" s="275"/>
      <c r="J148" s="452"/>
    </row>
    <row r="149" spans="1:10" ht="18.75" customHeight="1" x14ac:dyDescent="0.2">
      <c r="A149" s="433"/>
      <c r="B149" s="436"/>
      <c r="C149" s="437"/>
      <c r="D149" s="442"/>
      <c r="E149" s="443"/>
      <c r="F149" s="443"/>
      <c r="G149" s="448"/>
      <c r="H149" s="449"/>
      <c r="I149" s="207"/>
      <c r="J149" s="453"/>
    </row>
    <row r="150" spans="1:10" ht="18.75" customHeight="1" x14ac:dyDescent="0.2">
      <c r="A150" s="433"/>
      <c r="B150" s="438"/>
      <c r="C150" s="439"/>
      <c r="D150" s="444"/>
      <c r="E150" s="445"/>
      <c r="F150" s="445"/>
      <c r="G150" s="450"/>
      <c r="H150" s="451"/>
      <c r="I150" s="276"/>
      <c r="J150" s="454"/>
    </row>
    <row r="151" spans="1:10" ht="18.75" customHeight="1" x14ac:dyDescent="0.2">
      <c r="A151" s="498"/>
      <c r="B151" s="498"/>
      <c r="C151" s="498"/>
      <c r="D151" s="498"/>
      <c r="E151" s="498"/>
      <c r="F151" s="498"/>
      <c r="G151" s="498"/>
      <c r="H151" s="498"/>
      <c r="I151" s="498"/>
      <c r="J151" s="498"/>
    </row>
    <row r="152" spans="1:10" ht="18.75" customHeight="1" x14ac:dyDescent="0.2">
      <c r="A152" s="455" t="s">
        <v>699</v>
      </c>
      <c r="B152" s="455"/>
      <c r="C152" s="455"/>
      <c r="D152" s="455"/>
      <c r="E152" s="455"/>
      <c r="F152" s="455"/>
      <c r="G152" s="455"/>
      <c r="H152" s="455"/>
      <c r="I152" s="455"/>
      <c r="J152" s="455"/>
    </row>
    <row r="153" spans="1:10" ht="18.75" customHeight="1" x14ac:dyDescent="0.2">
      <c r="A153" s="456" t="s">
        <v>470</v>
      </c>
      <c r="B153" s="456"/>
      <c r="C153" s="456"/>
      <c r="D153" s="456"/>
      <c r="E153" s="456"/>
      <c r="F153" s="456"/>
      <c r="G153" s="456"/>
      <c r="H153" s="456"/>
      <c r="I153" s="456"/>
      <c r="J153" s="19" t="s">
        <v>379</v>
      </c>
    </row>
    <row r="154" spans="1:10" ht="18.75" customHeight="1" x14ac:dyDescent="0.2">
      <c r="A154" s="69" t="s">
        <v>327</v>
      </c>
      <c r="B154" s="457" t="s">
        <v>471</v>
      </c>
      <c r="C154" s="457"/>
      <c r="D154" s="457"/>
      <c r="E154" s="457"/>
      <c r="F154" s="457"/>
      <c r="G154" s="457"/>
      <c r="H154" s="457"/>
      <c r="I154" s="457"/>
      <c r="J154" s="64">
        <f>J42</f>
        <v>1576.9099999999999</v>
      </c>
    </row>
    <row r="155" spans="1:10" ht="18.75" customHeight="1" x14ac:dyDescent="0.2">
      <c r="A155" s="69" t="s">
        <v>329</v>
      </c>
      <c r="B155" s="457" t="s">
        <v>472</v>
      </c>
      <c r="C155" s="457"/>
      <c r="D155" s="457"/>
      <c r="E155" s="457"/>
      <c r="F155" s="457"/>
      <c r="G155" s="457"/>
      <c r="H155" s="457"/>
      <c r="I155" s="457"/>
      <c r="J155" s="64">
        <f>J88</f>
        <v>1326.49</v>
      </c>
    </row>
    <row r="156" spans="1:10" ht="18.75" customHeight="1" x14ac:dyDescent="0.2">
      <c r="A156" s="69" t="s">
        <v>330</v>
      </c>
      <c r="B156" s="457" t="s">
        <v>473</v>
      </c>
      <c r="C156" s="457"/>
      <c r="D156" s="457"/>
      <c r="E156" s="457"/>
      <c r="F156" s="457"/>
      <c r="G156" s="457"/>
      <c r="H156" s="457"/>
      <c r="I156" s="457"/>
      <c r="J156" s="64">
        <f>J98</f>
        <v>87.039999999999992</v>
      </c>
    </row>
    <row r="157" spans="1:10" ht="18.75" customHeight="1" x14ac:dyDescent="0.2">
      <c r="A157" s="69" t="s">
        <v>332</v>
      </c>
      <c r="B157" s="457" t="s">
        <v>474</v>
      </c>
      <c r="C157" s="457"/>
      <c r="D157" s="457"/>
      <c r="E157" s="457"/>
      <c r="F157" s="457"/>
      <c r="G157" s="457"/>
      <c r="H157" s="457"/>
      <c r="I157" s="457"/>
      <c r="J157" s="64">
        <f>J122</f>
        <v>192.37</v>
      </c>
    </row>
    <row r="158" spans="1:10" ht="18.75" customHeight="1" x14ac:dyDescent="0.2">
      <c r="A158" s="69" t="s">
        <v>388</v>
      </c>
      <c r="B158" s="457" t="s">
        <v>475</v>
      </c>
      <c r="C158" s="457"/>
      <c r="D158" s="457"/>
      <c r="E158" s="457"/>
      <c r="F158" s="457"/>
      <c r="G158" s="457"/>
      <c r="H158" s="457"/>
      <c r="I158" s="457"/>
      <c r="J158" s="64">
        <f>J131</f>
        <v>104.81833333333334</v>
      </c>
    </row>
    <row r="159" spans="1:10" ht="18.75" customHeight="1" x14ac:dyDescent="0.2">
      <c r="A159" s="458" t="s">
        <v>476</v>
      </c>
      <c r="B159" s="458"/>
      <c r="C159" s="458"/>
      <c r="D159" s="458"/>
      <c r="E159" s="458"/>
      <c r="F159" s="458"/>
      <c r="G159" s="458"/>
      <c r="H159" s="458"/>
      <c r="I159" s="458"/>
      <c r="J159" s="8">
        <f>SUM(J154:J158)</f>
        <v>3287.6283333333326</v>
      </c>
    </row>
    <row r="160" spans="1:10" ht="18.75" customHeight="1" x14ac:dyDescent="0.2">
      <c r="A160" s="69" t="s">
        <v>389</v>
      </c>
      <c r="B160" s="457" t="s">
        <v>477</v>
      </c>
      <c r="C160" s="457"/>
      <c r="D160" s="457"/>
      <c r="E160" s="457"/>
      <c r="F160" s="457"/>
      <c r="G160" s="457"/>
      <c r="H160" s="457"/>
      <c r="I160" s="457"/>
      <c r="J160" s="64">
        <f>J146</f>
        <v>953.41</v>
      </c>
    </row>
    <row r="161" spans="1:26" ht="18.75" customHeight="1" x14ac:dyDescent="0.2">
      <c r="A161" s="459" t="s">
        <v>478</v>
      </c>
      <c r="B161" s="459"/>
      <c r="C161" s="459"/>
      <c r="D161" s="459"/>
      <c r="E161" s="459"/>
      <c r="F161" s="459"/>
      <c r="G161" s="459"/>
      <c r="H161" s="72">
        <f>'1. SB ABA DE CARREGAMENTO'!C68</f>
        <v>44</v>
      </c>
      <c r="I161" s="73" t="s">
        <v>371</v>
      </c>
      <c r="J161" s="8">
        <f>SUM(J159:J160)</f>
        <v>4241.038333333333</v>
      </c>
    </row>
    <row r="162" spans="1:26" ht="18.75" customHeight="1" x14ac:dyDescent="0.2">
      <c r="A162" s="515"/>
      <c r="B162" s="515"/>
      <c r="C162" s="515"/>
      <c r="D162" s="515"/>
      <c r="E162" s="515"/>
      <c r="F162" s="515"/>
      <c r="G162" s="515"/>
      <c r="H162" s="515"/>
      <c r="I162" s="515"/>
      <c r="J162" s="515"/>
      <c r="K162" s="100"/>
      <c r="L162" s="100"/>
      <c r="M162" s="100"/>
      <c r="N162" s="100"/>
      <c r="O162" s="100"/>
      <c r="P162" s="100"/>
      <c r="Q162" s="100"/>
      <c r="R162" s="100"/>
      <c r="S162" s="100"/>
      <c r="T162" s="100"/>
      <c r="U162" s="100"/>
      <c r="V162" s="100"/>
      <c r="W162" s="100"/>
      <c r="X162" s="100"/>
      <c r="Y162" s="100"/>
      <c r="Z162" s="100"/>
    </row>
    <row r="163" spans="1:26" ht="18.75" customHeight="1" x14ac:dyDescent="0.2">
      <c r="A163" s="431" t="s">
        <v>534</v>
      </c>
      <c r="B163" s="431"/>
      <c r="C163" s="431"/>
      <c r="D163" s="431"/>
      <c r="E163" s="431"/>
      <c r="F163" s="431"/>
      <c r="G163" s="431"/>
      <c r="H163" s="431"/>
      <c r="I163" s="483">
        <f>J161</f>
        <v>4241.038333333333</v>
      </c>
      <c r="J163" s="483"/>
    </row>
    <row r="164" spans="1:26" ht="18.75" customHeight="1" x14ac:dyDescent="0.2">
      <c r="A164" s="513"/>
      <c r="B164" s="513"/>
      <c r="C164" s="513"/>
      <c r="D164" s="513"/>
      <c r="E164" s="513"/>
      <c r="F164" s="513"/>
      <c r="G164" s="513"/>
      <c r="H164" s="513"/>
      <c r="I164" s="513"/>
      <c r="J164" s="513"/>
      <c r="K164" s="100"/>
      <c r="L164" s="100"/>
      <c r="M164" s="100"/>
      <c r="N164" s="100"/>
      <c r="O164" s="100"/>
      <c r="P164" s="100"/>
      <c r="Q164" s="100"/>
      <c r="R164" s="100"/>
      <c r="S164" s="100"/>
      <c r="T164" s="100"/>
      <c r="U164" s="100"/>
      <c r="V164" s="100"/>
      <c r="W164" s="100"/>
      <c r="X164" s="100"/>
      <c r="Y164" s="100"/>
      <c r="Z164" s="100"/>
    </row>
    <row r="165" spans="1:26" ht="18.75" customHeight="1" x14ac:dyDescent="0.2">
      <c r="A165" s="431" t="s">
        <v>535</v>
      </c>
      <c r="B165" s="431"/>
      <c r="C165" s="431"/>
      <c r="D165" s="431"/>
      <c r="E165" s="431"/>
      <c r="F165" s="431"/>
      <c r="G165" s="431"/>
      <c r="H165" s="431"/>
      <c r="I165" s="516">
        <f>H21</f>
        <v>20</v>
      </c>
      <c r="J165" s="516"/>
    </row>
    <row r="166" spans="1:26" ht="18.75" customHeight="1" x14ac:dyDescent="0.2">
      <c r="A166" s="513"/>
      <c r="B166" s="513"/>
      <c r="C166" s="513"/>
      <c r="D166" s="513"/>
      <c r="E166" s="513"/>
      <c r="F166" s="513"/>
      <c r="G166" s="513"/>
      <c r="H166" s="513"/>
      <c r="I166" s="513"/>
      <c r="J166" s="513"/>
      <c r="K166" s="100"/>
      <c r="L166" s="100"/>
      <c r="M166" s="100"/>
      <c r="N166" s="100"/>
      <c r="O166" s="100"/>
      <c r="P166" s="100"/>
      <c r="Q166" s="100"/>
      <c r="R166" s="100"/>
      <c r="S166" s="100"/>
      <c r="T166" s="100"/>
      <c r="U166" s="100"/>
      <c r="V166" s="100"/>
      <c r="W166" s="100"/>
      <c r="X166" s="100"/>
      <c r="Y166" s="100"/>
      <c r="Z166" s="100"/>
    </row>
    <row r="167" spans="1:26" ht="18.75" customHeight="1" x14ac:dyDescent="0.2">
      <c r="A167" s="431" t="s">
        <v>536</v>
      </c>
      <c r="B167" s="431"/>
      <c r="C167" s="431"/>
      <c r="D167" s="431"/>
      <c r="E167" s="431"/>
      <c r="F167" s="431"/>
      <c r="G167" s="431"/>
      <c r="H167" s="431"/>
      <c r="I167" s="483">
        <f>ROUND(I163*I165,2)</f>
        <v>84820.77</v>
      </c>
      <c r="J167" s="483"/>
    </row>
    <row r="168" spans="1:26" ht="18.75" customHeight="1" x14ac:dyDescent="0.2">
      <c r="A168" s="513"/>
      <c r="B168" s="513"/>
      <c r="C168" s="513"/>
      <c r="D168" s="513"/>
      <c r="E168" s="513"/>
      <c r="F168" s="513"/>
      <c r="G168" s="513"/>
      <c r="H168" s="513"/>
      <c r="I168" s="513"/>
      <c r="J168" s="513"/>
      <c r="K168" s="100"/>
      <c r="L168" s="100"/>
      <c r="M168" s="100"/>
      <c r="N168" s="100"/>
      <c r="O168" s="100"/>
      <c r="P168" s="100"/>
      <c r="Q168" s="100"/>
      <c r="R168" s="100"/>
      <c r="S168" s="100"/>
      <c r="T168" s="100"/>
      <c r="U168" s="100"/>
      <c r="V168" s="100"/>
      <c r="W168" s="100"/>
      <c r="X168" s="100"/>
      <c r="Y168" s="100"/>
      <c r="Z168" s="100"/>
    </row>
    <row r="169" spans="1:26" ht="18.75" customHeight="1" x14ac:dyDescent="0.2">
      <c r="A169" s="431" t="s">
        <v>537</v>
      </c>
      <c r="B169" s="431"/>
      <c r="C169" s="431"/>
      <c r="D169" s="431"/>
      <c r="E169" s="431"/>
      <c r="F169" s="431"/>
      <c r="G169" s="431"/>
      <c r="H169" s="431"/>
      <c r="I169" s="431"/>
      <c r="J169" s="431"/>
    </row>
    <row r="170" spans="1:26" ht="18.75" customHeight="1" x14ac:dyDescent="0.2">
      <c r="A170" s="385" t="s">
        <v>538</v>
      </c>
      <c r="B170" s="385"/>
      <c r="C170" s="385"/>
      <c r="D170" s="385"/>
      <c r="E170" s="385"/>
      <c r="F170" s="385"/>
      <c r="G170" s="385" t="s">
        <v>539</v>
      </c>
      <c r="H170" s="385"/>
      <c r="I170" s="385"/>
      <c r="J170" s="385"/>
    </row>
    <row r="171" spans="1:26" ht="18.75" customHeight="1" x14ac:dyDescent="0.2">
      <c r="A171" s="491" t="s">
        <v>614</v>
      </c>
      <c r="B171" s="491"/>
      <c r="C171" s="491"/>
      <c r="D171" s="491"/>
      <c r="E171" s="491"/>
      <c r="F171" s="491"/>
      <c r="G171" s="514">
        <f>I25</f>
        <v>1</v>
      </c>
      <c r="H171" s="514"/>
      <c r="I171" s="514"/>
      <c r="J171" s="514"/>
    </row>
    <row r="172" spans="1:26" ht="32.25" customHeight="1" x14ac:dyDescent="0.2">
      <c r="A172" s="511" t="s">
        <v>606</v>
      </c>
      <c r="B172" s="511"/>
      <c r="C172" s="511"/>
      <c r="D172" s="511"/>
      <c r="E172" s="511"/>
      <c r="F172" s="511"/>
      <c r="G172" s="511"/>
      <c r="H172" s="511"/>
      <c r="I172" s="511"/>
      <c r="J172" s="511"/>
    </row>
    <row r="173" spans="1:26" ht="12.75" customHeight="1" x14ac:dyDescent="0.2"/>
    <row r="174" spans="1:26" ht="12.75" customHeight="1" x14ac:dyDescent="0.2"/>
    <row r="175" spans="1:26" ht="12.75" customHeight="1" x14ac:dyDescent="0.2"/>
    <row r="176" spans="1:2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sheetData>
  <sheetProtection selectLockedCells="1" selectUnlockedCells="1"/>
  <mergeCells count="208">
    <mergeCell ref="A168:J168"/>
    <mergeCell ref="A169:J169"/>
    <mergeCell ref="A170:F170"/>
    <mergeCell ref="G170:J170"/>
    <mergeCell ref="A171:F171"/>
    <mergeCell ref="G171:J171"/>
    <mergeCell ref="A172:J172"/>
    <mergeCell ref="A162:J162"/>
    <mergeCell ref="A163:H163"/>
    <mergeCell ref="I163:J163"/>
    <mergeCell ref="A164:J164"/>
    <mergeCell ref="A165:H165"/>
    <mergeCell ref="I165:J165"/>
    <mergeCell ref="A166:J166"/>
    <mergeCell ref="A167:H167"/>
    <mergeCell ref="I167:J167"/>
    <mergeCell ref="A153:I153"/>
    <mergeCell ref="B154:I154"/>
    <mergeCell ref="B155:I155"/>
    <mergeCell ref="B156:I156"/>
    <mergeCell ref="B157:I157"/>
    <mergeCell ref="B158:I158"/>
    <mergeCell ref="A159:I159"/>
    <mergeCell ref="B160:I160"/>
    <mergeCell ref="A161:G161"/>
    <mergeCell ref="A146:I146"/>
    <mergeCell ref="B147:J147"/>
    <mergeCell ref="A148:A150"/>
    <mergeCell ref="B148:C150"/>
    <mergeCell ref="A151:J151"/>
    <mergeCell ref="A152:J152"/>
    <mergeCell ref="D148:F150"/>
    <mergeCell ref="G148:H150"/>
    <mergeCell ref="J148:J150"/>
    <mergeCell ref="K141:L141"/>
    <mergeCell ref="A142:A143"/>
    <mergeCell ref="B142:E143"/>
    <mergeCell ref="F142:H142"/>
    <mergeCell ref="F143:H143"/>
    <mergeCell ref="B144:E144"/>
    <mergeCell ref="F144:H144"/>
    <mergeCell ref="B145:E145"/>
    <mergeCell ref="F145:H145"/>
    <mergeCell ref="A133:J133"/>
    <mergeCell ref="A134:J134"/>
    <mergeCell ref="B135:H135"/>
    <mergeCell ref="A136:I136"/>
    <mergeCell ref="B137:H137"/>
    <mergeCell ref="A138:I138"/>
    <mergeCell ref="B139:H139"/>
    <mergeCell ref="A140:I140"/>
    <mergeCell ref="B141:H141"/>
    <mergeCell ref="B123:J123"/>
    <mergeCell ref="A125:J125"/>
    <mergeCell ref="B126:I126"/>
    <mergeCell ref="B127:I127"/>
    <mergeCell ref="B128:I128"/>
    <mergeCell ref="B129:I129"/>
    <mergeCell ref="B130:I130"/>
    <mergeCell ref="A131:I131"/>
    <mergeCell ref="B132:J132"/>
    <mergeCell ref="B114:I114"/>
    <mergeCell ref="B115:I115"/>
    <mergeCell ref="A116:I116"/>
    <mergeCell ref="A117:I117"/>
    <mergeCell ref="A118:J118"/>
    <mergeCell ref="B119:I119"/>
    <mergeCell ref="B120:I120"/>
    <mergeCell ref="B121:I121"/>
    <mergeCell ref="A122:I122"/>
    <mergeCell ref="B105:I105"/>
    <mergeCell ref="B106:I106"/>
    <mergeCell ref="B107:I107"/>
    <mergeCell ref="B108:I108"/>
    <mergeCell ref="B109:I109"/>
    <mergeCell ref="B110:I110"/>
    <mergeCell ref="B111:I111"/>
    <mergeCell ref="A112:I112"/>
    <mergeCell ref="A113:I113"/>
    <mergeCell ref="B97:I97"/>
    <mergeCell ref="A98:I98"/>
    <mergeCell ref="A100:J100"/>
    <mergeCell ref="A101:J101"/>
    <mergeCell ref="A102:B102"/>
    <mergeCell ref="D102:E102"/>
    <mergeCell ref="G102:H102"/>
    <mergeCell ref="A103:F103"/>
    <mergeCell ref="G103:I103"/>
    <mergeCell ref="B87:I87"/>
    <mergeCell ref="A88:I88"/>
    <mergeCell ref="A90:J90"/>
    <mergeCell ref="B91:I91"/>
    <mergeCell ref="B92:I92"/>
    <mergeCell ref="B93:I93"/>
    <mergeCell ref="B94:I94"/>
    <mergeCell ref="B95:I95"/>
    <mergeCell ref="B96:I96"/>
    <mergeCell ref="B77:D77"/>
    <mergeCell ref="B78:I78"/>
    <mergeCell ref="A79:I79"/>
    <mergeCell ref="B80:J80"/>
    <mergeCell ref="B81:J81"/>
    <mergeCell ref="A83:J83"/>
    <mergeCell ref="B84:I84"/>
    <mergeCell ref="B85:I85"/>
    <mergeCell ref="B86:I86"/>
    <mergeCell ref="E77:I77"/>
    <mergeCell ref="B67:I67"/>
    <mergeCell ref="A68:A72"/>
    <mergeCell ref="B68:I68"/>
    <mergeCell ref="J68:J72"/>
    <mergeCell ref="B69:H69"/>
    <mergeCell ref="B70:H70"/>
    <mergeCell ref="B71:H71"/>
    <mergeCell ref="B72:H72"/>
    <mergeCell ref="A73:A76"/>
    <mergeCell ref="B73:D73"/>
    <mergeCell ref="J73:J76"/>
    <mergeCell ref="B74:H74"/>
    <mergeCell ref="B75:H75"/>
    <mergeCell ref="B76:H76"/>
    <mergeCell ref="E73:I73"/>
    <mergeCell ref="B57:H57"/>
    <mergeCell ref="B58:H58"/>
    <mergeCell ref="B59:H59"/>
    <mergeCell ref="B60:H60"/>
    <mergeCell ref="B61:H61"/>
    <mergeCell ref="A62:H62"/>
    <mergeCell ref="B63:J63"/>
    <mergeCell ref="B64:J64"/>
    <mergeCell ref="B66:J66"/>
    <mergeCell ref="B48:I48"/>
    <mergeCell ref="A49:I49"/>
    <mergeCell ref="B50:J50"/>
    <mergeCell ref="A51:I51"/>
    <mergeCell ref="B52:J52"/>
    <mergeCell ref="B53:H53"/>
    <mergeCell ref="B54:H54"/>
    <mergeCell ref="B55:H55"/>
    <mergeCell ref="B56:D56"/>
    <mergeCell ref="B40:C40"/>
    <mergeCell ref="D40:H40"/>
    <mergeCell ref="B41:I41"/>
    <mergeCell ref="A42:I42"/>
    <mergeCell ref="B43:J43"/>
    <mergeCell ref="A44:J44"/>
    <mergeCell ref="A45:J45"/>
    <mergeCell ref="B46:I46"/>
    <mergeCell ref="B47:I47"/>
    <mergeCell ref="B33:G33"/>
    <mergeCell ref="H33:J33"/>
    <mergeCell ref="B34:G34"/>
    <mergeCell ref="H34:J34"/>
    <mergeCell ref="B35:J35"/>
    <mergeCell ref="A36:J36"/>
    <mergeCell ref="A37:J37"/>
    <mergeCell ref="B38:H38"/>
    <mergeCell ref="B39:D39"/>
    <mergeCell ref="G39:I39"/>
    <mergeCell ref="A26:J26"/>
    <mergeCell ref="A27:J27"/>
    <mergeCell ref="A28:J28"/>
    <mergeCell ref="A29:J29"/>
    <mergeCell ref="B30:G30"/>
    <mergeCell ref="H30:J30"/>
    <mergeCell ref="B31:G31"/>
    <mergeCell ref="H31:J31"/>
    <mergeCell ref="B32:G32"/>
    <mergeCell ref="H32:J32"/>
    <mergeCell ref="B21:G21"/>
    <mergeCell ref="H21:J21"/>
    <mergeCell ref="A23:J23"/>
    <mergeCell ref="A24:F24"/>
    <mergeCell ref="G24:H24"/>
    <mergeCell ref="I24:J24"/>
    <mergeCell ref="A25:F25"/>
    <mergeCell ref="G25:H25"/>
    <mergeCell ref="I25:J25"/>
    <mergeCell ref="I15:J15"/>
    <mergeCell ref="A17:J17"/>
    <mergeCell ref="B18:G18"/>
    <mergeCell ref="H18:J18"/>
    <mergeCell ref="B19:G19"/>
    <mergeCell ref="H19:J19"/>
    <mergeCell ref="B20:G20"/>
    <mergeCell ref="H20:J20"/>
    <mergeCell ref="A15:G15"/>
    <mergeCell ref="B11:C11"/>
    <mergeCell ref="E11:F11"/>
    <mergeCell ref="B12:G12"/>
    <mergeCell ref="I12:J12"/>
    <mergeCell ref="B13:D13"/>
    <mergeCell ref="F13:G13"/>
    <mergeCell ref="I13:J13"/>
    <mergeCell ref="A14:G14"/>
    <mergeCell ref="H14:J14"/>
    <mergeCell ref="A1:J1"/>
    <mergeCell ref="A2:J2"/>
    <mergeCell ref="A3:J3"/>
    <mergeCell ref="A4:J4"/>
    <mergeCell ref="A5:J5"/>
    <mergeCell ref="A7:J7"/>
    <mergeCell ref="A8:J8"/>
    <mergeCell ref="A9:C10"/>
    <mergeCell ref="D9:H9"/>
    <mergeCell ref="I9:J9"/>
    <mergeCell ref="D10:F10"/>
    <mergeCell ref="I10:J10"/>
  </mergeCells>
  <conditionalFormatting sqref="A14:G14">
    <cfRule type="expression" dxfId="1" priority="2">
      <formula>LEN(TRIM(A14))&gt;0</formula>
    </cfRule>
  </conditionalFormatting>
  <conditionalFormatting sqref="H14:J14">
    <cfRule type="expression" dxfId="0" priority="3">
      <formula>LEN(TRIM(H14))&gt;0</formula>
    </cfRule>
  </conditionalFormatting>
  <printOptions horizontalCentered="1"/>
  <pageMargins left="0" right="0" top="0.39370078740157483" bottom="0" header="0" footer="0.51181102362204722"/>
  <pageSetup paperSize="9" scale="51" pageOrder="overThenDown" orientation="portrait" r:id="rId1"/>
  <headerFooter>
    <oddHeader>&amp;R&amp;P de &amp;N</oddHeader>
    <oddFooter>&amp;L&amp;F - &amp;A&amp;CPágina &amp;P de &amp;N</oddFooter>
  </headerFooter>
  <rowBreaks count="2" manualBreakCount="2">
    <brk id="76" max="9" man="1"/>
    <brk id="138" max="9" man="1"/>
  </rowBreaks>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C1:H1001"/>
  <sheetViews>
    <sheetView showGridLines="0" topLeftCell="A7" zoomScaleNormal="100" workbookViewId="0">
      <selection activeCell="C64" sqref="C64"/>
    </sheetView>
  </sheetViews>
  <sheetFormatPr defaultColWidth="14.42578125" defaultRowHeight="14.25" x14ac:dyDescent="0.2"/>
  <cols>
    <col min="1" max="1" width="1.140625" style="23" customWidth="1"/>
    <col min="2" max="2" width="3.7109375" style="23" customWidth="1"/>
    <col min="3" max="3" width="48.85546875" style="23" customWidth="1"/>
    <col min="4" max="4" width="23" style="23" customWidth="1"/>
    <col min="5" max="5" width="13.7109375" style="23" customWidth="1"/>
    <col min="6" max="6" width="14" style="23" customWidth="1"/>
    <col min="7" max="7" width="30" style="23" customWidth="1"/>
    <col min="8" max="8" width="1.42578125" style="23" customWidth="1"/>
    <col min="9" max="16384" width="14.42578125" style="23"/>
  </cols>
  <sheetData>
    <row r="1" spans="3:8" ht="12.75" customHeight="1" x14ac:dyDescent="0.2">
      <c r="C1" s="324" t="s">
        <v>0</v>
      </c>
      <c r="D1" s="324"/>
      <c r="E1" s="324"/>
      <c r="F1" s="324"/>
      <c r="G1" s="324"/>
      <c r="H1" s="24"/>
    </row>
    <row r="2" spans="3:8" ht="12.75" customHeight="1" x14ac:dyDescent="0.2">
      <c r="C2" s="324" t="s">
        <v>1</v>
      </c>
      <c r="D2" s="324"/>
      <c r="E2" s="324"/>
      <c r="F2" s="324"/>
      <c r="G2" s="324"/>
      <c r="H2" s="24"/>
    </row>
    <row r="3" spans="3:8" ht="12.75" customHeight="1" x14ac:dyDescent="0.2">
      <c r="C3" s="324" t="s">
        <v>2</v>
      </c>
      <c r="D3" s="324"/>
      <c r="E3" s="324"/>
      <c r="F3" s="324"/>
      <c r="G3" s="324"/>
      <c r="H3" s="24"/>
    </row>
    <row r="4" spans="3:8" ht="12.75" customHeight="1" x14ac:dyDescent="0.2">
      <c r="C4" s="325" t="str">
        <f>'1. SB ABA DE CARREGAMENTO'!A4</f>
        <v>CAMPUS SÃO BORJA</v>
      </c>
      <c r="D4" s="325"/>
      <c r="E4" s="325"/>
      <c r="F4" s="325"/>
      <c r="G4" s="325"/>
      <c r="H4" s="25"/>
    </row>
    <row r="5" spans="3:8" ht="12.75" customHeight="1" x14ac:dyDescent="0.2">
      <c r="C5" s="326" t="s">
        <v>615</v>
      </c>
      <c r="D5" s="326"/>
      <c r="E5" s="326"/>
      <c r="F5" s="326"/>
      <c r="G5" s="326"/>
      <c r="H5" s="24"/>
    </row>
    <row r="6" spans="3:8" ht="13.5" customHeight="1" x14ac:dyDescent="0.2"/>
    <row r="7" spans="3:8" ht="48" customHeight="1" x14ac:dyDescent="0.2">
      <c r="C7" s="26" t="s">
        <v>616</v>
      </c>
      <c r="D7" s="27" t="s">
        <v>617</v>
      </c>
      <c r="E7" s="517" t="s">
        <v>618</v>
      </c>
      <c r="F7" s="517"/>
      <c r="G7" s="28" t="s">
        <v>619</v>
      </c>
    </row>
    <row r="8" spans="3:8" ht="30" x14ac:dyDescent="0.2">
      <c r="C8" s="29" t="str">
        <f>'7. SB Planilha Área Geral'!$D$9</f>
        <v xml:space="preserve">Prestação de serviços de limpeza geral (exceto banheiros) para o IFFAR  </v>
      </c>
      <c r="D8" s="30">
        <f>'4. SB Cálc DEMO Limpeza Geral'!$L$27</f>
        <v>19.348443609197531</v>
      </c>
      <c r="E8" s="518">
        <f>'7. SB Planilha Área Geral'!$I$274</f>
        <v>92651.680000000008</v>
      </c>
      <c r="F8" s="518"/>
      <c r="G8" s="31">
        <f>'7. SB Planilha Área Geral'!$I$276</f>
        <v>1853033.6</v>
      </c>
    </row>
    <row r="9" spans="3:8" ht="39" customHeight="1" x14ac:dyDescent="0.2">
      <c r="C9" s="32" t="str">
        <f>'8. SB Planilha Área Banheiros'!$D$9</f>
        <v xml:space="preserve">Prestação de serviços de limpeza de banheiros para o IFFAR  </v>
      </c>
      <c r="D9" s="33">
        <f>'5. SB Cálc. DEMO Banheiros'!$L$13</f>
        <v>9.8421665659722226</v>
      </c>
      <c r="E9" s="519">
        <f>'8. SB Planilha Área Banheiros'!$I$195</f>
        <v>52823.43</v>
      </c>
      <c r="F9" s="519"/>
      <c r="G9" s="34">
        <f>'8. SB Planilha Área Banheiros'!$I$197</f>
        <v>1056468.6000000001</v>
      </c>
    </row>
    <row r="10" spans="3:8" ht="40.5" customHeight="1" x14ac:dyDescent="0.2">
      <c r="C10" s="35" t="str">
        <f>'9. SB Planilha Área Esq e Fach'!$D$9</f>
        <v xml:space="preserve">Serviços de limpeza de esquadrias e fachadas envidraçadas para o IFFAR  </v>
      </c>
      <c r="D10" s="36">
        <f>'6. SB Cálc DEMO Esq e Fach'!$L$14</f>
        <v>2.8301196546052632</v>
      </c>
      <c r="E10" s="520">
        <f>'9. SB Planilha Área Esq e Fach'!$I$202</f>
        <v>13561.5</v>
      </c>
      <c r="F10" s="520"/>
      <c r="G10" s="37">
        <f>'9. SB Planilha Área Esq e Fach'!$I$204</f>
        <v>271230</v>
      </c>
    </row>
    <row r="11" spans="3:8" ht="41.25" customHeight="1" x14ac:dyDescent="0.2">
      <c r="C11" s="32" t="str">
        <f>'11. SB Planilha Encarregado'!$D$9</f>
        <v xml:space="preserve">Prestação de serviços de encarregado da limpeza geral para o IFFAR  </v>
      </c>
      <c r="D11" s="33">
        <f>'11. SB Planilha Encarregado'!G171</f>
        <v>1</v>
      </c>
      <c r="E11" s="519">
        <f>'11. SB Planilha Encarregado'!I163</f>
        <v>4241.038333333333</v>
      </c>
      <c r="F11" s="519"/>
      <c r="G11" s="34">
        <f>'11. SB Planilha Encarregado'!I167</f>
        <v>84820.77</v>
      </c>
    </row>
    <row r="12" spans="3:8" ht="12.75" customHeight="1" x14ac:dyDescent="0.2">
      <c r="C12" s="38" t="s">
        <v>620</v>
      </c>
      <c r="D12" s="39">
        <f>SUM(D8:D11)</f>
        <v>33.020729829775014</v>
      </c>
      <c r="E12" s="521">
        <f>SUM(E8:E11)</f>
        <v>163277.64833333335</v>
      </c>
      <c r="F12" s="521"/>
      <c r="G12" s="40">
        <f>SUM(G8:G11)</f>
        <v>3265552.97</v>
      </c>
    </row>
    <row r="13" spans="3:8" ht="15" customHeight="1" x14ac:dyDescent="0.2">
      <c r="C13" s="41"/>
      <c r="D13" s="22"/>
      <c r="E13" s="41"/>
      <c r="F13" s="22"/>
      <c r="G13" s="22"/>
    </row>
    <row r="14" spans="3:8" ht="66" customHeight="1" x14ac:dyDescent="0.2">
      <c r="C14" s="522" t="s">
        <v>621</v>
      </c>
      <c r="D14" s="522"/>
      <c r="E14" s="522"/>
      <c r="F14" s="289">
        <f>SUM(D8:D10)</f>
        <v>32.020729829775014</v>
      </c>
      <c r="G14" s="42" t="s">
        <v>622</v>
      </c>
    </row>
    <row r="15" spans="3:8" ht="63.75" customHeight="1" x14ac:dyDescent="0.2">
      <c r="C15" s="523" t="str">
        <f>'2. SB INSUMOS'!$A$96</f>
        <v>Quantidade de mão de obra alocada na prestação dos serviços (informação oriunda da aba 'Resumo da Proposta' - Quantidade de Postos/Mão de Obra a ser alocados) + posto do encarregado</v>
      </c>
      <c r="D15" s="523"/>
      <c r="E15" s="523"/>
      <c r="F15" s="43">
        <f>D12</f>
        <v>33.020729829775014</v>
      </c>
      <c r="G15" s="44" t="s">
        <v>623</v>
      </c>
    </row>
    <row r="16" spans="3:8" ht="49.5" customHeight="1" x14ac:dyDescent="0.2">
      <c r="C16" s="45" t="s">
        <v>624</v>
      </c>
      <c r="D16" s="46">
        <f>'1. SB ABA DE CARREGAMENTO'!B57</f>
        <v>20</v>
      </c>
      <c r="E16" s="47" t="s">
        <v>625</v>
      </c>
      <c r="F16" s="524">
        <f>G12</f>
        <v>3265552.97</v>
      </c>
      <c r="G16" s="524"/>
    </row>
    <row r="17" spans="3:7" ht="15" customHeight="1" x14ac:dyDescent="0.2">
      <c r="C17" s="41"/>
      <c r="D17" s="22"/>
      <c r="E17" s="41"/>
      <c r="F17" s="22"/>
      <c r="G17" s="22"/>
    </row>
    <row r="18" spans="3:7" ht="15.75" customHeight="1" x14ac:dyDescent="0.2">
      <c r="C18" s="24" t="s">
        <v>626</v>
      </c>
    </row>
    <row r="19" spans="3:7" ht="15" customHeight="1" x14ac:dyDescent="0.2">
      <c r="C19" s="525" t="s">
        <v>627</v>
      </c>
      <c r="D19" s="525"/>
      <c r="E19" s="525"/>
      <c r="F19" s="525"/>
      <c r="G19" s="525"/>
    </row>
    <row r="20" spans="3:7" ht="15" customHeight="1" x14ac:dyDescent="0.2">
      <c r="C20" s="525" t="s">
        <v>628</v>
      </c>
      <c r="D20" s="525"/>
      <c r="E20" s="525"/>
      <c r="F20" s="525"/>
      <c r="G20" s="525"/>
    </row>
    <row r="21" spans="3:7" ht="15" customHeight="1" x14ac:dyDescent="0.2">
      <c r="C21" s="525" t="s">
        <v>629</v>
      </c>
      <c r="D21" s="525"/>
      <c r="E21" s="525"/>
      <c r="F21" s="525"/>
      <c r="G21" s="525"/>
    </row>
    <row r="22" spans="3:7" ht="15" customHeight="1" x14ac:dyDescent="0.2">
      <c r="C22" s="525" t="s">
        <v>630</v>
      </c>
      <c r="D22" s="525"/>
      <c r="E22" s="525"/>
      <c r="F22" s="525"/>
      <c r="G22" s="525"/>
    </row>
    <row r="23" spans="3:7" ht="15" customHeight="1" x14ac:dyDescent="0.2">
      <c r="C23" s="525" t="s">
        <v>631</v>
      </c>
      <c r="D23" s="525"/>
      <c r="E23" s="525"/>
      <c r="F23" s="525"/>
      <c r="G23" s="525"/>
    </row>
    <row r="24" spans="3:7" ht="15" customHeight="1" x14ac:dyDescent="0.2">
      <c r="C24" s="525" t="s">
        <v>632</v>
      </c>
      <c r="D24" s="525"/>
      <c r="E24" s="525"/>
      <c r="F24" s="525"/>
      <c r="G24" s="525"/>
    </row>
    <row r="25" spans="3:7" ht="15" customHeight="1" x14ac:dyDescent="0.2"/>
    <row r="26" spans="3:7" ht="15.75" customHeight="1" x14ac:dyDescent="0.2">
      <c r="C26" s="48" t="s">
        <v>15</v>
      </c>
      <c r="D26" s="525" t="str">
        <f>'1. SB ABA DE CARREGAMENTO'!$B$15</f>
        <v>xxxx xxxx xxxx</v>
      </c>
      <c r="E26" s="525"/>
      <c r="F26" s="525"/>
      <c r="G26" s="525"/>
    </row>
    <row r="27" spans="3:7" ht="15.75" customHeight="1" x14ac:dyDescent="0.2">
      <c r="C27" s="48" t="s">
        <v>16</v>
      </c>
      <c r="D27" s="525" t="str">
        <f>'1. SB ABA DE CARREGAMENTO'!$B$16</f>
        <v>zz.zzz.zzz/zzzz-zz</v>
      </c>
      <c r="E27" s="525"/>
    </row>
    <row r="28" spans="3:7" ht="15" customHeight="1" x14ac:dyDescent="0.2">
      <c r="G28" s="49"/>
    </row>
    <row r="29" spans="3:7" ht="15" customHeight="1" x14ac:dyDescent="0.2">
      <c r="F29" s="330" t="s">
        <v>633</v>
      </c>
      <c r="G29" s="330"/>
    </row>
    <row r="30" spans="3:7" ht="15" customHeight="1" x14ac:dyDescent="0.2"/>
    <row r="31" spans="3:7" ht="15" customHeight="1" x14ac:dyDescent="0.2">
      <c r="F31" s="526"/>
      <c r="G31" s="526"/>
    </row>
    <row r="32" spans="3:7" ht="15" customHeight="1" x14ac:dyDescent="0.2">
      <c r="F32" s="526"/>
      <c r="G32" s="526"/>
    </row>
    <row r="33" spans="3:7" ht="15" customHeight="1" x14ac:dyDescent="0.2">
      <c r="C33" s="330" t="s">
        <v>634</v>
      </c>
      <c r="D33" s="330"/>
      <c r="E33" s="330"/>
      <c r="F33" s="526"/>
      <c r="G33" s="526"/>
    </row>
    <row r="34" spans="3:7" ht="15" customHeight="1" x14ac:dyDescent="0.2">
      <c r="C34" s="23" t="s">
        <v>635</v>
      </c>
      <c r="D34" s="525" t="str">
        <f>'1. SB ABA DE CARREGAMENTO'!$B$17</f>
        <v>Nome Completo</v>
      </c>
      <c r="E34" s="525"/>
      <c r="F34" s="526"/>
      <c r="G34" s="526"/>
    </row>
    <row r="35" spans="3:7" ht="15" customHeight="1" x14ac:dyDescent="0.2">
      <c r="C35" s="23" t="s">
        <v>636</v>
      </c>
      <c r="D35" s="525" t="str">
        <f>'1. SB ABA DE CARREGAMENTO'!$B$18</f>
        <v>yyy.yyy.yyy-yy</v>
      </c>
      <c r="E35" s="525"/>
      <c r="F35" s="526"/>
      <c r="G35" s="526"/>
    </row>
    <row r="36" spans="3:7" ht="15" customHeight="1" x14ac:dyDescent="0.2">
      <c r="C36" s="23" t="s">
        <v>637</v>
      </c>
      <c r="D36" s="525" t="str">
        <f>'1. SB ABA DE CARREGAMENTO'!$B$19</f>
        <v>tttt ttt t ttt</v>
      </c>
      <c r="E36" s="525"/>
      <c r="F36" s="526"/>
      <c r="G36" s="526"/>
    </row>
    <row r="37" spans="3:7" ht="15" customHeight="1" x14ac:dyDescent="0.2">
      <c r="C37" s="23" t="s">
        <v>638</v>
      </c>
      <c r="D37" s="525" t="str">
        <f>'1. SB ABA DE CARREGAMENTO'!B55</f>
        <v>São Borja/RS</v>
      </c>
      <c r="E37" s="525"/>
      <c r="F37" s="526"/>
      <c r="G37" s="526"/>
    </row>
    <row r="38" spans="3:7" ht="15" customHeight="1" x14ac:dyDescent="0.2">
      <c r="C38" s="23" t="s">
        <v>639</v>
      </c>
      <c r="D38" s="527">
        <f ca="1">NOW()</f>
        <v>44609.469313310183</v>
      </c>
      <c r="E38" s="527"/>
      <c r="F38" s="526"/>
      <c r="G38" s="526"/>
    </row>
    <row r="39" spans="3:7" ht="12.75" customHeight="1" x14ac:dyDescent="0.2"/>
    <row r="40" spans="3:7" ht="12.75" customHeight="1" x14ac:dyDescent="0.2"/>
    <row r="41" spans="3:7" ht="12.75" customHeight="1" x14ac:dyDescent="0.2"/>
    <row r="42" spans="3:7" ht="12.75" customHeight="1" x14ac:dyDescent="0.2"/>
    <row r="43" spans="3:7" ht="12.75" customHeight="1" x14ac:dyDescent="0.2"/>
    <row r="44" spans="3:7" ht="12.75" customHeight="1" x14ac:dyDescent="0.2"/>
    <row r="45" spans="3:7" ht="12.75" customHeight="1" x14ac:dyDescent="0.2"/>
    <row r="46" spans="3:7" ht="12.75" customHeight="1" x14ac:dyDescent="0.2"/>
    <row r="47" spans="3:7" ht="12.75" customHeight="1" x14ac:dyDescent="0.2"/>
    <row r="48" spans="3:7"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sheetData>
  <sheetProtection selectLockedCells="1" selectUnlockedCells="1"/>
  <mergeCells count="30">
    <mergeCell ref="D26:G26"/>
    <mergeCell ref="D27:E27"/>
    <mergeCell ref="F29:G29"/>
    <mergeCell ref="F31:G38"/>
    <mergeCell ref="C33:E33"/>
    <mergeCell ref="D34:E34"/>
    <mergeCell ref="D35:E35"/>
    <mergeCell ref="D36:E36"/>
    <mergeCell ref="D37:E37"/>
    <mergeCell ref="D38:E38"/>
    <mergeCell ref="C20:G20"/>
    <mergeCell ref="C21:G21"/>
    <mergeCell ref="C22:G22"/>
    <mergeCell ref="C23:G23"/>
    <mergeCell ref="C24:G24"/>
    <mergeCell ref="E12:F12"/>
    <mergeCell ref="C14:E14"/>
    <mergeCell ref="C15:E15"/>
    <mergeCell ref="F16:G16"/>
    <mergeCell ref="C19:G19"/>
    <mergeCell ref="E7:F7"/>
    <mergeCell ref="E8:F8"/>
    <mergeCell ref="E9:F9"/>
    <mergeCell ref="E10:F10"/>
    <mergeCell ref="E11:F11"/>
    <mergeCell ref="C1:G1"/>
    <mergeCell ref="C2:G2"/>
    <mergeCell ref="C3:G3"/>
    <mergeCell ref="C4:G4"/>
    <mergeCell ref="C5:G5"/>
  </mergeCells>
  <printOptions horizontalCentered="1"/>
  <pageMargins left="0.59055118110236227" right="0.39370078740157483" top="0.59055118110236227" bottom="0" header="0.51181102362204722" footer="0.51181102362204722"/>
  <pageSetup paperSize="9" scale="65" orientation="portrait" r:id="rId1"/>
  <headerFooter>
    <oddHeader>&amp;R&amp;P de &amp;N</oddHeader>
    <oddFooter>&amp;L&amp;F - &amp;A&amp;CPágina &amp;P de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Q25" sqref="Q25"/>
    </sheetView>
  </sheetViews>
  <sheetFormatPr defaultRowHeight="12.75" x14ac:dyDescent="0.2"/>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994"/>
  <sheetViews>
    <sheetView showGridLines="0" topLeftCell="A8" zoomScaleNormal="100" workbookViewId="0">
      <selection activeCell="C64" sqref="C64"/>
    </sheetView>
  </sheetViews>
  <sheetFormatPr defaultColWidth="14.42578125" defaultRowHeight="14.25" x14ac:dyDescent="0.2"/>
  <cols>
    <col min="1" max="1" width="49.42578125" style="23" customWidth="1"/>
    <col min="2" max="2" width="10.140625" style="23" customWidth="1"/>
    <col min="3" max="3" width="13.5703125" style="23" customWidth="1"/>
    <col min="4" max="4" width="12.42578125" style="23" customWidth="1"/>
    <col min="5" max="5" width="14.7109375" style="23" customWidth="1"/>
    <col min="6" max="6" width="14.140625" style="23" customWidth="1"/>
    <col min="7" max="7" width="14" style="23" customWidth="1"/>
    <col min="8" max="8" width="13.42578125" style="23" customWidth="1"/>
    <col min="9" max="11" width="9" style="23" customWidth="1"/>
    <col min="12" max="26" width="8" style="23" customWidth="1"/>
    <col min="27" max="16384" width="14.42578125" style="23"/>
  </cols>
  <sheetData>
    <row r="1" spans="1:10" ht="18.75" customHeight="1" x14ac:dyDescent="0.2">
      <c r="A1" s="324" t="s">
        <v>0</v>
      </c>
      <c r="B1" s="324"/>
      <c r="C1" s="324"/>
      <c r="D1" s="324"/>
      <c r="E1" s="324"/>
      <c r="F1" s="324"/>
      <c r="G1" s="324"/>
      <c r="H1" s="324"/>
    </row>
    <row r="2" spans="1:10" ht="18.75" customHeight="1" x14ac:dyDescent="0.2">
      <c r="A2" s="324" t="s">
        <v>1</v>
      </c>
      <c r="B2" s="324"/>
      <c r="C2" s="324"/>
      <c r="D2" s="324"/>
      <c r="E2" s="324"/>
      <c r="F2" s="324"/>
      <c r="G2" s="324"/>
      <c r="H2" s="324"/>
      <c r="J2" s="210"/>
    </row>
    <row r="3" spans="1:10" ht="18.75" customHeight="1" x14ac:dyDescent="0.2">
      <c r="A3" s="324" t="s">
        <v>2</v>
      </c>
      <c r="B3" s="324"/>
      <c r="C3" s="324"/>
      <c r="D3" s="324"/>
      <c r="E3" s="324"/>
      <c r="F3" s="324"/>
      <c r="G3" s="324"/>
      <c r="H3" s="324"/>
    </row>
    <row r="4" spans="1:10" ht="18.75" customHeight="1" x14ac:dyDescent="0.2">
      <c r="A4" s="325" t="str">
        <f>'1. SB ABA DE CARREGAMENTO'!A4</f>
        <v>CAMPUS SÃO BORJA</v>
      </c>
      <c r="B4" s="325"/>
      <c r="C4" s="325"/>
      <c r="D4" s="325"/>
      <c r="E4" s="325"/>
      <c r="F4" s="325"/>
      <c r="G4" s="325"/>
      <c r="H4" s="325"/>
    </row>
    <row r="5" spans="1:10" ht="18.75" customHeight="1" x14ac:dyDescent="0.2">
      <c r="A5" s="326" t="s">
        <v>104</v>
      </c>
      <c r="B5" s="326"/>
      <c r="C5" s="326"/>
      <c r="D5" s="326"/>
      <c r="E5" s="326"/>
      <c r="F5" s="326"/>
      <c r="G5" s="326"/>
      <c r="H5" s="326"/>
    </row>
    <row r="6" spans="1:10" ht="14.25" customHeight="1" x14ac:dyDescent="0.2">
      <c r="A6" s="211"/>
    </row>
    <row r="7" spans="1:10" ht="25.5" customHeight="1" x14ac:dyDescent="0.2">
      <c r="A7" s="212" t="s">
        <v>105</v>
      </c>
      <c r="B7" s="213" t="s">
        <v>106</v>
      </c>
      <c r="C7" s="213" t="s">
        <v>107</v>
      </c>
      <c r="D7" s="213" t="s">
        <v>108</v>
      </c>
      <c r="E7" s="214" t="s">
        <v>109</v>
      </c>
      <c r="F7" s="214" t="s">
        <v>110</v>
      </c>
    </row>
    <row r="8" spans="1:10" ht="85.5" x14ac:dyDescent="0.2">
      <c r="A8" s="209" t="s">
        <v>111</v>
      </c>
      <c r="B8" s="215" t="s">
        <v>112</v>
      </c>
      <c r="C8" s="216">
        <v>333</v>
      </c>
      <c r="D8" s="215">
        <f t="shared" ref="D8:D17" si="0">C8*12</f>
        <v>3996</v>
      </c>
      <c r="E8" s="217">
        <v>8.84</v>
      </c>
      <c r="F8" s="218">
        <f t="shared" ref="F8:F22" si="1">D8*E8</f>
        <v>35324.639999999999</v>
      </c>
    </row>
    <row r="9" spans="1:10" ht="57" x14ac:dyDescent="0.2">
      <c r="A9" s="209" t="s">
        <v>113</v>
      </c>
      <c r="B9" s="215" t="s">
        <v>114</v>
      </c>
      <c r="C9" s="216">
        <v>100</v>
      </c>
      <c r="D9" s="215">
        <f t="shared" si="0"/>
        <v>1200</v>
      </c>
      <c r="E9" s="217">
        <v>51.47</v>
      </c>
      <c r="F9" s="218">
        <f t="shared" si="1"/>
        <v>61764</v>
      </c>
    </row>
    <row r="10" spans="1:10" ht="42.75" x14ac:dyDescent="0.2">
      <c r="A10" s="219" t="s">
        <v>115</v>
      </c>
      <c r="B10" s="215" t="s">
        <v>116</v>
      </c>
      <c r="C10" s="215">
        <v>2</v>
      </c>
      <c r="D10" s="215">
        <f t="shared" si="0"/>
        <v>24</v>
      </c>
      <c r="E10" s="217">
        <v>12.62</v>
      </c>
      <c r="F10" s="218">
        <f t="shared" si="1"/>
        <v>302.88</v>
      </c>
    </row>
    <row r="11" spans="1:10" ht="57" x14ac:dyDescent="0.2">
      <c r="A11" s="219" t="s">
        <v>117</v>
      </c>
      <c r="B11" s="215" t="s">
        <v>118</v>
      </c>
      <c r="C11" s="215">
        <v>2</v>
      </c>
      <c r="D11" s="215">
        <f t="shared" si="0"/>
        <v>24</v>
      </c>
      <c r="E11" s="217">
        <v>12.84</v>
      </c>
      <c r="F11" s="218">
        <f t="shared" si="1"/>
        <v>308.15999999999997</v>
      </c>
    </row>
    <row r="12" spans="1:10" ht="57" x14ac:dyDescent="0.2">
      <c r="A12" s="209" t="s">
        <v>119</v>
      </c>
      <c r="B12" s="215" t="s">
        <v>114</v>
      </c>
      <c r="C12" s="215">
        <v>9</v>
      </c>
      <c r="D12" s="215">
        <f t="shared" si="0"/>
        <v>108</v>
      </c>
      <c r="E12" s="217">
        <v>11.35</v>
      </c>
      <c r="F12" s="218">
        <f t="shared" si="1"/>
        <v>1225.8</v>
      </c>
    </row>
    <row r="13" spans="1:10" ht="85.5" x14ac:dyDescent="0.2">
      <c r="A13" s="209" t="s">
        <v>120</v>
      </c>
      <c r="B13" s="215" t="s">
        <v>121</v>
      </c>
      <c r="C13" s="215">
        <v>18</v>
      </c>
      <c r="D13" s="215">
        <f t="shared" si="0"/>
        <v>216</v>
      </c>
      <c r="E13" s="217">
        <v>7.26</v>
      </c>
      <c r="F13" s="218">
        <f t="shared" si="1"/>
        <v>1568.1599999999999</v>
      </c>
    </row>
    <row r="14" spans="1:10" ht="114" x14ac:dyDescent="0.2">
      <c r="A14" s="209" t="s">
        <v>122</v>
      </c>
      <c r="B14" s="215" t="s">
        <v>123</v>
      </c>
      <c r="C14" s="215">
        <v>10</v>
      </c>
      <c r="D14" s="215">
        <f t="shared" si="0"/>
        <v>120</v>
      </c>
      <c r="E14" s="217">
        <v>1.33</v>
      </c>
      <c r="F14" s="218">
        <f t="shared" si="1"/>
        <v>159.60000000000002</v>
      </c>
    </row>
    <row r="15" spans="1:10" ht="114" x14ac:dyDescent="0.2">
      <c r="A15" s="209" t="s">
        <v>124</v>
      </c>
      <c r="B15" s="215" t="s">
        <v>125</v>
      </c>
      <c r="C15" s="215">
        <v>100</v>
      </c>
      <c r="D15" s="215">
        <f t="shared" si="0"/>
        <v>1200</v>
      </c>
      <c r="E15" s="217">
        <v>9.07</v>
      </c>
      <c r="F15" s="218">
        <f t="shared" si="1"/>
        <v>10884</v>
      </c>
    </row>
    <row r="16" spans="1:10" ht="71.25" x14ac:dyDescent="0.2">
      <c r="A16" s="220" t="s">
        <v>126</v>
      </c>
      <c r="B16" s="215" t="s">
        <v>127</v>
      </c>
      <c r="C16" s="215">
        <v>60</v>
      </c>
      <c r="D16" s="215">
        <f t="shared" si="0"/>
        <v>720</v>
      </c>
      <c r="E16" s="217">
        <v>6.8</v>
      </c>
      <c r="F16" s="218">
        <f t="shared" si="1"/>
        <v>4896</v>
      </c>
    </row>
    <row r="17" spans="1:6" ht="57" x14ac:dyDescent="0.2">
      <c r="A17" s="219" t="s">
        <v>128</v>
      </c>
      <c r="B17" s="215" t="s">
        <v>127</v>
      </c>
      <c r="C17" s="215">
        <v>20</v>
      </c>
      <c r="D17" s="215">
        <f t="shared" si="0"/>
        <v>240</v>
      </c>
      <c r="E17" s="217">
        <v>2.63</v>
      </c>
      <c r="F17" s="218">
        <f t="shared" si="1"/>
        <v>631.19999999999993</v>
      </c>
    </row>
    <row r="18" spans="1:6" ht="28.5" x14ac:dyDescent="0.2">
      <c r="A18" s="219" t="s">
        <v>129</v>
      </c>
      <c r="B18" s="215" t="s">
        <v>118</v>
      </c>
      <c r="C18" s="215">
        <v>25</v>
      </c>
      <c r="D18" s="215">
        <v>60</v>
      </c>
      <c r="E18" s="217">
        <v>20.94</v>
      </c>
      <c r="F18" s="218">
        <f t="shared" si="1"/>
        <v>1256.4000000000001</v>
      </c>
    </row>
    <row r="19" spans="1:6" ht="85.5" x14ac:dyDescent="0.2">
      <c r="A19" s="219" t="s">
        <v>130</v>
      </c>
      <c r="B19" s="215" t="s">
        <v>131</v>
      </c>
      <c r="C19" s="215">
        <v>15</v>
      </c>
      <c r="D19" s="215">
        <f>C19*12</f>
        <v>180</v>
      </c>
      <c r="E19" s="217">
        <v>6.03</v>
      </c>
      <c r="F19" s="218">
        <f t="shared" si="1"/>
        <v>1085.4000000000001</v>
      </c>
    </row>
    <row r="20" spans="1:6" ht="156.75" x14ac:dyDescent="0.2">
      <c r="A20" s="219" t="s">
        <v>132</v>
      </c>
      <c r="B20" s="215" t="s">
        <v>133</v>
      </c>
      <c r="C20" s="215">
        <v>4</v>
      </c>
      <c r="D20" s="215">
        <f>C20*12</f>
        <v>48</v>
      </c>
      <c r="E20" s="217">
        <v>13.09</v>
      </c>
      <c r="F20" s="218">
        <f t="shared" si="1"/>
        <v>628.31999999999994</v>
      </c>
    </row>
    <row r="21" spans="1:6" ht="71.25" x14ac:dyDescent="0.2">
      <c r="A21" s="219" t="s">
        <v>134</v>
      </c>
      <c r="B21" s="215" t="s">
        <v>135</v>
      </c>
      <c r="C21" s="215">
        <v>20</v>
      </c>
      <c r="D21" s="215">
        <f>C21*12</f>
        <v>240</v>
      </c>
      <c r="E21" s="217">
        <v>7.56</v>
      </c>
      <c r="F21" s="218">
        <f t="shared" si="1"/>
        <v>1814.3999999999999</v>
      </c>
    </row>
    <row r="22" spans="1:6" ht="42.75" x14ac:dyDescent="0.2">
      <c r="A22" s="219" t="s">
        <v>136</v>
      </c>
      <c r="B22" s="215" t="s">
        <v>106</v>
      </c>
      <c r="C22" s="215">
        <v>5</v>
      </c>
      <c r="D22" s="215">
        <f>C22*12</f>
        <v>60</v>
      </c>
      <c r="E22" s="217">
        <v>15.66</v>
      </c>
      <c r="F22" s="218">
        <f t="shared" si="1"/>
        <v>939.6</v>
      </c>
    </row>
    <row r="23" spans="1:6" ht="14.25" customHeight="1" x14ac:dyDescent="0.2">
      <c r="A23" s="327" t="s">
        <v>137</v>
      </c>
      <c r="B23" s="327"/>
      <c r="C23" s="327"/>
      <c r="D23" s="327"/>
      <c r="E23" s="327"/>
      <c r="F23" s="221">
        <f>SUM(F8:F22)</f>
        <v>122788.56000000001</v>
      </c>
    </row>
    <row r="24" spans="1:6" ht="14.25" customHeight="1" x14ac:dyDescent="0.2">
      <c r="A24" s="328" t="s">
        <v>138</v>
      </c>
      <c r="B24" s="328"/>
      <c r="C24" s="328"/>
      <c r="D24" s="328"/>
      <c r="E24" s="328"/>
      <c r="F24" s="222">
        <f>F23/12</f>
        <v>10232.380000000001</v>
      </c>
    </row>
    <row r="25" spans="1:6" ht="12.75" customHeight="1" x14ac:dyDescent="0.2">
      <c r="A25" s="48"/>
      <c r="B25" s="223"/>
      <c r="C25" s="223"/>
      <c r="D25" s="223"/>
      <c r="E25" s="224"/>
    </row>
    <row r="26" spans="1:6" ht="32.25" customHeight="1" x14ac:dyDescent="0.2">
      <c r="A26" s="212" t="s">
        <v>207</v>
      </c>
      <c r="B26" s="213" t="s">
        <v>106</v>
      </c>
      <c r="C26" s="213" t="s">
        <v>107</v>
      </c>
      <c r="D26" s="213" t="s">
        <v>108</v>
      </c>
      <c r="E26" s="214" t="s">
        <v>109</v>
      </c>
      <c r="F26" s="214" t="s">
        <v>110</v>
      </c>
    </row>
    <row r="27" spans="1:6" ht="71.25" x14ac:dyDescent="0.2">
      <c r="A27" s="209" t="s">
        <v>139</v>
      </c>
      <c r="B27" s="215" t="s">
        <v>140</v>
      </c>
      <c r="C27" s="215">
        <v>60</v>
      </c>
      <c r="D27" s="215">
        <f>C27*12</f>
        <v>720</v>
      </c>
      <c r="E27" s="217">
        <v>6.85</v>
      </c>
      <c r="F27" s="218">
        <f t="shared" ref="F27:F34" si="2">D27*E27</f>
        <v>4932</v>
      </c>
    </row>
    <row r="28" spans="1:6" ht="86.25" x14ac:dyDescent="0.2">
      <c r="A28" s="209" t="s">
        <v>690</v>
      </c>
      <c r="B28" s="215" t="s">
        <v>141</v>
      </c>
      <c r="C28" s="215">
        <v>150</v>
      </c>
      <c r="D28" s="215">
        <v>1800</v>
      </c>
      <c r="E28" s="217">
        <v>3.65</v>
      </c>
      <c r="F28" s="218">
        <f t="shared" si="2"/>
        <v>6570</v>
      </c>
    </row>
    <row r="29" spans="1:6" ht="57" x14ac:dyDescent="0.2">
      <c r="A29" s="219" t="s">
        <v>142</v>
      </c>
      <c r="B29" s="215" t="s">
        <v>143</v>
      </c>
      <c r="C29" s="215">
        <v>5</v>
      </c>
      <c r="D29" s="215">
        <f>C29*12</f>
        <v>60</v>
      </c>
      <c r="E29" s="217">
        <v>12.51</v>
      </c>
      <c r="F29" s="218">
        <f t="shared" si="2"/>
        <v>750.6</v>
      </c>
    </row>
    <row r="30" spans="1:6" ht="57" x14ac:dyDescent="0.2">
      <c r="A30" s="219" t="s">
        <v>144</v>
      </c>
      <c r="B30" s="215" t="s">
        <v>143</v>
      </c>
      <c r="C30" s="215">
        <v>5</v>
      </c>
      <c r="D30" s="215">
        <f>C30*12</f>
        <v>60</v>
      </c>
      <c r="E30" s="217">
        <v>23.06</v>
      </c>
      <c r="F30" s="218">
        <f t="shared" si="2"/>
        <v>1383.6</v>
      </c>
    </row>
    <row r="31" spans="1:6" ht="42.75" x14ac:dyDescent="0.2">
      <c r="A31" s="219" t="s">
        <v>145</v>
      </c>
      <c r="B31" s="215" t="s">
        <v>141</v>
      </c>
      <c r="C31" s="215">
        <v>2</v>
      </c>
      <c r="D31" s="215">
        <f>C31*12</f>
        <v>24</v>
      </c>
      <c r="E31" s="217">
        <v>26.8</v>
      </c>
      <c r="F31" s="218">
        <f t="shared" si="2"/>
        <v>643.20000000000005</v>
      </c>
    </row>
    <row r="32" spans="1:6" ht="71.25" x14ac:dyDescent="0.2">
      <c r="A32" s="209" t="s">
        <v>146</v>
      </c>
      <c r="B32" s="215" t="s">
        <v>147</v>
      </c>
      <c r="C32" s="215">
        <v>85</v>
      </c>
      <c r="D32" s="215">
        <v>1020</v>
      </c>
      <c r="E32" s="217">
        <v>10.19</v>
      </c>
      <c r="F32" s="218">
        <f t="shared" si="2"/>
        <v>10393.799999999999</v>
      </c>
    </row>
    <row r="33" spans="1:7" ht="99.75" x14ac:dyDescent="0.2">
      <c r="A33" s="23" t="s">
        <v>148</v>
      </c>
      <c r="B33" s="215" t="s">
        <v>143</v>
      </c>
      <c r="C33" s="215">
        <v>4</v>
      </c>
      <c r="D33" s="215">
        <v>48</v>
      </c>
      <c r="E33" s="217">
        <v>4.7</v>
      </c>
      <c r="F33" s="218">
        <f t="shared" si="2"/>
        <v>225.60000000000002</v>
      </c>
    </row>
    <row r="34" spans="1:7" ht="128.25" x14ac:dyDescent="0.2">
      <c r="A34" s="209" t="s">
        <v>149</v>
      </c>
      <c r="B34" s="215" t="s">
        <v>150</v>
      </c>
      <c r="C34" s="215">
        <v>35</v>
      </c>
      <c r="D34" s="215">
        <f>C34*12</f>
        <v>420</v>
      </c>
      <c r="E34" s="217">
        <v>1.01</v>
      </c>
      <c r="F34" s="218">
        <f t="shared" si="2"/>
        <v>424.2</v>
      </c>
    </row>
    <row r="35" spans="1:7" ht="14.25" customHeight="1" x14ac:dyDescent="0.2">
      <c r="A35" s="327" t="s">
        <v>151</v>
      </c>
      <c r="B35" s="327"/>
      <c r="C35" s="327"/>
      <c r="D35" s="327"/>
      <c r="E35" s="327"/>
      <c r="F35" s="221">
        <f>SUM(F27:F34)</f>
        <v>25323</v>
      </c>
    </row>
    <row r="36" spans="1:7" ht="14.25" customHeight="1" x14ac:dyDescent="0.2">
      <c r="A36" s="328" t="s">
        <v>152</v>
      </c>
      <c r="B36" s="328"/>
      <c r="C36" s="328"/>
      <c r="D36" s="328"/>
      <c r="E36" s="328"/>
      <c r="F36" s="225">
        <f>F35/12</f>
        <v>2110.25</v>
      </c>
    </row>
    <row r="37" spans="1:7" ht="12.75" customHeight="1" x14ac:dyDescent="0.2">
      <c r="A37" s="211"/>
      <c r="B37" s="41"/>
      <c r="C37" s="41"/>
      <c r="D37" s="41"/>
      <c r="E37" s="226"/>
      <c r="F37" s="226"/>
    </row>
    <row r="38" spans="1:7" ht="27" customHeight="1" x14ac:dyDescent="0.2">
      <c r="A38" s="212" t="s">
        <v>153</v>
      </c>
      <c r="B38" s="213" t="s">
        <v>106</v>
      </c>
      <c r="C38" s="213" t="s">
        <v>154</v>
      </c>
      <c r="D38" s="213" t="s">
        <v>155</v>
      </c>
      <c r="E38" s="213" t="s">
        <v>108</v>
      </c>
      <c r="F38" s="214" t="s">
        <v>109</v>
      </c>
      <c r="G38" s="214" t="s">
        <v>110</v>
      </c>
    </row>
    <row r="39" spans="1:7" ht="71.25" x14ac:dyDescent="0.2">
      <c r="A39" s="219" t="s">
        <v>156</v>
      </c>
      <c r="B39" s="215" t="s">
        <v>157</v>
      </c>
      <c r="C39" s="215">
        <v>30</v>
      </c>
      <c r="D39" s="215">
        <v>1</v>
      </c>
      <c r="E39" s="227">
        <f t="shared" ref="E39:E51" si="3">12/D39*C39</f>
        <v>360</v>
      </c>
      <c r="F39" s="217">
        <v>3.34</v>
      </c>
      <c r="G39" s="218">
        <f t="shared" ref="G39:G51" si="4">E39*F39</f>
        <v>1202.3999999999999</v>
      </c>
    </row>
    <row r="40" spans="1:7" ht="71.25" x14ac:dyDescent="0.2">
      <c r="A40" s="219" t="s">
        <v>158</v>
      </c>
      <c r="B40" s="215" t="s">
        <v>157</v>
      </c>
      <c r="C40" s="215">
        <v>12</v>
      </c>
      <c r="D40" s="215">
        <v>3</v>
      </c>
      <c r="E40" s="227">
        <f t="shared" si="3"/>
        <v>48</v>
      </c>
      <c r="F40" s="217">
        <v>6.12</v>
      </c>
      <c r="G40" s="218">
        <f t="shared" si="4"/>
        <v>293.76</v>
      </c>
    </row>
    <row r="41" spans="1:7" ht="28.5" x14ac:dyDescent="0.2">
      <c r="A41" s="219" t="s">
        <v>159</v>
      </c>
      <c r="B41" s="215" t="s">
        <v>157</v>
      </c>
      <c r="C41" s="215">
        <v>16</v>
      </c>
      <c r="D41" s="215">
        <v>6</v>
      </c>
      <c r="E41" s="227">
        <f t="shared" si="3"/>
        <v>32</v>
      </c>
      <c r="F41" s="217">
        <v>11.32</v>
      </c>
      <c r="G41" s="218">
        <f t="shared" si="4"/>
        <v>362.24</v>
      </c>
    </row>
    <row r="42" spans="1:7" ht="71.25" x14ac:dyDescent="0.2">
      <c r="A42" s="219" t="s">
        <v>160</v>
      </c>
      <c r="B42" s="215" t="s">
        <v>157</v>
      </c>
      <c r="C42" s="215">
        <v>8</v>
      </c>
      <c r="D42" s="215">
        <v>3</v>
      </c>
      <c r="E42" s="227">
        <f t="shared" si="3"/>
        <v>32</v>
      </c>
      <c r="F42" s="217">
        <v>5.25</v>
      </c>
      <c r="G42" s="218">
        <f t="shared" si="4"/>
        <v>168</v>
      </c>
    </row>
    <row r="43" spans="1:7" ht="42.75" x14ac:dyDescent="0.2">
      <c r="A43" s="219" t="s">
        <v>161</v>
      </c>
      <c r="B43" s="215" t="s">
        <v>106</v>
      </c>
      <c r="C43" s="215">
        <v>4</v>
      </c>
      <c r="D43" s="215">
        <v>1</v>
      </c>
      <c r="E43" s="227">
        <f t="shared" si="3"/>
        <v>48</v>
      </c>
      <c r="F43" s="217">
        <v>2.91</v>
      </c>
      <c r="G43" s="218">
        <f t="shared" si="4"/>
        <v>139.68</v>
      </c>
    </row>
    <row r="44" spans="1:7" ht="85.5" x14ac:dyDescent="0.2">
      <c r="A44" s="219" t="s">
        <v>162</v>
      </c>
      <c r="B44" s="215" t="s">
        <v>157</v>
      </c>
      <c r="C44" s="215">
        <v>10</v>
      </c>
      <c r="D44" s="215">
        <v>3</v>
      </c>
      <c r="E44" s="227">
        <f t="shared" si="3"/>
        <v>40</v>
      </c>
      <c r="F44" s="217">
        <v>5.75</v>
      </c>
      <c r="G44" s="218">
        <f t="shared" si="4"/>
        <v>230</v>
      </c>
    </row>
    <row r="45" spans="1:7" ht="28.5" x14ac:dyDescent="0.2">
      <c r="A45" s="228" t="s">
        <v>163</v>
      </c>
      <c r="B45" s="215" t="s">
        <v>157</v>
      </c>
      <c r="C45" s="215">
        <v>5</v>
      </c>
      <c r="D45" s="215">
        <v>12</v>
      </c>
      <c r="E45" s="227">
        <f t="shared" si="3"/>
        <v>5</v>
      </c>
      <c r="F45" s="217">
        <v>31.15</v>
      </c>
      <c r="G45" s="218">
        <f t="shared" si="4"/>
        <v>155.75</v>
      </c>
    </row>
    <row r="46" spans="1:7" ht="57" x14ac:dyDescent="0.2">
      <c r="A46" s="228" t="s">
        <v>164</v>
      </c>
      <c r="B46" s="215" t="s">
        <v>157</v>
      </c>
      <c r="C46" s="215">
        <v>16</v>
      </c>
      <c r="D46" s="215">
        <v>6</v>
      </c>
      <c r="E46" s="227">
        <f t="shared" si="3"/>
        <v>32</v>
      </c>
      <c r="F46" s="217">
        <v>14.8</v>
      </c>
      <c r="G46" s="218">
        <f t="shared" si="4"/>
        <v>473.6</v>
      </c>
    </row>
    <row r="47" spans="1:7" ht="57" x14ac:dyDescent="0.2">
      <c r="A47" s="208" t="s">
        <v>165</v>
      </c>
      <c r="B47" s="215" t="s">
        <v>157</v>
      </c>
      <c r="C47" s="215">
        <v>4</v>
      </c>
      <c r="D47" s="215">
        <v>6</v>
      </c>
      <c r="E47" s="227">
        <f t="shared" si="3"/>
        <v>8</v>
      </c>
      <c r="F47" s="217">
        <v>2.75</v>
      </c>
      <c r="G47" s="218">
        <f t="shared" si="4"/>
        <v>22</v>
      </c>
    </row>
    <row r="48" spans="1:7" ht="99.75" x14ac:dyDescent="0.2">
      <c r="A48" s="209" t="s">
        <v>166</v>
      </c>
      <c r="B48" s="215" t="s">
        <v>157</v>
      </c>
      <c r="C48" s="215">
        <v>20</v>
      </c>
      <c r="D48" s="215">
        <v>12</v>
      </c>
      <c r="E48" s="227">
        <f t="shared" si="3"/>
        <v>20</v>
      </c>
      <c r="F48" s="217">
        <v>53.62</v>
      </c>
      <c r="G48" s="218">
        <f t="shared" si="4"/>
        <v>1072.3999999999999</v>
      </c>
    </row>
    <row r="49" spans="1:7" ht="57" x14ac:dyDescent="0.2">
      <c r="A49" s="209" t="s">
        <v>167</v>
      </c>
      <c r="B49" s="215" t="s">
        <v>157</v>
      </c>
      <c r="C49" s="215">
        <v>8</v>
      </c>
      <c r="D49" s="215">
        <v>12</v>
      </c>
      <c r="E49" s="227">
        <f t="shared" si="3"/>
        <v>8</v>
      </c>
      <c r="F49" s="217">
        <v>189.23</v>
      </c>
      <c r="G49" s="218">
        <f t="shared" si="4"/>
        <v>1513.84</v>
      </c>
    </row>
    <row r="50" spans="1:7" ht="85.5" x14ac:dyDescent="0.2">
      <c r="A50" s="209" t="s">
        <v>168</v>
      </c>
      <c r="B50" s="215" t="s">
        <v>157</v>
      </c>
      <c r="C50" s="215">
        <v>1</v>
      </c>
      <c r="D50" s="215">
        <v>12</v>
      </c>
      <c r="E50" s="227">
        <f t="shared" si="3"/>
        <v>1</v>
      </c>
      <c r="F50" s="217">
        <v>131.38</v>
      </c>
      <c r="G50" s="218">
        <f t="shared" si="4"/>
        <v>131.38</v>
      </c>
    </row>
    <row r="51" spans="1:7" ht="28.5" x14ac:dyDescent="0.2">
      <c r="A51" s="209" t="s">
        <v>169</v>
      </c>
      <c r="B51" s="215" t="s">
        <v>157</v>
      </c>
      <c r="C51" s="215">
        <v>20</v>
      </c>
      <c r="D51" s="215">
        <v>2</v>
      </c>
      <c r="E51" s="227">
        <f t="shared" si="3"/>
        <v>120</v>
      </c>
      <c r="F51" s="217">
        <v>37.479999999999997</v>
      </c>
      <c r="G51" s="218">
        <f t="shared" si="4"/>
        <v>4497.5999999999995</v>
      </c>
    </row>
    <row r="52" spans="1:7" ht="14.25" customHeight="1" x14ac:dyDescent="0.2">
      <c r="A52" s="327" t="s">
        <v>170</v>
      </c>
      <c r="B52" s="327"/>
      <c r="C52" s="327"/>
      <c r="D52" s="327"/>
      <c r="E52" s="327"/>
      <c r="F52" s="327"/>
      <c r="G52" s="221">
        <f>SUM(G39:G51)</f>
        <v>10262.65</v>
      </c>
    </row>
    <row r="53" spans="1:7" ht="14.25" customHeight="1" x14ac:dyDescent="0.2">
      <c r="A53" s="328" t="s">
        <v>171</v>
      </c>
      <c r="B53" s="328"/>
      <c r="C53" s="328"/>
      <c r="D53" s="328"/>
      <c r="E53" s="328"/>
      <c r="F53" s="328"/>
      <c r="G53" s="222">
        <f>G52/12</f>
        <v>855.2208333333333</v>
      </c>
    </row>
    <row r="54" spans="1:7" ht="12.75" customHeight="1" x14ac:dyDescent="0.2">
      <c r="A54" s="211"/>
      <c r="B54" s="41"/>
      <c r="C54" s="41"/>
      <c r="D54" s="41"/>
      <c r="E54" s="226"/>
      <c r="F54" s="226"/>
    </row>
    <row r="55" spans="1:7" ht="25.5" customHeight="1" x14ac:dyDescent="0.2">
      <c r="A55" s="212" t="s">
        <v>172</v>
      </c>
      <c r="B55" s="213" t="s">
        <v>106</v>
      </c>
      <c r="C55" s="213" t="s">
        <v>154</v>
      </c>
      <c r="D55" s="213" t="s">
        <v>173</v>
      </c>
      <c r="E55" s="213" t="s">
        <v>108</v>
      </c>
      <c r="F55" s="214" t="s">
        <v>109</v>
      </c>
      <c r="G55" s="214" t="s">
        <v>110</v>
      </c>
    </row>
    <row r="56" spans="1:7" ht="15" x14ac:dyDescent="0.2">
      <c r="A56" s="219" t="s">
        <v>174</v>
      </c>
      <c r="B56" s="215" t="s">
        <v>157</v>
      </c>
      <c r="C56" s="215">
        <v>1</v>
      </c>
      <c r="D56" s="215">
        <v>60</v>
      </c>
      <c r="E56" s="229">
        <f>12/D56*C56</f>
        <v>0.2</v>
      </c>
      <c r="F56" s="217">
        <v>411.89</v>
      </c>
      <c r="G56" s="218">
        <f t="shared" ref="G56:G62" si="5">E56*F56</f>
        <v>82.378</v>
      </c>
    </row>
    <row r="57" spans="1:7" ht="256.5" x14ac:dyDescent="0.2">
      <c r="A57" s="209" t="s">
        <v>175</v>
      </c>
      <c r="B57" s="215" t="s">
        <v>157</v>
      </c>
      <c r="C57" s="215">
        <v>10</v>
      </c>
      <c r="D57" s="215">
        <v>60</v>
      </c>
      <c r="E57" s="229">
        <f t="shared" ref="E57:E62" si="6">12/D57*C57</f>
        <v>2</v>
      </c>
      <c r="F57" s="217">
        <v>634.37</v>
      </c>
      <c r="G57" s="218">
        <f t="shared" si="5"/>
        <v>1268.74</v>
      </c>
    </row>
    <row r="58" spans="1:7" ht="85.5" x14ac:dyDescent="0.2">
      <c r="A58" s="209" t="s">
        <v>176</v>
      </c>
      <c r="B58" s="215" t="s">
        <v>157</v>
      </c>
      <c r="C58" s="215">
        <v>25</v>
      </c>
      <c r="D58" s="215">
        <v>60</v>
      </c>
      <c r="E58" s="229">
        <f t="shared" si="6"/>
        <v>5</v>
      </c>
      <c r="F58" s="217">
        <v>95.35</v>
      </c>
      <c r="G58" s="218">
        <f t="shared" si="5"/>
        <v>476.75</v>
      </c>
    </row>
    <row r="59" spans="1:7" ht="15" x14ac:dyDescent="0.2">
      <c r="A59" s="219" t="s">
        <v>177</v>
      </c>
      <c r="B59" s="215" t="s">
        <v>157</v>
      </c>
      <c r="C59" s="215">
        <v>50</v>
      </c>
      <c r="D59" s="215">
        <v>12</v>
      </c>
      <c r="E59" s="229">
        <f t="shared" si="6"/>
        <v>50</v>
      </c>
      <c r="F59" s="217">
        <v>18.5</v>
      </c>
      <c r="G59" s="218">
        <f t="shared" si="5"/>
        <v>925</v>
      </c>
    </row>
    <row r="60" spans="1:7" ht="85.5" x14ac:dyDescent="0.2">
      <c r="A60" s="23" t="s">
        <v>178</v>
      </c>
      <c r="B60" s="215" t="s">
        <v>157</v>
      </c>
      <c r="C60" s="215">
        <v>80</v>
      </c>
      <c r="D60" s="215">
        <v>12</v>
      </c>
      <c r="E60" s="229">
        <f t="shared" si="6"/>
        <v>80</v>
      </c>
      <c r="F60" s="217">
        <v>29.736000000000001</v>
      </c>
      <c r="G60" s="218">
        <f t="shared" si="5"/>
        <v>2378.88</v>
      </c>
    </row>
    <row r="61" spans="1:7" ht="15" x14ac:dyDescent="0.2">
      <c r="A61" s="219" t="s">
        <v>179</v>
      </c>
      <c r="B61" s="215" t="s">
        <v>157</v>
      </c>
      <c r="C61" s="215">
        <v>2</v>
      </c>
      <c r="D61" s="215">
        <v>60</v>
      </c>
      <c r="E61" s="229">
        <f t="shared" si="6"/>
        <v>0.4</v>
      </c>
      <c r="F61" s="217">
        <v>313.97000000000003</v>
      </c>
      <c r="G61" s="218">
        <f t="shared" si="5"/>
        <v>125.58800000000002</v>
      </c>
    </row>
    <row r="62" spans="1:7" ht="42.75" x14ac:dyDescent="0.2">
      <c r="A62" s="209" t="s">
        <v>180</v>
      </c>
      <c r="B62" s="215" t="s">
        <v>157</v>
      </c>
      <c r="C62" s="215">
        <v>30</v>
      </c>
      <c r="D62" s="215">
        <v>36</v>
      </c>
      <c r="E62" s="229">
        <f t="shared" si="6"/>
        <v>10</v>
      </c>
      <c r="F62" s="217">
        <v>45.87</v>
      </c>
      <c r="G62" s="218">
        <f t="shared" si="5"/>
        <v>458.7</v>
      </c>
    </row>
    <row r="63" spans="1:7" ht="12.75" customHeight="1" x14ac:dyDescent="0.2">
      <c r="A63" s="327" t="s">
        <v>181</v>
      </c>
      <c r="B63" s="327"/>
      <c r="C63" s="327"/>
      <c r="D63" s="327"/>
      <c r="E63" s="327"/>
      <c r="F63" s="327"/>
      <c r="G63" s="230">
        <f>SUM(G56:G62)</f>
        <v>5716.0359999999991</v>
      </c>
    </row>
    <row r="64" spans="1:7" ht="12.75" customHeight="1" x14ac:dyDescent="0.2">
      <c r="A64" s="328" t="s">
        <v>182</v>
      </c>
      <c r="B64" s="328"/>
      <c r="C64" s="328"/>
      <c r="D64" s="328"/>
      <c r="E64" s="328"/>
      <c r="F64" s="328"/>
      <c r="G64" s="225">
        <f>G63/12</f>
        <v>476.33633333333324</v>
      </c>
    </row>
    <row r="65" spans="1:8" ht="12.75" customHeight="1" x14ac:dyDescent="0.2">
      <c r="A65" s="211"/>
      <c r="B65" s="41"/>
      <c r="C65" s="41"/>
      <c r="D65" s="41"/>
      <c r="E65" s="226"/>
      <c r="F65" s="226"/>
    </row>
    <row r="66" spans="1:8" ht="25.5" customHeight="1" x14ac:dyDescent="0.2">
      <c r="A66" s="212" t="s">
        <v>183</v>
      </c>
      <c r="B66" s="213" t="s">
        <v>106</v>
      </c>
      <c r="C66" s="213" t="s">
        <v>108</v>
      </c>
      <c r="D66" s="214" t="s">
        <v>109</v>
      </c>
      <c r="E66" s="214" t="s">
        <v>110</v>
      </c>
      <c r="F66" s="329"/>
      <c r="G66" s="329"/>
      <c r="H66" s="231"/>
    </row>
    <row r="67" spans="1:8" ht="28.5" x14ac:dyDescent="0.2">
      <c r="A67" s="209" t="s">
        <v>184</v>
      </c>
      <c r="B67" s="215" t="s">
        <v>106</v>
      </c>
      <c r="C67" s="227">
        <v>5</v>
      </c>
      <c r="D67" s="217">
        <v>33.75</v>
      </c>
      <c r="E67" s="218">
        <f t="shared" ref="E67:E80" si="7">C67*D67</f>
        <v>168.75</v>
      </c>
      <c r="F67" s="330"/>
      <c r="G67" s="330"/>
    </row>
    <row r="68" spans="1:8" ht="28.5" x14ac:dyDescent="0.2">
      <c r="A68" s="209" t="s">
        <v>185</v>
      </c>
      <c r="B68" s="215" t="s">
        <v>106</v>
      </c>
      <c r="C68" s="227">
        <v>6</v>
      </c>
      <c r="D68" s="217">
        <v>11.06</v>
      </c>
      <c r="E68" s="218">
        <f t="shared" si="7"/>
        <v>66.36</v>
      </c>
      <c r="F68" s="330"/>
      <c r="G68" s="330"/>
    </row>
    <row r="69" spans="1:8" ht="28.5" x14ac:dyDescent="0.2">
      <c r="A69" s="209" t="s">
        <v>186</v>
      </c>
      <c r="B69" s="215" t="s">
        <v>106</v>
      </c>
      <c r="C69" s="227">
        <v>5</v>
      </c>
      <c r="D69" s="217">
        <v>15.77</v>
      </c>
      <c r="E69" s="218">
        <f t="shared" si="7"/>
        <v>78.849999999999994</v>
      </c>
      <c r="F69" s="330"/>
      <c r="G69" s="330"/>
    </row>
    <row r="70" spans="1:8" ht="15" x14ac:dyDescent="0.2">
      <c r="A70" s="209" t="s">
        <v>187</v>
      </c>
      <c r="B70" s="215" t="s">
        <v>106</v>
      </c>
      <c r="C70" s="227">
        <v>1</v>
      </c>
      <c r="D70" s="217">
        <v>22.06</v>
      </c>
      <c r="E70" s="218">
        <f t="shared" si="7"/>
        <v>22.06</v>
      </c>
      <c r="F70" s="330"/>
      <c r="G70" s="330"/>
    </row>
    <row r="71" spans="1:8" ht="114" x14ac:dyDescent="0.2">
      <c r="A71" s="232" t="s">
        <v>188</v>
      </c>
      <c r="B71" s="215" t="s">
        <v>106</v>
      </c>
      <c r="C71" s="227">
        <v>1</v>
      </c>
      <c r="D71" s="217">
        <v>151.35</v>
      </c>
      <c r="E71" s="218">
        <f t="shared" si="7"/>
        <v>151.35</v>
      </c>
      <c r="F71" s="330"/>
      <c r="G71" s="330"/>
    </row>
    <row r="72" spans="1:8" ht="42.75" x14ac:dyDescent="0.2">
      <c r="A72" s="209" t="s">
        <v>189</v>
      </c>
      <c r="B72" s="215" t="s">
        <v>190</v>
      </c>
      <c r="C72" s="215">
        <v>24</v>
      </c>
      <c r="D72" s="217">
        <v>4.38</v>
      </c>
      <c r="E72" s="218">
        <f t="shared" si="7"/>
        <v>105.12</v>
      </c>
      <c r="F72" s="330"/>
      <c r="G72" s="330"/>
    </row>
    <row r="73" spans="1:8" ht="156.75" x14ac:dyDescent="0.2">
      <c r="A73" s="219" t="s">
        <v>191</v>
      </c>
      <c r="B73" s="215" t="s">
        <v>106</v>
      </c>
      <c r="C73" s="227">
        <v>52</v>
      </c>
      <c r="D73" s="217">
        <v>2.19</v>
      </c>
      <c r="E73" s="218">
        <f t="shared" si="7"/>
        <v>113.88</v>
      </c>
      <c r="F73" s="330"/>
      <c r="G73" s="330"/>
    </row>
    <row r="74" spans="1:8" ht="171" x14ac:dyDescent="0.2">
      <c r="A74" s="232" t="s">
        <v>192</v>
      </c>
      <c r="B74" s="215" t="s">
        <v>106</v>
      </c>
      <c r="C74" s="227">
        <v>1152</v>
      </c>
      <c r="D74" s="217">
        <v>7.0000000000000007E-2</v>
      </c>
      <c r="E74" s="218">
        <f t="shared" si="7"/>
        <v>80.640000000000015</v>
      </c>
      <c r="F74" s="330"/>
      <c r="G74" s="330"/>
    </row>
    <row r="75" spans="1:8" ht="15" x14ac:dyDescent="0.2">
      <c r="A75" s="209" t="s">
        <v>193</v>
      </c>
      <c r="B75" s="215" t="s">
        <v>194</v>
      </c>
      <c r="C75" s="227">
        <v>6</v>
      </c>
      <c r="D75" s="217">
        <v>6.47</v>
      </c>
      <c r="E75" s="218">
        <f t="shared" si="7"/>
        <v>38.82</v>
      </c>
      <c r="F75" s="330"/>
      <c r="G75" s="330"/>
    </row>
    <row r="76" spans="1:8" ht="28.5" x14ac:dyDescent="0.2">
      <c r="A76" s="219" t="s">
        <v>195</v>
      </c>
      <c r="B76" s="215" t="s">
        <v>106</v>
      </c>
      <c r="C76" s="227">
        <v>2</v>
      </c>
      <c r="D76" s="217">
        <v>54.66</v>
      </c>
      <c r="E76" s="218">
        <f t="shared" si="7"/>
        <v>109.32</v>
      </c>
      <c r="F76" s="330"/>
      <c r="G76" s="330"/>
    </row>
    <row r="77" spans="1:8" ht="114" x14ac:dyDescent="0.2">
      <c r="A77" s="209" t="s">
        <v>196</v>
      </c>
      <c r="B77" s="215" t="s">
        <v>106</v>
      </c>
      <c r="C77" s="227">
        <v>8</v>
      </c>
      <c r="D77" s="217">
        <v>6.25</v>
      </c>
      <c r="E77" s="218">
        <f t="shared" si="7"/>
        <v>50</v>
      </c>
      <c r="F77" s="41"/>
      <c r="G77" s="41"/>
    </row>
    <row r="78" spans="1:8" ht="99.75" x14ac:dyDescent="0.2">
      <c r="A78" s="209" t="s">
        <v>197</v>
      </c>
      <c r="B78" s="215" t="s">
        <v>106</v>
      </c>
      <c r="C78" s="227">
        <v>4</v>
      </c>
      <c r="D78" s="217">
        <v>18.54</v>
      </c>
      <c r="E78" s="218">
        <f t="shared" si="7"/>
        <v>74.16</v>
      </c>
      <c r="F78" s="41"/>
      <c r="G78" s="41"/>
    </row>
    <row r="79" spans="1:8" ht="42.75" x14ac:dyDescent="0.2">
      <c r="A79" s="209" t="s">
        <v>198</v>
      </c>
      <c r="B79" s="215" t="s">
        <v>194</v>
      </c>
      <c r="C79" s="227">
        <v>1</v>
      </c>
      <c r="D79" s="217">
        <v>38.17</v>
      </c>
      <c r="E79" s="218">
        <f t="shared" si="7"/>
        <v>38.17</v>
      </c>
      <c r="F79" s="41"/>
      <c r="G79" s="41"/>
    </row>
    <row r="80" spans="1:8" ht="42.75" x14ac:dyDescent="0.2">
      <c r="A80" s="209" t="s">
        <v>199</v>
      </c>
      <c r="B80" s="215" t="s">
        <v>194</v>
      </c>
      <c r="C80" s="227">
        <v>2</v>
      </c>
      <c r="D80" s="217">
        <v>80.17</v>
      </c>
      <c r="E80" s="218">
        <f t="shared" si="7"/>
        <v>160.34</v>
      </c>
      <c r="F80" s="41"/>
      <c r="G80" s="41"/>
    </row>
    <row r="81" spans="1:9" ht="12.75" customHeight="1" x14ac:dyDescent="0.2">
      <c r="A81" s="328" t="s">
        <v>200</v>
      </c>
      <c r="B81" s="328"/>
      <c r="C81" s="328"/>
      <c r="D81" s="328"/>
      <c r="E81" s="222">
        <f>SUM(E67:E80)</f>
        <v>1257.8200000000002</v>
      </c>
    </row>
    <row r="82" spans="1:9" ht="12.75" customHeight="1" x14ac:dyDescent="0.2">
      <c r="A82" s="328" t="s">
        <v>201</v>
      </c>
      <c r="B82" s="328"/>
      <c r="C82" s="328"/>
      <c r="D82" s="328"/>
      <c r="E82" s="222">
        <f>E81/12</f>
        <v>104.81833333333334</v>
      </c>
      <c r="F82" s="226"/>
    </row>
    <row r="83" spans="1:9" ht="12.75" customHeight="1" x14ac:dyDescent="0.2">
      <c r="A83" s="211"/>
      <c r="B83" s="41"/>
      <c r="C83" s="41"/>
      <c r="D83" s="41"/>
      <c r="E83" s="226"/>
      <c r="F83" s="226"/>
    </row>
    <row r="84" spans="1:9" ht="38.25" customHeight="1" x14ac:dyDescent="0.2">
      <c r="A84" s="233" t="s">
        <v>202</v>
      </c>
      <c r="B84" s="331" t="s">
        <v>203</v>
      </c>
      <c r="C84" s="331"/>
      <c r="D84" s="331" t="s">
        <v>204</v>
      </c>
      <c r="E84" s="331"/>
      <c r="F84" s="331" t="s">
        <v>205</v>
      </c>
      <c r="G84" s="331"/>
      <c r="H84" s="331"/>
    </row>
    <row r="85" spans="1:9" ht="14.25" customHeight="1" x14ac:dyDescent="0.2">
      <c r="A85" s="234" t="s">
        <v>206</v>
      </c>
      <c r="B85" s="332">
        <f>F23</f>
        <v>122788.56000000001</v>
      </c>
      <c r="C85" s="332"/>
      <c r="D85" s="332">
        <f>B85/12</f>
        <v>10232.380000000001</v>
      </c>
      <c r="E85" s="332"/>
      <c r="F85" s="332">
        <f>D85/'11. SB Resumo da Proposta'!F14</f>
        <v>319.55486506385779</v>
      </c>
      <c r="G85" s="332"/>
      <c r="H85" s="332"/>
    </row>
    <row r="86" spans="1:9" ht="12.75" customHeight="1" x14ac:dyDescent="0.2">
      <c r="A86" s="234" t="s">
        <v>207</v>
      </c>
      <c r="B86" s="332">
        <f>F35</f>
        <v>25323</v>
      </c>
      <c r="C86" s="332"/>
      <c r="D86" s="332">
        <f>B86/12</f>
        <v>2110.25</v>
      </c>
      <c r="E86" s="332"/>
      <c r="F86" s="332">
        <f>D86/'11. SB Resumo da Proposta'!F14</f>
        <v>65.90262030935186</v>
      </c>
      <c r="G86" s="332"/>
      <c r="H86" s="332"/>
    </row>
    <row r="87" spans="1:9" ht="14.25" customHeight="1" x14ac:dyDescent="0.2">
      <c r="A87" s="234" t="s">
        <v>208</v>
      </c>
      <c r="B87" s="332">
        <f>G52</f>
        <v>10262.65</v>
      </c>
      <c r="C87" s="332"/>
      <c r="D87" s="332">
        <f>B87/12</f>
        <v>855.2208333333333</v>
      </c>
      <c r="E87" s="332"/>
      <c r="F87" s="332">
        <f>D87/'11. SB Resumo da Proposta'!F14</f>
        <v>26.708349181288547</v>
      </c>
      <c r="G87" s="332"/>
      <c r="H87" s="332"/>
    </row>
    <row r="88" spans="1:9" ht="12.75" customHeight="1" x14ac:dyDescent="0.2">
      <c r="A88" s="235" t="s">
        <v>209</v>
      </c>
      <c r="B88" s="333">
        <f>SUM(B85:B87)</f>
        <v>158374.21</v>
      </c>
      <c r="C88" s="333"/>
      <c r="D88" s="333">
        <f>B88/12</f>
        <v>13197.850833333332</v>
      </c>
      <c r="E88" s="333"/>
      <c r="F88" s="333">
        <f>F85+F86+F87</f>
        <v>412.16583455449819</v>
      </c>
      <c r="G88" s="333"/>
      <c r="H88" s="333"/>
      <c r="I88" s="236"/>
    </row>
    <row r="89" spans="1:9" ht="12.75" customHeight="1" x14ac:dyDescent="0.2">
      <c r="A89" s="334"/>
      <c r="B89" s="334"/>
      <c r="C89" s="334"/>
      <c r="D89" s="334"/>
      <c r="E89" s="334"/>
      <c r="F89" s="335"/>
      <c r="G89" s="335"/>
      <c r="H89" s="335"/>
      <c r="I89" s="236"/>
    </row>
    <row r="90" spans="1:9" ht="12.75" customHeight="1" x14ac:dyDescent="0.2">
      <c r="A90" s="235" t="s">
        <v>172</v>
      </c>
      <c r="B90" s="333">
        <f>G63</f>
        <v>5716.0359999999991</v>
      </c>
      <c r="C90" s="333"/>
      <c r="D90" s="333">
        <f>B90/12</f>
        <v>476.33633333333324</v>
      </c>
      <c r="E90" s="333"/>
      <c r="F90" s="333">
        <f>D90/'11. SB Resumo da Proposta'!F14</f>
        <v>14.875873718855836</v>
      </c>
      <c r="G90" s="333"/>
      <c r="H90" s="333"/>
      <c r="I90" s="236"/>
    </row>
    <row r="91" spans="1:9" ht="12.75" customHeight="1" x14ac:dyDescent="0.2">
      <c r="A91" s="336"/>
      <c r="B91" s="336"/>
      <c r="C91" s="336"/>
      <c r="D91" s="336"/>
      <c r="E91" s="336"/>
      <c r="F91" s="335"/>
      <c r="G91" s="335"/>
      <c r="H91" s="335"/>
      <c r="I91" s="236"/>
    </row>
    <row r="92" spans="1:9" ht="12.75" customHeight="1" x14ac:dyDescent="0.2">
      <c r="A92" s="235" t="s">
        <v>183</v>
      </c>
      <c r="B92" s="333">
        <f>E81</f>
        <v>1257.8200000000002</v>
      </c>
      <c r="C92" s="333"/>
      <c r="D92" s="333">
        <f>B92/12</f>
        <v>104.81833333333334</v>
      </c>
      <c r="E92" s="333"/>
      <c r="F92" s="333">
        <f>D92</f>
        <v>104.81833333333334</v>
      </c>
      <c r="G92" s="333"/>
      <c r="H92" s="333"/>
      <c r="I92" s="236"/>
    </row>
    <row r="93" spans="1:9" ht="12.75" customHeight="1" x14ac:dyDescent="0.2">
      <c r="A93" s="336"/>
      <c r="B93" s="336"/>
      <c r="C93" s="336"/>
      <c r="D93" s="336"/>
      <c r="E93" s="336"/>
      <c r="F93" s="335"/>
      <c r="G93" s="335"/>
      <c r="H93" s="335"/>
      <c r="I93" s="236"/>
    </row>
    <row r="94" spans="1:9" ht="12.75" customHeight="1" x14ac:dyDescent="0.2">
      <c r="A94" s="235" t="s">
        <v>210</v>
      </c>
      <c r="B94" s="333">
        <f>B88+B90+B92</f>
        <v>165348.06599999999</v>
      </c>
      <c r="C94" s="333"/>
      <c r="D94" s="333">
        <f>B94/12</f>
        <v>13779.005499999999</v>
      </c>
      <c r="E94" s="333"/>
      <c r="F94" s="333">
        <f>F88+F90+F92</f>
        <v>531.86004160668733</v>
      </c>
      <c r="G94" s="333"/>
      <c r="H94" s="333"/>
      <c r="I94" s="236"/>
    </row>
    <row r="95" spans="1:9" ht="12.75" customHeight="1" x14ac:dyDescent="0.2">
      <c r="A95" s="237"/>
      <c r="B95" s="238"/>
      <c r="C95" s="238"/>
      <c r="D95" s="238"/>
      <c r="E95" s="238"/>
      <c r="F95" s="226"/>
    </row>
    <row r="96" spans="1:9" ht="30.75" customHeight="1" x14ac:dyDescent="0.2">
      <c r="A96" s="338" t="s">
        <v>211</v>
      </c>
      <c r="B96" s="338"/>
      <c r="C96" s="338"/>
      <c r="D96" s="338"/>
      <c r="E96" s="338"/>
      <c r="F96" s="338"/>
      <c r="G96" s="338"/>
      <c r="H96" s="239">
        <f>'11. SB Resumo da Proposta'!$D$12</f>
        <v>33.020729829775014</v>
      </c>
    </row>
    <row r="97" spans="1:11" ht="12.75" customHeight="1" x14ac:dyDescent="0.2">
      <c r="A97" s="211"/>
      <c r="B97" s="41"/>
      <c r="C97" s="41"/>
      <c r="D97" s="41"/>
      <c r="E97" s="226"/>
      <c r="F97" s="226"/>
    </row>
    <row r="98" spans="1:11" ht="29.25" customHeight="1" x14ac:dyDescent="0.2">
      <c r="A98" s="337" t="s">
        <v>212</v>
      </c>
      <c r="B98" s="337"/>
      <c r="C98" s="337"/>
      <c r="D98" s="337"/>
      <c r="E98" s="337"/>
      <c r="F98" s="337"/>
      <c r="G98" s="337"/>
      <c r="H98" s="337"/>
    </row>
    <row r="99" spans="1:11" ht="29.25" customHeight="1" x14ac:dyDescent="0.2">
      <c r="A99" s="337" t="s">
        <v>213</v>
      </c>
      <c r="B99" s="337"/>
      <c r="C99" s="337"/>
      <c r="D99" s="337"/>
      <c r="E99" s="337"/>
      <c r="F99" s="337"/>
      <c r="G99" s="337"/>
      <c r="H99" s="337"/>
    </row>
    <row r="100" spans="1:11" ht="29.25" customHeight="1" x14ac:dyDescent="0.2">
      <c r="A100" s="337" t="s">
        <v>214</v>
      </c>
      <c r="B100" s="337"/>
      <c r="C100" s="337"/>
      <c r="D100" s="337"/>
      <c r="E100" s="337"/>
      <c r="F100" s="337"/>
      <c r="G100" s="337"/>
      <c r="H100" s="337"/>
      <c r="K100" s="23" t="s">
        <v>215</v>
      </c>
    </row>
    <row r="101" spans="1:11" ht="12.75" customHeight="1" x14ac:dyDescent="0.2">
      <c r="A101" s="211"/>
      <c r="B101" s="41"/>
      <c r="C101" s="41"/>
      <c r="D101" s="41"/>
      <c r="E101" s="226"/>
      <c r="F101" s="226"/>
    </row>
    <row r="102" spans="1:11" ht="12.75" customHeight="1" x14ac:dyDescent="0.2">
      <c r="A102" s="211"/>
      <c r="B102" s="41"/>
      <c r="C102" s="41"/>
      <c r="D102" s="41"/>
      <c r="E102" s="226"/>
      <c r="F102" s="226"/>
    </row>
    <row r="103" spans="1:11" ht="12.75" customHeight="1" x14ac:dyDescent="0.2">
      <c r="A103" s="211"/>
      <c r="B103" s="41"/>
      <c r="C103" s="41"/>
      <c r="D103" s="41"/>
      <c r="E103" s="226"/>
      <c r="F103" s="226"/>
    </row>
    <row r="104" spans="1:11" ht="12.75" customHeight="1" x14ac:dyDescent="0.2">
      <c r="A104" s="211"/>
      <c r="B104" s="41"/>
      <c r="C104" s="41"/>
      <c r="D104" s="41"/>
      <c r="E104" s="226"/>
      <c r="F104" s="226"/>
    </row>
    <row r="105" spans="1:11" ht="12.75" customHeight="1" x14ac:dyDescent="0.2">
      <c r="A105" s="211"/>
      <c r="B105" s="41"/>
      <c r="C105" s="41"/>
      <c r="D105" s="41"/>
      <c r="E105" s="226"/>
      <c r="F105" s="226"/>
    </row>
    <row r="106" spans="1:11" ht="12.75" customHeight="1" x14ac:dyDescent="0.2">
      <c r="A106" s="211"/>
      <c r="B106" s="41"/>
      <c r="C106" s="41"/>
      <c r="D106" s="41"/>
      <c r="E106" s="226"/>
      <c r="F106" s="226"/>
    </row>
    <row r="107" spans="1:11" ht="12.75" customHeight="1" x14ac:dyDescent="0.2">
      <c r="A107" s="211"/>
      <c r="B107" s="41"/>
      <c r="C107" s="41"/>
      <c r="D107" s="41"/>
      <c r="E107" s="226"/>
      <c r="F107" s="226"/>
    </row>
    <row r="108" spans="1:11" ht="12.75" customHeight="1" x14ac:dyDescent="0.2">
      <c r="A108" s="211"/>
      <c r="B108" s="41"/>
      <c r="C108" s="41"/>
      <c r="D108" s="41"/>
      <c r="E108" s="226"/>
      <c r="F108" s="226"/>
    </row>
    <row r="109" spans="1:11" ht="12.75" customHeight="1" x14ac:dyDescent="0.2">
      <c r="A109" s="211"/>
      <c r="B109" s="41"/>
      <c r="C109" s="41"/>
      <c r="D109" s="41"/>
      <c r="E109" s="226"/>
      <c r="F109" s="226"/>
    </row>
    <row r="110" spans="1:11" ht="12.75" customHeight="1" x14ac:dyDescent="0.2">
      <c r="A110" s="211"/>
      <c r="B110" s="41"/>
      <c r="C110" s="41"/>
      <c r="D110" s="41"/>
      <c r="E110" s="226"/>
      <c r="F110" s="226"/>
    </row>
    <row r="111" spans="1:11" ht="12.75" customHeight="1" x14ac:dyDescent="0.2">
      <c r="A111" s="211"/>
      <c r="B111" s="41"/>
      <c r="C111" s="41"/>
      <c r="D111" s="41"/>
      <c r="E111" s="226"/>
      <c r="F111" s="226"/>
    </row>
    <row r="112" spans="1:11" ht="12.75" customHeight="1" x14ac:dyDescent="0.2">
      <c r="A112" s="211"/>
      <c r="B112" s="41"/>
      <c r="C112" s="41"/>
      <c r="D112" s="41"/>
      <c r="E112" s="226"/>
      <c r="F112" s="226"/>
    </row>
    <row r="113" spans="1:6" ht="12.75" customHeight="1" x14ac:dyDescent="0.2">
      <c r="A113" s="211"/>
      <c r="B113" s="41"/>
      <c r="C113" s="41"/>
      <c r="D113" s="41"/>
      <c r="E113" s="226"/>
      <c r="F113" s="226"/>
    </row>
    <row r="114" spans="1:6" ht="12.75" customHeight="1" x14ac:dyDescent="0.2">
      <c r="A114" s="211"/>
      <c r="B114" s="41"/>
      <c r="C114" s="41"/>
      <c r="D114" s="41"/>
      <c r="E114" s="226"/>
      <c r="F114" s="226"/>
    </row>
    <row r="115" spans="1:6" ht="12.75" customHeight="1" x14ac:dyDescent="0.2">
      <c r="A115" s="211"/>
      <c r="B115" s="41"/>
      <c r="C115" s="41"/>
      <c r="D115" s="41"/>
      <c r="E115" s="226"/>
      <c r="F115" s="226"/>
    </row>
    <row r="116" spans="1:6" ht="12.75" customHeight="1" x14ac:dyDescent="0.2">
      <c r="A116" s="211"/>
      <c r="B116" s="41"/>
      <c r="C116" s="41"/>
      <c r="D116" s="41"/>
      <c r="E116" s="226"/>
      <c r="F116" s="226"/>
    </row>
    <row r="117" spans="1:6" ht="12.75" customHeight="1" x14ac:dyDescent="0.2">
      <c r="A117" s="211"/>
      <c r="B117" s="41"/>
      <c r="C117" s="41"/>
      <c r="D117" s="41"/>
      <c r="E117" s="226"/>
      <c r="F117" s="226"/>
    </row>
    <row r="118" spans="1:6" ht="12.75" customHeight="1" x14ac:dyDescent="0.2">
      <c r="A118" s="211"/>
      <c r="B118" s="41"/>
      <c r="C118" s="41"/>
      <c r="D118" s="41"/>
      <c r="E118" s="226"/>
      <c r="F118" s="226"/>
    </row>
    <row r="119" spans="1:6" ht="12.75" customHeight="1" x14ac:dyDescent="0.2">
      <c r="A119" s="211"/>
      <c r="B119" s="41"/>
      <c r="C119" s="41"/>
      <c r="D119" s="41"/>
      <c r="E119" s="226"/>
      <c r="F119" s="226"/>
    </row>
    <row r="120" spans="1:6" ht="12.75" customHeight="1" x14ac:dyDescent="0.2">
      <c r="A120" s="211"/>
      <c r="B120" s="41"/>
      <c r="C120" s="41"/>
      <c r="D120" s="41"/>
      <c r="E120" s="226"/>
      <c r="F120" s="226"/>
    </row>
    <row r="121" spans="1:6" ht="12.75" customHeight="1" x14ac:dyDescent="0.2">
      <c r="A121" s="211"/>
      <c r="B121" s="41"/>
      <c r="C121" s="41"/>
      <c r="D121" s="41"/>
      <c r="E121" s="226"/>
      <c r="F121" s="226"/>
    </row>
    <row r="122" spans="1:6" ht="12.75" customHeight="1" x14ac:dyDescent="0.2">
      <c r="A122" s="211"/>
      <c r="B122" s="41"/>
      <c r="C122" s="41"/>
      <c r="D122" s="41"/>
      <c r="E122" s="226"/>
      <c r="F122" s="226"/>
    </row>
    <row r="123" spans="1:6" ht="12.75" customHeight="1" x14ac:dyDescent="0.2">
      <c r="A123" s="211"/>
      <c r="B123" s="41"/>
      <c r="C123" s="41"/>
      <c r="D123" s="41"/>
      <c r="E123" s="226"/>
      <c r="F123" s="226"/>
    </row>
    <row r="124" spans="1:6" ht="12.75" customHeight="1" x14ac:dyDescent="0.2">
      <c r="A124" s="211"/>
      <c r="B124" s="41"/>
      <c r="C124" s="41"/>
      <c r="D124" s="41"/>
      <c r="E124" s="226"/>
      <c r="F124" s="226"/>
    </row>
    <row r="125" spans="1:6" ht="12.75" customHeight="1" x14ac:dyDescent="0.2">
      <c r="A125" s="211"/>
      <c r="B125" s="41"/>
      <c r="C125" s="41"/>
      <c r="D125" s="41"/>
      <c r="E125" s="226"/>
      <c r="F125" s="226"/>
    </row>
    <row r="126" spans="1:6" ht="12.75" customHeight="1" x14ac:dyDescent="0.2">
      <c r="A126" s="211"/>
      <c r="B126" s="41"/>
      <c r="C126" s="41"/>
      <c r="D126" s="41"/>
      <c r="E126" s="226"/>
      <c r="F126" s="226"/>
    </row>
    <row r="127" spans="1:6" ht="12.75" customHeight="1" x14ac:dyDescent="0.2">
      <c r="A127" s="211"/>
      <c r="B127" s="41"/>
      <c r="C127" s="41"/>
      <c r="D127" s="41"/>
      <c r="E127" s="226"/>
      <c r="F127" s="226"/>
    </row>
    <row r="128" spans="1:6" ht="12.75" customHeight="1" x14ac:dyDescent="0.2">
      <c r="A128" s="211"/>
      <c r="B128" s="41"/>
      <c r="C128" s="41"/>
      <c r="D128" s="41"/>
      <c r="E128" s="226"/>
      <c r="F128" s="226"/>
    </row>
    <row r="129" spans="1:6" ht="12.75" customHeight="1" x14ac:dyDescent="0.2">
      <c r="A129" s="211"/>
      <c r="B129" s="41"/>
      <c r="C129" s="41"/>
      <c r="D129" s="41"/>
      <c r="E129" s="226"/>
      <c r="F129" s="226"/>
    </row>
    <row r="130" spans="1:6" ht="12.75" customHeight="1" x14ac:dyDescent="0.2">
      <c r="A130" s="211"/>
      <c r="B130" s="41"/>
      <c r="C130" s="41"/>
      <c r="D130" s="41"/>
      <c r="E130" s="226"/>
      <c r="F130" s="226"/>
    </row>
    <row r="131" spans="1:6" ht="12.75" customHeight="1" x14ac:dyDescent="0.2">
      <c r="A131" s="211"/>
      <c r="B131" s="41"/>
      <c r="C131" s="41"/>
      <c r="D131" s="41"/>
      <c r="E131" s="226"/>
      <c r="F131" s="226"/>
    </row>
    <row r="132" spans="1:6" ht="12.75" customHeight="1" x14ac:dyDescent="0.2">
      <c r="A132" s="211"/>
      <c r="B132" s="41"/>
      <c r="C132" s="41"/>
      <c r="D132" s="41"/>
      <c r="E132" s="226"/>
      <c r="F132" s="226"/>
    </row>
    <row r="133" spans="1:6" ht="12.75" customHeight="1" x14ac:dyDescent="0.2">
      <c r="A133" s="211"/>
      <c r="B133" s="41"/>
      <c r="C133" s="41"/>
      <c r="D133" s="41"/>
      <c r="E133" s="226"/>
      <c r="F133" s="226"/>
    </row>
    <row r="134" spans="1:6" ht="12.75" customHeight="1" x14ac:dyDescent="0.2">
      <c r="A134" s="211"/>
      <c r="B134" s="41"/>
      <c r="C134" s="41"/>
      <c r="D134" s="41"/>
      <c r="E134" s="226"/>
      <c r="F134" s="226"/>
    </row>
    <row r="135" spans="1:6" ht="12.75" customHeight="1" x14ac:dyDescent="0.2">
      <c r="A135" s="211"/>
      <c r="B135" s="41"/>
      <c r="C135" s="41"/>
      <c r="D135" s="41"/>
      <c r="E135" s="226"/>
      <c r="F135" s="226"/>
    </row>
    <row r="136" spans="1:6" ht="12.75" customHeight="1" x14ac:dyDescent="0.2">
      <c r="A136" s="211"/>
      <c r="B136" s="41"/>
      <c r="C136" s="41"/>
      <c r="D136" s="41"/>
      <c r="E136" s="226"/>
      <c r="F136" s="226"/>
    </row>
    <row r="137" spans="1:6" ht="12.75" customHeight="1" x14ac:dyDescent="0.2">
      <c r="A137" s="211"/>
      <c r="B137" s="41"/>
      <c r="C137" s="41"/>
      <c r="D137" s="41"/>
      <c r="E137" s="226"/>
      <c r="F137" s="226"/>
    </row>
    <row r="138" spans="1:6" ht="12.75" customHeight="1" x14ac:dyDescent="0.2">
      <c r="A138" s="211"/>
      <c r="B138" s="41"/>
      <c r="C138" s="41"/>
      <c r="D138" s="41"/>
      <c r="E138" s="226"/>
      <c r="F138" s="226"/>
    </row>
    <row r="139" spans="1:6" ht="12.75" customHeight="1" x14ac:dyDescent="0.2">
      <c r="A139" s="211"/>
      <c r="B139" s="41"/>
      <c r="C139" s="41"/>
      <c r="D139" s="41"/>
      <c r="E139" s="226"/>
      <c r="F139" s="226"/>
    </row>
    <row r="140" spans="1:6" ht="12.75" customHeight="1" x14ac:dyDescent="0.2">
      <c r="A140" s="211"/>
      <c r="B140" s="41"/>
      <c r="C140" s="41"/>
      <c r="D140" s="41"/>
      <c r="E140" s="226"/>
      <c r="F140" s="226"/>
    </row>
    <row r="141" spans="1:6" ht="12.75" customHeight="1" x14ac:dyDescent="0.2">
      <c r="A141" s="211"/>
      <c r="B141" s="41"/>
      <c r="C141" s="41"/>
      <c r="D141" s="41"/>
      <c r="E141" s="226"/>
      <c r="F141" s="226"/>
    </row>
    <row r="142" spans="1:6" ht="12.75" customHeight="1" x14ac:dyDescent="0.2">
      <c r="A142" s="211"/>
      <c r="B142" s="41"/>
      <c r="C142" s="41"/>
      <c r="D142" s="41"/>
      <c r="E142" s="226"/>
      <c r="F142" s="226"/>
    </row>
    <row r="143" spans="1:6" ht="12.75" customHeight="1" x14ac:dyDescent="0.2">
      <c r="A143" s="211"/>
      <c r="B143" s="41"/>
      <c r="C143" s="41"/>
      <c r="D143" s="41"/>
      <c r="E143" s="226"/>
      <c r="F143" s="226"/>
    </row>
    <row r="144" spans="1:6" ht="12.75" customHeight="1" x14ac:dyDescent="0.2">
      <c r="A144" s="211"/>
      <c r="B144" s="41"/>
      <c r="C144" s="41"/>
      <c r="D144" s="41"/>
      <c r="E144" s="226"/>
      <c r="F144" s="226"/>
    </row>
    <row r="145" spans="1:6" ht="12.75" customHeight="1" x14ac:dyDescent="0.2">
      <c r="A145" s="211"/>
      <c r="B145" s="41"/>
      <c r="C145" s="41"/>
      <c r="D145" s="41"/>
      <c r="E145" s="226"/>
      <c r="F145" s="226"/>
    </row>
    <row r="146" spans="1:6" ht="12.75" customHeight="1" x14ac:dyDescent="0.2">
      <c r="A146" s="211"/>
      <c r="B146" s="41"/>
      <c r="C146" s="41"/>
      <c r="D146" s="41"/>
      <c r="E146" s="226"/>
      <c r="F146" s="226"/>
    </row>
    <row r="147" spans="1:6" ht="12.75" customHeight="1" x14ac:dyDescent="0.2">
      <c r="A147" s="211"/>
      <c r="B147" s="41"/>
      <c r="C147" s="41"/>
      <c r="D147" s="41"/>
      <c r="E147" s="226"/>
      <c r="F147" s="226"/>
    </row>
    <row r="148" spans="1:6" ht="12.75" customHeight="1" x14ac:dyDescent="0.2">
      <c r="A148" s="211"/>
      <c r="B148" s="41"/>
      <c r="C148" s="41"/>
      <c r="D148" s="41"/>
      <c r="E148" s="226"/>
      <c r="F148" s="226"/>
    </row>
    <row r="149" spans="1:6" ht="12.75" customHeight="1" x14ac:dyDescent="0.2">
      <c r="A149" s="211"/>
      <c r="B149" s="41"/>
      <c r="C149" s="41"/>
      <c r="D149" s="41"/>
      <c r="E149" s="226"/>
      <c r="F149" s="226"/>
    </row>
    <row r="150" spans="1:6" ht="12.75" customHeight="1" x14ac:dyDescent="0.2">
      <c r="A150" s="211"/>
      <c r="B150" s="41"/>
      <c r="C150" s="41"/>
      <c r="D150" s="41"/>
      <c r="E150" s="226"/>
      <c r="F150" s="226"/>
    </row>
    <row r="151" spans="1:6" ht="12.75" customHeight="1" x14ac:dyDescent="0.2">
      <c r="A151" s="211"/>
      <c r="B151" s="41"/>
      <c r="C151" s="41"/>
      <c r="D151" s="41"/>
      <c r="E151" s="226"/>
      <c r="F151" s="226"/>
    </row>
    <row r="152" spans="1:6" ht="12.75" customHeight="1" x14ac:dyDescent="0.2">
      <c r="A152" s="211"/>
      <c r="B152" s="41"/>
      <c r="C152" s="41"/>
      <c r="D152" s="41"/>
      <c r="E152" s="226"/>
      <c r="F152" s="226"/>
    </row>
    <row r="153" spans="1:6" ht="12.75" customHeight="1" x14ac:dyDescent="0.2">
      <c r="A153" s="211"/>
      <c r="B153" s="41"/>
      <c r="C153" s="41"/>
      <c r="D153" s="41"/>
      <c r="E153" s="226"/>
      <c r="F153" s="226"/>
    </row>
    <row r="154" spans="1:6" ht="12.75" customHeight="1" x14ac:dyDescent="0.2">
      <c r="A154" s="211"/>
      <c r="B154" s="41"/>
      <c r="C154" s="41"/>
      <c r="D154" s="41"/>
      <c r="E154" s="226"/>
      <c r="F154" s="226"/>
    </row>
    <row r="155" spans="1:6" ht="12.75" customHeight="1" x14ac:dyDescent="0.2">
      <c r="A155" s="211"/>
      <c r="B155" s="41"/>
      <c r="C155" s="41"/>
      <c r="D155" s="41"/>
      <c r="E155" s="226"/>
      <c r="F155" s="226"/>
    </row>
    <row r="156" spans="1:6" ht="12.75" customHeight="1" x14ac:dyDescent="0.2">
      <c r="A156" s="211"/>
      <c r="B156" s="41"/>
      <c r="C156" s="41"/>
      <c r="D156" s="41"/>
      <c r="E156" s="226"/>
      <c r="F156" s="226"/>
    </row>
    <row r="157" spans="1:6" ht="12.75" customHeight="1" x14ac:dyDescent="0.2">
      <c r="A157" s="211"/>
      <c r="B157" s="41"/>
      <c r="C157" s="41"/>
      <c r="D157" s="41"/>
      <c r="E157" s="226"/>
      <c r="F157" s="226"/>
    </row>
    <row r="158" spans="1:6" ht="12.75" customHeight="1" x14ac:dyDescent="0.2">
      <c r="A158" s="211"/>
      <c r="B158" s="41"/>
      <c r="C158" s="41"/>
      <c r="D158" s="41"/>
      <c r="E158" s="226"/>
      <c r="F158" s="226"/>
    </row>
    <row r="159" spans="1:6" ht="12.75" customHeight="1" x14ac:dyDescent="0.2">
      <c r="A159" s="211"/>
      <c r="B159" s="41"/>
      <c r="C159" s="41"/>
      <c r="D159" s="41"/>
      <c r="E159" s="226"/>
      <c r="F159" s="226"/>
    </row>
    <row r="160" spans="1:6" ht="12.75" customHeight="1" x14ac:dyDescent="0.2">
      <c r="A160" s="211"/>
      <c r="B160" s="41"/>
      <c r="C160" s="41"/>
      <c r="D160" s="41"/>
      <c r="E160" s="226"/>
      <c r="F160" s="226"/>
    </row>
    <row r="161" spans="1:6" ht="12.75" customHeight="1" x14ac:dyDescent="0.2">
      <c r="A161" s="211"/>
      <c r="B161" s="41"/>
      <c r="C161" s="41"/>
      <c r="D161" s="41"/>
      <c r="E161" s="226"/>
      <c r="F161" s="226"/>
    </row>
    <row r="162" spans="1:6" ht="12.75" customHeight="1" x14ac:dyDescent="0.2">
      <c r="A162" s="211"/>
      <c r="B162" s="41"/>
      <c r="C162" s="41"/>
      <c r="D162" s="41"/>
      <c r="E162" s="226"/>
      <c r="F162" s="226"/>
    </row>
    <row r="163" spans="1:6" ht="12.75" customHeight="1" x14ac:dyDescent="0.2">
      <c r="A163" s="211"/>
      <c r="B163" s="41"/>
      <c r="C163" s="41"/>
      <c r="D163" s="41"/>
      <c r="E163" s="226"/>
      <c r="F163" s="226"/>
    </row>
    <row r="164" spans="1:6" ht="12.75" customHeight="1" x14ac:dyDescent="0.2">
      <c r="A164" s="211"/>
      <c r="B164" s="41"/>
      <c r="C164" s="41"/>
      <c r="D164" s="41"/>
      <c r="E164" s="226"/>
      <c r="F164" s="226"/>
    </row>
    <row r="165" spans="1:6" ht="12.75" customHeight="1" x14ac:dyDescent="0.2">
      <c r="A165" s="211"/>
      <c r="B165" s="41"/>
      <c r="C165" s="41"/>
      <c r="D165" s="41"/>
      <c r="E165" s="226"/>
      <c r="F165" s="226"/>
    </row>
    <row r="166" spans="1:6" ht="12.75" customHeight="1" x14ac:dyDescent="0.2">
      <c r="A166" s="211"/>
      <c r="B166" s="41"/>
      <c r="C166" s="41"/>
      <c r="D166" s="41"/>
      <c r="E166" s="226"/>
      <c r="F166" s="226"/>
    </row>
    <row r="167" spans="1:6" ht="12.75" customHeight="1" x14ac:dyDescent="0.2">
      <c r="A167" s="211"/>
      <c r="B167" s="41"/>
      <c r="C167" s="41"/>
      <c r="D167" s="41"/>
      <c r="E167" s="226"/>
      <c r="F167" s="226"/>
    </row>
    <row r="168" spans="1:6" ht="12.75" customHeight="1" x14ac:dyDescent="0.2">
      <c r="A168" s="211"/>
      <c r="B168" s="41"/>
      <c r="C168" s="41"/>
      <c r="D168" s="41"/>
      <c r="E168" s="226"/>
      <c r="F168" s="226"/>
    </row>
    <row r="169" spans="1:6" ht="12.75" customHeight="1" x14ac:dyDescent="0.2">
      <c r="A169" s="211"/>
      <c r="B169" s="41"/>
      <c r="C169" s="41"/>
      <c r="D169" s="41"/>
      <c r="E169" s="226"/>
      <c r="F169" s="226"/>
    </row>
    <row r="170" spans="1:6" ht="12.75" customHeight="1" x14ac:dyDescent="0.2">
      <c r="A170" s="211"/>
      <c r="B170" s="41"/>
      <c r="C170" s="41"/>
      <c r="D170" s="41"/>
      <c r="E170" s="226"/>
      <c r="F170" s="226"/>
    </row>
    <row r="171" spans="1:6" ht="12.75" customHeight="1" x14ac:dyDescent="0.2">
      <c r="A171" s="211"/>
      <c r="B171" s="41"/>
      <c r="C171" s="41"/>
      <c r="D171" s="41"/>
      <c r="E171" s="226"/>
      <c r="F171" s="226"/>
    </row>
    <row r="172" spans="1:6" ht="12.75" customHeight="1" x14ac:dyDescent="0.2">
      <c r="A172" s="211"/>
      <c r="B172" s="41"/>
      <c r="C172" s="41"/>
      <c r="D172" s="41"/>
      <c r="E172" s="226"/>
      <c r="F172" s="226"/>
    </row>
    <row r="173" spans="1:6" ht="12.75" customHeight="1" x14ac:dyDescent="0.2">
      <c r="A173" s="211"/>
      <c r="B173" s="41"/>
      <c r="C173" s="41"/>
      <c r="D173" s="41"/>
      <c r="E173" s="226"/>
      <c r="F173" s="226"/>
    </row>
    <row r="174" spans="1:6" ht="12.75" customHeight="1" x14ac:dyDescent="0.2">
      <c r="A174" s="211"/>
      <c r="B174" s="41"/>
      <c r="C174" s="41"/>
      <c r="D174" s="41"/>
      <c r="E174" s="226"/>
      <c r="F174" s="226"/>
    </row>
    <row r="175" spans="1:6" ht="12.75" customHeight="1" x14ac:dyDescent="0.2">
      <c r="A175" s="211"/>
      <c r="B175" s="41"/>
      <c r="C175" s="41"/>
      <c r="D175" s="41"/>
      <c r="E175" s="226"/>
      <c r="F175" s="226"/>
    </row>
    <row r="176" spans="1:6" ht="12.75" customHeight="1" x14ac:dyDescent="0.2">
      <c r="A176" s="211"/>
      <c r="B176" s="41"/>
      <c r="C176" s="41"/>
      <c r="D176" s="41"/>
      <c r="E176" s="226"/>
      <c r="F176" s="226"/>
    </row>
    <row r="177" spans="1:6" ht="12.75" customHeight="1" x14ac:dyDescent="0.2">
      <c r="A177" s="211"/>
      <c r="B177" s="41"/>
      <c r="C177" s="41"/>
      <c r="D177" s="41"/>
      <c r="E177" s="226"/>
      <c r="F177" s="226"/>
    </row>
    <row r="178" spans="1:6" ht="12.75" customHeight="1" x14ac:dyDescent="0.2">
      <c r="A178" s="211"/>
      <c r="B178" s="41"/>
      <c r="C178" s="41"/>
      <c r="D178" s="41"/>
      <c r="E178" s="226"/>
      <c r="F178" s="226"/>
    </row>
    <row r="179" spans="1:6" ht="12.75" customHeight="1" x14ac:dyDescent="0.2">
      <c r="A179" s="211"/>
      <c r="B179" s="41"/>
      <c r="C179" s="41"/>
      <c r="D179" s="41"/>
      <c r="E179" s="226"/>
      <c r="F179" s="226"/>
    </row>
    <row r="180" spans="1:6" ht="12.75" customHeight="1" x14ac:dyDescent="0.2">
      <c r="A180" s="211"/>
      <c r="B180" s="41"/>
      <c r="C180" s="41"/>
      <c r="D180" s="41"/>
      <c r="E180" s="226"/>
      <c r="F180" s="226"/>
    </row>
    <row r="181" spans="1:6" ht="12.75" customHeight="1" x14ac:dyDescent="0.2">
      <c r="A181" s="211"/>
      <c r="B181" s="41"/>
      <c r="C181" s="41"/>
      <c r="D181" s="41"/>
      <c r="E181" s="226"/>
      <c r="F181" s="226"/>
    </row>
    <row r="182" spans="1:6" ht="12.75" customHeight="1" x14ac:dyDescent="0.2">
      <c r="A182" s="211"/>
      <c r="B182" s="41"/>
      <c r="C182" s="41"/>
      <c r="D182" s="41"/>
      <c r="E182" s="226"/>
      <c r="F182" s="226"/>
    </row>
    <row r="183" spans="1:6" ht="12.75" customHeight="1" x14ac:dyDescent="0.2">
      <c r="A183" s="211"/>
      <c r="B183" s="41"/>
      <c r="C183" s="41"/>
      <c r="D183" s="41"/>
      <c r="E183" s="226"/>
      <c r="F183" s="226"/>
    </row>
    <row r="184" spans="1:6" ht="12.75" customHeight="1" x14ac:dyDescent="0.2">
      <c r="A184" s="211"/>
      <c r="B184" s="41"/>
      <c r="C184" s="41"/>
      <c r="D184" s="41"/>
      <c r="E184" s="226"/>
      <c r="F184" s="226"/>
    </row>
    <row r="185" spans="1:6" ht="12.75" customHeight="1" x14ac:dyDescent="0.2">
      <c r="A185" s="211"/>
      <c r="B185" s="41"/>
      <c r="C185" s="41"/>
      <c r="D185" s="41"/>
      <c r="E185" s="226"/>
      <c r="F185" s="226"/>
    </row>
    <row r="186" spans="1:6" ht="12.75" customHeight="1" x14ac:dyDescent="0.2">
      <c r="A186" s="211"/>
      <c r="B186" s="41"/>
      <c r="C186" s="41"/>
      <c r="D186" s="41"/>
      <c r="E186" s="226"/>
      <c r="F186" s="226"/>
    </row>
    <row r="187" spans="1:6" ht="12.75" customHeight="1" x14ac:dyDescent="0.2">
      <c r="A187" s="211"/>
      <c r="B187" s="41"/>
      <c r="C187" s="41"/>
      <c r="D187" s="41"/>
      <c r="E187" s="226"/>
      <c r="F187" s="226"/>
    </row>
    <row r="188" spans="1:6" ht="12.75" customHeight="1" x14ac:dyDescent="0.2">
      <c r="A188" s="211"/>
      <c r="B188" s="41"/>
      <c r="C188" s="41"/>
      <c r="D188" s="41"/>
      <c r="E188" s="226"/>
      <c r="F188" s="226"/>
    </row>
    <row r="189" spans="1:6" ht="12.75" customHeight="1" x14ac:dyDescent="0.2">
      <c r="A189" s="211"/>
      <c r="B189" s="41"/>
      <c r="C189" s="41"/>
      <c r="D189" s="41"/>
      <c r="E189" s="226"/>
      <c r="F189" s="226"/>
    </row>
    <row r="190" spans="1:6" ht="12.75" customHeight="1" x14ac:dyDescent="0.2">
      <c r="A190" s="211"/>
      <c r="B190" s="41"/>
      <c r="C190" s="41"/>
      <c r="D190" s="41"/>
      <c r="E190" s="226"/>
      <c r="F190" s="226"/>
    </row>
    <row r="191" spans="1:6" ht="12.75" customHeight="1" x14ac:dyDescent="0.2">
      <c r="A191" s="211"/>
      <c r="B191" s="41"/>
      <c r="C191" s="41"/>
      <c r="D191" s="41"/>
      <c r="E191" s="226"/>
      <c r="F191" s="226"/>
    </row>
    <row r="192" spans="1:6" ht="12.75" customHeight="1" x14ac:dyDescent="0.2">
      <c r="A192" s="211"/>
      <c r="B192" s="41"/>
      <c r="C192" s="41"/>
      <c r="D192" s="41"/>
      <c r="E192" s="226"/>
      <c r="F192" s="226"/>
    </row>
    <row r="193" spans="1:6" ht="12.75" customHeight="1" x14ac:dyDescent="0.2">
      <c r="A193" s="211"/>
      <c r="B193" s="41"/>
      <c r="C193" s="41"/>
      <c r="D193" s="41"/>
      <c r="E193" s="226"/>
      <c r="F193" s="226"/>
    </row>
    <row r="194" spans="1:6" ht="12.75" customHeight="1" x14ac:dyDescent="0.2">
      <c r="A194" s="211"/>
      <c r="B194" s="41"/>
      <c r="C194" s="41"/>
      <c r="D194" s="41"/>
      <c r="E194" s="226"/>
      <c r="F194" s="226"/>
    </row>
    <row r="195" spans="1:6" ht="12.75" customHeight="1" x14ac:dyDescent="0.2">
      <c r="A195" s="211"/>
      <c r="B195" s="41"/>
      <c r="C195" s="41"/>
      <c r="D195" s="41"/>
      <c r="E195" s="226"/>
      <c r="F195" s="226"/>
    </row>
    <row r="196" spans="1:6" ht="12.75" customHeight="1" x14ac:dyDescent="0.2">
      <c r="A196" s="211"/>
      <c r="B196" s="41"/>
      <c r="C196" s="41"/>
      <c r="D196" s="41"/>
      <c r="E196" s="226"/>
      <c r="F196" s="226"/>
    </row>
    <row r="197" spans="1:6" ht="12.75" customHeight="1" x14ac:dyDescent="0.2">
      <c r="A197" s="211"/>
      <c r="B197" s="41"/>
      <c r="C197" s="41"/>
      <c r="D197" s="41"/>
      <c r="E197" s="226"/>
      <c r="F197" s="226"/>
    </row>
    <row r="198" spans="1:6" ht="12.75" customHeight="1" x14ac:dyDescent="0.2">
      <c r="A198" s="211"/>
      <c r="B198" s="41"/>
      <c r="C198" s="41"/>
      <c r="D198" s="41"/>
      <c r="E198" s="226"/>
      <c r="F198" s="226"/>
    </row>
    <row r="199" spans="1:6" ht="12.75" customHeight="1" x14ac:dyDescent="0.2">
      <c r="A199" s="211"/>
      <c r="B199" s="41"/>
      <c r="C199" s="41"/>
      <c r="D199" s="41"/>
      <c r="E199" s="226"/>
      <c r="F199" s="226"/>
    </row>
    <row r="200" spans="1:6" ht="12.75" customHeight="1" x14ac:dyDescent="0.2">
      <c r="A200" s="211"/>
      <c r="B200" s="41"/>
      <c r="C200" s="41"/>
      <c r="D200" s="41"/>
      <c r="E200" s="226"/>
      <c r="F200" s="226"/>
    </row>
    <row r="201" spans="1:6" ht="12.75" customHeight="1" x14ac:dyDescent="0.2">
      <c r="A201" s="211"/>
      <c r="B201" s="41"/>
      <c r="C201" s="41"/>
      <c r="D201" s="41"/>
      <c r="E201" s="226"/>
      <c r="F201" s="226"/>
    </row>
    <row r="202" spans="1:6" ht="12.75" customHeight="1" x14ac:dyDescent="0.2">
      <c r="A202" s="211"/>
      <c r="B202" s="41"/>
      <c r="C202" s="41"/>
      <c r="D202" s="41"/>
      <c r="E202" s="226"/>
      <c r="F202" s="226"/>
    </row>
    <row r="203" spans="1:6" ht="12.75" customHeight="1" x14ac:dyDescent="0.2">
      <c r="A203" s="211"/>
      <c r="B203" s="41"/>
      <c r="C203" s="41"/>
      <c r="D203" s="41"/>
      <c r="E203" s="226"/>
      <c r="F203" s="226"/>
    </row>
    <row r="204" spans="1:6" ht="12.75" customHeight="1" x14ac:dyDescent="0.2">
      <c r="A204" s="211"/>
      <c r="B204" s="41"/>
      <c r="C204" s="41"/>
      <c r="D204" s="41"/>
      <c r="E204" s="226"/>
      <c r="F204" s="226"/>
    </row>
    <row r="205" spans="1:6" ht="12.75" customHeight="1" x14ac:dyDescent="0.2">
      <c r="A205" s="211"/>
      <c r="B205" s="41"/>
      <c r="C205" s="41"/>
      <c r="D205" s="41"/>
      <c r="E205" s="226"/>
      <c r="F205" s="226"/>
    </row>
    <row r="206" spans="1:6" ht="12.75" customHeight="1" x14ac:dyDescent="0.2">
      <c r="A206" s="211"/>
      <c r="B206" s="41"/>
      <c r="C206" s="41"/>
      <c r="D206" s="41"/>
      <c r="E206" s="226"/>
      <c r="F206" s="226"/>
    </row>
    <row r="207" spans="1:6" ht="12.75" customHeight="1" x14ac:dyDescent="0.2">
      <c r="A207" s="211"/>
      <c r="B207" s="41"/>
      <c r="C207" s="41"/>
      <c r="D207" s="41"/>
      <c r="E207" s="226"/>
      <c r="F207" s="226"/>
    </row>
    <row r="208" spans="1:6" ht="12.75" customHeight="1" x14ac:dyDescent="0.2">
      <c r="A208" s="211"/>
      <c r="B208" s="41"/>
      <c r="C208" s="41"/>
      <c r="D208" s="41"/>
      <c r="E208" s="226"/>
      <c r="F208" s="226"/>
    </row>
    <row r="209" spans="1:6" ht="12.75" customHeight="1" x14ac:dyDescent="0.2">
      <c r="A209" s="211"/>
      <c r="B209" s="41"/>
      <c r="C209" s="41"/>
      <c r="D209" s="41"/>
      <c r="E209" s="226"/>
      <c r="F209" s="226"/>
    </row>
    <row r="210" spans="1:6" ht="12.75" customHeight="1" x14ac:dyDescent="0.2">
      <c r="A210" s="211"/>
      <c r="B210" s="41"/>
      <c r="C210" s="41"/>
      <c r="D210" s="41"/>
      <c r="E210" s="226"/>
      <c r="F210" s="226"/>
    </row>
    <row r="211" spans="1:6" ht="12.75" customHeight="1" x14ac:dyDescent="0.2">
      <c r="A211" s="211"/>
      <c r="B211" s="41"/>
      <c r="C211" s="41"/>
      <c r="D211" s="41"/>
      <c r="E211" s="226"/>
      <c r="F211" s="226"/>
    </row>
    <row r="212" spans="1:6" ht="12.75" customHeight="1" x14ac:dyDescent="0.2">
      <c r="A212" s="211"/>
      <c r="B212" s="41"/>
      <c r="C212" s="41"/>
      <c r="D212" s="41"/>
      <c r="E212" s="226"/>
      <c r="F212" s="226"/>
    </row>
    <row r="213" spans="1:6" ht="12.75" customHeight="1" x14ac:dyDescent="0.2">
      <c r="A213" s="211"/>
      <c r="B213" s="41"/>
      <c r="C213" s="41"/>
      <c r="D213" s="41"/>
      <c r="E213" s="226"/>
      <c r="F213" s="226"/>
    </row>
    <row r="214" spans="1:6" ht="12.75" customHeight="1" x14ac:dyDescent="0.2">
      <c r="A214" s="211"/>
      <c r="B214" s="41"/>
      <c r="C214" s="41"/>
      <c r="D214" s="41"/>
      <c r="E214" s="226"/>
      <c r="F214" s="226"/>
    </row>
    <row r="215" spans="1:6" ht="12.75" customHeight="1" x14ac:dyDescent="0.2">
      <c r="A215" s="211"/>
      <c r="B215" s="41"/>
      <c r="C215" s="41"/>
      <c r="D215" s="41"/>
      <c r="E215" s="226"/>
      <c r="F215" s="226"/>
    </row>
    <row r="216" spans="1:6" ht="12.75" customHeight="1" x14ac:dyDescent="0.2">
      <c r="A216" s="211"/>
      <c r="B216" s="41"/>
      <c r="C216" s="41"/>
      <c r="D216" s="41"/>
      <c r="E216" s="226"/>
      <c r="F216" s="226"/>
    </row>
    <row r="217" spans="1:6" ht="12.75" customHeight="1" x14ac:dyDescent="0.2">
      <c r="A217" s="211"/>
      <c r="B217" s="41"/>
      <c r="C217" s="41"/>
      <c r="D217" s="41"/>
      <c r="E217" s="226"/>
      <c r="F217" s="226"/>
    </row>
    <row r="218" spans="1:6" ht="12.75" customHeight="1" x14ac:dyDescent="0.2">
      <c r="A218" s="211"/>
      <c r="B218" s="41"/>
      <c r="C218" s="41"/>
      <c r="D218" s="41"/>
      <c r="E218" s="226"/>
      <c r="F218" s="226"/>
    </row>
    <row r="219" spans="1:6" ht="12.75" customHeight="1" x14ac:dyDescent="0.2">
      <c r="A219" s="211"/>
      <c r="B219" s="41"/>
      <c r="C219" s="41"/>
      <c r="D219" s="41"/>
      <c r="E219" s="226"/>
      <c r="F219" s="226"/>
    </row>
    <row r="220" spans="1:6" ht="12.75" customHeight="1" x14ac:dyDescent="0.2">
      <c r="A220" s="211"/>
      <c r="B220" s="41"/>
      <c r="C220" s="41"/>
      <c r="D220" s="41"/>
      <c r="E220" s="226"/>
      <c r="F220" s="226"/>
    </row>
    <row r="221" spans="1:6" ht="12.75" customHeight="1" x14ac:dyDescent="0.2">
      <c r="A221" s="211"/>
      <c r="B221" s="41"/>
      <c r="C221" s="41"/>
      <c r="D221" s="41"/>
      <c r="E221" s="226"/>
      <c r="F221" s="226"/>
    </row>
    <row r="222" spans="1:6" ht="12.75" customHeight="1" x14ac:dyDescent="0.2">
      <c r="A222" s="211"/>
      <c r="B222" s="41"/>
      <c r="C222" s="41"/>
      <c r="D222" s="41"/>
      <c r="E222" s="226"/>
      <c r="F222" s="226"/>
    </row>
    <row r="223" spans="1:6" ht="12.75" customHeight="1" x14ac:dyDescent="0.2">
      <c r="A223" s="211"/>
      <c r="B223" s="41"/>
      <c r="C223" s="41"/>
      <c r="D223" s="41"/>
      <c r="E223" s="226"/>
      <c r="F223" s="226"/>
    </row>
    <row r="224" spans="1:6" ht="12.75" customHeight="1" x14ac:dyDescent="0.2">
      <c r="A224" s="211"/>
      <c r="B224" s="41"/>
      <c r="C224" s="41"/>
      <c r="D224" s="41"/>
      <c r="E224" s="226"/>
      <c r="F224" s="226"/>
    </row>
    <row r="225" spans="1:6" ht="12.75" customHeight="1" x14ac:dyDescent="0.2">
      <c r="A225" s="211"/>
      <c r="B225" s="41"/>
      <c r="C225" s="41"/>
      <c r="D225" s="41"/>
      <c r="E225" s="226"/>
      <c r="F225" s="226"/>
    </row>
    <row r="226" spans="1:6" ht="12.75" customHeight="1" x14ac:dyDescent="0.2">
      <c r="A226" s="211"/>
      <c r="B226" s="41"/>
      <c r="C226" s="41"/>
      <c r="D226" s="41"/>
      <c r="E226" s="226"/>
      <c r="F226" s="226"/>
    </row>
    <row r="227" spans="1:6" ht="12.75" customHeight="1" x14ac:dyDescent="0.2">
      <c r="A227" s="211"/>
      <c r="B227" s="41"/>
      <c r="C227" s="41"/>
      <c r="D227" s="41"/>
      <c r="E227" s="226"/>
      <c r="F227" s="226"/>
    </row>
    <row r="228" spans="1:6" ht="12.75" customHeight="1" x14ac:dyDescent="0.2">
      <c r="A228" s="211"/>
      <c r="B228" s="41"/>
      <c r="C228" s="41"/>
      <c r="D228" s="41"/>
      <c r="E228" s="226"/>
      <c r="F228" s="226"/>
    </row>
    <row r="229" spans="1:6" ht="12.75" customHeight="1" x14ac:dyDescent="0.2">
      <c r="A229" s="211"/>
      <c r="B229" s="41"/>
      <c r="C229" s="41"/>
      <c r="D229" s="41"/>
      <c r="E229" s="226"/>
      <c r="F229" s="226"/>
    </row>
    <row r="230" spans="1:6" ht="12.75" customHeight="1" x14ac:dyDescent="0.2">
      <c r="A230" s="211"/>
      <c r="B230" s="41"/>
      <c r="C230" s="41"/>
      <c r="D230" s="41"/>
      <c r="E230" s="226"/>
      <c r="F230" s="226"/>
    </row>
    <row r="231" spans="1:6" ht="12.75" customHeight="1" x14ac:dyDescent="0.2">
      <c r="A231" s="211"/>
      <c r="B231" s="41"/>
      <c r="C231" s="41"/>
      <c r="D231" s="41"/>
      <c r="E231" s="226"/>
      <c r="F231" s="226"/>
    </row>
    <row r="232" spans="1:6" ht="12.75" customHeight="1" x14ac:dyDescent="0.2">
      <c r="A232" s="211"/>
      <c r="B232" s="41"/>
      <c r="C232" s="41"/>
      <c r="D232" s="41"/>
      <c r="E232" s="226"/>
      <c r="F232" s="226"/>
    </row>
    <row r="233" spans="1:6" ht="12.75" customHeight="1" x14ac:dyDescent="0.2">
      <c r="A233" s="211"/>
      <c r="B233" s="41"/>
      <c r="C233" s="41"/>
      <c r="D233" s="41"/>
      <c r="E233" s="226"/>
      <c r="F233" s="226"/>
    </row>
    <row r="234" spans="1:6" ht="12.75" customHeight="1" x14ac:dyDescent="0.2">
      <c r="A234" s="211"/>
      <c r="B234" s="41"/>
      <c r="C234" s="41"/>
      <c r="D234" s="41"/>
      <c r="E234" s="226"/>
      <c r="F234" s="226"/>
    </row>
    <row r="235" spans="1:6" ht="12.75" customHeight="1" x14ac:dyDescent="0.2">
      <c r="A235" s="211"/>
      <c r="B235" s="41"/>
      <c r="C235" s="41"/>
      <c r="D235" s="41"/>
      <c r="E235" s="226"/>
      <c r="F235" s="226"/>
    </row>
    <row r="236" spans="1:6" ht="12.75" customHeight="1" x14ac:dyDescent="0.2">
      <c r="A236" s="211"/>
      <c r="B236" s="41"/>
      <c r="C236" s="41"/>
      <c r="D236" s="41"/>
      <c r="E236" s="226"/>
      <c r="F236" s="226"/>
    </row>
    <row r="237" spans="1:6" ht="12.75" customHeight="1" x14ac:dyDescent="0.2">
      <c r="A237" s="211"/>
      <c r="B237" s="41"/>
      <c r="C237" s="41"/>
      <c r="D237" s="41"/>
      <c r="E237" s="226"/>
      <c r="F237" s="226"/>
    </row>
    <row r="238" spans="1:6" ht="12.75" customHeight="1" x14ac:dyDescent="0.2">
      <c r="A238" s="211"/>
      <c r="B238" s="41"/>
      <c r="C238" s="41"/>
      <c r="D238" s="41"/>
      <c r="E238" s="226"/>
      <c r="F238" s="226"/>
    </row>
    <row r="239" spans="1:6" ht="12.75" customHeight="1" x14ac:dyDescent="0.2">
      <c r="A239" s="211"/>
      <c r="B239" s="41"/>
      <c r="C239" s="41"/>
      <c r="D239" s="41"/>
      <c r="E239" s="226"/>
      <c r="F239" s="226"/>
    </row>
    <row r="240" spans="1:6" ht="12.75" customHeight="1" x14ac:dyDescent="0.2">
      <c r="A240" s="211"/>
      <c r="B240" s="41"/>
      <c r="C240" s="41"/>
      <c r="D240" s="41"/>
      <c r="E240" s="226"/>
      <c r="F240" s="226"/>
    </row>
    <row r="241" spans="1:6" ht="12.75" customHeight="1" x14ac:dyDescent="0.2">
      <c r="A241" s="211"/>
      <c r="B241" s="41"/>
      <c r="C241" s="41"/>
      <c r="D241" s="41"/>
      <c r="E241" s="226"/>
      <c r="F241" s="226"/>
    </row>
    <row r="242" spans="1:6" ht="12.75" customHeight="1" x14ac:dyDescent="0.2">
      <c r="A242" s="211"/>
      <c r="B242" s="41"/>
      <c r="C242" s="41"/>
      <c r="D242" s="41"/>
      <c r="E242" s="226"/>
      <c r="F242" s="226"/>
    </row>
    <row r="243" spans="1:6" ht="12.75" customHeight="1" x14ac:dyDescent="0.2">
      <c r="A243" s="211"/>
      <c r="B243" s="41"/>
      <c r="C243" s="41"/>
      <c r="D243" s="41"/>
      <c r="E243" s="226"/>
      <c r="F243" s="226"/>
    </row>
    <row r="244" spans="1:6" ht="12.75" customHeight="1" x14ac:dyDescent="0.2">
      <c r="A244" s="211"/>
      <c r="B244" s="41"/>
      <c r="C244" s="41"/>
      <c r="D244" s="41"/>
      <c r="E244" s="226"/>
      <c r="F244" s="226"/>
    </row>
    <row r="245" spans="1:6" ht="12.75" customHeight="1" x14ac:dyDescent="0.2">
      <c r="A245" s="211"/>
      <c r="B245" s="41"/>
      <c r="C245" s="41"/>
      <c r="D245" s="41"/>
      <c r="E245" s="226"/>
      <c r="F245" s="226"/>
    </row>
    <row r="246" spans="1:6" ht="12.75" customHeight="1" x14ac:dyDescent="0.2">
      <c r="A246" s="211"/>
      <c r="B246" s="41"/>
      <c r="C246" s="41"/>
      <c r="D246" s="41"/>
      <c r="E246" s="226"/>
      <c r="F246" s="226"/>
    </row>
    <row r="247" spans="1:6" ht="12.75" customHeight="1" x14ac:dyDescent="0.2">
      <c r="A247" s="211"/>
      <c r="B247" s="41"/>
      <c r="C247" s="41"/>
      <c r="D247" s="41"/>
      <c r="E247" s="226"/>
      <c r="F247" s="226"/>
    </row>
    <row r="248" spans="1:6" ht="12.75" customHeight="1" x14ac:dyDescent="0.2">
      <c r="A248" s="211"/>
      <c r="B248" s="41"/>
      <c r="C248" s="41"/>
      <c r="D248" s="41"/>
      <c r="E248" s="226"/>
      <c r="F248" s="226"/>
    </row>
    <row r="249" spans="1:6" ht="12.75" customHeight="1" x14ac:dyDescent="0.2">
      <c r="A249" s="211"/>
      <c r="B249" s="41"/>
      <c r="C249" s="41"/>
      <c r="D249" s="41"/>
      <c r="E249" s="226"/>
      <c r="F249" s="226"/>
    </row>
    <row r="250" spans="1:6" ht="12.75" customHeight="1" x14ac:dyDescent="0.2">
      <c r="A250" s="211"/>
      <c r="B250" s="41"/>
      <c r="C250" s="41"/>
      <c r="D250" s="41"/>
      <c r="E250" s="226"/>
      <c r="F250" s="226"/>
    </row>
    <row r="251" spans="1:6" ht="12.75" customHeight="1" x14ac:dyDescent="0.2">
      <c r="A251" s="211"/>
      <c r="B251" s="41"/>
      <c r="C251" s="41"/>
      <c r="D251" s="41"/>
      <c r="E251" s="226"/>
      <c r="F251" s="226"/>
    </row>
    <row r="252" spans="1:6" ht="12.75" customHeight="1" x14ac:dyDescent="0.2">
      <c r="A252" s="211"/>
      <c r="B252" s="41"/>
      <c r="C252" s="41"/>
      <c r="D252" s="41"/>
      <c r="E252" s="226"/>
      <c r="F252" s="226"/>
    </row>
    <row r="253" spans="1:6" ht="12.75" customHeight="1" x14ac:dyDescent="0.2">
      <c r="A253" s="211"/>
      <c r="B253" s="41"/>
      <c r="C253" s="41"/>
      <c r="D253" s="41"/>
      <c r="E253" s="226"/>
      <c r="F253" s="226"/>
    </row>
    <row r="254" spans="1:6" ht="12.75" customHeight="1" x14ac:dyDescent="0.2">
      <c r="A254" s="211"/>
      <c r="B254" s="41"/>
      <c r="C254" s="41"/>
      <c r="D254" s="41"/>
      <c r="E254" s="226"/>
      <c r="F254" s="226"/>
    </row>
    <row r="255" spans="1:6" ht="12.75" customHeight="1" x14ac:dyDescent="0.2">
      <c r="A255" s="211"/>
      <c r="B255" s="41"/>
      <c r="C255" s="41"/>
      <c r="D255" s="41"/>
      <c r="E255" s="226"/>
      <c r="F255" s="226"/>
    </row>
    <row r="256" spans="1:6" ht="12.75" customHeight="1" x14ac:dyDescent="0.2">
      <c r="A256" s="211"/>
      <c r="B256" s="41"/>
      <c r="C256" s="41"/>
      <c r="D256" s="41"/>
      <c r="E256" s="226"/>
      <c r="F256" s="226"/>
    </row>
    <row r="257" spans="1:6" ht="12.75" customHeight="1" x14ac:dyDescent="0.2">
      <c r="A257" s="211"/>
      <c r="B257" s="41"/>
      <c r="C257" s="41"/>
      <c r="D257" s="41"/>
      <c r="E257" s="226"/>
      <c r="F257" s="226"/>
    </row>
    <row r="258" spans="1:6" ht="12.75" customHeight="1" x14ac:dyDescent="0.2">
      <c r="A258" s="211"/>
      <c r="B258" s="41"/>
      <c r="C258" s="41"/>
      <c r="D258" s="41"/>
      <c r="E258" s="226"/>
      <c r="F258" s="226"/>
    </row>
    <row r="259" spans="1:6" ht="12.75" customHeight="1" x14ac:dyDescent="0.2">
      <c r="A259" s="211"/>
      <c r="B259" s="41"/>
      <c r="C259" s="41"/>
      <c r="D259" s="41"/>
      <c r="E259" s="226"/>
      <c r="F259" s="226"/>
    </row>
    <row r="260" spans="1:6" ht="12.75" customHeight="1" x14ac:dyDescent="0.2">
      <c r="A260" s="211"/>
      <c r="B260" s="41"/>
      <c r="C260" s="41"/>
      <c r="D260" s="41"/>
      <c r="E260" s="226"/>
      <c r="F260" s="226"/>
    </row>
    <row r="261" spans="1:6" ht="12.75" customHeight="1" x14ac:dyDescent="0.2">
      <c r="A261" s="211"/>
      <c r="B261" s="41"/>
      <c r="C261" s="41"/>
      <c r="D261" s="41"/>
      <c r="E261" s="226"/>
      <c r="F261" s="226"/>
    </row>
    <row r="262" spans="1:6" ht="12.75" customHeight="1" x14ac:dyDescent="0.2">
      <c r="A262" s="211"/>
      <c r="B262" s="41"/>
      <c r="C262" s="41"/>
      <c r="D262" s="41"/>
      <c r="E262" s="226"/>
      <c r="F262" s="226"/>
    </row>
    <row r="263" spans="1:6" ht="12.75" customHeight="1" x14ac:dyDescent="0.2">
      <c r="A263" s="211"/>
      <c r="B263" s="41"/>
      <c r="C263" s="41"/>
      <c r="D263" s="41"/>
      <c r="E263" s="226"/>
      <c r="F263" s="226"/>
    </row>
    <row r="264" spans="1:6" ht="12.75" customHeight="1" x14ac:dyDescent="0.2">
      <c r="A264" s="211"/>
      <c r="B264" s="41"/>
      <c r="C264" s="41"/>
      <c r="D264" s="41"/>
      <c r="E264" s="226"/>
      <c r="F264" s="226"/>
    </row>
    <row r="265" spans="1:6" ht="12.75" customHeight="1" x14ac:dyDescent="0.2">
      <c r="A265" s="211"/>
      <c r="B265" s="41"/>
      <c r="C265" s="41"/>
      <c r="D265" s="41"/>
      <c r="E265" s="226"/>
      <c r="F265" s="226"/>
    </row>
    <row r="266" spans="1:6" ht="12.75" customHeight="1" x14ac:dyDescent="0.2">
      <c r="A266" s="211"/>
      <c r="B266" s="41"/>
      <c r="C266" s="41"/>
      <c r="D266" s="41"/>
      <c r="E266" s="226"/>
      <c r="F266" s="226"/>
    </row>
    <row r="267" spans="1:6" ht="12.75" customHeight="1" x14ac:dyDescent="0.2">
      <c r="A267" s="211"/>
      <c r="B267" s="41"/>
      <c r="C267" s="41"/>
      <c r="D267" s="41"/>
      <c r="E267" s="226"/>
      <c r="F267" s="226"/>
    </row>
    <row r="268" spans="1:6" ht="12.75" customHeight="1" x14ac:dyDescent="0.2">
      <c r="A268" s="211"/>
      <c r="B268" s="41"/>
      <c r="C268" s="41"/>
      <c r="D268" s="41"/>
      <c r="E268" s="226"/>
      <c r="F268" s="226"/>
    </row>
    <row r="269" spans="1:6" ht="12.75" customHeight="1" x14ac:dyDescent="0.2">
      <c r="A269" s="211"/>
      <c r="B269" s="41"/>
      <c r="C269" s="41"/>
      <c r="D269" s="41"/>
      <c r="E269" s="226"/>
      <c r="F269" s="226"/>
    </row>
    <row r="270" spans="1:6" ht="12.75" customHeight="1" x14ac:dyDescent="0.2">
      <c r="A270" s="211"/>
      <c r="B270" s="41"/>
      <c r="C270" s="41"/>
      <c r="D270" s="41"/>
      <c r="E270" s="226"/>
      <c r="F270" s="226"/>
    </row>
    <row r="271" spans="1:6" ht="12.75" customHeight="1" x14ac:dyDescent="0.2">
      <c r="A271" s="211"/>
      <c r="B271" s="41"/>
      <c r="C271" s="41"/>
      <c r="D271" s="41"/>
      <c r="E271" s="226"/>
      <c r="F271" s="226"/>
    </row>
    <row r="272" spans="1:6" ht="12.75" customHeight="1" x14ac:dyDescent="0.2">
      <c r="A272" s="211"/>
      <c r="B272" s="41"/>
      <c r="C272" s="41"/>
      <c r="D272" s="41"/>
      <c r="E272" s="226"/>
      <c r="F272" s="226"/>
    </row>
    <row r="273" spans="1:6" ht="12.75" customHeight="1" x14ac:dyDescent="0.2">
      <c r="A273" s="211"/>
      <c r="B273" s="41"/>
      <c r="C273" s="41"/>
      <c r="D273" s="41"/>
      <c r="E273" s="226"/>
      <c r="F273" s="226"/>
    </row>
    <row r="274" spans="1:6" ht="12.75" customHeight="1" x14ac:dyDescent="0.2">
      <c r="A274" s="211"/>
      <c r="B274" s="41"/>
      <c r="C274" s="41"/>
      <c r="D274" s="41"/>
      <c r="E274" s="226"/>
      <c r="F274" s="226"/>
    </row>
    <row r="275" spans="1:6" ht="12.75" customHeight="1" x14ac:dyDescent="0.2">
      <c r="A275" s="211"/>
      <c r="B275" s="41"/>
      <c r="C275" s="41"/>
      <c r="D275" s="41"/>
      <c r="E275" s="226"/>
      <c r="F275" s="226"/>
    </row>
    <row r="276" spans="1:6" ht="12.75" customHeight="1" x14ac:dyDescent="0.2">
      <c r="A276" s="211"/>
      <c r="B276" s="41"/>
      <c r="C276" s="41"/>
      <c r="D276" s="41"/>
      <c r="E276" s="226"/>
      <c r="F276" s="226"/>
    </row>
    <row r="277" spans="1:6" ht="12.75" customHeight="1" x14ac:dyDescent="0.2">
      <c r="A277" s="211"/>
      <c r="B277" s="41"/>
      <c r="C277" s="41"/>
      <c r="D277" s="41"/>
      <c r="E277" s="226"/>
      <c r="F277" s="226"/>
    </row>
    <row r="278" spans="1:6" ht="12.75" customHeight="1" x14ac:dyDescent="0.2">
      <c r="A278" s="211"/>
      <c r="B278" s="41"/>
      <c r="C278" s="41"/>
      <c r="D278" s="41"/>
      <c r="E278" s="226"/>
      <c r="F278" s="226"/>
    </row>
    <row r="279" spans="1:6" ht="12.75" customHeight="1" x14ac:dyDescent="0.2">
      <c r="A279" s="211"/>
      <c r="B279" s="41"/>
      <c r="C279" s="41"/>
      <c r="D279" s="41"/>
      <c r="E279" s="226"/>
      <c r="F279" s="226"/>
    </row>
    <row r="280" spans="1:6" ht="12.75" customHeight="1" x14ac:dyDescent="0.2">
      <c r="A280" s="211"/>
      <c r="B280" s="41"/>
      <c r="C280" s="41"/>
      <c r="D280" s="41"/>
      <c r="E280" s="226"/>
      <c r="F280" s="226"/>
    </row>
    <row r="281" spans="1:6" ht="12.75" customHeight="1" x14ac:dyDescent="0.2">
      <c r="A281" s="211"/>
      <c r="B281" s="41"/>
      <c r="C281" s="41"/>
      <c r="D281" s="41"/>
      <c r="E281" s="226"/>
      <c r="F281" s="226"/>
    </row>
    <row r="282" spans="1:6" ht="12.75" customHeight="1" x14ac:dyDescent="0.2">
      <c r="A282" s="211"/>
      <c r="B282" s="41"/>
      <c r="C282" s="41"/>
      <c r="D282" s="41"/>
      <c r="E282" s="226"/>
      <c r="F282" s="226"/>
    </row>
    <row r="283" spans="1:6" ht="12.75" customHeight="1" x14ac:dyDescent="0.2">
      <c r="A283" s="211"/>
      <c r="B283" s="41"/>
      <c r="C283" s="41"/>
      <c r="D283" s="41"/>
      <c r="E283" s="226"/>
      <c r="F283" s="226"/>
    </row>
    <row r="284" spans="1:6" ht="12.75" customHeight="1" x14ac:dyDescent="0.2">
      <c r="A284" s="211"/>
      <c r="B284" s="41"/>
      <c r="C284" s="41"/>
      <c r="D284" s="41"/>
      <c r="E284" s="226"/>
      <c r="F284" s="226"/>
    </row>
    <row r="285" spans="1:6" ht="12.75" customHeight="1" x14ac:dyDescent="0.2">
      <c r="A285" s="211"/>
      <c r="B285" s="41"/>
      <c r="C285" s="41"/>
      <c r="D285" s="41"/>
      <c r="E285" s="226"/>
      <c r="F285" s="226"/>
    </row>
    <row r="286" spans="1:6" ht="12.75" customHeight="1" x14ac:dyDescent="0.2">
      <c r="A286" s="211"/>
      <c r="B286" s="41"/>
      <c r="C286" s="41"/>
      <c r="D286" s="41"/>
      <c r="E286" s="226"/>
      <c r="F286" s="226"/>
    </row>
    <row r="287" spans="1:6" ht="12.75" customHeight="1" x14ac:dyDescent="0.2">
      <c r="A287" s="211"/>
      <c r="B287" s="41"/>
      <c r="C287" s="41"/>
      <c r="D287" s="41"/>
      <c r="E287" s="226"/>
      <c r="F287" s="226"/>
    </row>
    <row r="288" spans="1:6" ht="12.75" customHeight="1" x14ac:dyDescent="0.2">
      <c r="A288" s="211"/>
      <c r="B288" s="41"/>
      <c r="C288" s="41"/>
      <c r="D288" s="41"/>
      <c r="E288" s="226"/>
      <c r="F288" s="226"/>
    </row>
    <row r="289" spans="1:6" ht="12.75" customHeight="1" x14ac:dyDescent="0.2">
      <c r="A289" s="211"/>
      <c r="B289" s="41"/>
      <c r="C289" s="41"/>
      <c r="D289" s="41"/>
      <c r="E289" s="226"/>
      <c r="F289" s="226"/>
    </row>
    <row r="290" spans="1:6" ht="12.75" customHeight="1" x14ac:dyDescent="0.2">
      <c r="A290" s="211"/>
      <c r="B290" s="41"/>
      <c r="C290" s="41"/>
      <c r="D290" s="41"/>
      <c r="E290" s="226"/>
      <c r="F290" s="226"/>
    </row>
    <row r="291" spans="1:6" ht="12.75" customHeight="1" x14ac:dyDescent="0.2">
      <c r="A291" s="211"/>
      <c r="B291" s="41"/>
      <c r="C291" s="41"/>
      <c r="D291" s="41"/>
      <c r="E291" s="226"/>
      <c r="F291" s="226"/>
    </row>
    <row r="292" spans="1:6" ht="12.75" customHeight="1" x14ac:dyDescent="0.2">
      <c r="A292" s="211"/>
      <c r="B292" s="41"/>
      <c r="C292" s="41"/>
      <c r="D292" s="41"/>
      <c r="E292" s="226"/>
      <c r="F292" s="226"/>
    </row>
    <row r="293" spans="1:6" ht="12.75" customHeight="1" x14ac:dyDescent="0.2">
      <c r="A293" s="211"/>
      <c r="B293" s="41"/>
      <c r="C293" s="41"/>
      <c r="D293" s="41"/>
      <c r="E293" s="226"/>
      <c r="F293" s="226"/>
    </row>
    <row r="294" spans="1:6" ht="12.75" customHeight="1" x14ac:dyDescent="0.2">
      <c r="A294" s="211"/>
      <c r="B294" s="41"/>
      <c r="C294" s="41"/>
      <c r="D294" s="41"/>
      <c r="E294" s="226"/>
      <c r="F294" s="226"/>
    </row>
    <row r="295" spans="1:6" ht="12.75" customHeight="1" x14ac:dyDescent="0.2">
      <c r="A295" s="211"/>
      <c r="B295" s="41"/>
      <c r="C295" s="41"/>
      <c r="D295" s="41"/>
      <c r="E295" s="226"/>
      <c r="F295" s="226"/>
    </row>
    <row r="296" spans="1:6" ht="12.75" customHeight="1" x14ac:dyDescent="0.2">
      <c r="A296" s="211"/>
      <c r="B296" s="41"/>
      <c r="C296" s="41"/>
      <c r="D296" s="41"/>
      <c r="E296" s="226"/>
      <c r="F296" s="226"/>
    </row>
    <row r="297" spans="1:6" ht="12.75" customHeight="1" x14ac:dyDescent="0.2">
      <c r="A297" s="211"/>
      <c r="B297" s="41"/>
      <c r="C297" s="41"/>
      <c r="D297" s="41"/>
      <c r="E297" s="226"/>
      <c r="F297" s="226"/>
    </row>
    <row r="298" spans="1:6" ht="12.75" customHeight="1" x14ac:dyDescent="0.2">
      <c r="A298" s="211"/>
      <c r="B298" s="41"/>
      <c r="C298" s="41"/>
      <c r="D298" s="41"/>
      <c r="E298" s="226"/>
      <c r="F298" s="226"/>
    </row>
    <row r="299" spans="1:6" ht="12.75" customHeight="1" x14ac:dyDescent="0.2">
      <c r="A299" s="211"/>
      <c r="B299" s="41"/>
      <c r="C299" s="41"/>
      <c r="D299" s="41"/>
      <c r="E299" s="226"/>
      <c r="F299" s="226"/>
    </row>
    <row r="300" spans="1:6" ht="12.75" customHeight="1" x14ac:dyDescent="0.2">
      <c r="A300" s="211"/>
      <c r="B300" s="41"/>
      <c r="C300" s="41"/>
      <c r="D300" s="41"/>
      <c r="E300" s="226"/>
      <c r="F300" s="226"/>
    </row>
    <row r="301" spans="1:6" ht="12.75" customHeight="1" x14ac:dyDescent="0.2">
      <c r="A301" s="211"/>
    </row>
    <row r="302" spans="1:6" ht="12.75" customHeight="1" x14ac:dyDescent="0.2">
      <c r="A302" s="211"/>
    </row>
    <row r="303" spans="1:6" ht="12.75" customHeight="1" x14ac:dyDescent="0.2">
      <c r="A303" s="211"/>
    </row>
    <row r="304" spans="1:6" ht="12.75" customHeight="1" x14ac:dyDescent="0.2">
      <c r="A304" s="211"/>
    </row>
    <row r="305" spans="1:1" ht="12.75" customHeight="1" x14ac:dyDescent="0.2">
      <c r="A305" s="211"/>
    </row>
    <row r="306" spans="1:1" ht="12.75" customHeight="1" x14ac:dyDescent="0.2">
      <c r="A306" s="211"/>
    </row>
    <row r="307" spans="1:1" ht="12.75" customHeight="1" x14ac:dyDescent="0.2">
      <c r="A307" s="211"/>
    </row>
    <row r="308" spans="1:1" ht="12.75" customHeight="1" x14ac:dyDescent="0.2">
      <c r="A308" s="211"/>
    </row>
    <row r="309" spans="1:1" ht="12.75" customHeight="1" x14ac:dyDescent="0.2">
      <c r="A309" s="211"/>
    </row>
    <row r="310" spans="1:1" ht="12.75" customHeight="1" x14ac:dyDescent="0.2">
      <c r="A310" s="211"/>
    </row>
    <row r="311" spans="1:1" ht="12.75" customHeight="1" x14ac:dyDescent="0.2">
      <c r="A311" s="211"/>
    </row>
    <row r="312" spans="1:1" ht="12.75" customHeight="1" x14ac:dyDescent="0.2">
      <c r="A312" s="211"/>
    </row>
    <row r="313" spans="1:1" ht="12.75" customHeight="1" x14ac:dyDescent="0.2">
      <c r="A313" s="211"/>
    </row>
    <row r="314" spans="1:1" ht="12.75" customHeight="1" x14ac:dyDescent="0.2">
      <c r="A314" s="211"/>
    </row>
    <row r="315" spans="1:1" ht="12.75" customHeight="1" x14ac:dyDescent="0.2">
      <c r="A315" s="211"/>
    </row>
    <row r="316" spans="1:1" ht="12.75" customHeight="1" x14ac:dyDescent="0.2">
      <c r="A316" s="211"/>
    </row>
    <row r="317" spans="1:1" ht="12.75" customHeight="1" x14ac:dyDescent="0.2">
      <c r="A317" s="211"/>
    </row>
    <row r="318" spans="1:1" ht="12.75" customHeight="1" x14ac:dyDescent="0.2">
      <c r="A318" s="211"/>
    </row>
    <row r="319" spans="1:1" ht="12.75" customHeight="1" x14ac:dyDescent="0.2">
      <c r="A319" s="211"/>
    </row>
    <row r="320" spans="1:1" ht="12.75" customHeight="1" x14ac:dyDescent="0.2">
      <c r="A320" s="211"/>
    </row>
    <row r="321" spans="1:1" ht="12.75" customHeight="1" x14ac:dyDescent="0.2">
      <c r="A321" s="211"/>
    </row>
    <row r="322" spans="1:1" ht="12.75" customHeight="1" x14ac:dyDescent="0.2">
      <c r="A322" s="211"/>
    </row>
    <row r="323" spans="1:1" ht="12.75" customHeight="1" x14ac:dyDescent="0.2">
      <c r="A323" s="211"/>
    </row>
    <row r="324" spans="1:1" ht="12.75" customHeight="1" x14ac:dyDescent="0.2">
      <c r="A324" s="211"/>
    </row>
    <row r="325" spans="1:1" ht="12.75" customHeight="1" x14ac:dyDescent="0.2">
      <c r="A325" s="211"/>
    </row>
    <row r="326" spans="1:1" ht="12.75" customHeight="1" x14ac:dyDescent="0.2">
      <c r="A326" s="211"/>
    </row>
    <row r="327" spans="1:1" ht="12.75" customHeight="1" x14ac:dyDescent="0.2">
      <c r="A327" s="211"/>
    </row>
    <row r="328" spans="1:1" ht="12.75" customHeight="1" x14ac:dyDescent="0.2">
      <c r="A328" s="211"/>
    </row>
    <row r="329" spans="1:1" ht="12.75" customHeight="1" x14ac:dyDescent="0.2">
      <c r="A329" s="211"/>
    </row>
    <row r="330" spans="1:1" ht="12.75" customHeight="1" x14ac:dyDescent="0.2">
      <c r="A330" s="211"/>
    </row>
    <row r="331" spans="1:1" ht="12.75" customHeight="1" x14ac:dyDescent="0.2">
      <c r="A331" s="211"/>
    </row>
    <row r="332" spans="1:1" ht="12.75" customHeight="1" x14ac:dyDescent="0.2">
      <c r="A332" s="211"/>
    </row>
    <row r="333" spans="1:1" ht="12.75" customHeight="1" x14ac:dyDescent="0.2">
      <c r="A333" s="211"/>
    </row>
    <row r="334" spans="1:1" ht="12.75" customHeight="1" x14ac:dyDescent="0.2">
      <c r="A334" s="211"/>
    </row>
    <row r="335" spans="1:1" ht="12.75" customHeight="1" x14ac:dyDescent="0.2">
      <c r="A335" s="211"/>
    </row>
    <row r="336" spans="1:1" ht="12.75" customHeight="1" x14ac:dyDescent="0.2">
      <c r="A336" s="211"/>
    </row>
    <row r="337" spans="1:1" ht="12.75" customHeight="1" x14ac:dyDescent="0.2">
      <c r="A337" s="211"/>
    </row>
    <row r="338" spans="1:1" ht="12.75" customHeight="1" x14ac:dyDescent="0.2">
      <c r="A338" s="211"/>
    </row>
    <row r="339" spans="1:1" ht="12.75" customHeight="1" x14ac:dyDescent="0.2">
      <c r="A339" s="211"/>
    </row>
    <row r="340" spans="1:1" ht="12.75" customHeight="1" x14ac:dyDescent="0.2">
      <c r="A340" s="211"/>
    </row>
    <row r="341" spans="1:1" ht="12.75" customHeight="1" x14ac:dyDescent="0.2">
      <c r="A341" s="211"/>
    </row>
    <row r="342" spans="1:1" ht="12.75" customHeight="1" x14ac:dyDescent="0.2">
      <c r="A342" s="211"/>
    </row>
    <row r="343" spans="1:1" ht="12.75" customHeight="1" x14ac:dyDescent="0.2">
      <c r="A343" s="211"/>
    </row>
    <row r="344" spans="1:1" ht="12.75" customHeight="1" x14ac:dyDescent="0.2">
      <c r="A344" s="211"/>
    </row>
    <row r="345" spans="1:1" ht="12.75" customHeight="1" x14ac:dyDescent="0.2">
      <c r="A345" s="211"/>
    </row>
    <row r="346" spans="1:1" ht="12.75" customHeight="1" x14ac:dyDescent="0.2">
      <c r="A346" s="211"/>
    </row>
    <row r="347" spans="1:1" ht="12.75" customHeight="1" x14ac:dyDescent="0.2">
      <c r="A347" s="211"/>
    </row>
    <row r="348" spans="1:1" ht="12.75" customHeight="1" x14ac:dyDescent="0.2">
      <c r="A348" s="211"/>
    </row>
    <row r="349" spans="1:1" ht="12.75" customHeight="1" x14ac:dyDescent="0.2">
      <c r="A349" s="211"/>
    </row>
    <row r="350" spans="1:1" ht="12.75" customHeight="1" x14ac:dyDescent="0.2">
      <c r="A350" s="211"/>
    </row>
    <row r="351" spans="1:1" ht="12.75" customHeight="1" x14ac:dyDescent="0.2">
      <c r="A351" s="211"/>
    </row>
    <row r="352" spans="1:1" ht="12.75" customHeight="1" x14ac:dyDescent="0.2">
      <c r="A352" s="211"/>
    </row>
    <row r="353" spans="1:1" ht="12.75" customHeight="1" x14ac:dyDescent="0.2">
      <c r="A353" s="211"/>
    </row>
    <row r="354" spans="1:1" ht="12.75" customHeight="1" x14ac:dyDescent="0.2">
      <c r="A354" s="211"/>
    </row>
    <row r="355" spans="1:1" ht="12.75" customHeight="1" x14ac:dyDescent="0.2">
      <c r="A355" s="211"/>
    </row>
    <row r="356" spans="1:1" ht="12.75" customHeight="1" x14ac:dyDescent="0.2">
      <c r="A356" s="211"/>
    </row>
    <row r="357" spans="1:1" ht="12.75" customHeight="1" x14ac:dyDescent="0.2">
      <c r="A357" s="211"/>
    </row>
    <row r="358" spans="1:1" ht="12.75" customHeight="1" x14ac:dyDescent="0.2">
      <c r="A358" s="211"/>
    </row>
    <row r="359" spans="1:1" ht="12.75" customHeight="1" x14ac:dyDescent="0.2">
      <c r="A359" s="211"/>
    </row>
    <row r="360" spans="1:1" ht="12.75" customHeight="1" x14ac:dyDescent="0.2">
      <c r="A360" s="211"/>
    </row>
    <row r="361" spans="1:1" ht="12.75" customHeight="1" x14ac:dyDescent="0.2">
      <c r="A361" s="211"/>
    </row>
    <row r="362" spans="1:1" ht="12.75" customHeight="1" x14ac:dyDescent="0.2">
      <c r="A362" s="211"/>
    </row>
    <row r="363" spans="1:1" ht="12.75" customHeight="1" x14ac:dyDescent="0.2">
      <c r="A363" s="211"/>
    </row>
    <row r="364" spans="1:1" ht="12.75" customHeight="1" x14ac:dyDescent="0.2">
      <c r="A364" s="211"/>
    </row>
    <row r="365" spans="1:1" ht="12.75" customHeight="1" x14ac:dyDescent="0.2">
      <c r="A365" s="211"/>
    </row>
    <row r="366" spans="1:1" ht="12.75" customHeight="1" x14ac:dyDescent="0.2">
      <c r="A366" s="211"/>
    </row>
    <row r="367" spans="1:1" ht="12.75" customHeight="1" x14ac:dyDescent="0.2">
      <c r="A367" s="211"/>
    </row>
    <row r="368" spans="1:1" ht="12.75" customHeight="1" x14ac:dyDescent="0.2">
      <c r="A368" s="211"/>
    </row>
    <row r="369" spans="1:1" ht="12.75" customHeight="1" x14ac:dyDescent="0.2">
      <c r="A369" s="211"/>
    </row>
    <row r="370" spans="1:1" ht="12.75" customHeight="1" x14ac:dyDescent="0.2">
      <c r="A370" s="211"/>
    </row>
    <row r="371" spans="1:1" ht="12.75" customHeight="1" x14ac:dyDescent="0.2">
      <c r="A371" s="211"/>
    </row>
    <row r="372" spans="1:1" ht="12.75" customHeight="1" x14ac:dyDescent="0.2">
      <c r="A372" s="211"/>
    </row>
    <row r="373" spans="1:1" ht="12.75" customHeight="1" x14ac:dyDescent="0.2">
      <c r="A373" s="211"/>
    </row>
    <row r="374" spans="1:1" ht="12.75" customHeight="1" x14ac:dyDescent="0.2">
      <c r="A374" s="211"/>
    </row>
    <row r="375" spans="1:1" ht="12.75" customHeight="1" x14ac:dyDescent="0.2">
      <c r="A375" s="211"/>
    </row>
    <row r="376" spans="1:1" ht="12.75" customHeight="1" x14ac:dyDescent="0.2">
      <c r="A376" s="211"/>
    </row>
    <row r="377" spans="1:1" ht="12.75" customHeight="1" x14ac:dyDescent="0.2">
      <c r="A377" s="211"/>
    </row>
    <row r="378" spans="1:1" ht="12.75" customHeight="1" x14ac:dyDescent="0.2">
      <c r="A378" s="211"/>
    </row>
    <row r="379" spans="1:1" ht="12.75" customHeight="1" x14ac:dyDescent="0.2">
      <c r="A379" s="211"/>
    </row>
    <row r="380" spans="1:1" ht="12.75" customHeight="1" x14ac:dyDescent="0.2">
      <c r="A380" s="211"/>
    </row>
    <row r="381" spans="1:1" ht="12.75" customHeight="1" x14ac:dyDescent="0.2">
      <c r="A381" s="211"/>
    </row>
    <row r="382" spans="1:1" ht="12.75" customHeight="1" x14ac:dyDescent="0.2">
      <c r="A382" s="211"/>
    </row>
    <row r="383" spans="1:1" ht="12.75" customHeight="1" x14ac:dyDescent="0.2">
      <c r="A383" s="211"/>
    </row>
    <row r="384" spans="1:1" ht="12.75" customHeight="1" x14ac:dyDescent="0.2">
      <c r="A384" s="211"/>
    </row>
    <row r="385" spans="1:1" ht="12.75" customHeight="1" x14ac:dyDescent="0.2">
      <c r="A385" s="211"/>
    </row>
    <row r="386" spans="1:1" ht="12.75" customHeight="1" x14ac:dyDescent="0.2">
      <c r="A386" s="211"/>
    </row>
    <row r="387" spans="1:1" ht="12.75" customHeight="1" x14ac:dyDescent="0.2">
      <c r="A387" s="211"/>
    </row>
    <row r="388" spans="1:1" ht="12.75" customHeight="1" x14ac:dyDescent="0.2">
      <c r="A388" s="211"/>
    </row>
    <row r="389" spans="1:1" ht="12.75" customHeight="1" x14ac:dyDescent="0.2">
      <c r="A389" s="211"/>
    </row>
    <row r="390" spans="1:1" ht="12.75" customHeight="1" x14ac:dyDescent="0.2">
      <c r="A390" s="211"/>
    </row>
    <row r="391" spans="1:1" ht="12.75" customHeight="1" x14ac:dyDescent="0.2">
      <c r="A391" s="211"/>
    </row>
    <row r="392" spans="1:1" ht="12.75" customHeight="1" x14ac:dyDescent="0.2">
      <c r="A392" s="211"/>
    </row>
    <row r="393" spans="1:1" ht="12.75" customHeight="1" x14ac:dyDescent="0.2">
      <c r="A393" s="211"/>
    </row>
    <row r="394" spans="1:1" ht="12.75" customHeight="1" x14ac:dyDescent="0.2">
      <c r="A394" s="211"/>
    </row>
    <row r="395" spans="1:1" ht="12.75" customHeight="1" x14ac:dyDescent="0.2">
      <c r="A395" s="211"/>
    </row>
    <row r="396" spans="1:1" ht="12.75" customHeight="1" x14ac:dyDescent="0.2">
      <c r="A396" s="211"/>
    </row>
    <row r="397" spans="1:1" ht="12.75" customHeight="1" x14ac:dyDescent="0.2">
      <c r="A397" s="211"/>
    </row>
    <row r="398" spans="1:1" ht="12.75" customHeight="1" x14ac:dyDescent="0.2">
      <c r="A398" s="211"/>
    </row>
    <row r="399" spans="1:1" ht="12.75" customHeight="1" x14ac:dyDescent="0.2">
      <c r="A399" s="211"/>
    </row>
    <row r="400" spans="1:1" ht="12.75" customHeight="1" x14ac:dyDescent="0.2">
      <c r="A400" s="211"/>
    </row>
    <row r="401" spans="1:1" ht="12.75" customHeight="1" x14ac:dyDescent="0.2">
      <c r="A401" s="211"/>
    </row>
    <row r="402" spans="1:1" ht="12.75" customHeight="1" x14ac:dyDescent="0.2">
      <c r="A402" s="211"/>
    </row>
    <row r="403" spans="1:1" ht="12.75" customHeight="1" x14ac:dyDescent="0.2">
      <c r="A403" s="211"/>
    </row>
    <row r="404" spans="1:1" ht="12.75" customHeight="1" x14ac:dyDescent="0.2">
      <c r="A404" s="211"/>
    </row>
    <row r="405" spans="1:1" ht="12.75" customHeight="1" x14ac:dyDescent="0.2">
      <c r="A405" s="211"/>
    </row>
    <row r="406" spans="1:1" ht="12.75" customHeight="1" x14ac:dyDescent="0.2">
      <c r="A406" s="211"/>
    </row>
    <row r="407" spans="1:1" ht="12.75" customHeight="1" x14ac:dyDescent="0.2">
      <c r="A407" s="211"/>
    </row>
    <row r="408" spans="1:1" ht="12.75" customHeight="1" x14ac:dyDescent="0.2">
      <c r="A408" s="211"/>
    </row>
    <row r="409" spans="1:1" ht="12.75" customHeight="1" x14ac:dyDescent="0.2">
      <c r="A409" s="211"/>
    </row>
    <row r="410" spans="1:1" ht="12.75" customHeight="1" x14ac:dyDescent="0.2">
      <c r="A410" s="211"/>
    </row>
    <row r="411" spans="1:1" ht="12.75" customHeight="1" x14ac:dyDescent="0.2">
      <c r="A411" s="211"/>
    </row>
    <row r="412" spans="1:1" ht="12.75" customHeight="1" x14ac:dyDescent="0.2">
      <c r="A412" s="211"/>
    </row>
    <row r="413" spans="1:1" ht="12.75" customHeight="1" x14ac:dyDescent="0.2">
      <c r="A413" s="211"/>
    </row>
    <row r="414" spans="1:1" ht="12.75" customHeight="1" x14ac:dyDescent="0.2">
      <c r="A414" s="211"/>
    </row>
    <row r="415" spans="1:1" ht="12.75" customHeight="1" x14ac:dyDescent="0.2">
      <c r="A415" s="211"/>
    </row>
    <row r="416" spans="1:1" ht="12.75" customHeight="1" x14ac:dyDescent="0.2">
      <c r="A416" s="211"/>
    </row>
    <row r="417" spans="1:1" ht="12.75" customHeight="1" x14ac:dyDescent="0.2">
      <c r="A417" s="211"/>
    </row>
    <row r="418" spans="1:1" ht="12.75" customHeight="1" x14ac:dyDescent="0.2">
      <c r="A418" s="211"/>
    </row>
    <row r="419" spans="1:1" ht="12.75" customHeight="1" x14ac:dyDescent="0.2">
      <c r="A419" s="211"/>
    </row>
    <row r="420" spans="1:1" ht="12.75" customHeight="1" x14ac:dyDescent="0.2">
      <c r="A420" s="211"/>
    </row>
    <row r="421" spans="1:1" ht="12.75" customHeight="1" x14ac:dyDescent="0.2">
      <c r="A421" s="211"/>
    </row>
    <row r="422" spans="1:1" ht="12.75" customHeight="1" x14ac:dyDescent="0.2">
      <c r="A422" s="211"/>
    </row>
    <row r="423" spans="1:1" ht="12.75" customHeight="1" x14ac:dyDescent="0.2">
      <c r="A423" s="211"/>
    </row>
    <row r="424" spans="1:1" ht="12.75" customHeight="1" x14ac:dyDescent="0.2">
      <c r="A424" s="211"/>
    </row>
    <row r="425" spans="1:1" ht="12.75" customHeight="1" x14ac:dyDescent="0.2">
      <c r="A425" s="211"/>
    </row>
    <row r="426" spans="1:1" ht="12.75" customHeight="1" x14ac:dyDescent="0.2">
      <c r="A426" s="211"/>
    </row>
    <row r="427" spans="1:1" ht="12.75" customHeight="1" x14ac:dyDescent="0.2">
      <c r="A427" s="211"/>
    </row>
    <row r="428" spans="1:1" ht="12.75" customHeight="1" x14ac:dyDescent="0.2">
      <c r="A428" s="211"/>
    </row>
    <row r="429" spans="1:1" ht="12.75" customHeight="1" x14ac:dyDescent="0.2">
      <c r="A429" s="211"/>
    </row>
    <row r="430" spans="1:1" ht="12.75" customHeight="1" x14ac:dyDescent="0.2">
      <c r="A430" s="211"/>
    </row>
    <row r="431" spans="1:1" ht="12.75" customHeight="1" x14ac:dyDescent="0.2">
      <c r="A431" s="211"/>
    </row>
    <row r="432" spans="1:1" ht="12.75" customHeight="1" x14ac:dyDescent="0.2">
      <c r="A432" s="211"/>
    </row>
    <row r="433" spans="1:1" ht="12.75" customHeight="1" x14ac:dyDescent="0.2">
      <c r="A433" s="211"/>
    </row>
    <row r="434" spans="1:1" ht="12.75" customHeight="1" x14ac:dyDescent="0.2">
      <c r="A434" s="211"/>
    </row>
    <row r="435" spans="1:1" ht="12.75" customHeight="1" x14ac:dyDescent="0.2">
      <c r="A435" s="211"/>
    </row>
    <row r="436" spans="1:1" ht="12.75" customHeight="1" x14ac:dyDescent="0.2">
      <c r="A436" s="211"/>
    </row>
    <row r="437" spans="1:1" ht="12.75" customHeight="1" x14ac:dyDescent="0.2">
      <c r="A437" s="211"/>
    </row>
    <row r="438" spans="1:1" ht="12.75" customHeight="1" x14ac:dyDescent="0.2">
      <c r="A438" s="211"/>
    </row>
    <row r="439" spans="1:1" ht="12.75" customHeight="1" x14ac:dyDescent="0.2">
      <c r="A439" s="211"/>
    </row>
    <row r="440" spans="1:1" ht="12.75" customHeight="1" x14ac:dyDescent="0.2">
      <c r="A440" s="211"/>
    </row>
    <row r="441" spans="1:1" ht="12.75" customHeight="1" x14ac:dyDescent="0.2">
      <c r="A441" s="211"/>
    </row>
    <row r="442" spans="1:1" ht="12.75" customHeight="1" x14ac:dyDescent="0.2">
      <c r="A442" s="211"/>
    </row>
    <row r="443" spans="1:1" ht="12.75" customHeight="1" x14ac:dyDescent="0.2">
      <c r="A443" s="211"/>
    </row>
    <row r="444" spans="1:1" ht="12.75" customHeight="1" x14ac:dyDescent="0.2">
      <c r="A444" s="211"/>
    </row>
    <row r="445" spans="1:1" ht="12.75" customHeight="1" x14ac:dyDescent="0.2">
      <c r="A445" s="211"/>
    </row>
    <row r="446" spans="1:1" ht="12.75" customHeight="1" x14ac:dyDescent="0.2">
      <c r="A446" s="211"/>
    </row>
    <row r="447" spans="1:1" ht="12.75" customHeight="1" x14ac:dyDescent="0.2">
      <c r="A447" s="211"/>
    </row>
    <row r="448" spans="1:1" ht="12.75" customHeight="1" x14ac:dyDescent="0.2">
      <c r="A448" s="211"/>
    </row>
    <row r="449" spans="1:1" ht="12.75" customHeight="1" x14ac:dyDescent="0.2">
      <c r="A449" s="211"/>
    </row>
    <row r="450" spans="1:1" ht="12.75" customHeight="1" x14ac:dyDescent="0.2">
      <c r="A450" s="211"/>
    </row>
    <row r="451" spans="1:1" ht="12.75" customHeight="1" x14ac:dyDescent="0.2">
      <c r="A451" s="211"/>
    </row>
    <row r="452" spans="1:1" ht="12.75" customHeight="1" x14ac:dyDescent="0.2">
      <c r="A452" s="211"/>
    </row>
    <row r="453" spans="1:1" ht="12.75" customHeight="1" x14ac:dyDescent="0.2">
      <c r="A453" s="211"/>
    </row>
    <row r="454" spans="1:1" ht="12.75" customHeight="1" x14ac:dyDescent="0.2">
      <c r="A454" s="211"/>
    </row>
    <row r="455" spans="1:1" ht="12.75" customHeight="1" x14ac:dyDescent="0.2">
      <c r="A455" s="211"/>
    </row>
    <row r="456" spans="1:1" ht="12.75" customHeight="1" x14ac:dyDescent="0.2">
      <c r="A456" s="211"/>
    </row>
    <row r="457" spans="1:1" ht="12.75" customHeight="1" x14ac:dyDescent="0.2">
      <c r="A457" s="211"/>
    </row>
    <row r="458" spans="1:1" ht="12.75" customHeight="1" x14ac:dyDescent="0.2">
      <c r="A458" s="211"/>
    </row>
    <row r="459" spans="1:1" ht="12.75" customHeight="1" x14ac:dyDescent="0.2">
      <c r="A459" s="211"/>
    </row>
    <row r="460" spans="1:1" ht="12.75" customHeight="1" x14ac:dyDescent="0.2">
      <c r="A460" s="211"/>
    </row>
    <row r="461" spans="1:1" ht="12.75" customHeight="1" x14ac:dyDescent="0.2">
      <c r="A461" s="211"/>
    </row>
    <row r="462" spans="1:1" ht="12.75" customHeight="1" x14ac:dyDescent="0.2">
      <c r="A462" s="211"/>
    </row>
    <row r="463" spans="1:1" ht="12.75" customHeight="1" x14ac:dyDescent="0.2">
      <c r="A463" s="211"/>
    </row>
    <row r="464" spans="1:1" ht="12.75" customHeight="1" x14ac:dyDescent="0.2">
      <c r="A464" s="211"/>
    </row>
    <row r="465" spans="1:1" ht="12.75" customHeight="1" x14ac:dyDescent="0.2">
      <c r="A465" s="211"/>
    </row>
    <row r="466" spans="1:1" ht="12.75" customHeight="1" x14ac:dyDescent="0.2">
      <c r="A466" s="211"/>
    </row>
    <row r="467" spans="1:1" ht="12.75" customHeight="1" x14ac:dyDescent="0.2">
      <c r="A467" s="211"/>
    </row>
    <row r="468" spans="1:1" ht="12.75" customHeight="1" x14ac:dyDescent="0.2">
      <c r="A468" s="211"/>
    </row>
    <row r="469" spans="1:1" ht="12.75" customHeight="1" x14ac:dyDescent="0.2">
      <c r="A469" s="211"/>
    </row>
    <row r="470" spans="1:1" ht="12.75" customHeight="1" x14ac:dyDescent="0.2">
      <c r="A470" s="211"/>
    </row>
    <row r="471" spans="1:1" ht="12.75" customHeight="1" x14ac:dyDescent="0.2">
      <c r="A471" s="211"/>
    </row>
    <row r="472" spans="1:1" ht="12.75" customHeight="1" x14ac:dyDescent="0.2">
      <c r="A472" s="211"/>
    </row>
    <row r="473" spans="1:1" ht="12.75" customHeight="1" x14ac:dyDescent="0.2">
      <c r="A473" s="211"/>
    </row>
    <row r="474" spans="1:1" ht="12.75" customHeight="1" x14ac:dyDescent="0.2">
      <c r="A474" s="211"/>
    </row>
    <row r="475" spans="1:1" ht="12.75" customHeight="1" x14ac:dyDescent="0.2">
      <c r="A475" s="211"/>
    </row>
    <row r="476" spans="1:1" ht="12.75" customHeight="1" x14ac:dyDescent="0.2">
      <c r="A476" s="211"/>
    </row>
    <row r="477" spans="1:1" ht="12.75" customHeight="1" x14ac:dyDescent="0.2">
      <c r="A477" s="211"/>
    </row>
    <row r="478" spans="1:1" ht="12.75" customHeight="1" x14ac:dyDescent="0.2">
      <c r="A478" s="211"/>
    </row>
    <row r="479" spans="1:1" ht="12.75" customHeight="1" x14ac:dyDescent="0.2">
      <c r="A479" s="211"/>
    </row>
    <row r="480" spans="1:1" ht="12.75" customHeight="1" x14ac:dyDescent="0.2">
      <c r="A480" s="211"/>
    </row>
    <row r="481" spans="1:1" ht="12.75" customHeight="1" x14ac:dyDescent="0.2">
      <c r="A481" s="211"/>
    </row>
    <row r="482" spans="1:1" ht="12.75" customHeight="1" x14ac:dyDescent="0.2">
      <c r="A482" s="211"/>
    </row>
    <row r="483" spans="1:1" ht="12.75" customHeight="1" x14ac:dyDescent="0.2">
      <c r="A483" s="211"/>
    </row>
    <row r="484" spans="1:1" ht="12.75" customHeight="1" x14ac:dyDescent="0.2">
      <c r="A484" s="211"/>
    </row>
    <row r="485" spans="1:1" ht="12.75" customHeight="1" x14ac:dyDescent="0.2">
      <c r="A485" s="211"/>
    </row>
    <row r="486" spans="1:1" ht="12.75" customHeight="1" x14ac:dyDescent="0.2">
      <c r="A486" s="211"/>
    </row>
    <row r="487" spans="1:1" ht="12.75" customHeight="1" x14ac:dyDescent="0.2">
      <c r="A487" s="211"/>
    </row>
    <row r="488" spans="1:1" ht="12.75" customHeight="1" x14ac:dyDescent="0.2">
      <c r="A488" s="211"/>
    </row>
    <row r="489" spans="1:1" ht="12.75" customHeight="1" x14ac:dyDescent="0.2">
      <c r="A489" s="211"/>
    </row>
    <row r="490" spans="1:1" ht="12.75" customHeight="1" x14ac:dyDescent="0.2">
      <c r="A490" s="211"/>
    </row>
    <row r="491" spans="1:1" ht="12.75" customHeight="1" x14ac:dyDescent="0.2">
      <c r="A491" s="211"/>
    </row>
    <row r="492" spans="1:1" ht="12.75" customHeight="1" x14ac:dyDescent="0.2">
      <c r="A492" s="211"/>
    </row>
    <row r="493" spans="1:1" ht="12.75" customHeight="1" x14ac:dyDescent="0.2">
      <c r="A493" s="211"/>
    </row>
    <row r="494" spans="1:1" ht="12.75" customHeight="1" x14ac:dyDescent="0.2">
      <c r="A494" s="211"/>
    </row>
    <row r="495" spans="1:1" ht="12.75" customHeight="1" x14ac:dyDescent="0.2">
      <c r="A495" s="211"/>
    </row>
    <row r="496" spans="1:1" ht="12.75" customHeight="1" x14ac:dyDescent="0.2">
      <c r="A496" s="211"/>
    </row>
    <row r="497" spans="1:1" ht="12.75" customHeight="1" x14ac:dyDescent="0.2">
      <c r="A497" s="211"/>
    </row>
    <row r="498" spans="1:1" ht="12.75" customHeight="1" x14ac:dyDescent="0.2">
      <c r="A498" s="211"/>
    </row>
    <row r="499" spans="1:1" ht="12.75" customHeight="1" x14ac:dyDescent="0.2">
      <c r="A499" s="211"/>
    </row>
    <row r="500" spans="1:1" ht="12.75" customHeight="1" x14ac:dyDescent="0.2">
      <c r="A500" s="211"/>
    </row>
    <row r="501" spans="1:1" ht="12.75" customHeight="1" x14ac:dyDescent="0.2">
      <c r="A501" s="211"/>
    </row>
    <row r="502" spans="1:1" ht="12.75" customHeight="1" x14ac:dyDescent="0.2">
      <c r="A502" s="211"/>
    </row>
    <row r="503" spans="1:1" ht="12.75" customHeight="1" x14ac:dyDescent="0.2">
      <c r="A503" s="211"/>
    </row>
    <row r="504" spans="1:1" ht="12.75" customHeight="1" x14ac:dyDescent="0.2">
      <c r="A504" s="211"/>
    </row>
    <row r="505" spans="1:1" ht="12.75" customHeight="1" x14ac:dyDescent="0.2">
      <c r="A505" s="211"/>
    </row>
    <row r="506" spans="1:1" ht="12.75" customHeight="1" x14ac:dyDescent="0.2">
      <c r="A506" s="211"/>
    </row>
    <row r="507" spans="1:1" ht="12.75" customHeight="1" x14ac:dyDescent="0.2">
      <c r="A507" s="211"/>
    </row>
    <row r="508" spans="1:1" ht="12.75" customHeight="1" x14ac:dyDescent="0.2">
      <c r="A508" s="211"/>
    </row>
    <row r="509" spans="1:1" ht="12.75" customHeight="1" x14ac:dyDescent="0.2">
      <c r="A509" s="211"/>
    </row>
    <row r="510" spans="1:1" ht="12.75" customHeight="1" x14ac:dyDescent="0.2">
      <c r="A510" s="211"/>
    </row>
    <row r="511" spans="1:1" ht="12.75" customHeight="1" x14ac:dyDescent="0.2">
      <c r="A511" s="211"/>
    </row>
    <row r="512" spans="1:1" ht="12.75" customHeight="1" x14ac:dyDescent="0.2">
      <c r="A512" s="211"/>
    </row>
    <row r="513" spans="1:1" ht="12.75" customHeight="1" x14ac:dyDescent="0.2">
      <c r="A513" s="211"/>
    </row>
    <row r="514" spans="1:1" ht="12.75" customHeight="1" x14ac:dyDescent="0.2">
      <c r="A514" s="211"/>
    </row>
    <row r="515" spans="1:1" ht="12.75" customHeight="1" x14ac:dyDescent="0.2">
      <c r="A515" s="211"/>
    </row>
    <row r="516" spans="1:1" ht="12.75" customHeight="1" x14ac:dyDescent="0.2">
      <c r="A516" s="211"/>
    </row>
    <row r="517" spans="1:1" ht="12.75" customHeight="1" x14ac:dyDescent="0.2">
      <c r="A517" s="211"/>
    </row>
    <row r="518" spans="1:1" ht="12.75" customHeight="1" x14ac:dyDescent="0.2">
      <c r="A518" s="211"/>
    </row>
    <row r="519" spans="1:1" ht="12.75" customHeight="1" x14ac:dyDescent="0.2">
      <c r="A519" s="211"/>
    </row>
    <row r="520" spans="1:1" ht="12.75" customHeight="1" x14ac:dyDescent="0.2">
      <c r="A520" s="211"/>
    </row>
    <row r="521" spans="1:1" ht="12.75" customHeight="1" x14ac:dyDescent="0.2">
      <c r="A521" s="211"/>
    </row>
    <row r="522" spans="1:1" ht="12.75" customHeight="1" x14ac:dyDescent="0.2">
      <c r="A522" s="211"/>
    </row>
    <row r="523" spans="1:1" ht="12.75" customHeight="1" x14ac:dyDescent="0.2">
      <c r="A523" s="211"/>
    </row>
    <row r="524" spans="1:1" ht="12.75" customHeight="1" x14ac:dyDescent="0.2">
      <c r="A524" s="211"/>
    </row>
    <row r="525" spans="1:1" ht="12.75" customHeight="1" x14ac:dyDescent="0.2">
      <c r="A525" s="211"/>
    </row>
    <row r="526" spans="1:1" ht="12.75" customHeight="1" x14ac:dyDescent="0.2">
      <c r="A526" s="211"/>
    </row>
    <row r="527" spans="1:1" ht="12.75" customHeight="1" x14ac:dyDescent="0.2">
      <c r="A527" s="211"/>
    </row>
    <row r="528" spans="1:1" ht="12.75" customHeight="1" x14ac:dyDescent="0.2">
      <c r="A528" s="211"/>
    </row>
    <row r="529" spans="1:1" ht="12.75" customHeight="1" x14ac:dyDescent="0.2">
      <c r="A529" s="211"/>
    </row>
    <row r="530" spans="1:1" ht="12.75" customHeight="1" x14ac:dyDescent="0.2">
      <c r="A530" s="211"/>
    </row>
    <row r="531" spans="1:1" ht="12.75" customHeight="1" x14ac:dyDescent="0.2">
      <c r="A531" s="211"/>
    </row>
    <row r="532" spans="1:1" ht="12.75" customHeight="1" x14ac:dyDescent="0.2">
      <c r="A532" s="211"/>
    </row>
    <row r="533" spans="1:1" ht="12.75" customHeight="1" x14ac:dyDescent="0.2">
      <c r="A533" s="211"/>
    </row>
    <row r="534" spans="1:1" ht="12.75" customHeight="1" x14ac:dyDescent="0.2">
      <c r="A534" s="211"/>
    </row>
    <row r="535" spans="1:1" ht="12.75" customHeight="1" x14ac:dyDescent="0.2">
      <c r="A535" s="211"/>
    </row>
    <row r="536" spans="1:1" ht="12.75" customHeight="1" x14ac:dyDescent="0.2">
      <c r="A536" s="211"/>
    </row>
    <row r="537" spans="1:1" ht="12.75" customHeight="1" x14ac:dyDescent="0.2">
      <c r="A537" s="211"/>
    </row>
    <row r="538" spans="1:1" ht="12.75" customHeight="1" x14ac:dyDescent="0.2">
      <c r="A538" s="211"/>
    </row>
    <row r="539" spans="1:1" ht="12.75" customHeight="1" x14ac:dyDescent="0.2">
      <c r="A539" s="211"/>
    </row>
    <row r="540" spans="1:1" ht="12.75" customHeight="1" x14ac:dyDescent="0.2">
      <c r="A540" s="211"/>
    </row>
    <row r="541" spans="1:1" ht="12.75" customHeight="1" x14ac:dyDescent="0.2">
      <c r="A541" s="211"/>
    </row>
    <row r="542" spans="1:1" ht="12.75" customHeight="1" x14ac:dyDescent="0.2">
      <c r="A542" s="211"/>
    </row>
    <row r="543" spans="1:1" ht="12.75" customHeight="1" x14ac:dyDescent="0.2">
      <c r="A543" s="211"/>
    </row>
    <row r="544" spans="1:1" ht="12.75" customHeight="1" x14ac:dyDescent="0.2">
      <c r="A544" s="211"/>
    </row>
    <row r="545" spans="1:1" ht="12.75" customHeight="1" x14ac:dyDescent="0.2">
      <c r="A545" s="211"/>
    </row>
    <row r="546" spans="1:1" ht="12.75" customHeight="1" x14ac:dyDescent="0.2">
      <c r="A546" s="211"/>
    </row>
    <row r="547" spans="1:1" ht="12.75" customHeight="1" x14ac:dyDescent="0.2">
      <c r="A547" s="211"/>
    </row>
    <row r="548" spans="1:1" ht="12.75" customHeight="1" x14ac:dyDescent="0.2">
      <c r="A548" s="211"/>
    </row>
    <row r="549" spans="1:1" ht="12.75" customHeight="1" x14ac:dyDescent="0.2">
      <c r="A549" s="211"/>
    </row>
    <row r="550" spans="1:1" ht="12.75" customHeight="1" x14ac:dyDescent="0.2">
      <c r="A550" s="211"/>
    </row>
    <row r="551" spans="1:1" ht="12.75" customHeight="1" x14ac:dyDescent="0.2">
      <c r="A551" s="211"/>
    </row>
    <row r="552" spans="1:1" ht="12.75" customHeight="1" x14ac:dyDescent="0.2">
      <c r="A552" s="211"/>
    </row>
    <row r="553" spans="1:1" ht="12.75" customHeight="1" x14ac:dyDescent="0.2">
      <c r="A553" s="211"/>
    </row>
    <row r="554" spans="1:1" ht="12.75" customHeight="1" x14ac:dyDescent="0.2">
      <c r="A554" s="211"/>
    </row>
    <row r="555" spans="1:1" ht="12.75" customHeight="1" x14ac:dyDescent="0.2">
      <c r="A555" s="211"/>
    </row>
    <row r="556" spans="1:1" ht="12.75" customHeight="1" x14ac:dyDescent="0.2">
      <c r="A556" s="211"/>
    </row>
    <row r="557" spans="1:1" ht="12.75" customHeight="1" x14ac:dyDescent="0.2">
      <c r="A557" s="211"/>
    </row>
    <row r="558" spans="1:1" ht="12.75" customHeight="1" x14ac:dyDescent="0.2">
      <c r="A558" s="211"/>
    </row>
    <row r="559" spans="1:1" ht="12.75" customHeight="1" x14ac:dyDescent="0.2">
      <c r="A559" s="211"/>
    </row>
    <row r="560" spans="1:1" ht="12.75" customHeight="1" x14ac:dyDescent="0.2">
      <c r="A560" s="211"/>
    </row>
    <row r="561" spans="1:1" ht="12.75" customHeight="1" x14ac:dyDescent="0.2">
      <c r="A561" s="211"/>
    </row>
    <row r="562" spans="1:1" ht="12.75" customHeight="1" x14ac:dyDescent="0.2">
      <c r="A562" s="211"/>
    </row>
    <row r="563" spans="1:1" ht="12.75" customHeight="1" x14ac:dyDescent="0.2">
      <c r="A563" s="211"/>
    </row>
    <row r="564" spans="1:1" ht="12.75" customHeight="1" x14ac:dyDescent="0.2">
      <c r="A564" s="211"/>
    </row>
    <row r="565" spans="1:1" ht="12.75" customHeight="1" x14ac:dyDescent="0.2">
      <c r="A565" s="211"/>
    </row>
    <row r="566" spans="1:1" ht="12.75" customHeight="1" x14ac:dyDescent="0.2">
      <c r="A566" s="211"/>
    </row>
    <row r="567" spans="1:1" ht="12.75" customHeight="1" x14ac:dyDescent="0.2">
      <c r="A567" s="211"/>
    </row>
    <row r="568" spans="1:1" ht="12.75" customHeight="1" x14ac:dyDescent="0.2">
      <c r="A568" s="211"/>
    </row>
    <row r="569" spans="1:1" ht="12.75" customHeight="1" x14ac:dyDescent="0.2">
      <c r="A569" s="211"/>
    </row>
    <row r="570" spans="1:1" ht="12.75" customHeight="1" x14ac:dyDescent="0.2">
      <c r="A570" s="211"/>
    </row>
    <row r="571" spans="1:1" ht="12.75" customHeight="1" x14ac:dyDescent="0.2">
      <c r="A571" s="211"/>
    </row>
    <row r="572" spans="1:1" ht="12.75" customHeight="1" x14ac:dyDescent="0.2">
      <c r="A572" s="211"/>
    </row>
    <row r="573" spans="1:1" ht="12.75" customHeight="1" x14ac:dyDescent="0.2">
      <c r="A573" s="211"/>
    </row>
    <row r="574" spans="1:1" ht="12.75" customHeight="1" x14ac:dyDescent="0.2">
      <c r="A574" s="211"/>
    </row>
    <row r="575" spans="1:1" ht="12.75" customHeight="1" x14ac:dyDescent="0.2">
      <c r="A575" s="211"/>
    </row>
    <row r="576" spans="1:1" ht="12.75" customHeight="1" x14ac:dyDescent="0.2">
      <c r="A576" s="211"/>
    </row>
    <row r="577" spans="1:1" ht="12.75" customHeight="1" x14ac:dyDescent="0.2">
      <c r="A577" s="211"/>
    </row>
    <row r="578" spans="1:1" ht="12.75" customHeight="1" x14ac:dyDescent="0.2">
      <c r="A578" s="211"/>
    </row>
    <row r="579" spans="1:1" ht="12.75" customHeight="1" x14ac:dyDescent="0.2">
      <c r="A579" s="211"/>
    </row>
    <row r="580" spans="1:1" ht="12.75" customHeight="1" x14ac:dyDescent="0.2">
      <c r="A580" s="211"/>
    </row>
    <row r="581" spans="1:1" ht="12.75" customHeight="1" x14ac:dyDescent="0.2">
      <c r="A581" s="211"/>
    </row>
    <row r="582" spans="1:1" ht="12.75" customHeight="1" x14ac:dyDescent="0.2">
      <c r="A582" s="211"/>
    </row>
    <row r="583" spans="1:1" ht="12.75" customHeight="1" x14ac:dyDescent="0.2">
      <c r="A583" s="211"/>
    </row>
    <row r="584" spans="1:1" ht="12.75" customHeight="1" x14ac:dyDescent="0.2">
      <c r="A584" s="211"/>
    </row>
    <row r="585" spans="1:1" ht="12.75" customHeight="1" x14ac:dyDescent="0.2">
      <c r="A585" s="211"/>
    </row>
    <row r="586" spans="1:1" ht="12.75" customHeight="1" x14ac:dyDescent="0.2">
      <c r="A586" s="211"/>
    </row>
    <row r="587" spans="1:1" ht="12.75" customHeight="1" x14ac:dyDescent="0.2">
      <c r="A587" s="211"/>
    </row>
    <row r="588" spans="1:1" ht="12.75" customHeight="1" x14ac:dyDescent="0.2">
      <c r="A588" s="211"/>
    </row>
    <row r="589" spans="1:1" ht="12.75" customHeight="1" x14ac:dyDescent="0.2">
      <c r="A589" s="211"/>
    </row>
    <row r="590" spans="1:1" ht="12.75" customHeight="1" x14ac:dyDescent="0.2">
      <c r="A590" s="211"/>
    </row>
    <row r="591" spans="1:1" ht="12.75" customHeight="1" x14ac:dyDescent="0.2">
      <c r="A591" s="211"/>
    </row>
    <row r="592" spans="1:1" ht="12.75" customHeight="1" x14ac:dyDescent="0.2">
      <c r="A592" s="211"/>
    </row>
    <row r="593" spans="1:1" ht="12.75" customHeight="1" x14ac:dyDescent="0.2">
      <c r="A593" s="211"/>
    </row>
    <row r="594" spans="1:1" ht="12.75" customHeight="1" x14ac:dyDescent="0.2">
      <c r="A594" s="211"/>
    </row>
    <row r="595" spans="1:1" ht="12.75" customHeight="1" x14ac:dyDescent="0.2">
      <c r="A595" s="211"/>
    </row>
    <row r="596" spans="1:1" ht="12.75" customHeight="1" x14ac:dyDescent="0.2">
      <c r="A596" s="211"/>
    </row>
    <row r="597" spans="1:1" ht="12.75" customHeight="1" x14ac:dyDescent="0.2">
      <c r="A597" s="211"/>
    </row>
    <row r="598" spans="1:1" ht="12.75" customHeight="1" x14ac:dyDescent="0.2">
      <c r="A598" s="211"/>
    </row>
    <row r="599" spans="1:1" ht="12.75" customHeight="1" x14ac:dyDescent="0.2">
      <c r="A599" s="211"/>
    </row>
    <row r="600" spans="1:1" ht="12.75" customHeight="1" x14ac:dyDescent="0.2">
      <c r="A600" s="211"/>
    </row>
    <row r="601" spans="1:1" ht="12.75" customHeight="1" x14ac:dyDescent="0.2">
      <c r="A601" s="211"/>
    </row>
    <row r="602" spans="1:1" ht="12.75" customHeight="1" x14ac:dyDescent="0.2">
      <c r="A602" s="211"/>
    </row>
    <row r="603" spans="1:1" ht="12.75" customHeight="1" x14ac:dyDescent="0.2">
      <c r="A603" s="211"/>
    </row>
    <row r="604" spans="1:1" ht="12.75" customHeight="1" x14ac:dyDescent="0.2">
      <c r="A604" s="211"/>
    </row>
    <row r="605" spans="1:1" ht="12.75" customHeight="1" x14ac:dyDescent="0.2">
      <c r="A605" s="211"/>
    </row>
    <row r="606" spans="1:1" ht="12.75" customHeight="1" x14ac:dyDescent="0.2">
      <c r="A606" s="211"/>
    </row>
    <row r="607" spans="1:1" ht="12.75" customHeight="1" x14ac:dyDescent="0.2">
      <c r="A607" s="211"/>
    </row>
    <row r="608" spans="1:1" ht="12.75" customHeight="1" x14ac:dyDescent="0.2">
      <c r="A608" s="211"/>
    </row>
    <row r="609" spans="1:1" ht="12.75" customHeight="1" x14ac:dyDescent="0.2">
      <c r="A609" s="211"/>
    </row>
    <row r="610" spans="1:1" ht="12.75" customHeight="1" x14ac:dyDescent="0.2">
      <c r="A610" s="211"/>
    </row>
    <row r="611" spans="1:1" ht="12.75" customHeight="1" x14ac:dyDescent="0.2">
      <c r="A611" s="211"/>
    </row>
    <row r="612" spans="1:1" ht="12.75" customHeight="1" x14ac:dyDescent="0.2">
      <c r="A612" s="211"/>
    </row>
    <row r="613" spans="1:1" ht="12.75" customHeight="1" x14ac:dyDescent="0.2">
      <c r="A613" s="211"/>
    </row>
    <row r="614" spans="1:1" ht="12.75" customHeight="1" x14ac:dyDescent="0.2">
      <c r="A614" s="211"/>
    </row>
    <row r="615" spans="1:1" ht="12.75" customHeight="1" x14ac:dyDescent="0.2">
      <c r="A615" s="211"/>
    </row>
    <row r="616" spans="1:1" ht="12.75" customHeight="1" x14ac:dyDescent="0.2">
      <c r="A616" s="211"/>
    </row>
    <row r="617" spans="1:1" ht="12.75" customHeight="1" x14ac:dyDescent="0.2">
      <c r="A617" s="211"/>
    </row>
    <row r="618" spans="1:1" ht="12.75" customHeight="1" x14ac:dyDescent="0.2">
      <c r="A618" s="211"/>
    </row>
    <row r="619" spans="1:1" ht="12.75" customHeight="1" x14ac:dyDescent="0.2">
      <c r="A619" s="211"/>
    </row>
    <row r="620" spans="1:1" ht="12.75" customHeight="1" x14ac:dyDescent="0.2">
      <c r="A620" s="211"/>
    </row>
    <row r="621" spans="1:1" ht="12.75" customHeight="1" x14ac:dyDescent="0.2">
      <c r="A621" s="211"/>
    </row>
    <row r="622" spans="1:1" ht="12.75" customHeight="1" x14ac:dyDescent="0.2">
      <c r="A622" s="211"/>
    </row>
    <row r="623" spans="1:1" ht="12.75" customHeight="1" x14ac:dyDescent="0.2">
      <c r="A623" s="211"/>
    </row>
    <row r="624" spans="1:1" ht="12.75" customHeight="1" x14ac:dyDescent="0.2">
      <c r="A624" s="211"/>
    </row>
    <row r="625" spans="1:1" ht="12.75" customHeight="1" x14ac:dyDescent="0.2">
      <c r="A625" s="211"/>
    </row>
    <row r="626" spans="1:1" ht="12.75" customHeight="1" x14ac:dyDescent="0.2">
      <c r="A626" s="211"/>
    </row>
    <row r="627" spans="1:1" ht="12.75" customHeight="1" x14ac:dyDescent="0.2">
      <c r="A627" s="211"/>
    </row>
    <row r="628" spans="1:1" ht="12.75" customHeight="1" x14ac:dyDescent="0.2">
      <c r="A628" s="211"/>
    </row>
    <row r="629" spans="1:1" ht="12.75" customHeight="1" x14ac:dyDescent="0.2">
      <c r="A629" s="211"/>
    </row>
    <row r="630" spans="1:1" ht="12.75" customHeight="1" x14ac:dyDescent="0.2">
      <c r="A630" s="211"/>
    </row>
    <row r="631" spans="1:1" ht="12.75" customHeight="1" x14ac:dyDescent="0.2">
      <c r="A631" s="211"/>
    </row>
    <row r="632" spans="1:1" ht="12.75" customHeight="1" x14ac:dyDescent="0.2">
      <c r="A632" s="211"/>
    </row>
    <row r="633" spans="1:1" ht="12.75" customHeight="1" x14ac:dyDescent="0.2">
      <c r="A633" s="211"/>
    </row>
    <row r="634" spans="1:1" ht="12.75" customHeight="1" x14ac:dyDescent="0.2">
      <c r="A634" s="211"/>
    </row>
    <row r="635" spans="1:1" ht="12.75" customHeight="1" x14ac:dyDescent="0.2">
      <c r="A635" s="211"/>
    </row>
    <row r="636" spans="1:1" ht="12.75" customHeight="1" x14ac:dyDescent="0.2">
      <c r="A636" s="211"/>
    </row>
    <row r="637" spans="1:1" ht="12.75" customHeight="1" x14ac:dyDescent="0.2">
      <c r="A637" s="211"/>
    </row>
    <row r="638" spans="1:1" ht="12.75" customHeight="1" x14ac:dyDescent="0.2">
      <c r="A638" s="211"/>
    </row>
    <row r="639" spans="1:1" ht="12.75" customHeight="1" x14ac:dyDescent="0.2">
      <c r="A639" s="211"/>
    </row>
    <row r="640" spans="1:1" ht="12.75" customHeight="1" x14ac:dyDescent="0.2">
      <c r="A640" s="211"/>
    </row>
    <row r="641" spans="1:1" ht="12.75" customHeight="1" x14ac:dyDescent="0.2">
      <c r="A641" s="211"/>
    </row>
    <row r="642" spans="1:1" ht="12.75" customHeight="1" x14ac:dyDescent="0.2">
      <c r="A642" s="211"/>
    </row>
    <row r="643" spans="1:1" ht="12.75" customHeight="1" x14ac:dyDescent="0.2">
      <c r="A643" s="211"/>
    </row>
    <row r="644" spans="1:1" ht="12.75" customHeight="1" x14ac:dyDescent="0.2">
      <c r="A644" s="211"/>
    </row>
    <row r="645" spans="1:1" ht="12.75" customHeight="1" x14ac:dyDescent="0.2">
      <c r="A645" s="211"/>
    </row>
    <row r="646" spans="1:1" ht="12.75" customHeight="1" x14ac:dyDescent="0.2">
      <c r="A646" s="211"/>
    </row>
    <row r="647" spans="1:1" ht="12.75" customHeight="1" x14ac:dyDescent="0.2">
      <c r="A647" s="211"/>
    </row>
    <row r="648" spans="1:1" ht="12.75" customHeight="1" x14ac:dyDescent="0.2">
      <c r="A648" s="211"/>
    </row>
    <row r="649" spans="1:1" ht="12.75" customHeight="1" x14ac:dyDescent="0.2">
      <c r="A649" s="211"/>
    </row>
    <row r="650" spans="1:1" ht="12.75" customHeight="1" x14ac:dyDescent="0.2">
      <c r="A650" s="211"/>
    </row>
    <row r="651" spans="1:1" ht="12.75" customHeight="1" x14ac:dyDescent="0.2">
      <c r="A651" s="211"/>
    </row>
    <row r="652" spans="1:1" ht="12.75" customHeight="1" x14ac:dyDescent="0.2">
      <c r="A652" s="211"/>
    </row>
    <row r="653" spans="1:1" ht="12.75" customHeight="1" x14ac:dyDescent="0.2">
      <c r="A653" s="211"/>
    </row>
    <row r="654" spans="1:1" ht="12.75" customHeight="1" x14ac:dyDescent="0.2">
      <c r="A654" s="211"/>
    </row>
    <row r="655" spans="1:1" ht="12.75" customHeight="1" x14ac:dyDescent="0.2">
      <c r="A655" s="211"/>
    </row>
    <row r="656" spans="1:1" ht="12.75" customHeight="1" x14ac:dyDescent="0.2">
      <c r="A656" s="211"/>
    </row>
    <row r="657" spans="1:1" ht="12.75" customHeight="1" x14ac:dyDescent="0.2">
      <c r="A657" s="211"/>
    </row>
    <row r="658" spans="1:1" ht="12.75" customHeight="1" x14ac:dyDescent="0.2">
      <c r="A658" s="211"/>
    </row>
    <row r="659" spans="1:1" ht="12.75" customHeight="1" x14ac:dyDescent="0.2">
      <c r="A659" s="211"/>
    </row>
    <row r="660" spans="1:1" ht="12.75" customHeight="1" x14ac:dyDescent="0.2">
      <c r="A660" s="211"/>
    </row>
    <row r="661" spans="1:1" ht="12.75" customHeight="1" x14ac:dyDescent="0.2">
      <c r="A661" s="211"/>
    </row>
    <row r="662" spans="1:1" ht="12.75" customHeight="1" x14ac:dyDescent="0.2">
      <c r="A662" s="211"/>
    </row>
    <row r="663" spans="1:1" ht="12.75" customHeight="1" x14ac:dyDescent="0.2">
      <c r="A663" s="211"/>
    </row>
    <row r="664" spans="1:1" ht="12.75" customHeight="1" x14ac:dyDescent="0.2">
      <c r="A664" s="211"/>
    </row>
    <row r="665" spans="1:1" ht="12.75" customHeight="1" x14ac:dyDescent="0.2">
      <c r="A665" s="211"/>
    </row>
    <row r="666" spans="1:1" ht="12.75" customHeight="1" x14ac:dyDescent="0.2">
      <c r="A666" s="211"/>
    </row>
    <row r="667" spans="1:1" ht="12.75" customHeight="1" x14ac:dyDescent="0.2">
      <c r="A667" s="211"/>
    </row>
    <row r="668" spans="1:1" ht="12.75" customHeight="1" x14ac:dyDescent="0.2">
      <c r="A668" s="211"/>
    </row>
    <row r="669" spans="1:1" ht="12.75" customHeight="1" x14ac:dyDescent="0.2">
      <c r="A669" s="211"/>
    </row>
    <row r="670" spans="1:1" ht="12.75" customHeight="1" x14ac:dyDescent="0.2">
      <c r="A670" s="211"/>
    </row>
    <row r="671" spans="1:1" ht="12.75" customHeight="1" x14ac:dyDescent="0.2">
      <c r="A671" s="211"/>
    </row>
    <row r="672" spans="1:1" ht="12.75" customHeight="1" x14ac:dyDescent="0.2">
      <c r="A672" s="211"/>
    </row>
    <row r="673" spans="1:1" ht="12.75" customHeight="1" x14ac:dyDescent="0.2">
      <c r="A673" s="211"/>
    </row>
    <row r="674" spans="1:1" ht="12.75" customHeight="1" x14ac:dyDescent="0.2">
      <c r="A674" s="211"/>
    </row>
    <row r="675" spans="1:1" ht="12.75" customHeight="1" x14ac:dyDescent="0.2">
      <c r="A675" s="211"/>
    </row>
    <row r="676" spans="1:1" ht="12.75" customHeight="1" x14ac:dyDescent="0.2">
      <c r="A676" s="211"/>
    </row>
    <row r="677" spans="1:1" ht="12.75" customHeight="1" x14ac:dyDescent="0.2">
      <c r="A677" s="211"/>
    </row>
    <row r="678" spans="1:1" ht="12.75" customHeight="1" x14ac:dyDescent="0.2">
      <c r="A678" s="211"/>
    </row>
    <row r="679" spans="1:1" ht="12.75" customHeight="1" x14ac:dyDescent="0.2">
      <c r="A679" s="211"/>
    </row>
    <row r="680" spans="1:1" ht="12.75" customHeight="1" x14ac:dyDescent="0.2">
      <c r="A680" s="211"/>
    </row>
    <row r="681" spans="1:1" ht="12.75" customHeight="1" x14ac:dyDescent="0.2">
      <c r="A681" s="211"/>
    </row>
    <row r="682" spans="1:1" ht="12.75" customHeight="1" x14ac:dyDescent="0.2">
      <c r="A682" s="211"/>
    </row>
    <row r="683" spans="1:1" ht="12.75" customHeight="1" x14ac:dyDescent="0.2">
      <c r="A683" s="211"/>
    </row>
    <row r="684" spans="1:1" ht="12.75" customHeight="1" x14ac:dyDescent="0.2">
      <c r="A684" s="211"/>
    </row>
    <row r="685" spans="1:1" ht="12.75" customHeight="1" x14ac:dyDescent="0.2">
      <c r="A685" s="211"/>
    </row>
    <row r="686" spans="1:1" ht="12.75" customHeight="1" x14ac:dyDescent="0.2">
      <c r="A686" s="211"/>
    </row>
    <row r="687" spans="1:1" ht="12.75" customHeight="1" x14ac:dyDescent="0.2">
      <c r="A687" s="211"/>
    </row>
    <row r="688" spans="1:1" ht="12.75" customHeight="1" x14ac:dyDescent="0.2">
      <c r="A688" s="211"/>
    </row>
    <row r="689" spans="1:1" ht="12.75" customHeight="1" x14ac:dyDescent="0.2">
      <c r="A689" s="211"/>
    </row>
    <row r="690" spans="1:1" ht="12.75" customHeight="1" x14ac:dyDescent="0.2">
      <c r="A690" s="211"/>
    </row>
    <row r="691" spans="1:1" ht="12.75" customHeight="1" x14ac:dyDescent="0.2">
      <c r="A691" s="211"/>
    </row>
    <row r="692" spans="1:1" ht="12.75" customHeight="1" x14ac:dyDescent="0.2">
      <c r="A692" s="211"/>
    </row>
    <row r="693" spans="1:1" ht="12.75" customHeight="1" x14ac:dyDescent="0.2">
      <c r="A693" s="211"/>
    </row>
    <row r="694" spans="1:1" ht="12.75" customHeight="1" x14ac:dyDescent="0.2">
      <c r="A694" s="211"/>
    </row>
    <row r="695" spans="1:1" ht="12.75" customHeight="1" x14ac:dyDescent="0.2">
      <c r="A695" s="211"/>
    </row>
    <row r="696" spans="1:1" ht="12.75" customHeight="1" x14ac:dyDescent="0.2">
      <c r="A696" s="211"/>
    </row>
    <row r="697" spans="1:1" ht="12.75" customHeight="1" x14ac:dyDescent="0.2">
      <c r="A697" s="211"/>
    </row>
    <row r="698" spans="1:1" ht="12.75" customHeight="1" x14ac:dyDescent="0.2">
      <c r="A698" s="211"/>
    </row>
    <row r="699" spans="1:1" ht="12.75" customHeight="1" x14ac:dyDescent="0.2">
      <c r="A699" s="211"/>
    </row>
    <row r="700" spans="1:1" ht="12.75" customHeight="1" x14ac:dyDescent="0.2">
      <c r="A700" s="211"/>
    </row>
    <row r="701" spans="1:1" ht="12.75" customHeight="1" x14ac:dyDescent="0.2">
      <c r="A701" s="211"/>
    </row>
    <row r="702" spans="1:1" ht="12.75" customHeight="1" x14ac:dyDescent="0.2">
      <c r="A702" s="211"/>
    </row>
    <row r="703" spans="1:1" ht="12.75" customHeight="1" x14ac:dyDescent="0.2">
      <c r="A703" s="211"/>
    </row>
    <row r="704" spans="1:1" ht="12.75" customHeight="1" x14ac:dyDescent="0.2">
      <c r="A704" s="211"/>
    </row>
    <row r="705" spans="1:1" ht="12.75" customHeight="1" x14ac:dyDescent="0.2">
      <c r="A705" s="211"/>
    </row>
    <row r="706" spans="1:1" ht="12.75" customHeight="1" x14ac:dyDescent="0.2">
      <c r="A706" s="211"/>
    </row>
    <row r="707" spans="1:1" ht="12.75" customHeight="1" x14ac:dyDescent="0.2">
      <c r="A707" s="211"/>
    </row>
    <row r="708" spans="1:1" ht="12.75" customHeight="1" x14ac:dyDescent="0.2">
      <c r="A708" s="211"/>
    </row>
    <row r="709" spans="1:1" ht="12.75" customHeight="1" x14ac:dyDescent="0.2">
      <c r="A709" s="211"/>
    </row>
    <row r="710" spans="1:1" ht="12.75" customHeight="1" x14ac:dyDescent="0.2">
      <c r="A710" s="211"/>
    </row>
    <row r="711" spans="1:1" ht="12.75" customHeight="1" x14ac:dyDescent="0.2">
      <c r="A711" s="211"/>
    </row>
    <row r="712" spans="1:1" ht="12.75" customHeight="1" x14ac:dyDescent="0.2">
      <c r="A712" s="211"/>
    </row>
    <row r="713" spans="1:1" ht="12.75" customHeight="1" x14ac:dyDescent="0.2">
      <c r="A713" s="211"/>
    </row>
    <row r="714" spans="1:1" ht="12.75" customHeight="1" x14ac:dyDescent="0.2">
      <c r="A714" s="211"/>
    </row>
    <row r="715" spans="1:1" ht="12.75" customHeight="1" x14ac:dyDescent="0.2">
      <c r="A715" s="211"/>
    </row>
    <row r="716" spans="1:1" ht="12.75" customHeight="1" x14ac:dyDescent="0.2">
      <c r="A716" s="211"/>
    </row>
    <row r="717" spans="1:1" ht="12.75" customHeight="1" x14ac:dyDescent="0.2">
      <c r="A717" s="211"/>
    </row>
    <row r="718" spans="1:1" ht="12.75" customHeight="1" x14ac:dyDescent="0.2">
      <c r="A718" s="211"/>
    </row>
    <row r="719" spans="1:1" ht="12.75" customHeight="1" x14ac:dyDescent="0.2">
      <c r="A719" s="211"/>
    </row>
    <row r="720" spans="1:1" ht="12.75" customHeight="1" x14ac:dyDescent="0.2">
      <c r="A720" s="211"/>
    </row>
    <row r="721" spans="1:1" ht="12.75" customHeight="1" x14ac:dyDescent="0.2">
      <c r="A721" s="211"/>
    </row>
    <row r="722" spans="1:1" ht="12.75" customHeight="1" x14ac:dyDescent="0.2">
      <c r="A722" s="211"/>
    </row>
    <row r="723" spans="1:1" ht="12.75" customHeight="1" x14ac:dyDescent="0.2">
      <c r="A723" s="211"/>
    </row>
    <row r="724" spans="1:1" ht="12.75" customHeight="1" x14ac:dyDescent="0.2">
      <c r="A724" s="211"/>
    </row>
    <row r="725" spans="1:1" ht="12.75" customHeight="1" x14ac:dyDescent="0.2">
      <c r="A725" s="211"/>
    </row>
    <row r="726" spans="1:1" ht="12.75" customHeight="1" x14ac:dyDescent="0.2">
      <c r="A726" s="211"/>
    </row>
    <row r="727" spans="1:1" ht="12.75" customHeight="1" x14ac:dyDescent="0.2">
      <c r="A727" s="211"/>
    </row>
    <row r="728" spans="1:1" ht="12.75" customHeight="1" x14ac:dyDescent="0.2">
      <c r="A728" s="211"/>
    </row>
    <row r="729" spans="1:1" ht="12.75" customHeight="1" x14ac:dyDescent="0.2">
      <c r="A729" s="211"/>
    </row>
    <row r="730" spans="1:1" ht="12.75" customHeight="1" x14ac:dyDescent="0.2">
      <c r="A730" s="211"/>
    </row>
    <row r="731" spans="1:1" ht="12.75" customHeight="1" x14ac:dyDescent="0.2">
      <c r="A731" s="211"/>
    </row>
    <row r="732" spans="1:1" ht="12.75" customHeight="1" x14ac:dyDescent="0.2">
      <c r="A732" s="211"/>
    </row>
    <row r="733" spans="1:1" ht="12.75" customHeight="1" x14ac:dyDescent="0.2">
      <c r="A733" s="211"/>
    </row>
    <row r="734" spans="1:1" ht="12.75" customHeight="1" x14ac:dyDescent="0.2">
      <c r="A734" s="211"/>
    </row>
    <row r="735" spans="1:1" ht="12.75" customHeight="1" x14ac:dyDescent="0.2">
      <c r="A735" s="211"/>
    </row>
    <row r="736" spans="1:1" ht="12.75" customHeight="1" x14ac:dyDescent="0.2">
      <c r="A736" s="211"/>
    </row>
    <row r="737" spans="1:1" ht="12.75" customHeight="1" x14ac:dyDescent="0.2">
      <c r="A737" s="211"/>
    </row>
    <row r="738" spans="1:1" ht="12.75" customHeight="1" x14ac:dyDescent="0.2">
      <c r="A738" s="211"/>
    </row>
    <row r="739" spans="1:1" ht="12.75" customHeight="1" x14ac:dyDescent="0.2">
      <c r="A739" s="211"/>
    </row>
    <row r="740" spans="1:1" ht="12.75" customHeight="1" x14ac:dyDescent="0.2">
      <c r="A740" s="211"/>
    </row>
    <row r="741" spans="1:1" ht="12.75" customHeight="1" x14ac:dyDescent="0.2">
      <c r="A741" s="211"/>
    </row>
    <row r="742" spans="1:1" ht="12.75" customHeight="1" x14ac:dyDescent="0.2">
      <c r="A742" s="211"/>
    </row>
    <row r="743" spans="1:1" ht="12.75" customHeight="1" x14ac:dyDescent="0.2">
      <c r="A743" s="211"/>
    </row>
    <row r="744" spans="1:1" ht="12.75" customHeight="1" x14ac:dyDescent="0.2">
      <c r="A744" s="211"/>
    </row>
    <row r="745" spans="1:1" ht="12.75" customHeight="1" x14ac:dyDescent="0.2">
      <c r="A745" s="211"/>
    </row>
    <row r="746" spans="1:1" ht="12.75" customHeight="1" x14ac:dyDescent="0.2">
      <c r="A746" s="211"/>
    </row>
    <row r="747" spans="1:1" ht="12.75" customHeight="1" x14ac:dyDescent="0.2">
      <c r="A747" s="211"/>
    </row>
    <row r="748" spans="1:1" ht="12.75" customHeight="1" x14ac:dyDescent="0.2">
      <c r="A748" s="211"/>
    </row>
    <row r="749" spans="1:1" ht="12.75" customHeight="1" x14ac:dyDescent="0.2">
      <c r="A749" s="211"/>
    </row>
    <row r="750" spans="1:1" ht="12.75" customHeight="1" x14ac:dyDescent="0.2">
      <c r="A750" s="211"/>
    </row>
    <row r="751" spans="1:1" ht="12.75" customHeight="1" x14ac:dyDescent="0.2">
      <c r="A751" s="211"/>
    </row>
    <row r="752" spans="1:1" ht="12.75" customHeight="1" x14ac:dyDescent="0.2">
      <c r="A752" s="211"/>
    </row>
    <row r="753" spans="1:1" ht="12.75" customHeight="1" x14ac:dyDescent="0.2">
      <c r="A753" s="211"/>
    </row>
    <row r="754" spans="1:1" ht="12.75" customHeight="1" x14ac:dyDescent="0.2">
      <c r="A754" s="211"/>
    </row>
    <row r="755" spans="1:1" ht="12.75" customHeight="1" x14ac:dyDescent="0.2">
      <c r="A755" s="211"/>
    </row>
    <row r="756" spans="1:1" ht="12.75" customHeight="1" x14ac:dyDescent="0.2">
      <c r="A756" s="211"/>
    </row>
    <row r="757" spans="1:1" ht="12.75" customHeight="1" x14ac:dyDescent="0.2">
      <c r="A757" s="211"/>
    </row>
    <row r="758" spans="1:1" ht="12.75" customHeight="1" x14ac:dyDescent="0.2">
      <c r="A758" s="211"/>
    </row>
    <row r="759" spans="1:1" ht="12.75" customHeight="1" x14ac:dyDescent="0.2">
      <c r="A759" s="211"/>
    </row>
    <row r="760" spans="1:1" ht="12.75" customHeight="1" x14ac:dyDescent="0.2">
      <c r="A760" s="211"/>
    </row>
    <row r="761" spans="1:1" ht="12.75" customHeight="1" x14ac:dyDescent="0.2">
      <c r="A761" s="211"/>
    </row>
    <row r="762" spans="1:1" ht="12.75" customHeight="1" x14ac:dyDescent="0.2">
      <c r="A762" s="211"/>
    </row>
    <row r="763" spans="1:1" ht="12.75" customHeight="1" x14ac:dyDescent="0.2">
      <c r="A763" s="211"/>
    </row>
    <row r="764" spans="1:1" ht="12.75" customHeight="1" x14ac:dyDescent="0.2">
      <c r="A764" s="211"/>
    </row>
    <row r="765" spans="1:1" ht="12.75" customHeight="1" x14ac:dyDescent="0.2">
      <c r="A765" s="211"/>
    </row>
    <row r="766" spans="1:1" ht="12.75" customHeight="1" x14ac:dyDescent="0.2">
      <c r="A766" s="211"/>
    </row>
    <row r="767" spans="1:1" ht="12.75" customHeight="1" x14ac:dyDescent="0.2">
      <c r="A767" s="211"/>
    </row>
    <row r="768" spans="1:1" ht="12.75" customHeight="1" x14ac:dyDescent="0.2">
      <c r="A768" s="211"/>
    </row>
    <row r="769" spans="1:1" ht="12.75" customHeight="1" x14ac:dyDescent="0.2">
      <c r="A769" s="211"/>
    </row>
    <row r="770" spans="1:1" ht="12.75" customHeight="1" x14ac:dyDescent="0.2">
      <c r="A770" s="211"/>
    </row>
    <row r="771" spans="1:1" ht="12.75" customHeight="1" x14ac:dyDescent="0.2">
      <c r="A771" s="211"/>
    </row>
    <row r="772" spans="1:1" ht="12.75" customHeight="1" x14ac:dyDescent="0.2">
      <c r="A772" s="211"/>
    </row>
    <row r="773" spans="1:1" ht="12.75" customHeight="1" x14ac:dyDescent="0.2">
      <c r="A773" s="211"/>
    </row>
    <row r="774" spans="1:1" ht="12.75" customHeight="1" x14ac:dyDescent="0.2">
      <c r="A774" s="211"/>
    </row>
    <row r="775" spans="1:1" ht="12.75" customHeight="1" x14ac:dyDescent="0.2">
      <c r="A775" s="211"/>
    </row>
    <row r="776" spans="1:1" ht="12.75" customHeight="1" x14ac:dyDescent="0.2">
      <c r="A776" s="211"/>
    </row>
    <row r="777" spans="1:1" ht="12.75" customHeight="1" x14ac:dyDescent="0.2">
      <c r="A777" s="211"/>
    </row>
    <row r="778" spans="1:1" ht="12.75" customHeight="1" x14ac:dyDescent="0.2">
      <c r="A778" s="211"/>
    </row>
    <row r="779" spans="1:1" ht="12.75" customHeight="1" x14ac:dyDescent="0.2">
      <c r="A779" s="211"/>
    </row>
    <row r="780" spans="1:1" ht="12.75" customHeight="1" x14ac:dyDescent="0.2">
      <c r="A780" s="211"/>
    </row>
    <row r="781" spans="1:1" ht="12.75" customHeight="1" x14ac:dyDescent="0.2">
      <c r="A781" s="211"/>
    </row>
    <row r="782" spans="1:1" ht="12.75" customHeight="1" x14ac:dyDescent="0.2">
      <c r="A782" s="211"/>
    </row>
    <row r="783" spans="1:1" ht="12.75" customHeight="1" x14ac:dyDescent="0.2">
      <c r="A783" s="211"/>
    </row>
    <row r="784" spans="1:1" ht="12.75" customHeight="1" x14ac:dyDescent="0.2">
      <c r="A784" s="211"/>
    </row>
    <row r="785" spans="1:1" ht="12.75" customHeight="1" x14ac:dyDescent="0.2">
      <c r="A785" s="211"/>
    </row>
    <row r="786" spans="1:1" ht="12.75" customHeight="1" x14ac:dyDescent="0.2">
      <c r="A786" s="211"/>
    </row>
    <row r="787" spans="1:1" ht="12.75" customHeight="1" x14ac:dyDescent="0.2">
      <c r="A787" s="211"/>
    </row>
    <row r="788" spans="1:1" ht="12.75" customHeight="1" x14ac:dyDescent="0.2">
      <c r="A788" s="211"/>
    </row>
    <row r="789" spans="1:1" ht="12.75" customHeight="1" x14ac:dyDescent="0.2">
      <c r="A789" s="211"/>
    </row>
    <row r="790" spans="1:1" ht="12.75" customHeight="1" x14ac:dyDescent="0.2">
      <c r="A790" s="211"/>
    </row>
    <row r="791" spans="1:1" ht="12.75" customHeight="1" x14ac:dyDescent="0.2">
      <c r="A791" s="211"/>
    </row>
    <row r="792" spans="1:1" ht="12.75" customHeight="1" x14ac:dyDescent="0.2">
      <c r="A792" s="211"/>
    </row>
    <row r="793" spans="1:1" ht="12.75" customHeight="1" x14ac:dyDescent="0.2">
      <c r="A793" s="211"/>
    </row>
    <row r="794" spans="1:1" ht="12.75" customHeight="1" x14ac:dyDescent="0.2">
      <c r="A794" s="211"/>
    </row>
    <row r="795" spans="1:1" ht="12.75" customHeight="1" x14ac:dyDescent="0.2">
      <c r="A795" s="211"/>
    </row>
    <row r="796" spans="1:1" ht="12.75" customHeight="1" x14ac:dyDescent="0.2">
      <c r="A796" s="211"/>
    </row>
    <row r="797" spans="1:1" ht="12.75" customHeight="1" x14ac:dyDescent="0.2">
      <c r="A797" s="211"/>
    </row>
    <row r="798" spans="1:1" ht="12.75" customHeight="1" x14ac:dyDescent="0.2">
      <c r="A798" s="211"/>
    </row>
    <row r="799" spans="1:1" ht="12.75" customHeight="1" x14ac:dyDescent="0.2">
      <c r="A799" s="211"/>
    </row>
    <row r="800" spans="1:1" ht="12.75" customHeight="1" x14ac:dyDescent="0.2">
      <c r="A800" s="211"/>
    </row>
    <row r="801" spans="1:1" ht="12.75" customHeight="1" x14ac:dyDescent="0.2">
      <c r="A801" s="211"/>
    </row>
    <row r="802" spans="1:1" ht="12.75" customHeight="1" x14ac:dyDescent="0.2">
      <c r="A802" s="211"/>
    </row>
    <row r="803" spans="1:1" ht="12.75" customHeight="1" x14ac:dyDescent="0.2">
      <c r="A803" s="211"/>
    </row>
    <row r="804" spans="1:1" ht="12.75" customHeight="1" x14ac:dyDescent="0.2">
      <c r="A804" s="211"/>
    </row>
    <row r="805" spans="1:1" ht="12.75" customHeight="1" x14ac:dyDescent="0.2">
      <c r="A805" s="211"/>
    </row>
    <row r="806" spans="1:1" ht="12.75" customHeight="1" x14ac:dyDescent="0.2">
      <c r="A806" s="211"/>
    </row>
    <row r="807" spans="1:1" ht="12.75" customHeight="1" x14ac:dyDescent="0.2">
      <c r="A807" s="211"/>
    </row>
    <row r="808" spans="1:1" ht="12.75" customHeight="1" x14ac:dyDescent="0.2">
      <c r="A808" s="211"/>
    </row>
    <row r="809" spans="1:1" ht="12.75" customHeight="1" x14ac:dyDescent="0.2">
      <c r="A809" s="211"/>
    </row>
    <row r="810" spans="1:1" ht="12.75" customHeight="1" x14ac:dyDescent="0.2">
      <c r="A810" s="211"/>
    </row>
    <row r="811" spans="1:1" ht="12.75" customHeight="1" x14ac:dyDescent="0.2">
      <c r="A811" s="211"/>
    </row>
    <row r="812" spans="1:1" ht="12.75" customHeight="1" x14ac:dyDescent="0.2">
      <c r="A812" s="211"/>
    </row>
    <row r="813" spans="1:1" ht="12.75" customHeight="1" x14ac:dyDescent="0.2">
      <c r="A813" s="211"/>
    </row>
    <row r="814" spans="1:1" ht="12.75" customHeight="1" x14ac:dyDescent="0.2">
      <c r="A814" s="211"/>
    </row>
    <row r="815" spans="1:1" ht="12.75" customHeight="1" x14ac:dyDescent="0.2">
      <c r="A815" s="211"/>
    </row>
    <row r="816" spans="1:1" ht="12.75" customHeight="1" x14ac:dyDescent="0.2">
      <c r="A816" s="211"/>
    </row>
    <row r="817" spans="1:1" ht="12.75" customHeight="1" x14ac:dyDescent="0.2">
      <c r="A817" s="211"/>
    </row>
    <row r="818" spans="1:1" ht="12.75" customHeight="1" x14ac:dyDescent="0.2">
      <c r="A818" s="211"/>
    </row>
    <row r="819" spans="1:1" ht="12.75" customHeight="1" x14ac:dyDescent="0.2">
      <c r="A819" s="211"/>
    </row>
    <row r="820" spans="1:1" ht="12.75" customHeight="1" x14ac:dyDescent="0.2">
      <c r="A820" s="211"/>
    </row>
    <row r="821" spans="1:1" ht="12.75" customHeight="1" x14ac:dyDescent="0.2">
      <c r="A821" s="211"/>
    </row>
    <row r="822" spans="1:1" ht="12.75" customHeight="1" x14ac:dyDescent="0.2">
      <c r="A822" s="211"/>
    </row>
    <row r="823" spans="1:1" ht="12.75" customHeight="1" x14ac:dyDescent="0.2">
      <c r="A823" s="211"/>
    </row>
    <row r="824" spans="1:1" ht="12.75" customHeight="1" x14ac:dyDescent="0.2">
      <c r="A824" s="211"/>
    </row>
    <row r="825" spans="1:1" ht="12.75" customHeight="1" x14ac:dyDescent="0.2">
      <c r="A825" s="211"/>
    </row>
    <row r="826" spans="1:1" ht="12.75" customHeight="1" x14ac:dyDescent="0.2">
      <c r="A826" s="211"/>
    </row>
    <row r="827" spans="1:1" ht="12.75" customHeight="1" x14ac:dyDescent="0.2">
      <c r="A827" s="211"/>
    </row>
    <row r="828" spans="1:1" ht="12.75" customHeight="1" x14ac:dyDescent="0.2">
      <c r="A828" s="211"/>
    </row>
    <row r="829" spans="1:1" ht="12.75" customHeight="1" x14ac:dyDescent="0.2">
      <c r="A829" s="211"/>
    </row>
    <row r="830" spans="1:1" ht="12.75" customHeight="1" x14ac:dyDescent="0.2">
      <c r="A830" s="211"/>
    </row>
    <row r="831" spans="1:1" ht="12.75" customHeight="1" x14ac:dyDescent="0.2">
      <c r="A831" s="211"/>
    </row>
    <row r="832" spans="1:1" ht="12.75" customHeight="1" x14ac:dyDescent="0.2">
      <c r="A832" s="211"/>
    </row>
    <row r="833" spans="1:1" ht="12.75" customHeight="1" x14ac:dyDescent="0.2">
      <c r="A833" s="211"/>
    </row>
    <row r="834" spans="1:1" ht="12.75" customHeight="1" x14ac:dyDescent="0.2">
      <c r="A834" s="211"/>
    </row>
    <row r="835" spans="1:1" ht="12.75" customHeight="1" x14ac:dyDescent="0.2">
      <c r="A835" s="211"/>
    </row>
    <row r="836" spans="1:1" ht="12.75" customHeight="1" x14ac:dyDescent="0.2">
      <c r="A836" s="211"/>
    </row>
    <row r="837" spans="1:1" ht="12.75" customHeight="1" x14ac:dyDescent="0.2">
      <c r="A837" s="211"/>
    </row>
    <row r="838" spans="1:1" ht="12.75" customHeight="1" x14ac:dyDescent="0.2">
      <c r="A838" s="211"/>
    </row>
    <row r="839" spans="1:1" ht="12.75" customHeight="1" x14ac:dyDescent="0.2">
      <c r="A839" s="211"/>
    </row>
    <row r="840" spans="1:1" ht="12.75" customHeight="1" x14ac:dyDescent="0.2">
      <c r="A840" s="211"/>
    </row>
    <row r="841" spans="1:1" ht="12.75" customHeight="1" x14ac:dyDescent="0.2">
      <c r="A841" s="211"/>
    </row>
    <row r="842" spans="1:1" ht="12.75" customHeight="1" x14ac:dyDescent="0.2">
      <c r="A842" s="211"/>
    </row>
    <row r="843" spans="1:1" ht="12.75" customHeight="1" x14ac:dyDescent="0.2">
      <c r="A843" s="211"/>
    </row>
    <row r="844" spans="1:1" ht="12.75" customHeight="1" x14ac:dyDescent="0.2">
      <c r="A844" s="211"/>
    </row>
    <row r="845" spans="1:1" ht="12.75" customHeight="1" x14ac:dyDescent="0.2">
      <c r="A845" s="211"/>
    </row>
    <row r="846" spans="1:1" ht="12.75" customHeight="1" x14ac:dyDescent="0.2">
      <c r="A846" s="211"/>
    </row>
    <row r="847" spans="1:1" ht="12.75" customHeight="1" x14ac:dyDescent="0.2">
      <c r="A847" s="211"/>
    </row>
    <row r="848" spans="1:1" ht="12.75" customHeight="1" x14ac:dyDescent="0.2">
      <c r="A848" s="211"/>
    </row>
    <row r="849" spans="1:1" ht="12.75" customHeight="1" x14ac:dyDescent="0.2">
      <c r="A849" s="211"/>
    </row>
    <row r="850" spans="1:1" ht="12.75" customHeight="1" x14ac:dyDescent="0.2">
      <c r="A850" s="211"/>
    </row>
    <row r="851" spans="1:1" ht="12.75" customHeight="1" x14ac:dyDescent="0.2">
      <c r="A851" s="211"/>
    </row>
    <row r="852" spans="1:1" ht="12.75" customHeight="1" x14ac:dyDescent="0.2">
      <c r="A852" s="211"/>
    </row>
    <row r="853" spans="1:1" ht="12.75" customHeight="1" x14ac:dyDescent="0.2">
      <c r="A853" s="211"/>
    </row>
    <row r="854" spans="1:1" ht="12.75" customHeight="1" x14ac:dyDescent="0.2">
      <c r="A854" s="211"/>
    </row>
    <row r="855" spans="1:1" ht="12.75" customHeight="1" x14ac:dyDescent="0.2">
      <c r="A855" s="211"/>
    </row>
    <row r="856" spans="1:1" ht="12.75" customHeight="1" x14ac:dyDescent="0.2">
      <c r="A856" s="211"/>
    </row>
    <row r="857" spans="1:1" ht="12.75" customHeight="1" x14ac:dyDescent="0.2">
      <c r="A857" s="211"/>
    </row>
    <row r="858" spans="1:1" ht="12.75" customHeight="1" x14ac:dyDescent="0.2">
      <c r="A858" s="211"/>
    </row>
    <row r="859" spans="1:1" ht="12.75" customHeight="1" x14ac:dyDescent="0.2">
      <c r="A859" s="211"/>
    </row>
    <row r="860" spans="1:1" ht="12.75" customHeight="1" x14ac:dyDescent="0.2">
      <c r="A860" s="211"/>
    </row>
    <row r="861" spans="1:1" ht="12.75" customHeight="1" x14ac:dyDescent="0.2">
      <c r="A861" s="211"/>
    </row>
    <row r="862" spans="1:1" ht="12.75" customHeight="1" x14ac:dyDescent="0.2">
      <c r="A862" s="211"/>
    </row>
    <row r="863" spans="1:1" ht="12.75" customHeight="1" x14ac:dyDescent="0.2">
      <c r="A863" s="211"/>
    </row>
    <row r="864" spans="1:1" ht="12.75" customHeight="1" x14ac:dyDescent="0.2">
      <c r="A864" s="211"/>
    </row>
    <row r="865" spans="1:1" ht="12.75" customHeight="1" x14ac:dyDescent="0.2">
      <c r="A865" s="211"/>
    </row>
    <row r="866" spans="1:1" ht="12.75" customHeight="1" x14ac:dyDescent="0.2">
      <c r="A866" s="211"/>
    </row>
    <row r="867" spans="1:1" ht="12.75" customHeight="1" x14ac:dyDescent="0.2">
      <c r="A867" s="211"/>
    </row>
    <row r="868" spans="1:1" ht="12.75" customHeight="1" x14ac:dyDescent="0.2">
      <c r="A868" s="211"/>
    </row>
    <row r="869" spans="1:1" ht="12.75" customHeight="1" x14ac:dyDescent="0.2">
      <c r="A869" s="211"/>
    </row>
    <row r="870" spans="1:1" ht="12.75" customHeight="1" x14ac:dyDescent="0.2">
      <c r="A870" s="211"/>
    </row>
    <row r="871" spans="1:1" ht="12.75" customHeight="1" x14ac:dyDescent="0.2">
      <c r="A871" s="211"/>
    </row>
    <row r="872" spans="1:1" ht="12.75" customHeight="1" x14ac:dyDescent="0.2">
      <c r="A872" s="211"/>
    </row>
    <row r="873" spans="1:1" ht="12.75" customHeight="1" x14ac:dyDescent="0.2">
      <c r="A873" s="211"/>
    </row>
    <row r="874" spans="1:1" ht="12.75" customHeight="1" x14ac:dyDescent="0.2">
      <c r="A874" s="211"/>
    </row>
    <row r="875" spans="1:1" ht="12.75" customHeight="1" x14ac:dyDescent="0.2">
      <c r="A875" s="211"/>
    </row>
    <row r="876" spans="1:1" ht="12.75" customHeight="1" x14ac:dyDescent="0.2">
      <c r="A876" s="211"/>
    </row>
    <row r="877" spans="1:1" ht="12.75" customHeight="1" x14ac:dyDescent="0.2">
      <c r="A877" s="211"/>
    </row>
    <row r="878" spans="1:1" ht="12.75" customHeight="1" x14ac:dyDescent="0.2">
      <c r="A878" s="211"/>
    </row>
    <row r="879" spans="1:1" ht="12.75" customHeight="1" x14ac:dyDescent="0.2">
      <c r="A879" s="211"/>
    </row>
    <row r="880" spans="1:1" ht="12.75" customHeight="1" x14ac:dyDescent="0.2">
      <c r="A880" s="211"/>
    </row>
    <row r="881" spans="1:1" ht="12.75" customHeight="1" x14ac:dyDescent="0.2">
      <c r="A881" s="211"/>
    </row>
    <row r="882" spans="1:1" ht="12.75" customHeight="1" x14ac:dyDescent="0.2">
      <c r="A882" s="211"/>
    </row>
    <row r="883" spans="1:1" ht="12.75" customHeight="1" x14ac:dyDescent="0.2">
      <c r="A883" s="211"/>
    </row>
    <row r="884" spans="1:1" ht="12.75" customHeight="1" x14ac:dyDescent="0.2">
      <c r="A884" s="211"/>
    </row>
    <row r="885" spans="1:1" ht="12.75" customHeight="1" x14ac:dyDescent="0.2">
      <c r="A885" s="211"/>
    </row>
    <row r="886" spans="1:1" ht="12.75" customHeight="1" x14ac:dyDescent="0.2">
      <c r="A886" s="211"/>
    </row>
    <row r="887" spans="1:1" ht="12.75" customHeight="1" x14ac:dyDescent="0.2">
      <c r="A887" s="211"/>
    </row>
    <row r="888" spans="1:1" ht="12.75" customHeight="1" x14ac:dyDescent="0.2">
      <c r="A888" s="211"/>
    </row>
    <row r="889" spans="1:1" ht="12.75" customHeight="1" x14ac:dyDescent="0.2">
      <c r="A889" s="211"/>
    </row>
    <row r="890" spans="1:1" ht="12.75" customHeight="1" x14ac:dyDescent="0.2">
      <c r="A890" s="211"/>
    </row>
    <row r="891" spans="1:1" ht="12.75" customHeight="1" x14ac:dyDescent="0.2">
      <c r="A891" s="211"/>
    </row>
    <row r="892" spans="1:1" ht="12.75" customHeight="1" x14ac:dyDescent="0.2">
      <c r="A892" s="211"/>
    </row>
    <row r="893" spans="1:1" ht="12.75" customHeight="1" x14ac:dyDescent="0.2">
      <c r="A893" s="211"/>
    </row>
    <row r="894" spans="1:1" ht="12.75" customHeight="1" x14ac:dyDescent="0.2">
      <c r="A894" s="211"/>
    </row>
    <row r="895" spans="1:1" ht="12.75" customHeight="1" x14ac:dyDescent="0.2">
      <c r="A895" s="211"/>
    </row>
    <row r="896" spans="1:1" ht="12.75" customHeight="1" x14ac:dyDescent="0.2">
      <c r="A896" s="211"/>
    </row>
    <row r="897" spans="1:1" ht="12.75" customHeight="1" x14ac:dyDescent="0.2">
      <c r="A897" s="211"/>
    </row>
    <row r="898" spans="1:1" ht="12.75" customHeight="1" x14ac:dyDescent="0.2">
      <c r="A898" s="211"/>
    </row>
    <row r="899" spans="1:1" ht="12.75" customHeight="1" x14ac:dyDescent="0.2">
      <c r="A899" s="211"/>
    </row>
    <row r="900" spans="1:1" ht="12.75" customHeight="1" x14ac:dyDescent="0.2">
      <c r="A900" s="211"/>
    </row>
    <row r="901" spans="1:1" ht="12.75" customHeight="1" x14ac:dyDescent="0.2">
      <c r="A901" s="211"/>
    </row>
    <row r="902" spans="1:1" ht="12.75" customHeight="1" x14ac:dyDescent="0.2">
      <c r="A902" s="211"/>
    </row>
    <row r="903" spans="1:1" ht="12.75" customHeight="1" x14ac:dyDescent="0.2">
      <c r="A903" s="211"/>
    </row>
    <row r="904" spans="1:1" ht="12.75" customHeight="1" x14ac:dyDescent="0.2">
      <c r="A904" s="211"/>
    </row>
    <row r="905" spans="1:1" ht="12.75" customHeight="1" x14ac:dyDescent="0.2">
      <c r="A905" s="211"/>
    </row>
    <row r="906" spans="1:1" ht="12.75" customHeight="1" x14ac:dyDescent="0.2">
      <c r="A906" s="211"/>
    </row>
    <row r="907" spans="1:1" ht="12.75" customHeight="1" x14ac:dyDescent="0.2">
      <c r="A907" s="211"/>
    </row>
    <row r="908" spans="1:1" ht="12.75" customHeight="1" x14ac:dyDescent="0.2">
      <c r="A908" s="211"/>
    </row>
    <row r="909" spans="1:1" ht="12.75" customHeight="1" x14ac:dyDescent="0.2">
      <c r="A909" s="211"/>
    </row>
    <row r="910" spans="1:1" ht="12.75" customHeight="1" x14ac:dyDescent="0.2">
      <c r="A910" s="211"/>
    </row>
    <row r="911" spans="1:1" ht="12.75" customHeight="1" x14ac:dyDescent="0.2">
      <c r="A911" s="211"/>
    </row>
    <row r="912" spans="1:1" ht="12.75" customHeight="1" x14ac:dyDescent="0.2">
      <c r="A912" s="211"/>
    </row>
    <row r="913" spans="1:1" ht="12.75" customHeight="1" x14ac:dyDescent="0.2">
      <c r="A913" s="211"/>
    </row>
    <row r="914" spans="1:1" ht="12.75" customHeight="1" x14ac:dyDescent="0.2">
      <c r="A914" s="211"/>
    </row>
    <row r="915" spans="1:1" ht="12.75" customHeight="1" x14ac:dyDescent="0.2">
      <c r="A915" s="211"/>
    </row>
    <row r="916" spans="1:1" ht="12.75" customHeight="1" x14ac:dyDescent="0.2">
      <c r="A916" s="211"/>
    </row>
    <row r="917" spans="1:1" ht="12.75" customHeight="1" x14ac:dyDescent="0.2">
      <c r="A917" s="211"/>
    </row>
    <row r="918" spans="1:1" ht="12.75" customHeight="1" x14ac:dyDescent="0.2">
      <c r="A918" s="211"/>
    </row>
    <row r="919" spans="1:1" ht="12.75" customHeight="1" x14ac:dyDescent="0.2">
      <c r="A919" s="211"/>
    </row>
    <row r="920" spans="1:1" ht="12.75" customHeight="1" x14ac:dyDescent="0.2">
      <c r="A920" s="211"/>
    </row>
    <row r="921" spans="1:1" ht="12.75" customHeight="1" x14ac:dyDescent="0.2">
      <c r="A921" s="211"/>
    </row>
    <row r="922" spans="1:1" ht="12.75" customHeight="1" x14ac:dyDescent="0.2">
      <c r="A922" s="211"/>
    </row>
    <row r="923" spans="1:1" ht="12.75" customHeight="1" x14ac:dyDescent="0.2">
      <c r="A923" s="211"/>
    </row>
    <row r="924" spans="1:1" ht="12.75" customHeight="1" x14ac:dyDescent="0.2">
      <c r="A924" s="211"/>
    </row>
    <row r="925" spans="1:1" ht="12.75" customHeight="1" x14ac:dyDescent="0.2">
      <c r="A925" s="211"/>
    </row>
    <row r="926" spans="1:1" ht="12.75" customHeight="1" x14ac:dyDescent="0.2">
      <c r="A926" s="211"/>
    </row>
    <row r="927" spans="1:1" ht="12.75" customHeight="1" x14ac:dyDescent="0.2">
      <c r="A927" s="211"/>
    </row>
    <row r="928" spans="1:1" ht="12.75" customHeight="1" x14ac:dyDescent="0.2">
      <c r="A928" s="211"/>
    </row>
    <row r="929" spans="1:1" ht="12.75" customHeight="1" x14ac:dyDescent="0.2">
      <c r="A929" s="211"/>
    </row>
    <row r="930" spans="1:1" ht="12.75" customHeight="1" x14ac:dyDescent="0.2">
      <c r="A930" s="211"/>
    </row>
    <row r="931" spans="1:1" ht="12.75" customHeight="1" x14ac:dyDescent="0.2">
      <c r="A931" s="211"/>
    </row>
    <row r="932" spans="1:1" ht="12.75" customHeight="1" x14ac:dyDescent="0.2">
      <c r="A932" s="211"/>
    </row>
    <row r="933" spans="1:1" ht="12.75" customHeight="1" x14ac:dyDescent="0.2">
      <c r="A933" s="211"/>
    </row>
    <row r="934" spans="1:1" ht="12.75" customHeight="1" x14ac:dyDescent="0.2">
      <c r="A934" s="211"/>
    </row>
    <row r="935" spans="1:1" ht="12.75" customHeight="1" x14ac:dyDescent="0.2">
      <c r="A935" s="211"/>
    </row>
    <row r="936" spans="1:1" ht="12.75" customHeight="1" x14ac:dyDescent="0.2">
      <c r="A936" s="211"/>
    </row>
    <row r="937" spans="1:1" ht="12.75" customHeight="1" x14ac:dyDescent="0.2">
      <c r="A937" s="211"/>
    </row>
    <row r="938" spans="1:1" ht="12.75" customHeight="1" x14ac:dyDescent="0.2">
      <c r="A938" s="211"/>
    </row>
    <row r="939" spans="1:1" ht="12.75" customHeight="1" x14ac:dyDescent="0.2">
      <c r="A939" s="211"/>
    </row>
    <row r="940" spans="1:1" ht="12.75" customHeight="1" x14ac:dyDescent="0.2">
      <c r="A940" s="211"/>
    </row>
    <row r="941" spans="1:1" ht="12.75" customHeight="1" x14ac:dyDescent="0.2">
      <c r="A941" s="211"/>
    </row>
    <row r="942" spans="1:1" ht="12.75" customHeight="1" x14ac:dyDescent="0.2">
      <c r="A942" s="211"/>
    </row>
    <row r="943" spans="1:1" ht="12.75" customHeight="1" x14ac:dyDescent="0.2">
      <c r="A943" s="211"/>
    </row>
    <row r="944" spans="1:1" ht="12.75" customHeight="1" x14ac:dyDescent="0.2">
      <c r="A944" s="211"/>
    </row>
    <row r="945" spans="1:1" ht="12.75" customHeight="1" x14ac:dyDescent="0.2">
      <c r="A945" s="211"/>
    </row>
    <row r="946" spans="1:1" ht="12.75" customHeight="1" x14ac:dyDescent="0.2">
      <c r="A946" s="211"/>
    </row>
    <row r="947" spans="1:1" ht="12.75" customHeight="1" x14ac:dyDescent="0.2">
      <c r="A947" s="211"/>
    </row>
    <row r="948" spans="1:1" ht="12.75" customHeight="1" x14ac:dyDescent="0.2">
      <c r="A948" s="211"/>
    </row>
    <row r="949" spans="1:1" ht="12.75" customHeight="1" x14ac:dyDescent="0.2">
      <c r="A949" s="211"/>
    </row>
    <row r="950" spans="1:1" ht="12.75" customHeight="1" x14ac:dyDescent="0.2">
      <c r="A950" s="211"/>
    </row>
    <row r="951" spans="1:1" ht="12.75" customHeight="1" x14ac:dyDescent="0.2">
      <c r="A951" s="211"/>
    </row>
    <row r="952" spans="1:1" ht="12.75" customHeight="1" x14ac:dyDescent="0.2">
      <c r="A952" s="211"/>
    </row>
    <row r="953" spans="1:1" ht="12.75" customHeight="1" x14ac:dyDescent="0.2">
      <c r="A953" s="211"/>
    </row>
    <row r="954" spans="1:1" ht="12.75" customHeight="1" x14ac:dyDescent="0.2">
      <c r="A954" s="211"/>
    </row>
    <row r="955" spans="1:1" ht="12.75" customHeight="1" x14ac:dyDescent="0.2">
      <c r="A955" s="211"/>
    </row>
    <row r="956" spans="1:1" ht="12.75" customHeight="1" x14ac:dyDescent="0.2">
      <c r="A956" s="211"/>
    </row>
    <row r="957" spans="1:1" ht="12.75" customHeight="1" x14ac:dyDescent="0.2">
      <c r="A957" s="211"/>
    </row>
    <row r="958" spans="1:1" ht="12.75" customHeight="1" x14ac:dyDescent="0.2">
      <c r="A958" s="211"/>
    </row>
    <row r="959" spans="1:1" ht="12.75" customHeight="1" x14ac:dyDescent="0.2">
      <c r="A959" s="211"/>
    </row>
    <row r="960" spans="1:1" ht="12.75" customHeight="1" x14ac:dyDescent="0.2">
      <c r="A960" s="211"/>
    </row>
    <row r="961" spans="1:1" ht="12.75" customHeight="1" x14ac:dyDescent="0.2">
      <c r="A961" s="211"/>
    </row>
    <row r="962" spans="1:1" ht="12.75" customHeight="1" x14ac:dyDescent="0.2">
      <c r="A962" s="211"/>
    </row>
    <row r="963" spans="1:1" ht="12.75" customHeight="1" x14ac:dyDescent="0.2">
      <c r="A963" s="211"/>
    </row>
    <row r="964" spans="1:1" ht="12.75" customHeight="1" x14ac:dyDescent="0.2">
      <c r="A964" s="211"/>
    </row>
    <row r="965" spans="1:1" ht="12.75" customHeight="1" x14ac:dyDescent="0.2">
      <c r="A965" s="211"/>
    </row>
    <row r="966" spans="1:1" ht="12.75" customHeight="1" x14ac:dyDescent="0.2">
      <c r="A966" s="211"/>
    </row>
    <row r="967" spans="1:1" ht="12.75" customHeight="1" x14ac:dyDescent="0.2">
      <c r="A967" s="211"/>
    </row>
    <row r="968" spans="1:1" ht="12.75" customHeight="1" x14ac:dyDescent="0.2">
      <c r="A968" s="211"/>
    </row>
    <row r="969" spans="1:1" ht="12.75" customHeight="1" x14ac:dyDescent="0.2">
      <c r="A969" s="211"/>
    </row>
    <row r="970" spans="1:1" ht="12.75" customHeight="1" x14ac:dyDescent="0.2">
      <c r="A970" s="211"/>
    </row>
    <row r="971" spans="1:1" ht="12.75" customHeight="1" x14ac:dyDescent="0.2">
      <c r="A971" s="211"/>
    </row>
    <row r="972" spans="1:1" ht="12.75" customHeight="1" x14ac:dyDescent="0.2">
      <c r="A972" s="211"/>
    </row>
    <row r="973" spans="1:1" ht="12.75" customHeight="1" x14ac:dyDescent="0.2">
      <c r="A973" s="211"/>
    </row>
    <row r="974" spans="1:1" ht="12.75" customHeight="1" x14ac:dyDescent="0.2">
      <c r="A974" s="211"/>
    </row>
    <row r="975" spans="1:1" ht="12.75" customHeight="1" x14ac:dyDescent="0.2">
      <c r="A975" s="211"/>
    </row>
    <row r="976" spans="1:1" ht="12.75" customHeight="1" x14ac:dyDescent="0.2">
      <c r="A976" s="211"/>
    </row>
    <row r="977" spans="1:1" ht="12.75" customHeight="1" x14ac:dyDescent="0.2">
      <c r="A977" s="211"/>
    </row>
    <row r="978" spans="1:1" ht="12.75" customHeight="1" x14ac:dyDescent="0.2">
      <c r="A978" s="211"/>
    </row>
    <row r="979" spans="1:1" ht="12.75" customHeight="1" x14ac:dyDescent="0.2">
      <c r="A979" s="211"/>
    </row>
    <row r="980" spans="1:1" ht="12.75" customHeight="1" x14ac:dyDescent="0.2">
      <c r="A980" s="211"/>
    </row>
    <row r="981" spans="1:1" ht="12.75" customHeight="1" x14ac:dyDescent="0.2">
      <c r="A981" s="211"/>
    </row>
    <row r="982" spans="1:1" ht="12.75" customHeight="1" x14ac:dyDescent="0.2">
      <c r="A982" s="211"/>
    </row>
    <row r="983" spans="1:1" ht="12.75" customHeight="1" x14ac:dyDescent="0.2">
      <c r="A983" s="211"/>
    </row>
    <row r="984" spans="1:1" ht="12.75" customHeight="1" x14ac:dyDescent="0.2">
      <c r="A984" s="211"/>
    </row>
    <row r="985" spans="1:1" ht="12.75" customHeight="1" x14ac:dyDescent="0.2">
      <c r="A985" s="211"/>
    </row>
    <row r="986" spans="1:1" ht="12.75" customHeight="1" x14ac:dyDescent="0.2">
      <c r="A986" s="211"/>
    </row>
    <row r="987" spans="1:1" ht="12.75" customHeight="1" x14ac:dyDescent="0.2">
      <c r="A987" s="211"/>
    </row>
    <row r="988" spans="1:1" ht="12.75" customHeight="1" x14ac:dyDescent="0.2">
      <c r="A988" s="211"/>
    </row>
    <row r="989" spans="1:1" ht="12.75" customHeight="1" x14ac:dyDescent="0.2">
      <c r="A989" s="211"/>
    </row>
    <row r="990" spans="1:1" ht="12.75" customHeight="1" x14ac:dyDescent="0.2">
      <c r="A990" s="211"/>
    </row>
    <row r="991" spans="1:1" ht="12.75" customHeight="1" x14ac:dyDescent="0.2">
      <c r="A991" s="211"/>
    </row>
    <row r="992" spans="1:1" ht="12.75" customHeight="1" x14ac:dyDescent="0.2">
      <c r="A992" s="211"/>
    </row>
    <row r="993" spans="1:1" ht="12.75" customHeight="1" x14ac:dyDescent="0.2">
      <c r="A993" s="211"/>
    </row>
    <row r="994" spans="1:1" ht="12.75" customHeight="1" x14ac:dyDescent="0.2">
      <c r="A994" s="211"/>
    </row>
  </sheetData>
  <mergeCells count="60">
    <mergeCell ref="A99:H99"/>
    <mergeCell ref="A100:H100"/>
    <mergeCell ref="B94:C94"/>
    <mergeCell ref="D94:E94"/>
    <mergeCell ref="F94:H94"/>
    <mergeCell ref="A96:G96"/>
    <mergeCell ref="A98:H98"/>
    <mergeCell ref="B92:C92"/>
    <mergeCell ref="D92:E92"/>
    <mergeCell ref="F92:H92"/>
    <mergeCell ref="A93:E93"/>
    <mergeCell ref="F93:H93"/>
    <mergeCell ref="B90:C90"/>
    <mergeCell ref="D90:E90"/>
    <mergeCell ref="F90:H90"/>
    <mergeCell ref="A91:E91"/>
    <mergeCell ref="F91:H91"/>
    <mergeCell ref="B88:C88"/>
    <mergeCell ref="D88:E88"/>
    <mergeCell ref="F88:H88"/>
    <mergeCell ref="A89:E89"/>
    <mergeCell ref="F89:H89"/>
    <mergeCell ref="B86:C86"/>
    <mergeCell ref="D86:E86"/>
    <mergeCell ref="F86:H86"/>
    <mergeCell ref="B87:C87"/>
    <mergeCell ref="D87:E87"/>
    <mergeCell ref="F87:H87"/>
    <mergeCell ref="A82:D82"/>
    <mergeCell ref="B84:C84"/>
    <mergeCell ref="D84:E84"/>
    <mergeCell ref="F84:H84"/>
    <mergeCell ref="B85:C85"/>
    <mergeCell ref="D85:E85"/>
    <mergeCell ref="F85:H85"/>
    <mergeCell ref="F73:G73"/>
    <mergeCell ref="F74:G74"/>
    <mergeCell ref="F75:G75"/>
    <mergeCell ref="F76:G76"/>
    <mergeCell ref="A81:D81"/>
    <mergeCell ref="F68:G68"/>
    <mergeCell ref="F69:G69"/>
    <mergeCell ref="F70:G70"/>
    <mergeCell ref="F71:G71"/>
    <mergeCell ref="F72:G72"/>
    <mergeCell ref="A53:F53"/>
    <mergeCell ref="A63:F63"/>
    <mergeCell ref="A64:F64"/>
    <mergeCell ref="F66:G66"/>
    <mergeCell ref="F67:G67"/>
    <mergeCell ref="A23:E23"/>
    <mergeCell ref="A24:E24"/>
    <mergeCell ref="A35:E35"/>
    <mergeCell ref="A36:E36"/>
    <mergeCell ref="A52:F52"/>
    <mergeCell ref="A1:H1"/>
    <mergeCell ref="A2:H2"/>
    <mergeCell ref="A3:H3"/>
    <mergeCell ref="A4:H4"/>
    <mergeCell ref="A5:H5"/>
  </mergeCells>
  <printOptions horizontalCentered="1"/>
  <pageMargins left="0" right="0" top="0.39370078740157483" bottom="0" header="0" footer="0.51181102362204722"/>
  <pageSetup paperSize="9" scale="48" pageOrder="overThenDown" orientation="portrait" r:id="rId1"/>
  <headerFooter>
    <oddHeader>&amp;R&amp;P de &amp;N</oddHeader>
    <oddFooter>&amp;L&amp;F - &amp;A&amp;CPágina &amp;P de &amp;N</oddFooter>
  </headerFooter>
  <rowBreaks count="2" manualBreakCount="2">
    <brk id="29" max="7" man="1"/>
    <brk id="57" max="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L281"/>
  <sheetViews>
    <sheetView showGridLines="0" zoomScaleNormal="100" workbookViewId="0">
      <pane xSplit="3" ySplit="7" topLeftCell="Z8" activePane="bottomRight" state="frozen"/>
      <selection activeCell="C64" sqref="C64"/>
      <selection pane="topRight" activeCell="C64" sqref="C64"/>
      <selection pane="bottomLeft" activeCell="C64" sqref="C64"/>
      <selection pane="bottomRight" activeCell="C64" sqref="C64"/>
    </sheetView>
  </sheetViews>
  <sheetFormatPr defaultColWidth="14.42578125" defaultRowHeight="12.75" x14ac:dyDescent="0.2"/>
  <cols>
    <col min="1" max="1" width="6.7109375" style="21" customWidth="1"/>
    <col min="2" max="2" width="15.5703125" style="21" customWidth="1"/>
    <col min="3" max="3" width="23.85546875" style="21" customWidth="1"/>
    <col min="4" max="4" width="14.5703125" style="21" customWidth="1"/>
    <col min="5" max="5" width="15.85546875" style="21" customWidth="1"/>
    <col min="6" max="7" width="12.140625" style="21" customWidth="1"/>
    <col min="8" max="8" width="13" style="21" customWidth="1"/>
    <col min="9" max="9" width="12.140625" style="21" customWidth="1"/>
    <col min="10" max="11" width="12.140625" style="21" hidden="1" customWidth="1"/>
    <col min="12" max="12" width="12.140625" style="21" customWidth="1"/>
    <col min="13" max="13" width="13" style="21" customWidth="1"/>
    <col min="14" max="15" width="12.140625" style="21" hidden="1" customWidth="1"/>
    <col min="16" max="23" width="12.140625" style="21" customWidth="1"/>
    <col min="24" max="24" width="14.7109375" style="21" customWidth="1"/>
    <col min="25" max="25" width="13.5703125" style="21" customWidth="1"/>
    <col min="26" max="28" width="12.140625" style="21" customWidth="1"/>
    <col min="29" max="29" width="15.140625" style="21" customWidth="1"/>
    <col min="30" max="31" width="12.140625" style="21" customWidth="1"/>
    <col min="32" max="32" width="10" style="21" customWidth="1"/>
    <col min="33" max="33" width="13.28515625" style="21" customWidth="1"/>
    <col min="34" max="35" width="11.140625" style="21" customWidth="1"/>
    <col min="36" max="36" width="12.7109375" style="21" customWidth="1"/>
    <col min="37" max="37" width="9.7109375" style="21" customWidth="1"/>
    <col min="38" max="39" width="11" style="21" hidden="1" customWidth="1"/>
    <col min="40" max="40" width="11" style="21" customWidth="1"/>
    <col min="41" max="41" width="12.28515625" style="21" customWidth="1"/>
    <col min="42" max="44" width="11.85546875" style="21" customWidth="1"/>
    <col min="45" max="45" width="9.85546875" style="21" customWidth="1"/>
    <col min="46" max="47" width="10" style="21" customWidth="1"/>
    <col min="48" max="48" width="11.28515625" style="21" customWidth="1"/>
    <col min="49" max="49" width="10" style="21" customWidth="1"/>
    <col min="50" max="50" width="10.85546875" style="21" customWidth="1"/>
    <col min="51" max="51" width="10.7109375" style="21" customWidth="1"/>
    <col min="52" max="52" width="12.7109375" style="21" customWidth="1"/>
    <col min="53" max="53" width="15" style="21" customWidth="1"/>
    <col min="54" max="56" width="11.85546875" style="21" customWidth="1"/>
    <col min="57" max="64" width="8" style="21" customWidth="1"/>
    <col min="65" max="16384" width="14.42578125" style="21"/>
  </cols>
  <sheetData>
    <row r="1" spans="1:64" ht="12.75" customHeight="1" x14ac:dyDescent="0.2">
      <c r="A1" s="339"/>
      <c r="B1" s="339"/>
      <c r="C1" s="339"/>
      <c r="D1" s="339"/>
      <c r="E1" s="340" t="s">
        <v>216</v>
      </c>
      <c r="F1" s="340"/>
      <c r="G1" s="340"/>
      <c r="H1" s="340"/>
      <c r="I1" s="340"/>
      <c r="J1" s="340"/>
      <c r="K1" s="340"/>
      <c r="L1" s="340"/>
      <c r="M1" s="340"/>
      <c r="N1" s="340"/>
      <c r="O1" s="340"/>
      <c r="P1" s="340"/>
      <c r="Q1" s="340"/>
      <c r="R1" s="340"/>
      <c r="S1" s="340"/>
      <c r="T1" s="340" t="str">
        <f>'1. SB ABA DE CARREGAMENTO'!A4</f>
        <v>CAMPUS SÃO BORJA</v>
      </c>
      <c r="U1" s="340"/>
      <c r="V1" s="340"/>
      <c r="W1" s="340"/>
      <c r="X1" s="340"/>
      <c r="Y1" s="340"/>
      <c r="Z1" s="340"/>
      <c r="AA1" s="340"/>
      <c r="AB1" s="340"/>
      <c r="AC1" s="341" t="s">
        <v>217</v>
      </c>
      <c r="AD1" s="341"/>
      <c r="AE1" s="341"/>
      <c r="AF1" s="341"/>
      <c r="AG1" s="341"/>
      <c r="AH1" s="341"/>
      <c r="AI1" s="341"/>
      <c r="AJ1" s="341"/>
      <c r="AK1" s="341"/>
      <c r="AL1" s="206"/>
      <c r="AM1" s="206"/>
      <c r="AN1" s="342" t="str">
        <f>'1. SB ABA DE CARREGAMENTO'!A4</f>
        <v>CAMPUS SÃO BORJA</v>
      </c>
      <c r="AO1" s="342"/>
      <c r="AP1" s="342"/>
      <c r="AQ1" s="342"/>
      <c r="AR1" s="342"/>
      <c r="AS1" s="342"/>
      <c r="AT1" s="342"/>
      <c r="AU1" s="342"/>
      <c r="AV1" s="342"/>
      <c r="AW1" s="342"/>
      <c r="AX1" s="342"/>
      <c r="AY1" s="342"/>
      <c r="AZ1" s="342"/>
      <c r="BA1" s="342"/>
      <c r="BB1" s="342"/>
      <c r="BC1" s="342"/>
      <c r="BD1" s="342"/>
    </row>
    <row r="2" spans="1:64" ht="12.75" customHeight="1" x14ac:dyDescent="0.2">
      <c r="A2" s="339"/>
      <c r="B2" s="339"/>
      <c r="C2" s="339"/>
      <c r="D2" s="339"/>
      <c r="E2" s="340"/>
      <c r="F2" s="340"/>
      <c r="G2" s="340"/>
      <c r="H2" s="340"/>
      <c r="I2" s="340"/>
      <c r="J2" s="340"/>
      <c r="K2" s="340"/>
      <c r="L2" s="340"/>
      <c r="M2" s="340"/>
      <c r="N2" s="340"/>
      <c r="O2" s="340"/>
      <c r="P2" s="340"/>
      <c r="Q2" s="340"/>
      <c r="R2" s="340"/>
      <c r="S2" s="340"/>
      <c r="T2" s="340"/>
      <c r="U2" s="340"/>
      <c r="V2" s="340"/>
      <c r="W2" s="340"/>
      <c r="X2" s="340"/>
      <c r="Y2" s="340"/>
      <c r="Z2" s="340"/>
      <c r="AA2" s="340"/>
      <c r="AB2" s="340"/>
      <c r="AC2" s="341"/>
      <c r="AD2" s="341"/>
      <c r="AE2" s="341"/>
      <c r="AF2" s="341"/>
      <c r="AG2" s="341"/>
      <c r="AH2" s="341"/>
      <c r="AI2" s="341"/>
      <c r="AJ2" s="341"/>
      <c r="AK2" s="341"/>
      <c r="AL2" s="206"/>
      <c r="AM2" s="206"/>
      <c r="AN2" s="342"/>
      <c r="AO2" s="342"/>
      <c r="AP2" s="342"/>
      <c r="AQ2" s="342"/>
      <c r="AR2" s="342"/>
      <c r="AS2" s="342"/>
      <c r="AT2" s="342"/>
      <c r="AU2" s="342"/>
      <c r="AV2" s="342"/>
      <c r="AW2" s="342"/>
      <c r="AX2" s="342"/>
      <c r="AY2" s="342"/>
      <c r="AZ2" s="342"/>
      <c r="BA2" s="342"/>
      <c r="BB2" s="342"/>
      <c r="BC2" s="342"/>
      <c r="BD2" s="342"/>
    </row>
    <row r="3" spans="1:64" ht="12.75" customHeight="1" x14ac:dyDescent="0.2">
      <c r="A3" s="339"/>
      <c r="B3" s="339"/>
      <c r="C3" s="339"/>
      <c r="D3" s="339"/>
      <c r="E3" s="340"/>
      <c r="F3" s="340"/>
      <c r="G3" s="340"/>
      <c r="H3" s="340"/>
      <c r="I3" s="340"/>
      <c r="J3" s="340"/>
      <c r="K3" s="340"/>
      <c r="L3" s="340"/>
      <c r="M3" s="340"/>
      <c r="N3" s="340"/>
      <c r="O3" s="340"/>
      <c r="P3" s="340"/>
      <c r="Q3" s="340"/>
      <c r="R3" s="340"/>
      <c r="S3" s="340"/>
      <c r="T3" s="340"/>
      <c r="U3" s="340"/>
      <c r="V3" s="340"/>
      <c r="W3" s="340"/>
      <c r="X3" s="340"/>
      <c r="Y3" s="340"/>
      <c r="Z3" s="340"/>
      <c r="AA3" s="340"/>
      <c r="AB3" s="340"/>
      <c r="AC3" s="341"/>
      <c r="AD3" s="341"/>
      <c r="AE3" s="341"/>
      <c r="AF3" s="341"/>
      <c r="AG3" s="341"/>
      <c r="AH3" s="341"/>
      <c r="AI3" s="341"/>
      <c r="AJ3" s="341"/>
      <c r="AK3" s="341"/>
      <c r="AL3" s="206"/>
      <c r="AM3" s="206"/>
      <c r="AN3" s="342"/>
      <c r="AO3" s="342"/>
      <c r="AP3" s="342"/>
      <c r="AQ3" s="342"/>
      <c r="AR3" s="342"/>
      <c r="AS3" s="342"/>
      <c r="AT3" s="342"/>
      <c r="AU3" s="342"/>
      <c r="AV3" s="342"/>
      <c r="AW3" s="342"/>
      <c r="AX3" s="342"/>
      <c r="AY3" s="342"/>
      <c r="AZ3" s="342"/>
      <c r="BA3" s="342"/>
      <c r="BB3" s="342"/>
      <c r="BC3" s="342"/>
      <c r="BD3" s="342"/>
    </row>
    <row r="4" spans="1:64" ht="12.75" customHeight="1" x14ac:dyDescent="0.2">
      <c r="A4" s="339"/>
      <c r="B4" s="339"/>
      <c r="C4" s="339"/>
      <c r="D4" s="339"/>
      <c r="E4" s="340"/>
      <c r="F4" s="340"/>
      <c r="G4" s="340"/>
      <c r="H4" s="340"/>
      <c r="I4" s="340"/>
      <c r="J4" s="340"/>
      <c r="K4" s="340"/>
      <c r="L4" s="340"/>
      <c r="M4" s="340"/>
      <c r="N4" s="340"/>
      <c r="O4" s="340"/>
      <c r="P4" s="340"/>
      <c r="Q4" s="340"/>
      <c r="R4" s="340"/>
      <c r="S4" s="340"/>
      <c r="T4" s="340"/>
      <c r="U4" s="340"/>
      <c r="V4" s="340"/>
      <c r="W4" s="340"/>
      <c r="X4" s="340"/>
      <c r="Y4" s="340"/>
      <c r="Z4" s="340"/>
      <c r="AA4" s="340"/>
      <c r="AB4" s="340"/>
      <c r="AC4" s="341"/>
      <c r="AD4" s="341"/>
      <c r="AE4" s="341"/>
      <c r="AF4" s="341"/>
      <c r="AG4" s="341"/>
      <c r="AH4" s="341"/>
      <c r="AI4" s="341"/>
      <c r="AJ4" s="341"/>
      <c r="AK4" s="341"/>
      <c r="AL4" s="206"/>
      <c r="AM4" s="206"/>
      <c r="AN4" s="342"/>
      <c r="AO4" s="342"/>
      <c r="AP4" s="342"/>
      <c r="AQ4" s="342"/>
      <c r="AR4" s="342"/>
      <c r="AS4" s="342"/>
      <c r="AT4" s="342"/>
      <c r="AU4" s="342"/>
      <c r="AV4" s="342"/>
      <c r="AW4" s="342"/>
      <c r="AX4" s="342"/>
      <c r="AY4" s="342"/>
      <c r="AZ4" s="342"/>
      <c r="BA4" s="342"/>
      <c r="BB4" s="342"/>
      <c r="BC4" s="342"/>
      <c r="BD4" s="342"/>
    </row>
    <row r="5" spans="1:64" ht="15.75" customHeight="1" x14ac:dyDescent="0.2">
      <c r="A5" s="343" t="s">
        <v>218</v>
      </c>
      <c r="B5" s="344" t="s">
        <v>219</v>
      </c>
      <c r="C5" s="344" t="s">
        <v>220</v>
      </c>
      <c r="D5" s="344" t="s">
        <v>221</v>
      </c>
      <c r="E5" s="344" t="s">
        <v>222</v>
      </c>
      <c r="F5" s="344"/>
      <c r="G5" s="344"/>
      <c r="H5" s="344"/>
      <c r="I5" s="344"/>
      <c r="J5" s="344"/>
      <c r="K5" s="344"/>
      <c r="L5" s="344"/>
      <c r="M5" s="344"/>
      <c r="N5" s="344"/>
      <c r="O5" s="344"/>
      <c r="P5" s="344"/>
      <c r="Q5" s="344"/>
      <c r="R5" s="344"/>
      <c r="S5" s="344"/>
      <c r="T5" s="344"/>
      <c r="U5" s="344"/>
      <c r="V5" s="344"/>
      <c r="W5" s="344"/>
      <c r="X5" s="344"/>
      <c r="Y5" s="344"/>
      <c r="Z5" s="344"/>
      <c r="AA5" s="344"/>
      <c r="AB5" s="344"/>
      <c r="AC5" s="344" t="s">
        <v>223</v>
      </c>
      <c r="AD5" s="343" t="s">
        <v>224</v>
      </c>
      <c r="AE5" s="343" t="s">
        <v>225</v>
      </c>
      <c r="AF5" s="177"/>
      <c r="AG5" s="344" t="s">
        <v>226</v>
      </c>
      <c r="AH5" s="344"/>
      <c r="AI5" s="344"/>
      <c r="AJ5" s="344"/>
      <c r="AK5" s="344"/>
      <c r="AL5" s="344"/>
      <c r="AM5" s="344"/>
      <c r="AN5" s="344"/>
      <c r="AO5" s="344"/>
      <c r="AP5" s="344"/>
      <c r="AQ5" s="344"/>
      <c r="AR5" s="344"/>
      <c r="AS5" s="344"/>
      <c r="AT5" s="344"/>
      <c r="AU5" s="344"/>
      <c r="AV5" s="344"/>
      <c r="AW5" s="344"/>
      <c r="AX5" s="344"/>
      <c r="AY5" s="344"/>
      <c r="AZ5" s="344"/>
      <c r="BA5" s="344"/>
      <c r="BB5" s="344"/>
      <c r="BC5" s="344"/>
      <c r="BD5" s="344"/>
    </row>
    <row r="6" spans="1:64" ht="69.75" customHeight="1" x14ac:dyDescent="0.2">
      <c r="A6" s="343"/>
      <c r="B6" s="343"/>
      <c r="C6" s="343"/>
      <c r="D6" s="343"/>
      <c r="E6" s="345" t="s">
        <v>227</v>
      </c>
      <c r="F6" s="345"/>
      <c r="G6" s="345"/>
      <c r="H6" s="345"/>
      <c r="I6" s="345"/>
      <c r="J6" s="345"/>
      <c r="K6" s="345"/>
      <c r="L6" s="345"/>
      <c r="M6" s="345" t="s">
        <v>228</v>
      </c>
      <c r="N6" s="345"/>
      <c r="O6" s="345"/>
      <c r="P6" s="345"/>
      <c r="Q6" s="345"/>
      <c r="R6" s="345"/>
      <c r="S6" s="345"/>
      <c r="T6" s="345"/>
      <c r="U6" s="345" t="s">
        <v>229</v>
      </c>
      <c r="V6" s="345"/>
      <c r="W6" s="345"/>
      <c r="X6" s="180" t="s">
        <v>230</v>
      </c>
      <c r="Y6" s="180" t="s">
        <v>231</v>
      </c>
      <c r="Z6" s="345" t="s">
        <v>232</v>
      </c>
      <c r="AA6" s="345"/>
      <c r="AB6" s="345"/>
      <c r="AC6" s="344"/>
      <c r="AD6" s="344"/>
      <c r="AE6" s="344"/>
      <c r="AF6" s="177"/>
      <c r="AG6" s="345" t="s">
        <v>227</v>
      </c>
      <c r="AH6" s="345"/>
      <c r="AI6" s="345"/>
      <c r="AJ6" s="345"/>
      <c r="AK6" s="345"/>
      <c r="AL6" s="345"/>
      <c r="AM6" s="345"/>
      <c r="AN6" s="345"/>
      <c r="AO6" s="345" t="s">
        <v>228</v>
      </c>
      <c r="AP6" s="345"/>
      <c r="AQ6" s="345"/>
      <c r="AR6" s="345"/>
      <c r="AS6" s="345"/>
      <c r="AT6" s="345"/>
      <c r="AU6" s="345"/>
      <c r="AV6" s="345"/>
      <c r="AW6" s="345" t="s">
        <v>229</v>
      </c>
      <c r="AX6" s="345"/>
      <c r="AY6" s="345"/>
      <c r="AZ6" s="180" t="s">
        <v>230</v>
      </c>
      <c r="BA6" s="180" t="s">
        <v>231</v>
      </c>
      <c r="BB6" s="345" t="s">
        <v>232</v>
      </c>
      <c r="BC6" s="345"/>
      <c r="BD6" s="345"/>
    </row>
    <row r="7" spans="1:64" ht="112.5" customHeight="1" x14ac:dyDescent="0.2">
      <c r="A7" s="343"/>
      <c r="B7" s="343"/>
      <c r="C7" s="343"/>
      <c r="D7" s="343"/>
      <c r="E7" s="178" t="s">
        <v>233</v>
      </c>
      <c r="F7" s="178" t="s">
        <v>234</v>
      </c>
      <c r="G7" s="178" t="s">
        <v>26</v>
      </c>
      <c r="H7" s="178" t="s">
        <v>235</v>
      </c>
      <c r="I7" s="178" t="s">
        <v>28</v>
      </c>
      <c r="J7" s="178" t="s">
        <v>236</v>
      </c>
      <c r="K7" s="178" t="s">
        <v>32</v>
      </c>
      <c r="L7" s="178" t="s">
        <v>237</v>
      </c>
      <c r="M7" s="178" t="s">
        <v>238</v>
      </c>
      <c r="N7" s="178" t="s">
        <v>239</v>
      </c>
      <c r="O7" s="178" t="s">
        <v>240</v>
      </c>
      <c r="P7" s="178" t="s">
        <v>241</v>
      </c>
      <c r="Q7" s="178" t="s">
        <v>242</v>
      </c>
      <c r="R7" s="178" t="s">
        <v>243</v>
      </c>
      <c r="S7" s="178" t="s">
        <v>244</v>
      </c>
      <c r="T7" s="178" t="s">
        <v>245</v>
      </c>
      <c r="U7" s="178" t="s">
        <v>246</v>
      </c>
      <c r="V7" s="178" t="s">
        <v>247</v>
      </c>
      <c r="W7" s="178" t="s">
        <v>248</v>
      </c>
      <c r="X7" s="178" t="s">
        <v>230</v>
      </c>
      <c r="Y7" s="178" t="s">
        <v>231</v>
      </c>
      <c r="Z7" s="178" t="s">
        <v>249</v>
      </c>
      <c r="AA7" s="178" t="s">
        <v>44</v>
      </c>
      <c r="AB7" s="178" t="s">
        <v>45</v>
      </c>
      <c r="AC7" s="344"/>
      <c r="AD7" s="344"/>
      <c r="AE7" s="344"/>
      <c r="AF7" s="177"/>
      <c r="AG7" s="178" t="s">
        <v>250</v>
      </c>
      <c r="AH7" s="178" t="s">
        <v>234</v>
      </c>
      <c r="AI7" s="178" t="s">
        <v>26</v>
      </c>
      <c r="AJ7" s="178" t="s">
        <v>235</v>
      </c>
      <c r="AK7" s="178" t="s">
        <v>28</v>
      </c>
      <c r="AL7" s="178" t="s">
        <v>236</v>
      </c>
      <c r="AM7" s="178" t="s">
        <v>32</v>
      </c>
      <c r="AN7" s="178" t="s">
        <v>237</v>
      </c>
      <c r="AO7" s="178" t="s">
        <v>238</v>
      </c>
      <c r="AP7" s="178" t="s">
        <v>239</v>
      </c>
      <c r="AQ7" s="178" t="s">
        <v>240</v>
      </c>
      <c r="AR7" s="178" t="s">
        <v>241</v>
      </c>
      <c r="AS7" s="178" t="s">
        <v>242</v>
      </c>
      <c r="AT7" s="178" t="s">
        <v>243</v>
      </c>
      <c r="AU7" s="178" t="s">
        <v>244</v>
      </c>
      <c r="AV7" s="178" t="s">
        <v>245</v>
      </c>
      <c r="AW7" s="178" t="s">
        <v>246</v>
      </c>
      <c r="AX7" s="178" t="s">
        <v>247</v>
      </c>
      <c r="AY7" s="178" t="s">
        <v>248</v>
      </c>
      <c r="AZ7" s="178" t="s">
        <v>230</v>
      </c>
      <c r="BA7" s="178" t="s">
        <v>231</v>
      </c>
      <c r="BB7" s="178" t="s">
        <v>249</v>
      </c>
      <c r="BC7" s="178" t="s">
        <v>44</v>
      </c>
      <c r="BD7" s="178" t="s">
        <v>45</v>
      </c>
      <c r="BE7" s="179"/>
      <c r="BF7" s="179"/>
      <c r="BG7" s="179"/>
      <c r="BH7" s="179"/>
      <c r="BI7" s="179"/>
      <c r="BJ7" s="179"/>
      <c r="BK7" s="179"/>
      <c r="BL7" s="179"/>
    </row>
    <row r="8" spans="1:64" x14ac:dyDescent="0.2">
      <c r="A8" s="346">
        <v>1</v>
      </c>
      <c r="B8" s="345" t="s">
        <v>251</v>
      </c>
      <c r="C8" s="180" t="s">
        <v>252</v>
      </c>
      <c r="D8" s="347">
        <f>SUM(E8:AB18)</f>
        <v>6022.1599999999989</v>
      </c>
      <c r="E8" s="180"/>
      <c r="F8" s="180">
        <v>953.7</v>
      </c>
      <c r="G8" s="180"/>
      <c r="H8" s="180"/>
      <c r="I8" s="180"/>
      <c r="J8" s="180"/>
      <c r="K8" s="180"/>
      <c r="L8" s="180"/>
      <c r="M8" s="180"/>
      <c r="N8" s="180"/>
      <c r="O8" s="180"/>
      <c r="P8" s="180"/>
      <c r="Q8" s="180"/>
      <c r="R8" s="180"/>
      <c r="S8" s="180"/>
      <c r="T8" s="180"/>
      <c r="U8" s="180"/>
      <c r="V8" s="180"/>
      <c r="W8" s="180"/>
      <c r="X8" s="180"/>
      <c r="Y8" s="180"/>
      <c r="Z8" s="180"/>
      <c r="AA8" s="180"/>
      <c r="AB8" s="180"/>
      <c r="AC8" s="180" t="s">
        <v>253</v>
      </c>
      <c r="AD8" s="181">
        <f t="shared" ref="AD8:AD36" si="0">IF(AC8="DIÁRIA",AE8,IF(AC8="2xDIA",(AE8*2),IF(AC8="3xDIA",(AE8*3),IF(AC8="4xDIA",(AE8*4),IF(AC8="5xDIA",(AE8*5),IF(AC8="6xDIA",(AE8*6),IF(AC8="SEMANAL",4.33,IF(AC8="2xSEMANA",8,IF(AC8="3xSEMANA",12,IF(AC8="QUINZENAL",2,IF(AC8="MENSAL",1,IF(AC8="BIMESTRAL",0.5,IF(AC8="TRIMESTRAL",0.33,IF(AC8="SEMESTRAL",0.17,0))))))))))))))</f>
        <v>72</v>
      </c>
      <c r="AE8" s="182">
        <f>'1. SB ABA DE CARREGAMENTO'!$B$90</f>
        <v>24</v>
      </c>
      <c r="AF8" s="347">
        <f>SUM(AG8:BD18)</f>
        <v>12431.470000000003</v>
      </c>
      <c r="AG8" s="183">
        <f t="shared" ref="AG8:AG51" si="1">(E8*AD8)/AE8</f>
        <v>0</v>
      </c>
      <c r="AH8" s="183">
        <f>(F8*AD8)/AE8</f>
        <v>2861.1000000000004</v>
      </c>
      <c r="AI8" s="183">
        <f t="shared" ref="AI8:AI51" si="2">(G8*AD8)/AE8</f>
        <v>0</v>
      </c>
      <c r="AJ8" s="183">
        <f t="shared" ref="AJ8:AJ51" si="3">(H8*AD8)/AE8</f>
        <v>0</v>
      </c>
      <c r="AK8" s="183">
        <f t="shared" ref="AK8:AK26" si="4">(I8*AD8)/AE8</f>
        <v>0</v>
      </c>
      <c r="AL8" s="183">
        <f t="shared" ref="AL8:AL36" si="5">(J8*AD8)/AE8</f>
        <v>0</v>
      </c>
      <c r="AM8" s="183">
        <f t="shared" ref="AM8:AM36" si="6">(K8*AD8)/AE8</f>
        <v>0</v>
      </c>
      <c r="AN8" s="183">
        <f t="shared" ref="AN8:AN51" si="7">(L8*AD8)/AE8</f>
        <v>0</v>
      </c>
      <c r="AO8" s="183">
        <f t="shared" ref="AO8:AO51" si="8">(M8*AD8)/AE8</f>
        <v>0</v>
      </c>
      <c r="AP8" s="183">
        <f t="shared" ref="AP8:AP36" si="9">(N8*AD8)/AE8</f>
        <v>0</v>
      </c>
      <c r="AQ8" s="183">
        <f t="shared" ref="AQ8:AQ36" si="10">(O8*AD8)/AE8</f>
        <v>0</v>
      </c>
      <c r="AR8" s="183">
        <f t="shared" ref="AR8:AR51" si="11">(P8*AD8)/AE8</f>
        <v>0</v>
      </c>
      <c r="AS8" s="183">
        <f t="shared" ref="AS8:AS51" si="12">(Q8*AD8)/AE8</f>
        <v>0</v>
      </c>
      <c r="AT8" s="183">
        <f t="shared" ref="AT8:AT51" si="13">(R8*AD8)/AE8</f>
        <v>0</v>
      </c>
      <c r="AU8" s="183">
        <f t="shared" ref="AU8:AU51" si="14">(S8*AD8)/AE8</f>
        <v>0</v>
      </c>
      <c r="AV8" s="183">
        <f t="shared" ref="AV8:AV51" si="15">(T8*AD8)/AE8</f>
        <v>0</v>
      </c>
      <c r="AW8" s="183">
        <f>(U8*AD8)/AE8</f>
        <v>0</v>
      </c>
      <c r="AX8" s="183">
        <f>(V8*AD8)/AE8</f>
        <v>0</v>
      </c>
      <c r="AY8" s="183">
        <f>(W8*AD8)/AE8</f>
        <v>0</v>
      </c>
      <c r="AZ8" s="183">
        <f t="shared" ref="AZ8:AZ51" si="16">(X8*AD8)/AE8</f>
        <v>0</v>
      </c>
      <c r="BA8" s="183">
        <f t="shared" ref="BA8:BA51" si="17">(Y8*AD8)/AE8</f>
        <v>0</v>
      </c>
      <c r="BB8" s="183">
        <f t="shared" ref="BB8:BB36" si="18">(Z8*AD8)/AE8</f>
        <v>0</v>
      </c>
      <c r="BC8" s="183">
        <f t="shared" ref="BC8:BC16" si="19">(AA8*AD8)/AE8</f>
        <v>0</v>
      </c>
      <c r="BD8" s="183">
        <f t="shared" ref="BD8:BD21" si="20">(AB8*AD8)/AE8</f>
        <v>0</v>
      </c>
      <c r="BE8" s="179"/>
      <c r="BF8" s="179"/>
      <c r="BG8" s="179"/>
      <c r="BH8" s="179"/>
      <c r="BI8" s="179"/>
      <c r="BJ8" s="179"/>
      <c r="BK8" s="179"/>
      <c r="BL8" s="179"/>
    </row>
    <row r="9" spans="1:64" x14ac:dyDescent="0.2">
      <c r="A9" s="346"/>
      <c r="B9" s="346"/>
      <c r="C9" s="180" t="s">
        <v>254</v>
      </c>
      <c r="D9" s="347"/>
      <c r="E9" s="180"/>
      <c r="F9" s="180"/>
      <c r="G9" s="180">
        <v>729.3</v>
      </c>
      <c r="H9" s="180"/>
      <c r="I9" s="180"/>
      <c r="J9" s="180"/>
      <c r="K9" s="180"/>
      <c r="L9" s="180"/>
      <c r="M9" s="180"/>
      <c r="N9" s="180"/>
      <c r="O9" s="180"/>
      <c r="P9" s="180"/>
      <c r="Q9" s="180"/>
      <c r="R9" s="180"/>
      <c r="S9" s="180"/>
      <c r="T9" s="180"/>
      <c r="U9" s="180"/>
      <c r="V9" s="180"/>
      <c r="W9" s="180"/>
      <c r="X9" s="180"/>
      <c r="Y9" s="180"/>
      <c r="Z9" s="180"/>
      <c r="AA9" s="180"/>
      <c r="AB9" s="180"/>
      <c r="AC9" s="180" t="s">
        <v>253</v>
      </c>
      <c r="AD9" s="181">
        <f t="shared" si="0"/>
        <v>72</v>
      </c>
      <c r="AE9" s="182">
        <f>'1. SB ABA DE CARREGAMENTO'!$B$90</f>
        <v>24</v>
      </c>
      <c r="AF9" s="347"/>
      <c r="AG9" s="183">
        <f t="shared" si="1"/>
        <v>0</v>
      </c>
      <c r="AH9" s="183">
        <f>(F9*AD9)/AE9</f>
        <v>0</v>
      </c>
      <c r="AI9" s="183">
        <f t="shared" si="2"/>
        <v>2187.9</v>
      </c>
      <c r="AJ9" s="183">
        <f t="shared" si="3"/>
        <v>0</v>
      </c>
      <c r="AK9" s="183">
        <f t="shared" si="4"/>
        <v>0</v>
      </c>
      <c r="AL9" s="183">
        <f t="shared" si="5"/>
        <v>0</v>
      </c>
      <c r="AM9" s="183">
        <f t="shared" si="6"/>
        <v>0</v>
      </c>
      <c r="AN9" s="183">
        <f t="shared" si="7"/>
        <v>0</v>
      </c>
      <c r="AO9" s="183">
        <f t="shared" si="8"/>
        <v>0</v>
      </c>
      <c r="AP9" s="183">
        <f t="shared" si="9"/>
        <v>0</v>
      </c>
      <c r="AQ9" s="183">
        <f t="shared" si="10"/>
        <v>0</v>
      </c>
      <c r="AR9" s="183">
        <f t="shared" si="11"/>
        <v>0</v>
      </c>
      <c r="AS9" s="183">
        <f t="shared" si="12"/>
        <v>0</v>
      </c>
      <c r="AT9" s="183">
        <f t="shared" si="13"/>
        <v>0</v>
      </c>
      <c r="AU9" s="183">
        <f t="shared" si="14"/>
        <v>0</v>
      </c>
      <c r="AV9" s="183">
        <f t="shared" si="15"/>
        <v>0</v>
      </c>
      <c r="AW9" s="183">
        <f>(U9*AD9)/AE9</f>
        <v>0</v>
      </c>
      <c r="AX9" s="183">
        <f>(V9*AD9)/AE9</f>
        <v>0</v>
      </c>
      <c r="AY9" s="183">
        <f>(W9*AD9)/AE9</f>
        <v>0</v>
      </c>
      <c r="AZ9" s="183">
        <f t="shared" si="16"/>
        <v>0</v>
      </c>
      <c r="BA9" s="183">
        <f t="shared" si="17"/>
        <v>0</v>
      </c>
      <c r="BB9" s="183">
        <f t="shared" si="18"/>
        <v>0</v>
      </c>
      <c r="BC9" s="183">
        <f t="shared" si="19"/>
        <v>0</v>
      </c>
      <c r="BD9" s="183">
        <f t="shared" si="20"/>
        <v>0</v>
      </c>
      <c r="BE9" s="179"/>
      <c r="BF9" s="179"/>
      <c r="BG9" s="179"/>
      <c r="BH9" s="179"/>
      <c r="BI9" s="179"/>
      <c r="BJ9" s="179"/>
      <c r="BK9" s="179"/>
      <c r="BL9" s="179"/>
    </row>
    <row r="10" spans="1:64" ht="12.75" customHeight="1" x14ac:dyDescent="0.2">
      <c r="A10" s="346"/>
      <c r="B10" s="346"/>
      <c r="C10" s="180" t="s">
        <v>255</v>
      </c>
      <c r="D10" s="347"/>
      <c r="E10" s="180"/>
      <c r="F10" s="180"/>
      <c r="G10" s="180"/>
      <c r="H10" s="180"/>
      <c r="I10" s="180"/>
      <c r="J10" s="180"/>
      <c r="K10" s="180"/>
      <c r="L10" s="180">
        <v>1440.06</v>
      </c>
      <c r="M10" s="180"/>
      <c r="N10" s="180"/>
      <c r="O10" s="180"/>
      <c r="P10" s="180"/>
      <c r="Q10" s="180"/>
      <c r="R10" s="180"/>
      <c r="S10" s="180"/>
      <c r="T10" s="180"/>
      <c r="U10" s="180"/>
      <c r="V10" s="180"/>
      <c r="W10" s="180"/>
      <c r="X10" s="180"/>
      <c r="Y10" s="180"/>
      <c r="Z10" s="180"/>
      <c r="AA10" s="180"/>
      <c r="AB10" s="180"/>
      <c r="AC10" s="180" t="s">
        <v>253</v>
      </c>
      <c r="AD10" s="181">
        <f t="shared" si="0"/>
        <v>72</v>
      </c>
      <c r="AE10" s="182">
        <f>'1. SB ABA DE CARREGAMENTO'!$B$90</f>
        <v>24</v>
      </c>
      <c r="AF10" s="347"/>
      <c r="AG10" s="183">
        <f t="shared" si="1"/>
        <v>0</v>
      </c>
      <c r="AH10" s="183">
        <f>(F10*AD10)/AE10</f>
        <v>0</v>
      </c>
      <c r="AI10" s="183">
        <f t="shared" si="2"/>
        <v>0</v>
      </c>
      <c r="AJ10" s="183">
        <f t="shared" si="3"/>
        <v>0</v>
      </c>
      <c r="AK10" s="183">
        <f t="shared" si="4"/>
        <v>0</v>
      </c>
      <c r="AL10" s="183">
        <f t="shared" si="5"/>
        <v>0</v>
      </c>
      <c r="AM10" s="183">
        <f t="shared" si="6"/>
        <v>0</v>
      </c>
      <c r="AN10" s="183">
        <f t="shared" si="7"/>
        <v>4320.1799999999994</v>
      </c>
      <c r="AO10" s="183">
        <f t="shared" si="8"/>
        <v>0</v>
      </c>
      <c r="AP10" s="183">
        <f t="shared" si="9"/>
        <v>0</v>
      </c>
      <c r="AQ10" s="183">
        <f t="shared" si="10"/>
        <v>0</v>
      </c>
      <c r="AR10" s="183">
        <f t="shared" si="11"/>
        <v>0</v>
      </c>
      <c r="AS10" s="183">
        <f t="shared" si="12"/>
        <v>0</v>
      </c>
      <c r="AT10" s="183">
        <f t="shared" si="13"/>
        <v>0</v>
      </c>
      <c r="AU10" s="183">
        <f t="shared" si="14"/>
        <v>0</v>
      </c>
      <c r="AV10" s="183">
        <f t="shared" si="15"/>
        <v>0</v>
      </c>
      <c r="AW10" s="183">
        <f>(U10*AD10)/AE10</f>
        <v>0</v>
      </c>
      <c r="AX10" s="183">
        <f>(V10*AD10)/AE10</f>
        <v>0</v>
      </c>
      <c r="AY10" s="183">
        <f>(W10*AD10)/AE10</f>
        <v>0</v>
      </c>
      <c r="AZ10" s="183">
        <f t="shared" si="16"/>
        <v>0</v>
      </c>
      <c r="BA10" s="183">
        <f t="shared" si="17"/>
        <v>0</v>
      </c>
      <c r="BB10" s="183">
        <f t="shared" si="18"/>
        <v>0</v>
      </c>
      <c r="BC10" s="183">
        <f t="shared" si="19"/>
        <v>0</v>
      </c>
      <c r="BD10" s="183">
        <f t="shared" si="20"/>
        <v>0</v>
      </c>
      <c r="BE10" s="179"/>
      <c r="BF10" s="179"/>
      <c r="BG10" s="179"/>
      <c r="BH10" s="179"/>
      <c r="BI10" s="179"/>
      <c r="BJ10" s="179"/>
      <c r="BK10" s="179"/>
      <c r="BL10" s="179"/>
    </row>
    <row r="11" spans="1:64" x14ac:dyDescent="0.2">
      <c r="A11" s="346"/>
      <c r="B11" s="346"/>
      <c r="C11" s="180" t="s">
        <v>256</v>
      </c>
      <c r="D11" s="347"/>
      <c r="E11" s="180"/>
      <c r="F11" s="180">
        <v>170</v>
      </c>
      <c r="G11" s="180"/>
      <c r="H11" s="180"/>
      <c r="I11" s="180"/>
      <c r="J11" s="180"/>
      <c r="K11" s="180"/>
      <c r="L11" s="180"/>
      <c r="M11" s="180"/>
      <c r="N11" s="180"/>
      <c r="O11" s="180"/>
      <c r="P11" s="180"/>
      <c r="Q11" s="180"/>
      <c r="R11" s="180"/>
      <c r="S11" s="180"/>
      <c r="T11" s="180"/>
      <c r="U11" s="180"/>
      <c r="V11" s="180"/>
      <c r="W11" s="180"/>
      <c r="X11" s="180"/>
      <c r="Y11" s="180"/>
      <c r="Z11" s="180"/>
      <c r="AA11" s="180"/>
      <c r="AB11" s="180"/>
      <c r="AC11" s="180" t="s">
        <v>253</v>
      </c>
      <c r="AD11" s="181">
        <f t="shared" si="0"/>
        <v>72</v>
      </c>
      <c r="AE11" s="182">
        <f>'1. SB ABA DE CARREGAMENTO'!$B$90</f>
        <v>24</v>
      </c>
      <c r="AF11" s="347"/>
      <c r="AG11" s="183">
        <f t="shared" si="1"/>
        <v>0</v>
      </c>
      <c r="AH11" s="183">
        <f>(F11*AD11)/AE11</f>
        <v>510</v>
      </c>
      <c r="AI11" s="183">
        <f t="shared" si="2"/>
        <v>0</v>
      </c>
      <c r="AJ11" s="183">
        <f t="shared" si="3"/>
        <v>0</v>
      </c>
      <c r="AK11" s="183">
        <f t="shared" si="4"/>
        <v>0</v>
      </c>
      <c r="AL11" s="183">
        <f t="shared" si="5"/>
        <v>0</v>
      </c>
      <c r="AM11" s="183">
        <f t="shared" si="6"/>
        <v>0</v>
      </c>
      <c r="AN11" s="183">
        <f t="shared" si="7"/>
        <v>0</v>
      </c>
      <c r="AO11" s="183">
        <f t="shared" si="8"/>
        <v>0</v>
      </c>
      <c r="AP11" s="183">
        <f t="shared" si="9"/>
        <v>0</v>
      </c>
      <c r="AQ11" s="183">
        <f t="shared" si="10"/>
        <v>0</v>
      </c>
      <c r="AR11" s="183">
        <f t="shared" si="11"/>
        <v>0</v>
      </c>
      <c r="AS11" s="183">
        <f t="shared" si="12"/>
        <v>0</v>
      </c>
      <c r="AT11" s="183">
        <f t="shared" si="13"/>
        <v>0</v>
      </c>
      <c r="AU11" s="183">
        <f t="shared" si="14"/>
        <v>0</v>
      </c>
      <c r="AV11" s="183">
        <f t="shared" si="15"/>
        <v>0</v>
      </c>
      <c r="AW11" s="183">
        <f>(U11*AD11)/AE11</f>
        <v>0</v>
      </c>
      <c r="AX11" s="183">
        <f>(V11*AD11)/AE11</f>
        <v>0</v>
      </c>
      <c r="AY11" s="183">
        <f>(W11*AD11)/AE11</f>
        <v>0</v>
      </c>
      <c r="AZ11" s="183">
        <f t="shared" si="16"/>
        <v>0</v>
      </c>
      <c r="BA11" s="183">
        <f t="shared" si="17"/>
        <v>0</v>
      </c>
      <c r="BB11" s="183">
        <f t="shared" si="18"/>
        <v>0</v>
      </c>
      <c r="BC11" s="183">
        <f t="shared" si="19"/>
        <v>0</v>
      </c>
      <c r="BD11" s="183">
        <f t="shared" si="20"/>
        <v>0</v>
      </c>
      <c r="BE11" s="179"/>
      <c r="BF11" s="179"/>
      <c r="BG11" s="179"/>
      <c r="BH11" s="179"/>
      <c r="BI11" s="179"/>
      <c r="BJ11" s="179"/>
      <c r="BK11" s="179"/>
      <c r="BL11" s="179"/>
    </row>
    <row r="12" spans="1:64" ht="12.75" customHeight="1" x14ac:dyDescent="0.2">
      <c r="A12" s="346"/>
      <c r="B12" s="346"/>
      <c r="C12" s="184" t="s">
        <v>257</v>
      </c>
      <c r="D12" s="347"/>
      <c r="E12" s="180"/>
      <c r="F12" s="185"/>
      <c r="G12" s="180"/>
      <c r="H12" s="180"/>
      <c r="I12" s="180"/>
      <c r="J12" s="180"/>
      <c r="K12" s="180"/>
      <c r="L12" s="180"/>
      <c r="M12" s="180"/>
      <c r="N12" s="180"/>
      <c r="O12" s="180"/>
      <c r="P12" s="180"/>
      <c r="Q12" s="180"/>
      <c r="R12" s="180"/>
      <c r="S12" s="180"/>
      <c r="T12" s="180"/>
      <c r="U12" s="180">
        <v>570</v>
      </c>
      <c r="V12" s="180">
        <v>190</v>
      </c>
      <c r="W12" s="180"/>
      <c r="X12" s="180"/>
      <c r="Y12" s="180"/>
      <c r="Z12" s="180"/>
      <c r="AA12" s="180"/>
      <c r="AB12" s="180"/>
      <c r="AC12" s="180" t="s">
        <v>258</v>
      </c>
      <c r="AD12" s="181">
        <f t="shared" si="0"/>
        <v>0.17</v>
      </c>
      <c r="AE12" s="182">
        <f>'1. SB ABA DE CARREGAMENTO'!$B$90</f>
        <v>24</v>
      </c>
      <c r="AF12" s="347"/>
      <c r="AG12" s="183">
        <f t="shared" si="1"/>
        <v>0</v>
      </c>
      <c r="AH12" s="183">
        <f>(V12*AD12)/AE12</f>
        <v>1.3458333333333334</v>
      </c>
      <c r="AI12" s="183">
        <f t="shared" si="2"/>
        <v>0</v>
      </c>
      <c r="AJ12" s="183">
        <f t="shared" si="3"/>
        <v>0</v>
      </c>
      <c r="AK12" s="183">
        <f t="shared" si="4"/>
        <v>0</v>
      </c>
      <c r="AL12" s="183">
        <f t="shared" si="5"/>
        <v>0</v>
      </c>
      <c r="AM12" s="183">
        <f t="shared" si="6"/>
        <v>0</v>
      </c>
      <c r="AN12" s="183">
        <f t="shared" si="7"/>
        <v>0</v>
      </c>
      <c r="AO12" s="183">
        <f t="shared" si="8"/>
        <v>0</v>
      </c>
      <c r="AP12" s="183">
        <f t="shared" si="9"/>
        <v>0</v>
      </c>
      <c r="AQ12" s="183">
        <f t="shared" si="10"/>
        <v>0</v>
      </c>
      <c r="AR12" s="183">
        <f t="shared" si="11"/>
        <v>0</v>
      </c>
      <c r="AS12" s="183">
        <f t="shared" si="12"/>
        <v>0</v>
      </c>
      <c r="AT12" s="183">
        <f t="shared" si="13"/>
        <v>0</v>
      </c>
      <c r="AU12" s="183">
        <f t="shared" si="14"/>
        <v>0</v>
      </c>
      <c r="AV12" s="183">
        <f t="shared" si="15"/>
        <v>0</v>
      </c>
      <c r="AW12" s="183">
        <f t="shared" ref="AW12:AW13" si="21">(U12*AD12)/AE12</f>
        <v>4.0375000000000005</v>
      </c>
      <c r="AX12" s="183">
        <f t="shared" ref="AX12:AX14" si="22">(V12*AD12)/AE12</f>
        <v>1.3458333333333334</v>
      </c>
      <c r="AY12" s="183">
        <f t="shared" ref="AY12:AY14" si="23">(W12*AD12)/AE12</f>
        <v>0</v>
      </c>
      <c r="AZ12" s="183">
        <f t="shared" si="16"/>
        <v>0</v>
      </c>
      <c r="BA12" s="183">
        <f t="shared" si="17"/>
        <v>0</v>
      </c>
      <c r="BB12" s="183">
        <f t="shared" si="18"/>
        <v>0</v>
      </c>
      <c r="BC12" s="183">
        <f t="shared" si="19"/>
        <v>0</v>
      </c>
      <c r="BD12" s="183">
        <f t="shared" si="20"/>
        <v>0</v>
      </c>
      <c r="BE12" s="179"/>
      <c r="BF12" s="179"/>
      <c r="BG12" s="179"/>
      <c r="BH12" s="179"/>
      <c r="BI12" s="179"/>
      <c r="BJ12" s="179"/>
      <c r="BK12" s="179"/>
      <c r="BL12" s="179"/>
    </row>
    <row r="13" spans="1:64" ht="12.75" customHeight="1" x14ac:dyDescent="0.2">
      <c r="A13" s="346"/>
      <c r="B13" s="346"/>
      <c r="C13" s="184" t="s">
        <v>259</v>
      </c>
      <c r="D13" s="347"/>
      <c r="E13" s="180"/>
      <c r="F13" s="185"/>
      <c r="G13" s="180"/>
      <c r="H13" s="180"/>
      <c r="I13" s="180"/>
      <c r="J13" s="180"/>
      <c r="K13" s="180"/>
      <c r="L13" s="180"/>
      <c r="M13" s="180"/>
      <c r="N13" s="180"/>
      <c r="O13" s="180"/>
      <c r="P13" s="180"/>
      <c r="Q13" s="180"/>
      <c r="R13" s="180"/>
      <c r="S13" s="180"/>
      <c r="T13" s="180"/>
      <c r="U13" s="180"/>
      <c r="W13" s="180">
        <v>760</v>
      </c>
      <c r="X13" s="180"/>
      <c r="Y13" s="180"/>
      <c r="Z13" s="180"/>
      <c r="AA13" s="180"/>
      <c r="AB13" s="180"/>
      <c r="AC13" s="180" t="s">
        <v>260</v>
      </c>
      <c r="AD13" s="181">
        <f t="shared" si="0"/>
        <v>8</v>
      </c>
      <c r="AE13" s="182">
        <f>'1. SB ABA DE CARREGAMENTO'!$B$90</f>
        <v>24</v>
      </c>
      <c r="AF13" s="347"/>
      <c r="AG13" s="183">
        <f t="shared" si="1"/>
        <v>0</v>
      </c>
      <c r="AH13" s="183">
        <f>(W13*AD13)/AE13</f>
        <v>253.33333333333334</v>
      </c>
      <c r="AI13" s="183">
        <f t="shared" si="2"/>
        <v>0</v>
      </c>
      <c r="AJ13" s="183">
        <f t="shared" si="3"/>
        <v>0</v>
      </c>
      <c r="AK13" s="183">
        <f t="shared" si="4"/>
        <v>0</v>
      </c>
      <c r="AL13" s="183">
        <f t="shared" si="5"/>
        <v>0</v>
      </c>
      <c r="AM13" s="183">
        <f t="shared" si="6"/>
        <v>0</v>
      </c>
      <c r="AN13" s="183">
        <f t="shared" si="7"/>
        <v>0</v>
      </c>
      <c r="AO13" s="183">
        <f t="shared" si="8"/>
        <v>0</v>
      </c>
      <c r="AP13" s="183">
        <f t="shared" si="9"/>
        <v>0</v>
      </c>
      <c r="AQ13" s="183">
        <f t="shared" si="10"/>
        <v>0</v>
      </c>
      <c r="AR13" s="183">
        <f t="shared" si="11"/>
        <v>0</v>
      </c>
      <c r="AS13" s="183">
        <f t="shared" si="12"/>
        <v>0</v>
      </c>
      <c r="AT13" s="183">
        <f t="shared" si="13"/>
        <v>0</v>
      </c>
      <c r="AU13" s="183">
        <f t="shared" si="14"/>
        <v>0</v>
      </c>
      <c r="AV13" s="183">
        <f t="shared" si="15"/>
        <v>0</v>
      </c>
      <c r="AW13" s="183">
        <f t="shared" si="21"/>
        <v>0</v>
      </c>
      <c r="AX13" s="183">
        <f t="shared" si="22"/>
        <v>0</v>
      </c>
      <c r="AY13" s="183">
        <f t="shared" si="23"/>
        <v>253.33333333333334</v>
      </c>
      <c r="AZ13" s="183">
        <f t="shared" si="16"/>
        <v>0</v>
      </c>
      <c r="BA13" s="183">
        <f t="shared" si="17"/>
        <v>0</v>
      </c>
      <c r="BB13" s="183">
        <f t="shared" si="18"/>
        <v>0</v>
      </c>
      <c r="BC13" s="183">
        <f t="shared" si="19"/>
        <v>0</v>
      </c>
      <c r="BD13" s="183">
        <f t="shared" si="20"/>
        <v>0</v>
      </c>
      <c r="BE13" s="179"/>
      <c r="BF13" s="179"/>
      <c r="BG13" s="179"/>
      <c r="BH13" s="179"/>
      <c r="BI13" s="179"/>
      <c r="BJ13" s="179"/>
      <c r="BK13" s="179"/>
      <c r="BL13" s="179"/>
    </row>
    <row r="14" spans="1:64" ht="38.25" x14ac:dyDescent="0.2">
      <c r="A14" s="346"/>
      <c r="B14" s="346"/>
      <c r="C14" s="180" t="s">
        <v>642</v>
      </c>
      <c r="D14" s="347"/>
      <c r="E14" s="180"/>
      <c r="F14" s="180">
        <v>321.7</v>
      </c>
      <c r="G14" s="180"/>
      <c r="H14" s="180"/>
      <c r="I14" s="180"/>
      <c r="J14" s="180"/>
      <c r="K14" s="180"/>
      <c r="L14" s="180"/>
      <c r="M14" s="180"/>
      <c r="N14" s="180"/>
      <c r="O14" s="180"/>
      <c r="P14" s="180"/>
      <c r="Q14" s="180"/>
      <c r="R14" s="180"/>
      <c r="S14" s="180"/>
      <c r="T14" s="180"/>
      <c r="U14" s="180"/>
      <c r="V14" s="180"/>
      <c r="W14" s="180"/>
      <c r="X14" s="180"/>
      <c r="Y14" s="180"/>
      <c r="Z14" s="180"/>
      <c r="AA14" s="180"/>
      <c r="AB14" s="180"/>
      <c r="AC14" s="180" t="s">
        <v>261</v>
      </c>
      <c r="AD14" s="181">
        <f t="shared" si="0"/>
        <v>24</v>
      </c>
      <c r="AE14" s="182">
        <f>'1. SB ABA DE CARREGAMENTO'!$B$90</f>
        <v>24</v>
      </c>
      <c r="AF14" s="347"/>
      <c r="AG14" s="183">
        <f t="shared" si="1"/>
        <v>0</v>
      </c>
      <c r="AH14" s="183">
        <f t="shared" ref="AH14:AH20" si="24">(F14*AD14)/AE14</f>
        <v>321.7</v>
      </c>
      <c r="AI14" s="183">
        <f t="shared" si="2"/>
        <v>0</v>
      </c>
      <c r="AJ14" s="183">
        <f t="shared" si="3"/>
        <v>0</v>
      </c>
      <c r="AK14" s="183">
        <f t="shared" si="4"/>
        <v>0</v>
      </c>
      <c r="AL14" s="183">
        <f t="shared" si="5"/>
        <v>0</v>
      </c>
      <c r="AM14" s="183">
        <f t="shared" si="6"/>
        <v>0</v>
      </c>
      <c r="AN14" s="183">
        <f t="shared" si="7"/>
        <v>0</v>
      </c>
      <c r="AO14" s="183">
        <f t="shared" si="8"/>
        <v>0</v>
      </c>
      <c r="AP14" s="183">
        <f t="shared" si="9"/>
        <v>0</v>
      </c>
      <c r="AQ14" s="183">
        <f t="shared" si="10"/>
        <v>0</v>
      </c>
      <c r="AR14" s="183">
        <f t="shared" si="11"/>
        <v>0</v>
      </c>
      <c r="AS14" s="183">
        <f t="shared" si="12"/>
        <v>0</v>
      </c>
      <c r="AT14" s="183">
        <f t="shared" si="13"/>
        <v>0</v>
      </c>
      <c r="AU14" s="183">
        <f t="shared" si="14"/>
        <v>0</v>
      </c>
      <c r="AV14" s="183">
        <f t="shared" si="15"/>
        <v>0</v>
      </c>
      <c r="AW14" s="183">
        <f t="shared" ref="AW14:AW51" si="25">(U14*AD14)/AE14</f>
        <v>0</v>
      </c>
      <c r="AX14" s="183">
        <f t="shared" si="22"/>
        <v>0</v>
      </c>
      <c r="AY14" s="183">
        <f t="shared" si="23"/>
        <v>0</v>
      </c>
      <c r="AZ14" s="183">
        <f t="shared" si="16"/>
        <v>0</v>
      </c>
      <c r="BA14" s="183">
        <f t="shared" si="17"/>
        <v>0</v>
      </c>
      <c r="BB14" s="183">
        <f t="shared" si="18"/>
        <v>0</v>
      </c>
      <c r="BC14" s="183">
        <f t="shared" si="19"/>
        <v>0</v>
      </c>
      <c r="BD14" s="183">
        <f t="shared" si="20"/>
        <v>0</v>
      </c>
      <c r="BE14" s="179"/>
      <c r="BF14" s="179"/>
      <c r="BG14" s="179"/>
      <c r="BH14" s="179"/>
      <c r="BI14" s="179"/>
      <c r="BJ14" s="179"/>
      <c r="BK14" s="179"/>
      <c r="BL14" s="179"/>
    </row>
    <row r="15" spans="1:64" ht="12.75" customHeight="1" x14ac:dyDescent="0.2">
      <c r="A15" s="346"/>
      <c r="B15" s="346"/>
      <c r="C15" s="180" t="s">
        <v>262</v>
      </c>
      <c r="D15" s="347"/>
      <c r="E15" s="180"/>
      <c r="F15" s="180"/>
      <c r="G15" s="180"/>
      <c r="H15" s="180"/>
      <c r="I15" s="180"/>
      <c r="J15" s="180"/>
      <c r="K15" s="180"/>
      <c r="L15" s="180"/>
      <c r="M15" s="180"/>
      <c r="N15" s="180"/>
      <c r="O15" s="180"/>
      <c r="P15" s="180"/>
      <c r="Q15" s="180"/>
      <c r="R15" s="180"/>
      <c r="S15" s="180"/>
      <c r="T15" s="180"/>
      <c r="U15" s="180"/>
      <c r="V15" s="180"/>
      <c r="W15" s="180"/>
      <c r="X15" s="180"/>
      <c r="Y15" s="180">
        <v>112.2</v>
      </c>
      <c r="Z15" s="180"/>
      <c r="AA15" s="180"/>
      <c r="AB15" s="180"/>
      <c r="AC15" s="180" t="s">
        <v>253</v>
      </c>
      <c r="AD15" s="181">
        <f t="shared" si="0"/>
        <v>72</v>
      </c>
      <c r="AE15" s="182">
        <f>'1. SB ABA DE CARREGAMENTO'!$B$90</f>
        <v>24</v>
      </c>
      <c r="AF15" s="347"/>
      <c r="AG15" s="183">
        <f t="shared" si="1"/>
        <v>0</v>
      </c>
      <c r="AH15" s="183">
        <f t="shared" si="24"/>
        <v>0</v>
      </c>
      <c r="AI15" s="183">
        <f t="shared" si="2"/>
        <v>0</v>
      </c>
      <c r="AJ15" s="183">
        <f t="shared" si="3"/>
        <v>0</v>
      </c>
      <c r="AK15" s="183">
        <f t="shared" si="4"/>
        <v>0</v>
      </c>
      <c r="AL15" s="183">
        <f t="shared" si="5"/>
        <v>0</v>
      </c>
      <c r="AM15" s="183">
        <f t="shared" si="6"/>
        <v>0</v>
      </c>
      <c r="AN15" s="183">
        <f t="shared" si="7"/>
        <v>0</v>
      </c>
      <c r="AO15" s="183">
        <f t="shared" si="8"/>
        <v>0</v>
      </c>
      <c r="AP15" s="183">
        <f t="shared" si="9"/>
        <v>0</v>
      </c>
      <c r="AQ15" s="183">
        <f t="shared" si="10"/>
        <v>0</v>
      </c>
      <c r="AR15" s="183">
        <f t="shared" si="11"/>
        <v>0</v>
      </c>
      <c r="AS15" s="183">
        <f t="shared" si="12"/>
        <v>0</v>
      </c>
      <c r="AT15" s="183">
        <f t="shared" si="13"/>
        <v>0</v>
      </c>
      <c r="AU15" s="183">
        <f t="shared" si="14"/>
        <v>0</v>
      </c>
      <c r="AV15" s="183">
        <f t="shared" si="15"/>
        <v>0</v>
      </c>
      <c r="AW15" s="183">
        <f t="shared" si="25"/>
        <v>0</v>
      </c>
      <c r="AX15" s="183">
        <f t="shared" ref="AX15:AX51" si="26">(V15*AD15)/AE15</f>
        <v>0</v>
      </c>
      <c r="AY15" s="183">
        <f t="shared" ref="AY15:AY51" si="27">(W15*AD15)/AE15</f>
        <v>0</v>
      </c>
      <c r="AZ15" s="183">
        <f t="shared" si="16"/>
        <v>0</v>
      </c>
      <c r="BA15" s="183">
        <f t="shared" si="17"/>
        <v>336.6</v>
      </c>
      <c r="BB15" s="183">
        <f t="shared" si="18"/>
        <v>0</v>
      </c>
      <c r="BC15" s="183">
        <f t="shared" si="19"/>
        <v>0</v>
      </c>
      <c r="BD15" s="183">
        <f t="shared" si="20"/>
        <v>0</v>
      </c>
      <c r="BE15" s="179"/>
      <c r="BF15" s="179"/>
      <c r="BG15" s="179"/>
      <c r="BH15" s="179"/>
      <c r="BI15" s="179"/>
      <c r="BJ15" s="179"/>
      <c r="BK15" s="179"/>
      <c r="BL15" s="179"/>
    </row>
    <row r="16" spans="1:64" ht="12.75" customHeight="1" x14ac:dyDescent="0.2">
      <c r="A16" s="346"/>
      <c r="B16" s="346"/>
      <c r="C16" s="180" t="s">
        <v>263</v>
      </c>
      <c r="D16" s="347"/>
      <c r="E16" s="180"/>
      <c r="F16" s="180"/>
      <c r="G16" s="180"/>
      <c r="H16" s="180"/>
      <c r="I16" s="180"/>
      <c r="J16" s="180"/>
      <c r="K16" s="180"/>
      <c r="L16" s="180"/>
      <c r="M16" s="180"/>
      <c r="N16" s="180"/>
      <c r="O16" s="180"/>
      <c r="P16" s="180"/>
      <c r="Q16" s="180"/>
      <c r="R16" s="180"/>
      <c r="S16" s="180"/>
      <c r="T16" s="180"/>
      <c r="U16" s="180"/>
      <c r="V16" s="180"/>
      <c r="W16" s="180"/>
      <c r="X16" s="180"/>
      <c r="Y16" s="180"/>
      <c r="Z16" s="184">
        <v>213.2</v>
      </c>
      <c r="AA16" s="184"/>
      <c r="AB16" s="184"/>
      <c r="AC16" s="180" t="s">
        <v>264</v>
      </c>
      <c r="AD16" s="181">
        <f t="shared" si="0"/>
        <v>144</v>
      </c>
      <c r="AE16" s="182">
        <f>'1. SB ABA DE CARREGAMENTO'!$B$90</f>
        <v>24</v>
      </c>
      <c r="AF16" s="347"/>
      <c r="AG16" s="183">
        <f t="shared" si="1"/>
        <v>0</v>
      </c>
      <c r="AH16" s="183">
        <f t="shared" si="24"/>
        <v>0</v>
      </c>
      <c r="AI16" s="183">
        <f t="shared" si="2"/>
        <v>0</v>
      </c>
      <c r="AJ16" s="183">
        <f t="shared" si="3"/>
        <v>0</v>
      </c>
      <c r="AK16" s="183">
        <f t="shared" si="4"/>
        <v>0</v>
      </c>
      <c r="AL16" s="183">
        <f t="shared" si="5"/>
        <v>0</v>
      </c>
      <c r="AM16" s="183">
        <f t="shared" si="6"/>
        <v>0</v>
      </c>
      <c r="AN16" s="183">
        <f t="shared" si="7"/>
        <v>0</v>
      </c>
      <c r="AO16" s="183">
        <f t="shared" si="8"/>
        <v>0</v>
      </c>
      <c r="AP16" s="183">
        <f t="shared" si="9"/>
        <v>0</v>
      </c>
      <c r="AQ16" s="183">
        <f t="shared" si="10"/>
        <v>0</v>
      </c>
      <c r="AR16" s="183">
        <f t="shared" si="11"/>
        <v>0</v>
      </c>
      <c r="AS16" s="183">
        <f t="shared" si="12"/>
        <v>0</v>
      </c>
      <c r="AT16" s="183">
        <f t="shared" si="13"/>
        <v>0</v>
      </c>
      <c r="AU16" s="183">
        <f t="shared" si="14"/>
        <v>0</v>
      </c>
      <c r="AV16" s="183">
        <f t="shared" si="15"/>
        <v>0</v>
      </c>
      <c r="AW16" s="183">
        <f t="shared" si="25"/>
        <v>0</v>
      </c>
      <c r="AX16" s="183">
        <f t="shared" si="26"/>
        <v>0</v>
      </c>
      <c r="AY16" s="183">
        <f t="shared" si="27"/>
        <v>0</v>
      </c>
      <c r="AZ16" s="183">
        <f t="shared" si="16"/>
        <v>0</v>
      </c>
      <c r="BA16" s="183">
        <f t="shared" si="17"/>
        <v>0</v>
      </c>
      <c r="BB16" s="183">
        <f t="shared" si="18"/>
        <v>1279.2</v>
      </c>
      <c r="BC16" s="183">
        <f t="shared" si="19"/>
        <v>0</v>
      </c>
      <c r="BD16" s="183">
        <f t="shared" si="20"/>
        <v>0</v>
      </c>
      <c r="BE16" s="179"/>
      <c r="BF16" s="179"/>
      <c r="BG16" s="179"/>
      <c r="BH16" s="179"/>
      <c r="BI16" s="179"/>
      <c r="BJ16" s="179"/>
      <c r="BK16" s="179"/>
      <c r="BL16" s="179"/>
    </row>
    <row r="17" spans="1:64" ht="12.75" customHeight="1" x14ac:dyDescent="0.2">
      <c r="A17" s="346"/>
      <c r="B17" s="346"/>
      <c r="C17" s="180" t="s">
        <v>265</v>
      </c>
      <c r="D17" s="347"/>
      <c r="E17" s="180"/>
      <c r="F17" s="180"/>
      <c r="G17" s="180"/>
      <c r="H17" s="180"/>
      <c r="I17" s="180"/>
      <c r="J17" s="180"/>
      <c r="K17" s="180"/>
      <c r="L17" s="180"/>
      <c r="M17" s="180"/>
      <c r="N17" s="180"/>
      <c r="O17" s="180"/>
      <c r="P17" s="180"/>
      <c r="Q17" s="180"/>
      <c r="R17" s="180"/>
      <c r="S17" s="180"/>
      <c r="T17" s="180"/>
      <c r="U17" s="180"/>
      <c r="V17" s="180"/>
      <c r="W17" s="180"/>
      <c r="X17" s="180"/>
      <c r="Y17" s="180"/>
      <c r="Z17" s="184"/>
      <c r="AA17" s="184"/>
      <c r="AB17" s="184">
        <v>213.2</v>
      </c>
      <c r="AC17" s="180" t="s">
        <v>266</v>
      </c>
      <c r="AD17" s="181">
        <f t="shared" si="0"/>
        <v>4.33</v>
      </c>
      <c r="AE17" s="182">
        <f>'1. SB ABA DE CARREGAMENTO'!$B$90</f>
        <v>24</v>
      </c>
      <c r="AF17" s="347"/>
      <c r="AG17" s="183">
        <f t="shared" si="1"/>
        <v>0</v>
      </c>
      <c r="AH17" s="183">
        <f t="shared" si="24"/>
        <v>0</v>
      </c>
      <c r="AI17" s="183">
        <f t="shared" si="2"/>
        <v>0</v>
      </c>
      <c r="AJ17" s="183">
        <f t="shared" si="3"/>
        <v>0</v>
      </c>
      <c r="AK17" s="183">
        <f t="shared" si="4"/>
        <v>0</v>
      </c>
      <c r="AL17" s="183">
        <f t="shared" si="5"/>
        <v>0</v>
      </c>
      <c r="AM17" s="183">
        <f t="shared" si="6"/>
        <v>0</v>
      </c>
      <c r="AN17" s="183">
        <f t="shared" si="7"/>
        <v>0</v>
      </c>
      <c r="AO17" s="183">
        <f t="shared" si="8"/>
        <v>0</v>
      </c>
      <c r="AP17" s="183">
        <f t="shared" si="9"/>
        <v>0</v>
      </c>
      <c r="AQ17" s="183">
        <f t="shared" si="10"/>
        <v>0</v>
      </c>
      <c r="AR17" s="183">
        <f t="shared" si="11"/>
        <v>0</v>
      </c>
      <c r="AS17" s="183">
        <f t="shared" si="12"/>
        <v>0</v>
      </c>
      <c r="AT17" s="183">
        <f t="shared" si="13"/>
        <v>0</v>
      </c>
      <c r="AU17" s="183">
        <f t="shared" si="14"/>
        <v>0</v>
      </c>
      <c r="AV17" s="183">
        <f t="shared" si="15"/>
        <v>0</v>
      </c>
      <c r="AW17" s="183">
        <f t="shared" si="25"/>
        <v>0</v>
      </c>
      <c r="AX17" s="183">
        <f t="shared" si="26"/>
        <v>0</v>
      </c>
      <c r="AY17" s="183">
        <f t="shared" si="27"/>
        <v>0</v>
      </c>
      <c r="AZ17" s="183">
        <f t="shared" si="16"/>
        <v>0</v>
      </c>
      <c r="BA17" s="183">
        <f t="shared" si="17"/>
        <v>0</v>
      </c>
      <c r="BB17" s="183">
        <f t="shared" si="18"/>
        <v>0</v>
      </c>
      <c r="BC17" s="183">
        <f>(AA17*AS17)/AE17</f>
        <v>0</v>
      </c>
      <c r="BD17" s="183">
        <f t="shared" si="20"/>
        <v>38.464833333333331</v>
      </c>
      <c r="BE17" s="179"/>
      <c r="BF17" s="179"/>
      <c r="BG17" s="179"/>
      <c r="BH17" s="179"/>
      <c r="BI17" s="179"/>
      <c r="BJ17" s="179"/>
      <c r="BK17" s="179"/>
      <c r="BL17" s="179"/>
    </row>
    <row r="18" spans="1:64" ht="12.75" customHeight="1" x14ac:dyDescent="0.2">
      <c r="A18" s="346"/>
      <c r="B18" s="346"/>
      <c r="C18" s="180" t="s">
        <v>267</v>
      </c>
      <c r="D18" s="347"/>
      <c r="E18" s="180"/>
      <c r="F18" s="180"/>
      <c r="G18" s="180"/>
      <c r="H18" s="180"/>
      <c r="I18" s="180"/>
      <c r="J18" s="180"/>
      <c r="K18" s="180"/>
      <c r="L18" s="180"/>
      <c r="M18" s="180"/>
      <c r="N18" s="180"/>
      <c r="O18" s="180"/>
      <c r="P18" s="180"/>
      <c r="Q18" s="180"/>
      <c r="R18" s="180"/>
      <c r="S18" s="180"/>
      <c r="T18" s="180"/>
      <c r="U18" s="180"/>
      <c r="V18" s="180"/>
      <c r="W18" s="180"/>
      <c r="X18" s="180"/>
      <c r="Y18" s="180"/>
      <c r="Z18" s="184"/>
      <c r="AA18" s="184">
        <v>348.8</v>
      </c>
      <c r="AB18" s="184"/>
      <c r="AC18" s="180" t="s">
        <v>266</v>
      </c>
      <c r="AD18" s="181">
        <f t="shared" si="0"/>
        <v>4.33</v>
      </c>
      <c r="AE18" s="182">
        <f>'1. SB ABA DE CARREGAMENTO'!$B$90</f>
        <v>24</v>
      </c>
      <c r="AF18" s="347"/>
      <c r="AG18" s="183">
        <f t="shared" si="1"/>
        <v>0</v>
      </c>
      <c r="AH18" s="183">
        <f t="shared" si="24"/>
        <v>0</v>
      </c>
      <c r="AI18" s="183">
        <f t="shared" si="2"/>
        <v>0</v>
      </c>
      <c r="AJ18" s="183">
        <f t="shared" si="3"/>
        <v>0</v>
      </c>
      <c r="AK18" s="183">
        <f t="shared" si="4"/>
        <v>0</v>
      </c>
      <c r="AL18" s="183">
        <f t="shared" si="5"/>
        <v>0</v>
      </c>
      <c r="AM18" s="183">
        <f t="shared" si="6"/>
        <v>0</v>
      </c>
      <c r="AN18" s="183">
        <f t="shared" si="7"/>
        <v>0</v>
      </c>
      <c r="AO18" s="183">
        <f t="shared" si="8"/>
        <v>0</v>
      </c>
      <c r="AP18" s="183">
        <f t="shared" si="9"/>
        <v>0</v>
      </c>
      <c r="AQ18" s="183">
        <f t="shared" si="10"/>
        <v>0</v>
      </c>
      <c r="AR18" s="183">
        <f t="shared" si="11"/>
        <v>0</v>
      </c>
      <c r="AS18" s="183">
        <f t="shared" si="12"/>
        <v>0</v>
      </c>
      <c r="AT18" s="183">
        <f t="shared" si="13"/>
        <v>0</v>
      </c>
      <c r="AU18" s="183">
        <f t="shared" si="14"/>
        <v>0</v>
      </c>
      <c r="AV18" s="183">
        <f t="shared" si="15"/>
        <v>0</v>
      </c>
      <c r="AW18" s="183">
        <f t="shared" si="25"/>
        <v>0</v>
      </c>
      <c r="AX18" s="183">
        <f t="shared" si="26"/>
        <v>0</v>
      </c>
      <c r="AY18" s="183">
        <f t="shared" si="27"/>
        <v>0</v>
      </c>
      <c r="AZ18" s="183">
        <f t="shared" si="16"/>
        <v>0</v>
      </c>
      <c r="BA18" s="183">
        <f t="shared" si="17"/>
        <v>0</v>
      </c>
      <c r="BB18" s="183">
        <f t="shared" si="18"/>
        <v>0</v>
      </c>
      <c r="BC18" s="183">
        <f t="shared" ref="BC18:BC60" si="28">(AA18*AD18)/AE18</f>
        <v>62.929333333333339</v>
      </c>
      <c r="BD18" s="183">
        <f t="shared" si="20"/>
        <v>0</v>
      </c>
      <c r="BE18" s="179"/>
      <c r="BF18" s="179"/>
      <c r="BG18" s="179"/>
      <c r="BH18" s="179"/>
      <c r="BI18" s="179"/>
      <c r="BJ18" s="179"/>
      <c r="BK18" s="179"/>
      <c r="BL18" s="179"/>
    </row>
    <row r="19" spans="1:64" x14ac:dyDescent="0.2">
      <c r="A19" s="348">
        <v>2</v>
      </c>
      <c r="B19" s="349" t="s">
        <v>268</v>
      </c>
      <c r="C19" s="186" t="s">
        <v>255</v>
      </c>
      <c r="D19" s="350">
        <f>SUM(E19:AB27)</f>
        <v>2503.0200000000004</v>
      </c>
      <c r="E19" s="186"/>
      <c r="F19" s="186"/>
      <c r="G19" s="186"/>
      <c r="H19" s="186"/>
      <c r="I19" s="186"/>
      <c r="J19" s="186"/>
      <c r="K19" s="186"/>
      <c r="L19" s="186">
        <v>72</v>
      </c>
      <c r="M19" s="186"/>
      <c r="N19" s="186"/>
      <c r="O19" s="186"/>
      <c r="P19" s="186"/>
      <c r="Q19" s="186"/>
      <c r="R19" s="186"/>
      <c r="S19" s="186"/>
      <c r="T19" s="186"/>
      <c r="U19" s="186"/>
      <c r="V19" s="186"/>
      <c r="W19" s="186"/>
      <c r="X19" s="186"/>
      <c r="Y19" s="186"/>
      <c r="Z19" s="186"/>
      <c r="AA19" s="186"/>
      <c r="AB19" s="186"/>
      <c r="AC19" s="187" t="s">
        <v>253</v>
      </c>
      <c r="AD19" s="188">
        <f t="shared" si="0"/>
        <v>72</v>
      </c>
      <c r="AE19" s="189">
        <f>'1. SB ABA DE CARREGAMENTO'!$B$90</f>
        <v>24</v>
      </c>
      <c r="AF19" s="351">
        <f>SUM(AG19:BD27)</f>
        <v>2716.7726708333334</v>
      </c>
      <c r="AG19" s="190">
        <f t="shared" si="1"/>
        <v>0</v>
      </c>
      <c r="AH19" s="190">
        <f t="shared" si="24"/>
        <v>0</v>
      </c>
      <c r="AI19" s="190">
        <f t="shared" si="2"/>
        <v>0</v>
      </c>
      <c r="AJ19" s="190">
        <f t="shared" si="3"/>
        <v>0</v>
      </c>
      <c r="AK19" s="190">
        <f t="shared" si="4"/>
        <v>0</v>
      </c>
      <c r="AL19" s="191">
        <f t="shared" si="5"/>
        <v>0</v>
      </c>
      <c r="AM19" s="191">
        <f t="shared" si="6"/>
        <v>0</v>
      </c>
      <c r="AN19" s="190">
        <f t="shared" si="7"/>
        <v>216</v>
      </c>
      <c r="AO19" s="190">
        <f t="shared" si="8"/>
        <v>0</v>
      </c>
      <c r="AP19" s="191">
        <f t="shared" si="9"/>
        <v>0</v>
      </c>
      <c r="AQ19" s="191">
        <f t="shared" si="10"/>
        <v>0</v>
      </c>
      <c r="AR19" s="190">
        <f t="shared" si="11"/>
        <v>0</v>
      </c>
      <c r="AS19" s="190">
        <f t="shared" si="12"/>
        <v>0</v>
      </c>
      <c r="AT19" s="190">
        <f t="shared" si="13"/>
        <v>0</v>
      </c>
      <c r="AU19" s="190">
        <f t="shared" si="14"/>
        <v>0</v>
      </c>
      <c r="AV19" s="190">
        <f t="shared" si="15"/>
        <v>0</v>
      </c>
      <c r="AW19" s="190">
        <f t="shared" si="25"/>
        <v>0</v>
      </c>
      <c r="AX19" s="190">
        <f t="shared" si="26"/>
        <v>0</v>
      </c>
      <c r="AY19" s="190">
        <f t="shared" si="27"/>
        <v>0</v>
      </c>
      <c r="AZ19" s="190">
        <f t="shared" si="16"/>
        <v>0</v>
      </c>
      <c r="BA19" s="190">
        <f t="shared" si="17"/>
        <v>0</v>
      </c>
      <c r="BB19" s="191">
        <f t="shared" si="18"/>
        <v>0</v>
      </c>
      <c r="BC19" s="191">
        <f t="shared" si="28"/>
        <v>0</v>
      </c>
      <c r="BD19" s="190">
        <f t="shared" si="20"/>
        <v>0</v>
      </c>
      <c r="BE19" s="179"/>
      <c r="BF19" s="179"/>
      <c r="BG19" s="179"/>
      <c r="BH19" s="179"/>
      <c r="BI19" s="179"/>
      <c r="BJ19" s="179"/>
      <c r="BK19" s="179"/>
      <c r="BL19" s="179"/>
    </row>
    <row r="20" spans="1:64" ht="25.5" x14ac:dyDescent="0.2">
      <c r="A20" s="348"/>
      <c r="B20" s="349"/>
      <c r="C20" s="186" t="s">
        <v>641</v>
      </c>
      <c r="D20" s="350"/>
      <c r="E20" s="186"/>
      <c r="F20" s="192">
        <v>593.65</v>
      </c>
      <c r="G20" s="186"/>
      <c r="H20" s="186"/>
      <c r="I20" s="186"/>
      <c r="J20" s="186"/>
      <c r="K20" s="186"/>
      <c r="L20" s="186"/>
      <c r="M20" s="186"/>
      <c r="N20" s="186"/>
      <c r="O20" s="186"/>
      <c r="P20" s="186"/>
      <c r="Q20" s="186"/>
      <c r="R20" s="186"/>
      <c r="S20" s="186"/>
      <c r="T20" s="186"/>
      <c r="U20" s="186"/>
      <c r="V20" s="186"/>
      <c r="W20" s="186"/>
      <c r="X20" s="186"/>
      <c r="Y20" s="186"/>
      <c r="Z20" s="186"/>
      <c r="AA20" s="186"/>
      <c r="AB20" s="186"/>
      <c r="AC20" s="187" t="s">
        <v>253</v>
      </c>
      <c r="AD20" s="188">
        <f t="shared" si="0"/>
        <v>72</v>
      </c>
      <c r="AE20" s="189">
        <f>'1. SB ABA DE CARREGAMENTO'!$B$90</f>
        <v>24</v>
      </c>
      <c r="AF20" s="351"/>
      <c r="AG20" s="190">
        <f t="shared" si="1"/>
        <v>0</v>
      </c>
      <c r="AH20" s="190">
        <f t="shared" si="24"/>
        <v>1780.9499999999998</v>
      </c>
      <c r="AI20" s="190">
        <f t="shared" si="2"/>
        <v>0</v>
      </c>
      <c r="AJ20" s="190">
        <f t="shared" si="3"/>
        <v>0</v>
      </c>
      <c r="AK20" s="190">
        <f t="shared" si="4"/>
        <v>0</v>
      </c>
      <c r="AL20" s="191">
        <f t="shared" si="5"/>
        <v>0</v>
      </c>
      <c r="AM20" s="191">
        <f t="shared" si="6"/>
        <v>0</v>
      </c>
      <c r="AN20" s="190">
        <f t="shared" si="7"/>
        <v>0</v>
      </c>
      <c r="AO20" s="190">
        <f t="shared" si="8"/>
        <v>0</v>
      </c>
      <c r="AP20" s="191">
        <f t="shared" si="9"/>
        <v>0</v>
      </c>
      <c r="AQ20" s="191">
        <f t="shared" si="10"/>
        <v>0</v>
      </c>
      <c r="AR20" s="190">
        <f t="shared" si="11"/>
        <v>0</v>
      </c>
      <c r="AS20" s="190">
        <f t="shared" si="12"/>
        <v>0</v>
      </c>
      <c r="AT20" s="190">
        <f t="shared" si="13"/>
        <v>0</v>
      </c>
      <c r="AU20" s="190">
        <f t="shared" si="14"/>
        <v>0</v>
      </c>
      <c r="AV20" s="190">
        <f t="shared" si="15"/>
        <v>0</v>
      </c>
      <c r="AW20" s="190">
        <f t="shared" si="25"/>
        <v>0</v>
      </c>
      <c r="AX20" s="190">
        <f t="shared" si="26"/>
        <v>0</v>
      </c>
      <c r="AY20" s="190">
        <f t="shared" si="27"/>
        <v>0</v>
      </c>
      <c r="AZ20" s="190">
        <f t="shared" si="16"/>
        <v>0</v>
      </c>
      <c r="BA20" s="190">
        <f t="shared" si="17"/>
        <v>0</v>
      </c>
      <c r="BB20" s="191">
        <f t="shared" si="18"/>
        <v>0</v>
      </c>
      <c r="BC20" s="191">
        <f t="shared" si="28"/>
        <v>0</v>
      </c>
      <c r="BD20" s="190">
        <f t="shared" si="20"/>
        <v>0</v>
      </c>
      <c r="BE20" s="179"/>
      <c r="BF20" s="179"/>
      <c r="BG20" s="179"/>
      <c r="BH20" s="179"/>
      <c r="BI20" s="179"/>
      <c r="BJ20" s="179"/>
      <c r="BK20" s="179"/>
      <c r="BL20" s="179"/>
    </row>
    <row r="21" spans="1:64" ht="12.75" customHeight="1" x14ac:dyDescent="0.2">
      <c r="A21" s="348"/>
      <c r="B21" s="349"/>
      <c r="C21" s="187" t="s">
        <v>257</v>
      </c>
      <c r="D21" s="350"/>
      <c r="E21" s="193"/>
      <c r="F21" s="194"/>
      <c r="G21" s="195"/>
      <c r="H21" s="186"/>
      <c r="I21" s="186"/>
      <c r="J21" s="186"/>
      <c r="K21" s="186"/>
      <c r="L21" s="186"/>
      <c r="M21" s="186"/>
      <c r="N21" s="186"/>
      <c r="O21" s="186"/>
      <c r="P21" s="186"/>
      <c r="Q21" s="186"/>
      <c r="R21" s="186"/>
      <c r="S21" s="186"/>
      <c r="T21" s="186"/>
      <c r="U21" s="186">
        <v>570</v>
      </c>
      <c r="V21" s="186">
        <v>190</v>
      </c>
      <c r="W21" s="186"/>
      <c r="X21" s="186"/>
      <c r="Y21" s="186"/>
      <c r="Z21" s="186"/>
      <c r="AA21" s="186"/>
      <c r="AB21" s="186"/>
      <c r="AC21" s="187" t="s">
        <v>266</v>
      </c>
      <c r="AD21" s="188">
        <f t="shared" si="0"/>
        <v>4.33</v>
      </c>
      <c r="AE21" s="189">
        <f>'1. SB ABA DE CARREGAMENTO'!$B$90</f>
        <v>24</v>
      </c>
      <c r="AF21" s="351"/>
      <c r="AG21" s="190">
        <f t="shared" si="1"/>
        <v>0</v>
      </c>
      <c r="AH21" s="190">
        <f>(V21*AD21)/AE21</f>
        <v>34.279166666666669</v>
      </c>
      <c r="AI21" s="190">
        <f t="shared" si="2"/>
        <v>0</v>
      </c>
      <c r="AJ21" s="190">
        <f t="shared" si="3"/>
        <v>0</v>
      </c>
      <c r="AK21" s="190">
        <f t="shared" si="4"/>
        <v>0</v>
      </c>
      <c r="AL21" s="191">
        <f t="shared" si="5"/>
        <v>0</v>
      </c>
      <c r="AM21" s="191">
        <f t="shared" si="6"/>
        <v>0</v>
      </c>
      <c r="AN21" s="190">
        <f t="shared" si="7"/>
        <v>0</v>
      </c>
      <c r="AO21" s="190">
        <f t="shared" si="8"/>
        <v>0</v>
      </c>
      <c r="AP21" s="191">
        <f t="shared" si="9"/>
        <v>0</v>
      </c>
      <c r="AQ21" s="191">
        <f t="shared" si="10"/>
        <v>0</v>
      </c>
      <c r="AR21" s="190">
        <f t="shared" si="11"/>
        <v>0</v>
      </c>
      <c r="AS21" s="190">
        <f t="shared" si="12"/>
        <v>0</v>
      </c>
      <c r="AT21" s="190">
        <f t="shared" si="13"/>
        <v>0</v>
      </c>
      <c r="AU21" s="190">
        <f t="shared" si="14"/>
        <v>0</v>
      </c>
      <c r="AV21" s="190">
        <f t="shared" si="15"/>
        <v>0</v>
      </c>
      <c r="AW21" s="190">
        <f t="shared" si="25"/>
        <v>102.83749999999999</v>
      </c>
      <c r="AX21" s="190">
        <f t="shared" si="26"/>
        <v>34.279166666666669</v>
      </c>
      <c r="AY21" s="190">
        <f t="shared" si="27"/>
        <v>0</v>
      </c>
      <c r="AZ21" s="190">
        <f t="shared" si="16"/>
        <v>0</v>
      </c>
      <c r="BA21" s="190">
        <f t="shared" si="17"/>
        <v>0</v>
      </c>
      <c r="BB21" s="191">
        <f t="shared" si="18"/>
        <v>0</v>
      </c>
      <c r="BC21" s="191">
        <f t="shared" si="28"/>
        <v>0</v>
      </c>
      <c r="BD21" s="190">
        <f t="shared" si="20"/>
        <v>0</v>
      </c>
      <c r="BE21" s="179"/>
      <c r="BF21" s="179"/>
      <c r="BG21" s="179"/>
      <c r="BH21" s="179"/>
      <c r="BI21" s="179"/>
      <c r="BJ21" s="179"/>
      <c r="BK21" s="179"/>
      <c r="BL21" s="179"/>
    </row>
    <row r="22" spans="1:64" ht="12.75" customHeight="1" x14ac:dyDescent="0.2">
      <c r="A22" s="348"/>
      <c r="B22" s="349"/>
      <c r="C22" s="187" t="s">
        <v>259</v>
      </c>
      <c r="D22" s="350"/>
      <c r="E22" s="193"/>
      <c r="F22" s="194"/>
      <c r="G22" s="195"/>
      <c r="H22" s="186"/>
      <c r="I22" s="186"/>
      <c r="J22" s="186"/>
      <c r="K22" s="186"/>
      <c r="L22" s="186"/>
      <c r="M22" s="186"/>
      <c r="N22" s="186"/>
      <c r="O22" s="186"/>
      <c r="P22" s="186"/>
      <c r="Q22" s="186"/>
      <c r="R22" s="186"/>
      <c r="S22" s="186"/>
      <c r="T22" s="186"/>
      <c r="U22" s="186"/>
      <c r="V22" s="186"/>
      <c r="W22" s="186">
        <v>760</v>
      </c>
      <c r="X22" s="186"/>
      <c r="Y22" s="186"/>
      <c r="Z22" s="186"/>
      <c r="AA22" s="186"/>
      <c r="AB22" s="186"/>
      <c r="AC22" s="187" t="s">
        <v>260</v>
      </c>
      <c r="AD22" s="188">
        <f t="shared" si="0"/>
        <v>8</v>
      </c>
      <c r="AE22" s="189">
        <f>'1. SB ABA DE CARREGAMENTO'!$B$90</f>
        <v>24</v>
      </c>
      <c r="AF22" s="351"/>
      <c r="AG22" s="190">
        <f t="shared" si="1"/>
        <v>0</v>
      </c>
      <c r="AH22" s="190">
        <f>(V22*AD22)/AE22</f>
        <v>0</v>
      </c>
      <c r="AI22" s="190">
        <f t="shared" si="2"/>
        <v>0</v>
      </c>
      <c r="AJ22" s="190">
        <f t="shared" si="3"/>
        <v>0</v>
      </c>
      <c r="AK22" s="190">
        <f t="shared" si="4"/>
        <v>0</v>
      </c>
      <c r="AL22" s="191">
        <f t="shared" si="5"/>
        <v>0</v>
      </c>
      <c r="AM22" s="191">
        <f t="shared" si="6"/>
        <v>0</v>
      </c>
      <c r="AN22" s="190">
        <f t="shared" si="7"/>
        <v>0</v>
      </c>
      <c r="AO22" s="190">
        <f t="shared" si="8"/>
        <v>0</v>
      </c>
      <c r="AP22" s="191">
        <f t="shared" si="9"/>
        <v>0</v>
      </c>
      <c r="AQ22" s="191">
        <f t="shared" si="10"/>
        <v>0</v>
      </c>
      <c r="AR22" s="190">
        <f t="shared" si="11"/>
        <v>0</v>
      </c>
      <c r="AS22" s="190">
        <f t="shared" si="12"/>
        <v>0</v>
      </c>
      <c r="AT22" s="190">
        <f t="shared" si="13"/>
        <v>0</v>
      </c>
      <c r="AU22" s="190">
        <f t="shared" si="14"/>
        <v>0</v>
      </c>
      <c r="AV22" s="190">
        <f t="shared" si="15"/>
        <v>0</v>
      </c>
      <c r="AW22" s="190">
        <f t="shared" si="25"/>
        <v>0</v>
      </c>
      <c r="AX22" s="190">
        <f t="shared" si="26"/>
        <v>0</v>
      </c>
      <c r="AY22" s="190">
        <f t="shared" si="27"/>
        <v>253.33333333333334</v>
      </c>
      <c r="AZ22" s="190">
        <f t="shared" si="16"/>
        <v>0</v>
      </c>
      <c r="BA22" s="190">
        <f t="shared" si="17"/>
        <v>0</v>
      </c>
      <c r="BB22" s="191">
        <f t="shared" si="18"/>
        <v>0</v>
      </c>
      <c r="BC22" s="191">
        <f t="shared" si="28"/>
        <v>0</v>
      </c>
      <c r="BD22" s="190"/>
      <c r="BE22" s="179"/>
      <c r="BF22" s="179"/>
      <c r="BG22" s="179"/>
      <c r="BH22" s="179"/>
      <c r="BI22" s="179"/>
      <c r="BJ22" s="179"/>
      <c r="BK22" s="179"/>
      <c r="BL22" s="179"/>
    </row>
    <row r="23" spans="1:64" ht="12.75" customHeight="1" x14ac:dyDescent="0.2">
      <c r="A23" s="348"/>
      <c r="B23" s="349"/>
      <c r="C23" s="187" t="s">
        <v>269</v>
      </c>
      <c r="D23" s="350"/>
      <c r="E23" s="186"/>
      <c r="F23" s="196">
        <v>56.72</v>
      </c>
      <c r="G23" s="186"/>
      <c r="H23" s="186"/>
      <c r="I23" s="186"/>
      <c r="J23" s="186"/>
      <c r="K23" s="186"/>
      <c r="L23" s="186"/>
      <c r="M23" s="186"/>
      <c r="N23" s="186"/>
      <c r="O23" s="186"/>
      <c r="P23" s="186"/>
      <c r="Q23" s="186"/>
      <c r="R23" s="186"/>
      <c r="S23" s="186"/>
      <c r="T23" s="186"/>
      <c r="U23" s="186"/>
      <c r="V23" s="186"/>
      <c r="W23" s="186"/>
      <c r="X23" s="186"/>
      <c r="Y23" s="186"/>
      <c r="Z23" s="186"/>
      <c r="AA23" s="186"/>
      <c r="AB23" s="186"/>
      <c r="AC23" s="187" t="s">
        <v>261</v>
      </c>
      <c r="AD23" s="188">
        <f t="shared" si="0"/>
        <v>24</v>
      </c>
      <c r="AE23" s="189">
        <f>'1. SB ABA DE CARREGAMENTO'!$B$90</f>
        <v>24</v>
      </c>
      <c r="AF23" s="351"/>
      <c r="AG23" s="190">
        <f t="shared" si="1"/>
        <v>0</v>
      </c>
      <c r="AH23" s="190">
        <f t="shared" ref="AH23:AH51" si="29">(F23*AD23)/AE23</f>
        <v>56.72</v>
      </c>
      <c r="AI23" s="190">
        <f t="shared" si="2"/>
        <v>0</v>
      </c>
      <c r="AJ23" s="190">
        <f t="shared" si="3"/>
        <v>0</v>
      </c>
      <c r="AK23" s="190">
        <f t="shared" si="4"/>
        <v>0</v>
      </c>
      <c r="AL23" s="191">
        <f t="shared" si="5"/>
        <v>0</v>
      </c>
      <c r="AM23" s="191">
        <f t="shared" si="6"/>
        <v>0</v>
      </c>
      <c r="AN23" s="190">
        <f t="shared" si="7"/>
        <v>0</v>
      </c>
      <c r="AO23" s="190">
        <f t="shared" si="8"/>
        <v>0</v>
      </c>
      <c r="AP23" s="191">
        <f t="shared" si="9"/>
        <v>0</v>
      </c>
      <c r="AQ23" s="191">
        <f t="shared" si="10"/>
        <v>0</v>
      </c>
      <c r="AR23" s="190">
        <f t="shared" si="11"/>
        <v>0</v>
      </c>
      <c r="AS23" s="190">
        <f t="shared" si="12"/>
        <v>0</v>
      </c>
      <c r="AT23" s="190">
        <f t="shared" si="13"/>
        <v>0</v>
      </c>
      <c r="AU23" s="190">
        <f t="shared" si="14"/>
        <v>0</v>
      </c>
      <c r="AV23" s="190">
        <f t="shared" si="15"/>
        <v>0</v>
      </c>
      <c r="AW23" s="190">
        <f t="shared" si="25"/>
        <v>0</v>
      </c>
      <c r="AX23" s="190">
        <f t="shared" si="26"/>
        <v>0</v>
      </c>
      <c r="AY23" s="190">
        <f t="shared" si="27"/>
        <v>0</v>
      </c>
      <c r="AZ23" s="190">
        <f t="shared" si="16"/>
        <v>0</v>
      </c>
      <c r="BA23" s="190">
        <f t="shared" si="17"/>
        <v>0</v>
      </c>
      <c r="BB23" s="191">
        <f t="shared" si="18"/>
        <v>0</v>
      </c>
      <c r="BC23" s="191">
        <f t="shared" si="28"/>
        <v>0</v>
      </c>
      <c r="BD23" s="190">
        <f t="shared" ref="BD23:BD32" si="30">(AB23*AD23)/AE23</f>
        <v>0</v>
      </c>
      <c r="BE23" s="179"/>
      <c r="BF23" s="179"/>
      <c r="BG23" s="179"/>
      <c r="BH23" s="179"/>
      <c r="BI23" s="179"/>
      <c r="BJ23" s="179"/>
      <c r="BK23" s="179"/>
      <c r="BL23" s="179"/>
    </row>
    <row r="24" spans="1:64" ht="12.75" customHeight="1" x14ac:dyDescent="0.2">
      <c r="A24" s="348"/>
      <c r="B24" s="349"/>
      <c r="C24" s="187" t="s">
        <v>270</v>
      </c>
      <c r="D24" s="350"/>
      <c r="E24" s="186"/>
      <c r="F24" s="186"/>
      <c r="G24" s="186"/>
      <c r="H24" s="186">
        <v>91.57</v>
      </c>
      <c r="I24" s="186"/>
      <c r="J24" s="186"/>
      <c r="K24" s="186"/>
      <c r="L24" s="186"/>
      <c r="M24" s="186"/>
      <c r="N24" s="186"/>
      <c r="O24" s="186"/>
      <c r="P24" s="186"/>
      <c r="Q24" s="186"/>
      <c r="R24" s="186"/>
      <c r="S24" s="186"/>
      <c r="T24" s="186"/>
      <c r="U24" s="186"/>
      <c r="V24" s="186"/>
      <c r="W24" s="186"/>
      <c r="X24" s="186"/>
      <c r="Y24" s="186"/>
      <c r="Z24" s="186"/>
      <c r="AA24" s="186"/>
      <c r="AB24" s="186"/>
      <c r="AC24" s="187" t="s">
        <v>266</v>
      </c>
      <c r="AD24" s="188">
        <f t="shared" si="0"/>
        <v>4.33</v>
      </c>
      <c r="AE24" s="189">
        <f>'1. SB ABA DE CARREGAMENTO'!$B$90</f>
        <v>24</v>
      </c>
      <c r="AF24" s="351"/>
      <c r="AG24" s="190">
        <f t="shared" si="1"/>
        <v>0</v>
      </c>
      <c r="AH24" s="190">
        <f t="shared" si="29"/>
        <v>0</v>
      </c>
      <c r="AI24" s="190">
        <f t="shared" si="2"/>
        <v>0</v>
      </c>
      <c r="AJ24" s="190">
        <f t="shared" si="3"/>
        <v>16.520754166666666</v>
      </c>
      <c r="AK24" s="190">
        <f t="shared" si="4"/>
        <v>0</v>
      </c>
      <c r="AL24" s="191">
        <f t="shared" si="5"/>
        <v>0</v>
      </c>
      <c r="AM24" s="191">
        <f t="shared" si="6"/>
        <v>0</v>
      </c>
      <c r="AN24" s="190">
        <f t="shared" si="7"/>
        <v>0</v>
      </c>
      <c r="AO24" s="190">
        <f t="shared" si="8"/>
        <v>0</v>
      </c>
      <c r="AP24" s="191">
        <f t="shared" si="9"/>
        <v>0</v>
      </c>
      <c r="AQ24" s="191">
        <f t="shared" si="10"/>
        <v>0</v>
      </c>
      <c r="AR24" s="190">
        <f t="shared" si="11"/>
        <v>0</v>
      </c>
      <c r="AS24" s="190">
        <f t="shared" si="12"/>
        <v>0</v>
      </c>
      <c r="AT24" s="190">
        <f t="shared" si="13"/>
        <v>0</v>
      </c>
      <c r="AU24" s="190">
        <f t="shared" si="14"/>
        <v>0</v>
      </c>
      <c r="AV24" s="190">
        <f t="shared" si="15"/>
        <v>0</v>
      </c>
      <c r="AW24" s="190">
        <f t="shared" si="25"/>
        <v>0</v>
      </c>
      <c r="AX24" s="190">
        <f t="shared" si="26"/>
        <v>0</v>
      </c>
      <c r="AY24" s="190">
        <f t="shared" si="27"/>
        <v>0</v>
      </c>
      <c r="AZ24" s="190">
        <f t="shared" si="16"/>
        <v>0</v>
      </c>
      <c r="BA24" s="190">
        <f t="shared" si="17"/>
        <v>0</v>
      </c>
      <c r="BB24" s="191">
        <f t="shared" si="18"/>
        <v>0</v>
      </c>
      <c r="BC24" s="191">
        <f t="shared" si="28"/>
        <v>0</v>
      </c>
      <c r="BD24" s="190">
        <f t="shared" si="30"/>
        <v>0</v>
      </c>
      <c r="BE24" s="179"/>
      <c r="BF24" s="179"/>
      <c r="BG24" s="179"/>
      <c r="BH24" s="179"/>
      <c r="BI24" s="179"/>
      <c r="BJ24" s="179"/>
      <c r="BK24" s="179"/>
      <c r="BL24" s="179"/>
    </row>
    <row r="25" spans="1:64" ht="12.75" customHeight="1" x14ac:dyDescent="0.2">
      <c r="A25" s="348"/>
      <c r="B25" s="349"/>
      <c r="C25" s="186" t="s">
        <v>271</v>
      </c>
      <c r="D25" s="350"/>
      <c r="E25" s="186"/>
      <c r="F25" s="186"/>
      <c r="G25" s="186"/>
      <c r="H25" s="186"/>
      <c r="I25" s="186"/>
      <c r="J25" s="186"/>
      <c r="K25" s="186"/>
      <c r="L25" s="186"/>
      <c r="M25" s="186"/>
      <c r="N25" s="186"/>
      <c r="O25" s="186"/>
      <c r="P25" s="186"/>
      <c r="Q25" s="186"/>
      <c r="R25" s="186"/>
      <c r="S25" s="186"/>
      <c r="T25" s="186"/>
      <c r="U25" s="186"/>
      <c r="V25" s="186"/>
      <c r="W25" s="186"/>
      <c r="X25" s="186"/>
      <c r="Y25" s="186"/>
      <c r="Z25" s="186">
        <v>32.880000000000003</v>
      </c>
      <c r="AA25" s="186"/>
      <c r="AB25" s="186"/>
      <c r="AC25" s="187" t="s">
        <v>264</v>
      </c>
      <c r="AD25" s="188">
        <f t="shared" si="0"/>
        <v>144</v>
      </c>
      <c r="AE25" s="189">
        <f>'1. SB ABA DE CARREGAMENTO'!$B$90</f>
        <v>24</v>
      </c>
      <c r="AF25" s="351"/>
      <c r="AG25" s="190">
        <f t="shared" si="1"/>
        <v>0</v>
      </c>
      <c r="AH25" s="190">
        <f t="shared" si="29"/>
        <v>0</v>
      </c>
      <c r="AI25" s="190">
        <f t="shared" si="2"/>
        <v>0</v>
      </c>
      <c r="AJ25" s="190">
        <f t="shared" si="3"/>
        <v>0</v>
      </c>
      <c r="AK25" s="190">
        <f t="shared" si="4"/>
        <v>0</v>
      </c>
      <c r="AL25" s="191">
        <f t="shared" si="5"/>
        <v>0</v>
      </c>
      <c r="AM25" s="191">
        <f t="shared" si="6"/>
        <v>0</v>
      </c>
      <c r="AN25" s="190">
        <f t="shared" si="7"/>
        <v>0</v>
      </c>
      <c r="AO25" s="190">
        <f t="shared" si="8"/>
        <v>0</v>
      </c>
      <c r="AP25" s="191">
        <f t="shared" si="9"/>
        <v>0</v>
      </c>
      <c r="AQ25" s="191">
        <f t="shared" si="10"/>
        <v>0</v>
      </c>
      <c r="AR25" s="190">
        <f t="shared" si="11"/>
        <v>0</v>
      </c>
      <c r="AS25" s="190">
        <f t="shared" si="12"/>
        <v>0</v>
      </c>
      <c r="AT25" s="190">
        <f t="shared" si="13"/>
        <v>0</v>
      </c>
      <c r="AU25" s="190">
        <f t="shared" si="14"/>
        <v>0</v>
      </c>
      <c r="AV25" s="190">
        <f t="shared" si="15"/>
        <v>0</v>
      </c>
      <c r="AW25" s="190">
        <f t="shared" si="25"/>
        <v>0</v>
      </c>
      <c r="AX25" s="190">
        <f t="shared" si="26"/>
        <v>0</v>
      </c>
      <c r="AY25" s="190">
        <f t="shared" si="27"/>
        <v>0</v>
      </c>
      <c r="AZ25" s="190">
        <f t="shared" si="16"/>
        <v>0</v>
      </c>
      <c r="BA25" s="190">
        <f t="shared" si="17"/>
        <v>0</v>
      </c>
      <c r="BB25" s="191">
        <f t="shared" si="18"/>
        <v>197.28</v>
      </c>
      <c r="BC25" s="191">
        <f t="shared" si="28"/>
        <v>0</v>
      </c>
      <c r="BD25" s="190">
        <f t="shared" si="30"/>
        <v>0</v>
      </c>
      <c r="BE25" s="179"/>
      <c r="BF25" s="179"/>
      <c r="BG25" s="179"/>
      <c r="BH25" s="179"/>
      <c r="BI25" s="179"/>
      <c r="BJ25" s="179"/>
      <c r="BK25" s="179"/>
      <c r="BL25" s="179"/>
    </row>
    <row r="26" spans="1:64" ht="12.75" customHeight="1" x14ac:dyDescent="0.2">
      <c r="A26" s="348"/>
      <c r="B26" s="349"/>
      <c r="C26" s="186" t="s">
        <v>265</v>
      </c>
      <c r="D26" s="350"/>
      <c r="E26" s="186"/>
      <c r="F26" s="186"/>
      <c r="G26" s="186"/>
      <c r="H26" s="186"/>
      <c r="I26" s="186"/>
      <c r="J26" s="186"/>
      <c r="K26" s="186"/>
      <c r="L26" s="186"/>
      <c r="M26" s="186"/>
      <c r="N26" s="186"/>
      <c r="O26" s="186"/>
      <c r="P26" s="186"/>
      <c r="Q26" s="186"/>
      <c r="R26" s="186"/>
      <c r="S26" s="186"/>
      <c r="T26" s="186"/>
      <c r="U26" s="186"/>
      <c r="V26" s="186"/>
      <c r="W26" s="186"/>
      <c r="X26" s="186"/>
      <c r="Y26" s="186"/>
      <c r="Z26" s="186"/>
      <c r="AA26" s="186"/>
      <c r="AB26" s="186">
        <v>32.880000000000003</v>
      </c>
      <c r="AC26" s="187" t="s">
        <v>266</v>
      </c>
      <c r="AD26" s="188">
        <f t="shared" si="0"/>
        <v>4.33</v>
      </c>
      <c r="AE26" s="189">
        <f>'1. SB ABA DE CARREGAMENTO'!$B$90</f>
        <v>24</v>
      </c>
      <c r="AF26" s="351"/>
      <c r="AG26" s="190">
        <f t="shared" si="1"/>
        <v>0</v>
      </c>
      <c r="AH26" s="190">
        <f t="shared" si="29"/>
        <v>0</v>
      </c>
      <c r="AI26" s="190">
        <f t="shared" si="2"/>
        <v>0</v>
      </c>
      <c r="AJ26" s="190">
        <f t="shared" si="3"/>
        <v>0</v>
      </c>
      <c r="AK26" s="190">
        <f t="shared" si="4"/>
        <v>0</v>
      </c>
      <c r="AL26" s="191">
        <f t="shared" si="5"/>
        <v>0</v>
      </c>
      <c r="AM26" s="191">
        <f t="shared" si="6"/>
        <v>0</v>
      </c>
      <c r="AN26" s="190">
        <f t="shared" si="7"/>
        <v>0</v>
      </c>
      <c r="AO26" s="190">
        <f t="shared" si="8"/>
        <v>0</v>
      </c>
      <c r="AP26" s="191">
        <f t="shared" si="9"/>
        <v>0</v>
      </c>
      <c r="AQ26" s="191">
        <f t="shared" si="10"/>
        <v>0</v>
      </c>
      <c r="AR26" s="190">
        <f t="shared" si="11"/>
        <v>0</v>
      </c>
      <c r="AS26" s="190">
        <f t="shared" si="12"/>
        <v>0</v>
      </c>
      <c r="AT26" s="190">
        <f t="shared" si="13"/>
        <v>0</v>
      </c>
      <c r="AU26" s="190">
        <f t="shared" si="14"/>
        <v>0</v>
      </c>
      <c r="AV26" s="190">
        <f t="shared" si="15"/>
        <v>0</v>
      </c>
      <c r="AW26" s="190">
        <f t="shared" si="25"/>
        <v>0</v>
      </c>
      <c r="AX26" s="190">
        <f t="shared" si="26"/>
        <v>0</v>
      </c>
      <c r="AY26" s="190">
        <f t="shared" si="27"/>
        <v>0</v>
      </c>
      <c r="AZ26" s="190">
        <f t="shared" si="16"/>
        <v>0</v>
      </c>
      <c r="BA26" s="190">
        <f t="shared" si="17"/>
        <v>0</v>
      </c>
      <c r="BB26" s="191">
        <f t="shared" si="18"/>
        <v>0</v>
      </c>
      <c r="BC26" s="191">
        <f t="shared" si="28"/>
        <v>0</v>
      </c>
      <c r="BD26" s="190">
        <f t="shared" si="30"/>
        <v>5.932100000000001</v>
      </c>
      <c r="BE26" s="179"/>
      <c r="BF26" s="179"/>
      <c r="BG26" s="179"/>
      <c r="BH26" s="179"/>
      <c r="BI26" s="179"/>
      <c r="BJ26" s="179"/>
      <c r="BK26" s="179"/>
      <c r="BL26" s="179"/>
    </row>
    <row r="27" spans="1:64" ht="12.75" customHeight="1" x14ac:dyDescent="0.2">
      <c r="A27" s="348"/>
      <c r="B27" s="349"/>
      <c r="C27" s="186" t="s">
        <v>272</v>
      </c>
      <c r="D27" s="350"/>
      <c r="E27" s="186"/>
      <c r="F27" s="186"/>
      <c r="G27" s="186"/>
      <c r="H27" s="186"/>
      <c r="I27" s="186"/>
      <c r="J27" s="186"/>
      <c r="K27" s="186"/>
      <c r="L27" s="186"/>
      <c r="M27" s="186"/>
      <c r="N27" s="186"/>
      <c r="O27" s="186"/>
      <c r="P27" s="186"/>
      <c r="Q27" s="186"/>
      <c r="R27" s="186"/>
      <c r="S27" s="186"/>
      <c r="T27" s="186"/>
      <c r="U27" s="186"/>
      <c r="V27" s="186"/>
      <c r="W27" s="186"/>
      <c r="X27" s="186"/>
      <c r="Y27" s="186"/>
      <c r="Z27" s="186"/>
      <c r="AA27" s="186">
        <v>103.32</v>
      </c>
      <c r="AB27" s="186"/>
      <c r="AC27" s="187" t="s">
        <v>266</v>
      </c>
      <c r="AD27" s="188">
        <f t="shared" si="0"/>
        <v>4.33</v>
      </c>
      <c r="AE27" s="189">
        <f>'1. SB ABA DE CARREGAMENTO'!$B$90</f>
        <v>24</v>
      </c>
      <c r="AF27" s="351"/>
      <c r="AG27" s="190">
        <f t="shared" si="1"/>
        <v>0</v>
      </c>
      <c r="AH27" s="190">
        <f t="shared" si="29"/>
        <v>0</v>
      </c>
      <c r="AI27" s="190">
        <f t="shared" si="2"/>
        <v>0</v>
      </c>
      <c r="AJ27" s="190">
        <f t="shared" si="3"/>
        <v>0</v>
      </c>
      <c r="AK27" s="190"/>
      <c r="AL27" s="191">
        <f t="shared" si="5"/>
        <v>0</v>
      </c>
      <c r="AM27" s="191">
        <f t="shared" si="6"/>
        <v>0</v>
      </c>
      <c r="AN27" s="190">
        <f t="shared" si="7"/>
        <v>0</v>
      </c>
      <c r="AO27" s="190">
        <f t="shared" si="8"/>
        <v>0</v>
      </c>
      <c r="AP27" s="191">
        <f t="shared" si="9"/>
        <v>0</v>
      </c>
      <c r="AQ27" s="191">
        <f t="shared" si="10"/>
        <v>0</v>
      </c>
      <c r="AR27" s="190">
        <f t="shared" si="11"/>
        <v>0</v>
      </c>
      <c r="AS27" s="190">
        <f t="shared" si="12"/>
        <v>0</v>
      </c>
      <c r="AT27" s="190">
        <f t="shared" si="13"/>
        <v>0</v>
      </c>
      <c r="AU27" s="190">
        <f t="shared" si="14"/>
        <v>0</v>
      </c>
      <c r="AV27" s="190">
        <f t="shared" si="15"/>
        <v>0</v>
      </c>
      <c r="AW27" s="190">
        <f t="shared" si="25"/>
        <v>0</v>
      </c>
      <c r="AX27" s="190">
        <f t="shared" si="26"/>
        <v>0</v>
      </c>
      <c r="AY27" s="190">
        <f t="shared" si="27"/>
        <v>0</v>
      </c>
      <c r="AZ27" s="190">
        <f t="shared" si="16"/>
        <v>0</v>
      </c>
      <c r="BA27" s="190">
        <f t="shared" si="17"/>
        <v>0</v>
      </c>
      <c r="BB27" s="191">
        <f t="shared" si="18"/>
        <v>0</v>
      </c>
      <c r="BC27" s="191">
        <f t="shared" si="28"/>
        <v>18.640649999999997</v>
      </c>
      <c r="BD27" s="190">
        <f t="shared" si="30"/>
        <v>0</v>
      </c>
      <c r="BE27" s="179"/>
      <c r="BF27" s="179"/>
      <c r="BG27" s="179"/>
      <c r="BH27" s="179"/>
      <c r="BI27" s="179"/>
      <c r="BJ27" s="179"/>
      <c r="BK27" s="179"/>
      <c r="BL27" s="179"/>
    </row>
    <row r="28" spans="1:64" x14ac:dyDescent="0.2">
      <c r="A28" s="346">
        <v>3</v>
      </c>
      <c r="B28" s="345" t="s">
        <v>640</v>
      </c>
      <c r="C28" s="180" t="s">
        <v>273</v>
      </c>
      <c r="D28" s="347">
        <f>SUM(E28:AB36)</f>
        <v>2131.4900000000002</v>
      </c>
      <c r="E28" s="180"/>
      <c r="F28" s="180">
        <v>478.37</v>
      </c>
      <c r="G28" s="180"/>
      <c r="H28" s="180"/>
      <c r="I28" s="180"/>
      <c r="J28" s="180"/>
      <c r="K28" s="180"/>
      <c r="L28" s="180"/>
      <c r="M28" s="180"/>
      <c r="N28" s="180"/>
      <c r="O28" s="180"/>
      <c r="P28" s="180"/>
      <c r="Q28" s="180"/>
      <c r="R28" s="180"/>
      <c r="S28" s="180"/>
      <c r="T28" s="180"/>
      <c r="U28" s="180"/>
      <c r="V28" s="180"/>
      <c r="W28" s="180"/>
      <c r="X28" s="180"/>
      <c r="Y28" s="180"/>
      <c r="Z28" s="180"/>
      <c r="AA28" s="180"/>
      <c r="AB28" s="180"/>
      <c r="AC28" s="180" t="s">
        <v>261</v>
      </c>
      <c r="AD28" s="181">
        <f t="shared" si="0"/>
        <v>24</v>
      </c>
      <c r="AE28" s="182">
        <f>'1. SB ABA DE CARREGAMENTO'!$B$90</f>
        <v>24</v>
      </c>
      <c r="AF28" s="347">
        <f>SUM(AG28:BD36)</f>
        <v>3600.5267500000009</v>
      </c>
      <c r="AG28" s="183">
        <f t="shared" si="1"/>
        <v>0</v>
      </c>
      <c r="AH28" s="183">
        <f t="shared" si="29"/>
        <v>478.37000000000006</v>
      </c>
      <c r="AI28" s="183">
        <f t="shared" si="2"/>
        <v>0</v>
      </c>
      <c r="AJ28" s="183">
        <f t="shared" si="3"/>
        <v>0</v>
      </c>
      <c r="AK28" s="183">
        <f t="shared" ref="AK28:AK51" si="31">(I28*AD28)/AE28</f>
        <v>0</v>
      </c>
      <c r="AL28" s="183">
        <f t="shared" si="5"/>
        <v>0</v>
      </c>
      <c r="AM28" s="183">
        <f t="shared" si="6"/>
        <v>0</v>
      </c>
      <c r="AN28" s="183">
        <f t="shared" si="7"/>
        <v>0</v>
      </c>
      <c r="AO28" s="183">
        <f t="shared" si="8"/>
        <v>0</v>
      </c>
      <c r="AP28" s="183">
        <f t="shared" si="9"/>
        <v>0</v>
      </c>
      <c r="AQ28" s="183">
        <f t="shared" si="10"/>
        <v>0</v>
      </c>
      <c r="AR28" s="183">
        <f t="shared" si="11"/>
        <v>0</v>
      </c>
      <c r="AS28" s="183">
        <f t="shared" si="12"/>
        <v>0</v>
      </c>
      <c r="AT28" s="183">
        <f t="shared" si="13"/>
        <v>0</v>
      </c>
      <c r="AU28" s="183">
        <f t="shared" si="14"/>
        <v>0</v>
      </c>
      <c r="AV28" s="183">
        <f t="shared" si="15"/>
        <v>0</v>
      </c>
      <c r="AW28" s="183">
        <f t="shared" si="25"/>
        <v>0</v>
      </c>
      <c r="AX28" s="183">
        <f t="shared" si="26"/>
        <v>0</v>
      </c>
      <c r="AY28" s="183">
        <f t="shared" si="27"/>
        <v>0</v>
      </c>
      <c r="AZ28" s="183">
        <f t="shared" si="16"/>
        <v>0</v>
      </c>
      <c r="BA28" s="183">
        <f t="shared" si="17"/>
        <v>0</v>
      </c>
      <c r="BB28" s="183">
        <f t="shared" si="18"/>
        <v>0</v>
      </c>
      <c r="BC28" s="183">
        <f t="shared" si="28"/>
        <v>0</v>
      </c>
      <c r="BD28" s="183">
        <f t="shared" si="30"/>
        <v>0</v>
      </c>
      <c r="BE28" s="179"/>
      <c r="BF28" s="179"/>
      <c r="BG28" s="179"/>
      <c r="BH28" s="179"/>
      <c r="BI28" s="179"/>
      <c r="BJ28" s="179"/>
      <c r="BK28" s="179"/>
      <c r="BL28" s="179"/>
    </row>
    <row r="29" spans="1:64" x14ac:dyDescent="0.2">
      <c r="A29" s="346"/>
      <c r="B29" s="345"/>
      <c r="C29" s="180" t="s">
        <v>255</v>
      </c>
      <c r="D29" s="347"/>
      <c r="E29" s="180"/>
      <c r="F29" s="180"/>
      <c r="G29" s="180"/>
      <c r="H29" s="180"/>
      <c r="I29" s="180"/>
      <c r="J29" s="180"/>
      <c r="K29" s="180"/>
      <c r="L29" s="180">
        <v>197.29</v>
      </c>
      <c r="M29" s="180"/>
      <c r="N29" s="180"/>
      <c r="O29" s="180"/>
      <c r="P29" s="180"/>
      <c r="Q29" s="180"/>
      <c r="R29" s="180"/>
      <c r="S29" s="180"/>
      <c r="T29" s="180"/>
      <c r="U29" s="180"/>
      <c r="V29" s="180"/>
      <c r="W29" s="180"/>
      <c r="X29" s="180"/>
      <c r="Y29" s="180"/>
      <c r="Z29" s="180"/>
      <c r="AA29" s="180"/>
      <c r="AB29" s="180"/>
      <c r="AC29" s="180" t="s">
        <v>253</v>
      </c>
      <c r="AD29" s="181">
        <f t="shared" si="0"/>
        <v>72</v>
      </c>
      <c r="AE29" s="182">
        <f>'1. SB ABA DE CARREGAMENTO'!$B$90</f>
        <v>24</v>
      </c>
      <c r="AF29" s="347"/>
      <c r="AG29" s="183">
        <f t="shared" si="1"/>
        <v>0</v>
      </c>
      <c r="AH29" s="183">
        <f t="shared" si="29"/>
        <v>0</v>
      </c>
      <c r="AI29" s="183">
        <f t="shared" si="2"/>
        <v>0</v>
      </c>
      <c r="AJ29" s="183">
        <f t="shared" si="3"/>
        <v>0</v>
      </c>
      <c r="AK29" s="183">
        <f t="shared" si="31"/>
        <v>0</v>
      </c>
      <c r="AL29" s="183">
        <f t="shared" si="5"/>
        <v>0</v>
      </c>
      <c r="AM29" s="183">
        <f t="shared" si="6"/>
        <v>0</v>
      </c>
      <c r="AN29" s="183">
        <f t="shared" si="7"/>
        <v>591.87</v>
      </c>
      <c r="AO29" s="183">
        <f t="shared" si="8"/>
        <v>0</v>
      </c>
      <c r="AP29" s="183">
        <f t="shared" si="9"/>
        <v>0</v>
      </c>
      <c r="AQ29" s="183">
        <f t="shared" si="10"/>
        <v>0</v>
      </c>
      <c r="AR29" s="183">
        <f t="shared" si="11"/>
        <v>0</v>
      </c>
      <c r="AS29" s="183">
        <f t="shared" si="12"/>
        <v>0</v>
      </c>
      <c r="AT29" s="183">
        <f t="shared" si="13"/>
        <v>0</v>
      </c>
      <c r="AU29" s="183">
        <f t="shared" si="14"/>
        <v>0</v>
      </c>
      <c r="AV29" s="183">
        <f t="shared" si="15"/>
        <v>0</v>
      </c>
      <c r="AW29" s="183">
        <f t="shared" si="25"/>
        <v>0</v>
      </c>
      <c r="AX29" s="183">
        <f t="shared" si="26"/>
        <v>0</v>
      </c>
      <c r="AY29" s="183">
        <f t="shared" si="27"/>
        <v>0</v>
      </c>
      <c r="AZ29" s="183">
        <f t="shared" si="16"/>
        <v>0</v>
      </c>
      <c r="BA29" s="183">
        <f t="shared" si="17"/>
        <v>0</v>
      </c>
      <c r="BB29" s="183">
        <f t="shared" si="18"/>
        <v>0</v>
      </c>
      <c r="BC29" s="183">
        <f t="shared" si="28"/>
        <v>0</v>
      </c>
      <c r="BD29" s="183">
        <f t="shared" si="30"/>
        <v>0</v>
      </c>
      <c r="BE29" s="179"/>
      <c r="BF29" s="179"/>
      <c r="BG29" s="179"/>
      <c r="BH29" s="179"/>
      <c r="BI29" s="179"/>
      <c r="BJ29" s="179"/>
      <c r="BK29" s="179"/>
      <c r="BL29" s="179"/>
    </row>
    <row r="30" spans="1:64" x14ac:dyDescent="0.2">
      <c r="A30" s="346"/>
      <c r="B30" s="345"/>
      <c r="C30" s="180" t="s">
        <v>274</v>
      </c>
      <c r="D30" s="347"/>
      <c r="E30" s="180"/>
      <c r="F30" s="180">
        <v>683.83</v>
      </c>
      <c r="G30" s="180"/>
      <c r="H30" s="180"/>
      <c r="I30" s="180"/>
      <c r="J30" s="180"/>
      <c r="K30" s="180"/>
      <c r="L30" s="180"/>
      <c r="M30" s="180"/>
      <c r="N30" s="180"/>
      <c r="O30" s="180"/>
      <c r="P30" s="180"/>
      <c r="Q30" s="180"/>
      <c r="R30" s="180"/>
      <c r="S30" s="180"/>
      <c r="T30" s="180"/>
      <c r="U30" s="180"/>
      <c r="V30" s="180"/>
      <c r="W30" s="180"/>
      <c r="X30" s="180"/>
      <c r="Y30" s="180"/>
      <c r="Z30" s="180"/>
      <c r="AA30" s="180"/>
      <c r="AB30" s="180"/>
      <c r="AC30" s="180" t="s">
        <v>253</v>
      </c>
      <c r="AD30" s="181">
        <f t="shared" si="0"/>
        <v>72</v>
      </c>
      <c r="AE30" s="182">
        <f>'1. SB ABA DE CARREGAMENTO'!$B$90</f>
        <v>24</v>
      </c>
      <c r="AF30" s="347"/>
      <c r="AG30" s="183">
        <f t="shared" si="1"/>
        <v>0</v>
      </c>
      <c r="AH30" s="183">
        <f t="shared" si="29"/>
        <v>2051.4900000000002</v>
      </c>
      <c r="AI30" s="183">
        <f t="shared" si="2"/>
        <v>0</v>
      </c>
      <c r="AJ30" s="183">
        <f t="shared" si="3"/>
        <v>0</v>
      </c>
      <c r="AK30" s="183">
        <f t="shared" si="31"/>
        <v>0</v>
      </c>
      <c r="AL30" s="183">
        <f t="shared" si="5"/>
        <v>0</v>
      </c>
      <c r="AM30" s="183">
        <f t="shared" si="6"/>
        <v>0</v>
      </c>
      <c r="AN30" s="183">
        <f t="shared" si="7"/>
        <v>0</v>
      </c>
      <c r="AO30" s="183">
        <f t="shared" si="8"/>
        <v>0</v>
      </c>
      <c r="AP30" s="183">
        <f t="shared" si="9"/>
        <v>0</v>
      </c>
      <c r="AQ30" s="183">
        <f t="shared" si="10"/>
        <v>0</v>
      </c>
      <c r="AR30" s="183">
        <f t="shared" si="11"/>
        <v>0</v>
      </c>
      <c r="AS30" s="183">
        <f t="shared" si="12"/>
        <v>0</v>
      </c>
      <c r="AT30" s="183">
        <f t="shared" si="13"/>
        <v>0</v>
      </c>
      <c r="AU30" s="183">
        <f t="shared" si="14"/>
        <v>0</v>
      </c>
      <c r="AV30" s="183">
        <f t="shared" si="15"/>
        <v>0</v>
      </c>
      <c r="AW30" s="183">
        <f t="shared" si="25"/>
        <v>0</v>
      </c>
      <c r="AX30" s="183">
        <f t="shared" si="26"/>
        <v>0</v>
      </c>
      <c r="AY30" s="183">
        <f t="shared" si="27"/>
        <v>0</v>
      </c>
      <c r="AZ30" s="183">
        <f t="shared" si="16"/>
        <v>0</v>
      </c>
      <c r="BA30" s="183">
        <f t="shared" si="17"/>
        <v>0</v>
      </c>
      <c r="BB30" s="183">
        <f t="shared" si="18"/>
        <v>0</v>
      </c>
      <c r="BC30" s="183">
        <f t="shared" si="28"/>
        <v>0</v>
      </c>
      <c r="BD30" s="183">
        <f t="shared" si="30"/>
        <v>0</v>
      </c>
      <c r="BE30" s="179"/>
      <c r="BF30" s="179"/>
      <c r="BG30" s="179"/>
      <c r="BH30" s="179"/>
      <c r="BI30" s="179"/>
      <c r="BJ30" s="179"/>
      <c r="BK30" s="179"/>
      <c r="BL30" s="179"/>
    </row>
    <row r="31" spans="1:64" ht="12.75" customHeight="1" x14ac:dyDescent="0.2">
      <c r="A31" s="346"/>
      <c r="B31" s="345"/>
      <c r="C31" s="180" t="s">
        <v>257</v>
      </c>
      <c r="D31" s="347"/>
      <c r="E31" s="180"/>
      <c r="F31" s="180"/>
      <c r="G31" s="180"/>
      <c r="H31" s="180"/>
      <c r="I31" s="180"/>
      <c r="J31" s="180"/>
      <c r="K31" s="180"/>
      <c r="L31" s="180"/>
      <c r="M31" s="180"/>
      <c r="N31" s="180"/>
      <c r="O31" s="180"/>
      <c r="P31" s="180"/>
      <c r="Q31" s="180"/>
      <c r="R31" s="180"/>
      <c r="S31" s="180"/>
      <c r="T31" s="180"/>
      <c r="U31" s="180">
        <v>150</v>
      </c>
      <c r="V31" s="180">
        <v>100</v>
      </c>
      <c r="W31" s="180"/>
      <c r="X31" s="180"/>
      <c r="Y31" s="180"/>
      <c r="Z31" s="180"/>
      <c r="AA31" s="180"/>
      <c r="AB31" s="180"/>
      <c r="AC31" s="180" t="s">
        <v>258</v>
      </c>
      <c r="AD31" s="181">
        <f t="shared" si="0"/>
        <v>0.17</v>
      </c>
      <c r="AE31" s="182">
        <f>'1. SB ABA DE CARREGAMENTO'!$B$90</f>
        <v>24</v>
      </c>
      <c r="AF31" s="347"/>
      <c r="AG31" s="183">
        <f t="shared" si="1"/>
        <v>0</v>
      </c>
      <c r="AH31" s="183">
        <f t="shared" si="29"/>
        <v>0</v>
      </c>
      <c r="AI31" s="183">
        <f t="shared" si="2"/>
        <v>0</v>
      </c>
      <c r="AJ31" s="183">
        <f t="shared" si="3"/>
        <v>0</v>
      </c>
      <c r="AK31" s="183">
        <f t="shared" si="31"/>
        <v>0</v>
      </c>
      <c r="AL31" s="183">
        <f t="shared" si="5"/>
        <v>0</v>
      </c>
      <c r="AM31" s="183">
        <f t="shared" si="6"/>
        <v>0</v>
      </c>
      <c r="AN31" s="183">
        <f t="shared" si="7"/>
        <v>0</v>
      </c>
      <c r="AO31" s="183">
        <f t="shared" si="8"/>
        <v>0</v>
      </c>
      <c r="AP31" s="183">
        <f t="shared" si="9"/>
        <v>0</v>
      </c>
      <c r="AQ31" s="183">
        <f t="shared" si="10"/>
        <v>0</v>
      </c>
      <c r="AR31" s="183">
        <f t="shared" si="11"/>
        <v>0</v>
      </c>
      <c r="AS31" s="183">
        <f t="shared" si="12"/>
        <v>0</v>
      </c>
      <c r="AT31" s="183">
        <f t="shared" si="13"/>
        <v>0</v>
      </c>
      <c r="AU31" s="183">
        <f t="shared" si="14"/>
        <v>0</v>
      </c>
      <c r="AV31" s="183">
        <f t="shared" si="15"/>
        <v>0</v>
      </c>
      <c r="AW31" s="183">
        <f t="shared" si="25"/>
        <v>1.0625000000000002</v>
      </c>
      <c r="AX31" s="183">
        <f t="shared" si="26"/>
        <v>0.70833333333333337</v>
      </c>
      <c r="AY31" s="183">
        <f t="shared" si="27"/>
        <v>0</v>
      </c>
      <c r="AZ31" s="183">
        <f t="shared" si="16"/>
        <v>0</v>
      </c>
      <c r="BA31" s="183">
        <f t="shared" si="17"/>
        <v>0</v>
      </c>
      <c r="BB31" s="183">
        <f t="shared" si="18"/>
        <v>0</v>
      </c>
      <c r="BC31" s="183">
        <f t="shared" si="28"/>
        <v>0</v>
      </c>
      <c r="BD31" s="183">
        <f t="shared" si="30"/>
        <v>0</v>
      </c>
      <c r="BE31" s="179"/>
      <c r="BF31" s="179"/>
      <c r="BG31" s="179"/>
      <c r="BH31" s="179"/>
      <c r="BI31" s="179"/>
      <c r="BJ31" s="179"/>
      <c r="BK31" s="179"/>
      <c r="BL31" s="179"/>
    </row>
    <row r="32" spans="1:64" ht="12.75" customHeight="1" x14ac:dyDescent="0.2">
      <c r="A32" s="346"/>
      <c r="B32" s="345"/>
      <c r="C32" s="180" t="s">
        <v>259</v>
      </c>
      <c r="D32" s="347"/>
      <c r="E32" s="180"/>
      <c r="F32" s="180"/>
      <c r="G32" s="180"/>
      <c r="H32" s="180"/>
      <c r="I32" s="180"/>
      <c r="J32" s="180"/>
      <c r="K32" s="180"/>
      <c r="L32" s="180"/>
      <c r="M32" s="180"/>
      <c r="N32" s="180"/>
      <c r="O32" s="180"/>
      <c r="P32" s="180"/>
      <c r="Q32" s="180"/>
      <c r="R32" s="180"/>
      <c r="S32" s="180"/>
      <c r="T32" s="180"/>
      <c r="U32" s="180"/>
      <c r="V32" s="180"/>
      <c r="W32" s="180">
        <v>250</v>
      </c>
      <c r="X32" s="180"/>
      <c r="Y32" s="180"/>
      <c r="Z32" s="180"/>
      <c r="AA32" s="180"/>
      <c r="AB32" s="180"/>
      <c r="AC32" s="180" t="s">
        <v>260</v>
      </c>
      <c r="AD32" s="181">
        <f t="shared" si="0"/>
        <v>8</v>
      </c>
      <c r="AE32" s="182">
        <f>'1. SB ABA DE CARREGAMENTO'!$B$90</f>
        <v>24</v>
      </c>
      <c r="AF32" s="347"/>
      <c r="AG32" s="183">
        <f t="shared" si="1"/>
        <v>0</v>
      </c>
      <c r="AH32" s="183">
        <f t="shared" si="29"/>
        <v>0</v>
      </c>
      <c r="AI32" s="183">
        <f t="shared" si="2"/>
        <v>0</v>
      </c>
      <c r="AJ32" s="183">
        <f t="shared" si="3"/>
        <v>0</v>
      </c>
      <c r="AK32" s="183">
        <f t="shared" si="31"/>
        <v>0</v>
      </c>
      <c r="AL32" s="183">
        <f t="shared" si="5"/>
        <v>0</v>
      </c>
      <c r="AM32" s="183">
        <f t="shared" si="6"/>
        <v>0</v>
      </c>
      <c r="AN32" s="183">
        <f t="shared" si="7"/>
        <v>0</v>
      </c>
      <c r="AO32" s="183">
        <f t="shared" si="8"/>
        <v>0</v>
      </c>
      <c r="AP32" s="183">
        <f t="shared" si="9"/>
        <v>0</v>
      </c>
      <c r="AQ32" s="183">
        <f t="shared" si="10"/>
        <v>0</v>
      </c>
      <c r="AR32" s="183">
        <f t="shared" si="11"/>
        <v>0</v>
      </c>
      <c r="AS32" s="183">
        <f t="shared" si="12"/>
        <v>0</v>
      </c>
      <c r="AT32" s="183">
        <f t="shared" si="13"/>
        <v>0</v>
      </c>
      <c r="AU32" s="183">
        <f t="shared" si="14"/>
        <v>0</v>
      </c>
      <c r="AV32" s="183">
        <f t="shared" si="15"/>
        <v>0</v>
      </c>
      <c r="AW32" s="183">
        <f t="shared" si="25"/>
        <v>0</v>
      </c>
      <c r="AX32" s="183">
        <f t="shared" si="26"/>
        <v>0</v>
      </c>
      <c r="AY32" s="183">
        <f t="shared" si="27"/>
        <v>83.333333333333329</v>
      </c>
      <c r="AZ32" s="183">
        <f t="shared" si="16"/>
        <v>0</v>
      </c>
      <c r="BA32" s="183">
        <f t="shared" si="17"/>
        <v>0</v>
      </c>
      <c r="BB32" s="183">
        <f t="shared" si="18"/>
        <v>0</v>
      </c>
      <c r="BC32" s="183">
        <f t="shared" si="28"/>
        <v>0</v>
      </c>
      <c r="BD32" s="183">
        <f t="shared" si="30"/>
        <v>0</v>
      </c>
      <c r="BE32" s="179"/>
      <c r="BF32" s="179"/>
      <c r="BG32" s="179"/>
      <c r="BH32" s="179"/>
      <c r="BI32" s="179"/>
      <c r="BJ32" s="179"/>
      <c r="BK32" s="179"/>
      <c r="BL32" s="179"/>
    </row>
    <row r="33" spans="1:64" ht="12.75" customHeight="1" x14ac:dyDescent="0.2">
      <c r="A33" s="346"/>
      <c r="B33" s="345"/>
      <c r="C33" s="180" t="s">
        <v>643</v>
      </c>
      <c r="D33" s="347"/>
      <c r="E33" s="180"/>
      <c r="F33" s="180">
        <v>28.2</v>
      </c>
      <c r="G33" s="180"/>
      <c r="H33" s="180"/>
      <c r="I33" s="180"/>
      <c r="J33" s="180"/>
      <c r="K33" s="180"/>
      <c r="L33" s="180"/>
      <c r="M33" s="180"/>
      <c r="N33" s="180"/>
      <c r="O33" s="180"/>
      <c r="P33" s="180"/>
      <c r="Q33" s="180"/>
      <c r="R33" s="180"/>
      <c r="S33" s="180"/>
      <c r="T33" s="180"/>
      <c r="U33" s="180"/>
      <c r="V33" s="180"/>
      <c r="W33" s="180"/>
      <c r="X33" s="180"/>
      <c r="Y33" s="180"/>
      <c r="Z33" s="180"/>
      <c r="AA33" s="180"/>
      <c r="AB33" s="180"/>
      <c r="AC33" s="180" t="s">
        <v>649</v>
      </c>
      <c r="AD33" s="181">
        <f t="shared" si="0"/>
        <v>48</v>
      </c>
      <c r="AE33" s="182">
        <f>'1. SB ABA DE CARREGAMENTO'!$B$90</f>
        <v>24</v>
      </c>
      <c r="AF33" s="347"/>
      <c r="AG33" s="183">
        <f t="shared" si="1"/>
        <v>0</v>
      </c>
      <c r="AH33" s="183">
        <f t="shared" si="29"/>
        <v>56.4</v>
      </c>
      <c r="AI33" s="183">
        <f t="shared" si="2"/>
        <v>0</v>
      </c>
      <c r="AJ33" s="183">
        <f t="shared" si="3"/>
        <v>0</v>
      </c>
      <c r="AK33" s="183">
        <f t="shared" si="31"/>
        <v>0</v>
      </c>
      <c r="AL33" s="183">
        <f t="shared" si="5"/>
        <v>0</v>
      </c>
      <c r="AM33" s="183">
        <f t="shared" si="6"/>
        <v>0</v>
      </c>
      <c r="AN33" s="183">
        <f t="shared" si="7"/>
        <v>0</v>
      </c>
      <c r="AO33" s="183">
        <f t="shared" si="8"/>
        <v>0</v>
      </c>
      <c r="AP33" s="183">
        <f t="shared" si="9"/>
        <v>0</v>
      </c>
      <c r="AQ33" s="183">
        <f t="shared" si="10"/>
        <v>0</v>
      </c>
      <c r="AR33" s="183">
        <f t="shared" si="11"/>
        <v>0</v>
      </c>
      <c r="AS33" s="183">
        <f t="shared" si="12"/>
        <v>0</v>
      </c>
      <c r="AT33" s="183">
        <f t="shared" si="13"/>
        <v>0</v>
      </c>
      <c r="AU33" s="183">
        <f t="shared" si="14"/>
        <v>0</v>
      </c>
      <c r="AV33" s="183">
        <f t="shared" si="15"/>
        <v>0</v>
      </c>
      <c r="AW33" s="183">
        <f t="shared" si="25"/>
        <v>0</v>
      </c>
      <c r="AX33" s="183">
        <f t="shared" si="26"/>
        <v>0</v>
      </c>
      <c r="AY33" s="183">
        <f t="shared" si="27"/>
        <v>0</v>
      </c>
      <c r="AZ33" s="183">
        <f t="shared" si="16"/>
        <v>0</v>
      </c>
      <c r="BA33" s="183">
        <f t="shared" si="17"/>
        <v>0</v>
      </c>
      <c r="BB33" s="183">
        <f t="shared" si="18"/>
        <v>0</v>
      </c>
      <c r="BC33" s="183">
        <f t="shared" si="28"/>
        <v>0</v>
      </c>
      <c r="BD33" s="183">
        <f t="shared" ref="BD33:BD39" si="32">(AB33*AD33)/AE33</f>
        <v>0</v>
      </c>
      <c r="BE33" s="179"/>
      <c r="BF33" s="179"/>
      <c r="BG33" s="179"/>
      <c r="BH33" s="179"/>
      <c r="BI33" s="179"/>
      <c r="BJ33" s="179"/>
      <c r="BK33" s="179"/>
      <c r="BL33" s="179"/>
    </row>
    <row r="34" spans="1:64" ht="12.75" customHeight="1" x14ac:dyDescent="0.2">
      <c r="A34" s="346"/>
      <c r="B34" s="345"/>
      <c r="C34" s="180" t="s">
        <v>265</v>
      </c>
      <c r="D34" s="347"/>
      <c r="E34" s="180"/>
      <c r="F34" s="180"/>
      <c r="G34" s="180"/>
      <c r="H34" s="180"/>
      <c r="I34" s="180"/>
      <c r="J34" s="180"/>
      <c r="K34" s="180"/>
      <c r="L34" s="180"/>
      <c r="M34" s="180"/>
      <c r="N34" s="180"/>
      <c r="O34" s="180"/>
      <c r="P34" s="180"/>
      <c r="Q34" s="180"/>
      <c r="R34" s="180"/>
      <c r="S34" s="180"/>
      <c r="T34" s="180"/>
      <c r="U34" s="180"/>
      <c r="V34" s="180"/>
      <c r="W34" s="180"/>
      <c r="X34" s="180"/>
      <c r="Y34" s="180"/>
      <c r="Z34" s="180"/>
      <c r="AA34" s="180"/>
      <c r="AB34" s="180">
        <v>50.4</v>
      </c>
      <c r="AC34" s="180" t="s">
        <v>266</v>
      </c>
      <c r="AD34" s="181">
        <f t="shared" si="0"/>
        <v>4.33</v>
      </c>
      <c r="AE34" s="182">
        <f>'1. SB ABA DE CARREGAMENTO'!$B$90</f>
        <v>24</v>
      </c>
      <c r="AF34" s="347"/>
      <c r="AG34" s="183">
        <f t="shared" si="1"/>
        <v>0</v>
      </c>
      <c r="AH34" s="183">
        <f t="shared" si="29"/>
        <v>0</v>
      </c>
      <c r="AI34" s="183">
        <f t="shared" si="2"/>
        <v>0</v>
      </c>
      <c r="AJ34" s="183">
        <f t="shared" si="3"/>
        <v>0</v>
      </c>
      <c r="AK34" s="183">
        <f t="shared" si="31"/>
        <v>0</v>
      </c>
      <c r="AL34" s="183">
        <f t="shared" si="5"/>
        <v>0</v>
      </c>
      <c r="AM34" s="183">
        <f t="shared" si="6"/>
        <v>0</v>
      </c>
      <c r="AN34" s="183">
        <f t="shared" si="7"/>
        <v>0</v>
      </c>
      <c r="AO34" s="183">
        <f t="shared" si="8"/>
        <v>0</v>
      </c>
      <c r="AP34" s="183">
        <f t="shared" si="9"/>
        <v>0</v>
      </c>
      <c r="AQ34" s="183">
        <f t="shared" si="10"/>
        <v>0</v>
      </c>
      <c r="AR34" s="183">
        <f t="shared" si="11"/>
        <v>0</v>
      </c>
      <c r="AS34" s="183">
        <f t="shared" si="12"/>
        <v>0</v>
      </c>
      <c r="AT34" s="183">
        <f t="shared" si="13"/>
        <v>0</v>
      </c>
      <c r="AU34" s="183">
        <f t="shared" si="14"/>
        <v>0</v>
      </c>
      <c r="AV34" s="183">
        <f t="shared" si="15"/>
        <v>0</v>
      </c>
      <c r="AW34" s="183">
        <f t="shared" si="25"/>
        <v>0</v>
      </c>
      <c r="AX34" s="183">
        <f t="shared" si="26"/>
        <v>0</v>
      </c>
      <c r="AY34" s="183">
        <f t="shared" si="27"/>
        <v>0</v>
      </c>
      <c r="AZ34" s="183">
        <f t="shared" si="16"/>
        <v>0</v>
      </c>
      <c r="BA34" s="183">
        <f t="shared" si="17"/>
        <v>0</v>
      </c>
      <c r="BB34" s="183">
        <f t="shared" si="18"/>
        <v>0</v>
      </c>
      <c r="BC34" s="183">
        <f t="shared" si="28"/>
        <v>0</v>
      </c>
      <c r="BD34" s="183">
        <f t="shared" si="32"/>
        <v>9.093</v>
      </c>
      <c r="BE34" s="179"/>
      <c r="BF34" s="179"/>
      <c r="BG34" s="179"/>
      <c r="BH34" s="179"/>
      <c r="BI34" s="179"/>
      <c r="BJ34" s="179"/>
      <c r="BK34" s="179"/>
      <c r="BL34" s="179"/>
    </row>
    <row r="35" spans="1:64" ht="12.75" customHeight="1" x14ac:dyDescent="0.2">
      <c r="A35" s="346"/>
      <c r="B35" s="345"/>
      <c r="C35" s="180" t="s">
        <v>263</v>
      </c>
      <c r="D35" s="347"/>
      <c r="E35" s="180"/>
      <c r="F35" s="180"/>
      <c r="G35" s="180"/>
      <c r="H35" s="180"/>
      <c r="I35" s="180"/>
      <c r="J35" s="180"/>
      <c r="K35" s="180"/>
      <c r="L35" s="180"/>
      <c r="M35" s="180"/>
      <c r="N35" s="180"/>
      <c r="O35" s="180"/>
      <c r="P35" s="180"/>
      <c r="Q35" s="180"/>
      <c r="R35" s="180"/>
      <c r="S35" s="180"/>
      <c r="T35" s="180"/>
      <c r="U35" s="180"/>
      <c r="V35" s="180"/>
      <c r="W35" s="180"/>
      <c r="X35" s="180"/>
      <c r="Y35" s="180"/>
      <c r="Z35" s="180">
        <v>50.4</v>
      </c>
      <c r="AA35" s="180"/>
      <c r="AB35" s="180"/>
      <c r="AC35" s="180" t="s">
        <v>264</v>
      </c>
      <c r="AD35" s="181">
        <f t="shared" si="0"/>
        <v>144</v>
      </c>
      <c r="AE35" s="182">
        <v>24</v>
      </c>
      <c r="AF35" s="347"/>
      <c r="AG35" s="183">
        <f t="shared" si="1"/>
        <v>0</v>
      </c>
      <c r="AH35" s="183">
        <f t="shared" si="29"/>
        <v>0</v>
      </c>
      <c r="AI35" s="183">
        <f t="shared" si="2"/>
        <v>0</v>
      </c>
      <c r="AJ35" s="183">
        <f t="shared" si="3"/>
        <v>0</v>
      </c>
      <c r="AK35" s="183">
        <f t="shared" si="31"/>
        <v>0</v>
      </c>
      <c r="AL35" s="183">
        <f t="shared" si="5"/>
        <v>0</v>
      </c>
      <c r="AM35" s="183">
        <f t="shared" si="6"/>
        <v>0</v>
      </c>
      <c r="AN35" s="183">
        <f t="shared" si="7"/>
        <v>0</v>
      </c>
      <c r="AO35" s="183">
        <f t="shared" si="8"/>
        <v>0</v>
      </c>
      <c r="AP35" s="183">
        <f t="shared" si="9"/>
        <v>0</v>
      </c>
      <c r="AQ35" s="183">
        <f t="shared" si="10"/>
        <v>0</v>
      </c>
      <c r="AR35" s="183">
        <f t="shared" si="11"/>
        <v>0</v>
      </c>
      <c r="AS35" s="183">
        <f t="shared" si="12"/>
        <v>0</v>
      </c>
      <c r="AT35" s="183">
        <f t="shared" si="13"/>
        <v>0</v>
      </c>
      <c r="AU35" s="183">
        <f t="shared" si="14"/>
        <v>0</v>
      </c>
      <c r="AV35" s="183">
        <f t="shared" si="15"/>
        <v>0</v>
      </c>
      <c r="AW35" s="183">
        <f t="shared" si="25"/>
        <v>0</v>
      </c>
      <c r="AX35" s="183">
        <f t="shared" si="26"/>
        <v>0</v>
      </c>
      <c r="AY35" s="183">
        <f t="shared" si="27"/>
        <v>0</v>
      </c>
      <c r="AZ35" s="183">
        <f t="shared" si="16"/>
        <v>0</v>
      </c>
      <c r="BA35" s="183">
        <f t="shared" si="17"/>
        <v>0</v>
      </c>
      <c r="BB35" s="183">
        <f t="shared" si="18"/>
        <v>302.39999999999998</v>
      </c>
      <c r="BC35" s="183">
        <f t="shared" si="28"/>
        <v>0</v>
      </c>
      <c r="BD35" s="183">
        <f t="shared" si="32"/>
        <v>0</v>
      </c>
      <c r="BE35" s="179"/>
      <c r="BF35" s="179"/>
      <c r="BG35" s="179"/>
      <c r="BH35" s="179"/>
      <c r="BI35" s="179"/>
      <c r="BJ35" s="179"/>
      <c r="BK35" s="179"/>
      <c r="BL35" s="179"/>
    </row>
    <row r="36" spans="1:64" ht="12.75" customHeight="1" x14ac:dyDescent="0.2">
      <c r="A36" s="346"/>
      <c r="B36" s="345"/>
      <c r="C36" s="180" t="s">
        <v>272</v>
      </c>
      <c r="D36" s="347"/>
      <c r="E36" s="180"/>
      <c r="F36" s="180"/>
      <c r="G36" s="180"/>
      <c r="H36" s="180"/>
      <c r="I36" s="180"/>
      <c r="J36" s="180"/>
      <c r="K36" s="180"/>
      <c r="L36" s="180"/>
      <c r="M36" s="180"/>
      <c r="N36" s="180"/>
      <c r="O36" s="180"/>
      <c r="P36" s="180"/>
      <c r="Q36" s="180"/>
      <c r="R36" s="180"/>
      <c r="S36" s="180"/>
      <c r="T36" s="180"/>
      <c r="U36" s="180"/>
      <c r="V36" s="180"/>
      <c r="W36" s="180"/>
      <c r="X36" s="180"/>
      <c r="Y36" s="180"/>
      <c r="Z36" s="180"/>
      <c r="AA36" s="180">
        <v>143</v>
      </c>
      <c r="AB36" s="180"/>
      <c r="AC36" s="180" t="s">
        <v>266</v>
      </c>
      <c r="AD36" s="181">
        <f t="shared" si="0"/>
        <v>4.33</v>
      </c>
      <c r="AE36" s="182">
        <v>24</v>
      </c>
      <c r="AF36" s="347"/>
      <c r="AG36" s="183">
        <f t="shared" si="1"/>
        <v>0</v>
      </c>
      <c r="AH36" s="183">
        <f t="shared" si="29"/>
        <v>0</v>
      </c>
      <c r="AI36" s="183">
        <f t="shared" si="2"/>
        <v>0</v>
      </c>
      <c r="AJ36" s="183">
        <f t="shared" si="3"/>
        <v>0</v>
      </c>
      <c r="AK36" s="183">
        <f t="shared" si="31"/>
        <v>0</v>
      </c>
      <c r="AL36" s="183">
        <f t="shared" si="5"/>
        <v>0</v>
      </c>
      <c r="AM36" s="183">
        <f t="shared" si="6"/>
        <v>0</v>
      </c>
      <c r="AN36" s="183">
        <f t="shared" si="7"/>
        <v>0</v>
      </c>
      <c r="AO36" s="183">
        <f t="shared" si="8"/>
        <v>0</v>
      </c>
      <c r="AP36" s="183">
        <f t="shared" si="9"/>
        <v>0</v>
      </c>
      <c r="AQ36" s="183">
        <f t="shared" si="10"/>
        <v>0</v>
      </c>
      <c r="AR36" s="183">
        <f t="shared" si="11"/>
        <v>0</v>
      </c>
      <c r="AS36" s="183">
        <f t="shared" si="12"/>
        <v>0</v>
      </c>
      <c r="AT36" s="183">
        <f t="shared" si="13"/>
        <v>0</v>
      </c>
      <c r="AU36" s="183">
        <f t="shared" si="14"/>
        <v>0</v>
      </c>
      <c r="AV36" s="183">
        <f t="shared" si="15"/>
        <v>0</v>
      </c>
      <c r="AW36" s="183">
        <f t="shared" si="25"/>
        <v>0</v>
      </c>
      <c r="AX36" s="183">
        <f t="shared" si="26"/>
        <v>0</v>
      </c>
      <c r="AY36" s="183">
        <f t="shared" si="27"/>
        <v>0</v>
      </c>
      <c r="AZ36" s="183">
        <f t="shared" si="16"/>
        <v>0</v>
      </c>
      <c r="BA36" s="183">
        <f t="shared" si="17"/>
        <v>0</v>
      </c>
      <c r="BB36" s="183">
        <f t="shared" si="18"/>
        <v>0</v>
      </c>
      <c r="BC36" s="183">
        <f t="shared" si="28"/>
        <v>25.799583333333334</v>
      </c>
      <c r="BD36" s="183">
        <f t="shared" si="32"/>
        <v>0</v>
      </c>
      <c r="BE36" s="179"/>
      <c r="BF36" s="179"/>
      <c r="BG36" s="179"/>
      <c r="BH36" s="179"/>
      <c r="BI36" s="179"/>
      <c r="BJ36" s="179"/>
      <c r="BK36" s="179"/>
      <c r="BL36" s="179"/>
    </row>
    <row r="37" spans="1:64" ht="12.75" customHeight="1" x14ac:dyDescent="0.2">
      <c r="A37" s="353">
        <v>4</v>
      </c>
      <c r="B37" s="356" t="s">
        <v>644</v>
      </c>
      <c r="C37" s="187" t="s">
        <v>255</v>
      </c>
      <c r="D37" s="352">
        <f>SUM(E37:AB42)</f>
        <v>907.75999999999988</v>
      </c>
      <c r="E37" s="187"/>
      <c r="F37" s="187"/>
      <c r="G37" s="187"/>
      <c r="H37" s="187"/>
      <c r="I37" s="187"/>
      <c r="J37" s="187"/>
      <c r="K37" s="187"/>
      <c r="L37" s="187">
        <v>189.5</v>
      </c>
      <c r="M37" s="187"/>
      <c r="N37" s="187"/>
      <c r="O37" s="187"/>
      <c r="P37" s="187"/>
      <c r="Q37" s="187"/>
      <c r="R37" s="187"/>
      <c r="S37" s="187"/>
      <c r="T37" s="187"/>
      <c r="U37" s="187"/>
      <c r="V37" s="187"/>
      <c r="W37" s="187"/>
      <c r="X37" s="187"/>
      <c r="Y37" s="187"/>
      <c r="Z37" s="187"/>
      <c r="AA37" s="187"/>
      <c r="AB37" s="187"/>
      <c r="AC37" s="187" t="s">
        <v>253</v>
      </c>
      <c r="AD37" s="188">
        <f t="shared" ref="AD37:AD67" si="33">IF(AC37="DIÁRIA",AE37,IF(AC37="2xDIA",(AE37*2),IF(AC37="3xDIA",(AE37*3),IF(AC37="4xDIA",(AE37*4),IF(AC37="5xDIA",(AE37*5),IF(AC37="6xDIA",(AE37*6),IF(AC37="SEMANAL",4.33,IF(AC37="2xSEMANA",8,IF(AC37="3xSEMANA",12,IF(AC37="QUINZENAL",2,IF(AC37="MENSAL",1,IF(AC37="BIMESTRAL",0.5,IF(AC37="TRIMESTRAL",0.33,IF(AC37="SEMESTRAL",0.17,0))))))))))))))</f>
        <v>72</v>
      </c>
      <c r="AE37" s="189">
        <f>'1. SB ABA DE CARREGAMENTO'!$B$90</f>
        <v>24</v>
      </c>
      <c r="AF37" s="352">
        <f>SUM(AG37:BD42)</f>
        <v>752.60531666666679</v>
      </c>
      <c r="AG37" s="191">
        <f t="shared" si="1"/>
        <v>0</v>
      </c>
      <c r="AH37" s="191">
        <f t="shared" si="29"/>
        <v>0</v>
      </c>
      <c r="AI37" s="191">
        <f t="shared" si="2"/>
        <v>0</v>
      </c>
      <c r="AJ37" s="191">
        <f t="shared" si="3"/>
        <v>0</v>
      </c>
      <c r="AK37" s="191">
        <f t="shared" si="31"/>
        <v>0</v>
      </c>
      <c r="AL37" s="191">
        <f t="shared" ref="AL37:AL67" si="34">(J37*AD37)/AE37</f>
        <v>0</v>
      </c>
      <c r="AM37" s="191">
        <f t="shared" ref="AM37:AM67" si="35">(K37*AD37)/AE37</f>
        <v>0</v>
      </c>
      <c r="AN37" s="191">
        <f t="shared" si="7"/>
        <v>568.5</v>
      </c>
      <c r="AO37" s="191">
        <f t="shared" si="8"/>
        <v>0</v>
      </c>
      <c r="AP37" s="191">
        <f t="shared" ref="AP37:AP67" si="36">(N37*AD37)/AE37</f>
        <v>0</v>
      </c>
      <c r="AQ37" s="191">
        <f t="shared" ref="AQ37:AQ67" si="37">(O37*AD37)/AE37</f>
        <v>0</v>
      </c>
      <c r="AR37" s="191">
        <f t="shared" si="11"/>
        <v>0</v>
      </c>
      <c r="AS37" s="191">
        <f t="shared" si="12"/>
        <v>0</v>
      </c>
      <c r="AT37" s="191">
        <f t="shared" si="13"/>
        <v>0</v>
      </c>
      <c r="AU37" s="191">
        <f t="shared" si="14"/>
        <v>0</v>
      </c>
      <c r="AV37" s="191">
        <f t="shared" si="15"/>
        <v>0</v>
      </c>
      <c r="AW37" s="191">
        <f t="shared" si="25"/>
        <v>0</v>
      </c>
      <c r="AX37" s="191">
        <f t="shared" si="26"/>
        <v>0</v>
      </c>
      <c r="AY37" s="191">
        <f t="shared" si="27"/>
        <v>0</v>
      </c>
      <c r="AZ37" s="191">
        <f t="shared" si="16"/>
        <v>0</v>
      </c>
      <c r="BA37" s="191">
        <f t="shared" si="17"/>
        <v>0</v>
      </c>
      <c r="BB37" s="191">
        <f t="shared" ref="BB37:BB60" si="38">(Z37*AD37)/AE37</f>
        <v>0</v>
      </c>
      <c r="BC37" s="191">
        <f t="shared" si="28"/>
        <v>0</v>
      </c>
      <c r="BD37" s="191">
        <f t="shared" si="32"/>
        <v>0</v>
      </c>
      <c r="BE37" s="179"/>
      <c r="BF37" s="179"/>
      <c r="BG37" s="179"/>
      <c r="BH37" s="179"/>
      <c r="BI37" s="179"/>
      <c r="BJ37" s="179"/>
      <c r="BK37" s="179"/>
      <c r="BL37" s="179"/>
    </row>
    <row r="38" spans="1:64" ht="12.75" customHeight="1" x14ac:dyDescent="0.2">
      <c r="A38" s="354"/>
      <c r="B38" s="357"/>
      <c r="C38" s="187" t="s">
        <v>257</v>
      </c>
      <c r="D38" s="352"/>
      <c r="E38" s="187"/>
      <c r="F38" s="187"/>
      <c r="G38" s="187"/>
      <c r="H38" s="187"/>
      <c r="I38" s="187"/>
      <c r="J38" s="187"/>
      <c r="K38" s="187"/>
      <c r="L38" s="187"/>
      <c r="M38" s="187"/>
      <c r="N38" s="187"/>
      <c r="O38" s="187"/>
      <c r="P38" s="187"/>
      <c r="Q38" s="187"/>
      <c r="R38" s="187"/>
      <c r="S38" s="187"/>
      <c r="T38" s="187"/>
      <c r="U38" s="187">
        <v>217</v>
      </c>
      <c r="V38" s="187">
        <v>117</v>
      </c>
      <c r="W38" s="187"/>
      <c r="X38" s="187"/>
      <c r="Y38" s="187"/>
      <c r="Z38" s="187"/>
      <c r="AA38" s="187"/>
      <c r="AB38" s="187"/>
      <c r="AC38" s="187" t="s">
        <v>258</v>
      </c>
      <c r="AD38" s="188">
        <f t="shared" si="33"/>
        <v>0.17</v>
      </c>
      <c r="AE38" s="189">
        <f>'1. SB ABA DE CARREGAMENTO'!$B$90</f>
        <v>24</v>
      </c>
      <c r="AF38" s="352"/>
      <c r="AG38" s="191">
        <f t="shared" si="1"/>
        <v>0</v>
      </c>
      <c r="AH38" s="191">
        <f t="shared" si="29"/>
        <v>0</v>
      </c>
      <c r="AI38" s="191">
        <f t="shared" si="2"/>
        <v>0</v>
      </c>
      <c r="AJ38" s="191">
        <f t="shared" si="3"/>
        <v>0</v>
      </c>
      <c r="AK38" s="191">
        <f t="shared" si="31"/>
        <v>0</v>
      </c>
      <c r="AL38" s="191">
        <f t="shared" si="34"/>
        <v>0</v>
      </c>
      <c r="AM38" s="191">
        <f t="shared" si="35"/>
        <v>0</v>
      </c>
      <c r="AN38" s="191">
        <f t="shared" si="7"/>
        <v>0</v>
      </c>
      <c r="AO38" s="191">
        <f t="shared" si="8"/>
        <v>0</v>
      </c>
      <c r="AP38" s="191">
        <f t="shared" si="36"/>
        <v>0</v>
      </c>
      <c r="AQ38" s="191">
        <f t="shared" si="37"/>
        <v>0</v>
      </c>
      <c r="AR38" s="191">
        <f t="shared" si="11"/>
        <v>0</v>
      </c>
      <c r="AS38" s="191">
        <f t="shared" si="12"/>
        <v>0</v>
      </c>
      <c r="AT38" s="191">
        <f t="shared" si="13"/>
        <v>0</v>
      </c>
      <c r="AU38" s="191">
        <f t="shared" si="14"/>
        <v>0</v>
      </c>
      <c r="AV38" s="191">
        <f t="shared" si="15"/>
        <v>0</v>
      </c>
      <c r="AW38" s="191">
        <f t="shared" si="25"/>
        <v>1.5370833333333334</v>
      </c>
      <c r="AX38" s="191">
        <f t="shared" si="26"/>
        <v>0.82874999999999999</v>
      </c>
      <c r="AY38" s="191">
        <f t="shared" si="27"/>
        <v>0</v>
      </c>
      <c r="AZ38" s="191">
        <f t="shared" si="16"/>
        <v>0</v>
      </c>
      <c r="BA38" s="191">
        <f t="shared" si="17"/>
        <v>0</v>
      </c>
      <c r="BB38" s="191">
        <f t="shared" si="38"/>
        <v>0</v>
      </c>
      <c r="BC38" s="191">
        <f t="shared" si="28"/>
        <v>0</v>
      </c>
      <c r="BD38" s="191">
        <f t="shared" si="32"/>
        <v>0</v>
      </c>
      <c r="BE38" s="179"/>
      <c r="BF38" s="179"/>
      <c r="BG38" s="179"/>
      <c r="BH38" s="179"/>
      <c r="BI38" s="179"/>
      <c r="BJ38" s="179"/>
      <c r="BK38" s="179"/>
      <c r="BL38" s="179"/>
    </row>
    <row r="39" spans="1:64" ht="12.75" customHeight="1" x14ac:dyDescent="0.2">
      <c r="A39" s="354"/>
      <c r="B39" s="357"/>
      <c r="C39" s="187" t="s">
        <v>259</v>
      </c>
      <c r="D39" s="352"/>
      <c r="E39" s="187"/>
      <c r="F39" s="187"/>
      <c r="G39" s="187"/>
      <c r="H39" s="187"/>
      <c r="I39" s="187"/>
      <c r="J39" s="187"/>
      <c r="K39" s="187"/>
      <c r="L39" s="187"/>
      <c r="M39" s="187"/>
      <c r="N39" s="187"/>
      <c r="O39" s="187"/>
      <c r="P39" s="187"/>
      <c r="Q39" s="187"/>
      <c r="R39" s="187"/>
      <c r="S39" s="187"/>
      <c r="T39" s="187"/>
      <c r="U39" s="187"/>
      <c r="V39" s="187"/>
      <c r="W39" s="187">
        <v>334</v>
      </c>
      <c r="X39" s="187"/>
      <c r="Y39" s="187"/>
      <c r="Z39" s="187"/>
      <c r="AA39" s="187"/>
      <c r="AB39" s="187"/>
      <c r="AC39" s="187" t="s">
        <v>260</v>
      </c>
      <c r="AD39" s="188">
        <f t="shared" si="33"/>
        <v>8</v>
      </c>
      <c r="AE39" s="189">
        <f>'1. SB ABA DE CARREGAMENTO'!$B$90</f>
        <v>24</v>
      </c>
      <c r="AF39" s="352"/>
      <c r="AG39" s="191">
        <f t="shared" si="1"/>
        <v>0</v>
      </c>
      <c r="AH39" s="191">
        <f t="shared" si="29"/>
        <v>0</v>
      </c>
      <c r="AI39" s="191">
        <f t="shared" si="2"/>
        <v>0</v>
      </c>
      <c r="AJ39" s="191">
        <f t="shared" si="3"/>
        <v>0</v>
      </c>
      <c r="AK39" s="191">
        <f t="shared" si="31"/>
        <v>0</v>
      </c>
      <c r="AL39" s="191">
        <f t="shared" si="34"/>
        <v>0</v>
      </c>
      <c r="AM39" s="191">
        <f t="shared" si="35"/>
        <v>0</v>
      </c>
      <c r="AN39" s="191">
        <f t="shared" si="7"/>
        <v>0</v>
      </c>
      <c r="AO39" s="191">
        <f t="shared" si="8"/>
        <v>0</v>
      </c>
      <c r="AP39" s="191">
        <f t="shared" si="36"/>
        <v>0</v>
      </c>
      <c r="AQ39" s="191">
        <f t="shared" si="37"/>
        <v>0</v>
      </c>
      <c r="AR39" s="191">
        <f t="shared" si="11"/>
        <v>0</v>
      </c>
      <c r="AS39" s="191">
        <f t="shared" si="12"/>
        <v>0</v>
      </c>
      <c r="AT39" s="191">
        <f t="shared" si="13"/>
        <v>0</v>
      </c>
      <c r="AU39" s="191">
        <f t="shared" si="14"/>
        <v>0</v>
      </c>
      <c r="AV39" s="191">
        <f t="shared" si="15"/>
        <v>0</v>
      </c>
      <c r="AW39" s="191">
        <f t="shared" si="25"/>
        <v>0</v>
      </c>
      <c r="AX39" s="191">
        <f t="shared" si="26"/>
        <v>0</v>
      </c>
      <c r="AY39" s="191">
        <f t="shared" si="27"/>
        <v>111.33333333333333</v>
      </c>
      <c r="AZ39" s="191">
        <f t="shared" si="16"/>
        <v>0</v>
      </c>
      <c r="BA39" s="191">
        <f t="shared" si="17"/>
        <v>0</v>
      </c>
      <c r="BB39" s="191">
        <f t="shared" si="38"/>
        <v>0</v>
      </c>
      <c r="BC39" s="191">
        <f t="shared" si="28"/>
        <v>0</v>
      </c>
      <c r="BD39" s="191">
        <f t="shared" si="32"/>
        <v>0</v>
      </c>
      <c r="BE39" s="179"/>
      <c r="BF39" s="179"/>
      <c r="BG39" s="179"/>
      <c r="BH39" s="179"/>
      <c r="BI39" s="179"/>
      <c r="BJ39" s="179"/>
      <c r="BK39" s="179"/>
      <c r="BL39" s="179"/>
    </row>
    <row r="40" spans="1:64" ht="12.75" customHeight="1" x14ac:dyDescent="0.2">
      <c r="A40" s="354"/>
      <c r="B40" s="357"/>
      <c r="C40" s="197" t="s">
        <v>265</v>
      </c>
      <c r="D40" s="352"/>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v>10.54</v>
      </c>
      <c r="AC40" s="187" t="s">
        <v>266</v>
      </c>
      <c r="AD40" s="188">
        <f t="shared" si="33"/>
        <v>4.33</v>
      </c>
      <c r="AE40" s="189">
        <f>'1. SB ABA DE CARREGAMENTO'!$B$90</f>
        <v>24</v>
      </c>
      <c r="AF40" s="352"/>
      <c r="AG40" s="191">
        <f t="shared" si="1"/>
        <v>0</v>
      </c>
      <c r="AH40" s="191">
        <f t="shared" si="29"/>
        <v>0</v>
      </c>
      <c r="AI40" s="191">
        <f t="shared" si="2"/>
        <v>0</v>
      </c>
      <c r="AJ40" s="191">
        <f t="shared" si="3"/>
        <v>0</v>
      </c>
      <c r="AK40" s="191">
        <f t="shared" si="31"/>
        <v>0</v>
      </c>
      <c r="AL40" s="191">
        <f t="shared" si="34"/>
        <v>0</v>
      </c>
      <c r="AM40" s="191">
        <f t="shared" si="35"/>
        <v>0</v>
      </c>
      <c r="AN40" s="191">
        <f t="shared" si="7"/>
        <v>0</v>
      </c>
      <c r="AO40" s="191">
        <f t="shared" si="8"/>
        <v>0</v>
      </c>
      <c r="AP40" s="191">
        <f t="shared" si="36"/>
        <v>0</v>
      </c>
      <c r="AQ40" s="191">
        <f t="shared" si="37"/>
        <v>0</v>
      </c>
      <c r="AR40" s="191">
        <f t="shared" si="11"/>
        <v>0</v>
      </c>
      <c r="AS40" s="191">
        <f t="shared" si="12"/>
        <v>0</v>
      </c>
      <c r="AT40" s="191">
        <f t="shared" si="13"/>
        <v>0</v>
      </c>
      <c r="AU40" s="191">
        <f t="shared" si="14"/>
        <v>0</v>
      </c>
      <c r="AV40" s="191">
        <f t="shared" si="15"/>
        <v>0</v>
      </c>
      <c r="AW40" s="191">
        <f t="shared" si="25"/>
        <v>0</v>
      </c>
      <c r="AX40" s="191">
        <f t="shared" si="26"/>
        <v>0</v>
      </c>
      <c r="AY40" s="191">
        <f t="shared" si="27"/>
        <v>0</v>
      </c>
      <c r="AZ40" s="191">
        <f t="shared" si="16"/>
        <v>0</v>
      </c>
      <c r="BA40" s="191">
        <f t="shared" si="17"/>
        <v>0</v>
      </c>
      <c r="BB40" s="191">
        <f t="shared" si="38"/>
        <v>0</v>
      </c>
      <c r="BC40" s="191">
        <f t="shared" si="28"/>
        <v>0</v>
      </c>
      <c r="BD40" s="191">
        <f t="shared" ref="BD40:BD46" si="39">(AB40*AD40)/AE40</f>
        <v>1.9015916666666666</v>
      </c>
      <c r="BE40" s="179"/>
      <c r="BF40" s="179"/>
      <c r="BG40" s="179"/>
      <c r="BH40" s="179"/>
      <c r="BI40" s="179"/>
      <c r="BJ40" s="179"/>
      <c r="BK40" s="179"/>
      <c r="BL40" s="179"/>
    </row>
    <row r="41" spans="1:64" ht="12.75" customHeight="1" x14ac:dyDescent="0.2">
      <c r="A41" s="354"/>
      <c r="B41" s="357"/>
      <c r="C41" s="197" t="s">
        <v>272</v>
      </c>
      <c r="D41" s="352"/>
      <c r="E41" s="187"/>
      <c r="F41" s="187"/>
      <c r="G41" s="187"/>
      <c r="H41" s="187"/>
      <c r="I41" s="187"/>
      <c r="J41" s="187"/>
      <c r="K41" s="187"/>
      <c r="L41" s="187"/>
      <c r="M41" s="187"/>
      <c r="N41" s="187"/>
      <c r="O41" s="187"/>
      <c r="P41" s="187"/>
      <c r="Q41" s="187"/>
      <c r="R41" s="187"/>
      <c r="S41" s="187"/>
      <c r="T41" s="187"/>
      <c r="U41" s="187"/>
      <c r="V41" s="187"/>
      <c r="W41" s="187"/>
      <c r="X41" s="187"/>
      <c r="Y41" s="187"/>
      <c r="Z41" s="187"/>
      <c r="AA41" s="187">
        <v>29.18</v>
      </c>
      <c r="AB41" s="187"/>
      <c r="AC41" s="187" t="s">
        <v>266</v>
      </c>
      <c r="AD41" s="188">
        <f t="shared" si="33"/>
        <v>4.33</v>
      </c>
      <c r="AE41" s="189">
        <v>24</v>
      </c>
      <c r="AF41" s="352"/>
      <c r="AG41" s="191">
        <f t="shared" si="1"/>
        <v>0</v>
      </c>
      <c r="AH41" s="191">
        <f t="shared" si="29"/>
        <v>0</v>
      </c>
      <c r="AI41" s="191">
        <f t="shared" si="2"/>
        <v>0</v>
      </c>
      <c r="AJ41" s="191">
        <f t="shared" si="3"/>
        <v>0</v>
      </c>
      <c r="AK41" s="191">
        <f t="shared" si="31"/>
        <v>0</v>
      </c>
      <c r="AL41" s="191">
        <f t="shared" si="34"/>
        <v>0</v>
      </c>
      <c r="AM41" s="191">
        <f t="shared" si="35"/>
        <v>0</v>
      </c>
      <c r="AN41" s="191">
        <f t="shared" si="7"/>
        <v>0</v>
      </c>
      <c r="AO41" s="191">
        <f t="shared" si="8"/>
        <v>0</v>
      </c>
      <c r="AP41" s="191">
        <f t="shared" si="36"/>
        <v>0</v>
      </c>
      <c r="AQ41" s="191">
        <f t="shared" si="37"/>
        <v>0</v>
      </c>
      <c r="AR41" s="191">
        <f t="shared" si="11"/>
        <v>0</v>
      </c>
      <c r="AS41" s="191">
        <f t="shared" si="12"/>
        <v>0</v>
      </c>
      <c r="AT41" s="191">
        <f t="shared" si="13"/>
        <v>0</v>
      </c>
      <c r="AU41" s="191">
        <f t="shared" si="14"/>
        <v>0</v>
      </c>
      <c r="AV41" s="191">
        <f t="shared" si="15"/>
        <v>0</v>
      </c>
      <c r="AW41" s="191">
        <f t="shared" si="25"/>
        <v>0</v>
      </c>
      <c r="AX41" s="191">
        <f t="shared" si="26"/>
        <v>0</v>
      </c>
      <c r="AY41" s="191">
        <f t="shared" si="27"/>
        <v>0</v>
      </c>
      <c r="AZ41" s="191">
        <f t="shared" si="16"/>
        <v>0</v>
      </c>
      <c r="BA41" s="191">
        <f t="shared" si="17"/>
        <v>0</v>
      </c>
      <c r="BB41" s="191">
        <f t="shared" si="38"/>
        <v>0</v>
      </c>
      <c r="BC41" s="191">
        <f t="shared" si="28"/>
        <v>5.2645583333333335</v>
      </c>
      <c r="BD41" s="191">
        <f t="shared" si="39"/>
        <v>0</v>
      </c>
      <c r="BE41" s="179"/>
      <c r="BF41" s="179"/>
      <c r="BG41" s="179"/>
      <c r="BH41" s="179"/>
      <c r="BI41" s="179"/>
      <c r="BJ41" s="179"/>
      <c r="BK41" s="179"/>
      <c r="BL41" s="179"/>
    </row>
    <row r="42" spans="1:64" ht="12.75" customHeight="1" x14ac:dyDescent="0.2">
      <c r="A42" s="355"/>
      <c r="B42" s="358"/>
      <c r="C42" s="197" t="s">
        <v>271</v>
      </c>
      <c r="D42" s="352"/>
      <c r="E42" s="187"/>
      <c r="F42" s="187"/>
      <c r="G42" s="187"/>
      <c r="H42" s="187"/>
      <c r="I42" s="187"/>
      <c r="J42" s="187"/>
      <c r="K42" s="187"/>
      <c r="L42" s="187"/>
      <c r="M42" s="187"/>
      <c r="N42" s="187"/>
      <c r="O42" s="187"/>
      <c r="P42" s="187"/>
      <c r="Q42" s="187"/>
      <c r="R42" s="187"/>
      <c r="S42" s="187"/>
      <c r="T42" s="187"/>
      <c r="U42" s="187"/>
      <c r="V42" s="187"/>
      <c r="W42" s="187"/>
      <c r="X42" s="187"/>
      <c r="Y42" s="187"/>
      <c r="Z42" s="187">
        <v>10.54</v>
      </c>
      <c r="AA42" s="187"/>
      <c r="AB42" s="187"/>
      <c r="AC42" s="187" t="s">
        <v>264</v>
      </c>
      <c r="AD42" s="188">
        <f t="shared" si="33"/>
        <v>144</v>
      </c>
      <c r="AE42" s="189">
        <v>24</v>
      </c>
      <c r="AF42" s="352"/>
      <c r="AG42" s="191">
        <f t="shared" si="1"/>
        <v>0</v>
      </c>
      <c r="AH42" s="191">
        <f t="shared" si="29"/>
        <v>0</v>
      </c>
      <c r="AI42" s="191">
        <f t="shared" si="2"/>
        <v>0</v>
      </c>
      <c r="AJ42" s="191">
        <f t="shared" si="3"/>
        <v>0</v>
      </c>
      <c r="AK42" s="191">
        <f t="shared" si="31"/>
        <v>0</v>
      </c>
      <c r="AL42" s="191">
        <f t="shared" si="34"/>
        <v>0</v>
      </c>
      <c r="AM42" s="191">
        <f t="shared" si="35"/>
        <v>0</v>
      </c>
      <c r="AN42" s="191">
        <f t="shared" si="7"/>
        <v>0</v>
      </c>
      <c r="AO42" s="191">
        <f t="shared" si="8"/>
        <v>0</v>
      </c>
      <c r="AP42" s="191">
        <f t="shared" si="36"/>
        <v>0</v>
      </c>
      <c r="AQ42" s="191">
        <f t="shared" si="37"/>
        <v>0</v>
      </c>
      <c r="AR42" s="191">
        <f t="shared" si="11"/>
        <v>0</v>
      </c>
      <c r="AS42" s="191">
        <f t="shared" si="12"/>
        <v>0</v>
      </c>
      <c r="AT42" s="191">
        <f t="shared" si="13"/>
        <v>0</v>
      </c>
      <c r="AU42" s="191">
        <f t="shared" si="14"/>
        <v>0</v>
      </c>
      <c r="AV42" s="191">
        <f t="shared" si="15"/>
        <v>0</v>
      </c>
      <c r="AW42" s="191">
        <f t="shared" si="25"/>
        <v>0</v>
      </c>
      <c r="AX42" s="191">
        <f t="shared" si="26"/>
        <v>0</v>
      </c>
      <c r="AY42" s="191">
        <f t="shared" si="27"/>
        <v>0</v>
      </c>
      <c r="AZ42" s="191">
        <f t="shared" si="16"/>
        <v>0</v>
      </c>
      <c r="BA42" s="191">
        <f t="shared" si="17"/>
        <v>0</v>
      </c>
      <c r="BB42" s="191">
        <f t="shared" si="38"/>
        <v>63.239999999999988</v>
      </c>
      <c r="BC42" s="191">
        <f t="shared" si="28"/>
        <v>0</v>
      </c>
      <c r="BD42" s="191">
        <f t="shared" si="39"/>
        <v>0</v>
      </c>
      <c r="BE42" s="179"/>
      <c r="BF42" s="179"/>
      <c r="BG42" s="179"/>
      <c r="BH42" s="179"/>
      <c r="BI42" s="179"/>
      <c r="BJ42" s="179"/>
      <c r="BK42" s="179"/>
      <c r="BL42" s="179"/>
    </row>
    <row r="43" spans="1:64" ht="12.75" customHeight="1" x14ac:dyDescent="0.2">
      <c r="A43" s="346">
        <v>5</v>
      </c>
      <c r="B43" s="345" t="s">
        <v>276</v>
      </c>
      <c r="C43" s="198" t="s">
        <v>277</v>
      </c>
      <c r="D43" s="347">
        <f>SUM(E43:AB51)</f>
        <v>1425.42</v>
      </c>
      <c r="E43" s="180"/>
      <c r="F43" s="180">
        <v>258.42</v>
      </c>
      <c r="G43" s="180"/>
      <c r="H43" s="180"/>
      <c r="I43" s="180"/>
      <c r="J43" s="180"/>
      <c r="K43" s="180"/>
      <c r="L43" s="180"/>
      <c r="M43" s="180"/>
      <c r="N43" s="180"/>
      <c r="O43" s="180"/>
      <c r="P43" s="180"/>
      <c r="Q43" s="180"/>
      <c r="R43" s="180"/>
      <c r="S43" s="180"/>
      <c r="T43" s="180"/>
      <c r="U43" s="180"/>
      <c r="V43" s="180"/>
      <c r="W43" s="180"/>
      <c r="X43" s="180"/>
      <c r="Y43" s="180"/>
      <c r="Z43" s="180"/>
      <c r="AA43" s="180"/>
      <c r="AB43" s="180"/>
      <c r="AC43" s="180" t="s">
        <v>264</v>
      </c>
      <c r="AD43" s="181">
        <f t="shared" si="33"/>
        <v>144</v>
      </c>
      <c r="AE43" s="182">
        <f>'1. SB ABA DE CARREGAMENTO'!$B$90</f>
        <v>24</v>
      </c>
      <c r="AF43" s="347">
        <f>SUM(AG43:BD51)</f>
        <v>2576.4728041666676</v>
      </c>
      <c r="AG43" s="183">
        <f t="shared" si="1"/>
        <v>0</v>
      </c>
      <c r="AH43" s="183">
        <f t="shared" si="29"/>
        <v>1550.5200000000002</v>
      </c>
      <c r="AI43" s="183">
        <f t="shared" si="2"/>
        <v>0</v>
      </c>
      <c r="AJ43" s="183">
        <f t="shared" si="3"/>
        <v>0</v>
      </c>
      <c r="AK43" s="183">
        <f t="shared" si="31"/>
        <v>0</v>
      </c>
      <c r="AL43" s="183">
        <f t="shared" si="34"/>
        <v>0</v>
      </c>
      <c r="AM43" s="183">
        <f t="shared" si="35"/>
        <v>0</v>
      </c>
      <c r="AN43" s="183">
        <f t="shared" si="7"/>
        <v>0</v>
      </c>
      <c r="AO43" s="183">
        <f t="shared" si="8"/>
        <v>0</v>
      </c>
      <c r="AP43" s="183">
        <f t="shared" si="36"/>
        <v>0</v>
      </c>
      <c r="AQ43" s="183">
        <f t="shared" si="37"/>
        <v>0</v>
      </c>
      <c r="AR43" s="183">
        <f t="shared" si="11"/>
        <v>0</v>
      </c>
      <c r="AS43" s="183">
        <f t="shared" si="12"/>
        <v>0</v>
      </c>
      <c r="AT43" s="183">
        <f t="shared" si="13"/>
        <v>0</v>
      </c>
      <c r="AU43" s="183">
        <f t="shared" si="14"/>
        <v>0</v>
      </c>
      <c r="AV43" s="183">
        <f t="shared" si="15"/>
        <v>0</v>
      </c>
      <c r="AW43" s="183">
        <f t="shared" si="25"/>
        <v>0</v>
      </c>
      <c r="AX43" s="183">
        <f t="shared" si="26"/>
        <v>0</v>
      </c>
      <c r="AY43" s="183">
        <f t="shared" si="27"/>
        <v>0</v>
      </c>
      <c r="AZ43" s="183">
        <f t="shared" si="16"/>
        <v>0</v>
      </c>
      <c r="BA43" s="183">
        <f t="shared" si="17"/>
        <v>0</v>
      </c>
      <c r="BB43" s="183">
        <f t="shared" si="38"/>
        <v>0</v>
      </c>
      <c r="BC43" s="183">
        <f t="shared" si="28"/>
        <v>0</v>
      </c>
      <c r="BD43" s="183">
        <f t="shared" si="39"/>
        <v>0</v>
      </c>
      <c r="BE43" s="179"/>
      <c r="BF43" s="179"/>
      <c r="BG43" s="179"/>
      <c r="BH43" s="179"/>
      <c r="BI43" s="179"/>
      <c r="BJ43" s="179"/>
      <c r="BK43" s="179"/>
      <c r="BL43" s="179"/>
    </row>
    <row r="44" spans="1:64" x14ac:dyDescent="0.2">
      <c r="A44" s="346"/>
      <c r="B44" s="345"/>
      <c r="C44" s="180" t="s">
        <v>278</v>
      </c>
      <c r="D44" s="347"/>
      <c r="E44" s="180"/>
      <c r="F44" s="180">
        <v>23.2</v>
      </c>
      <c r="G44" s="180"/>
      <c r="H44" s="180"/>
      <c r="I44" s="180"/>
      <c r="J44" s="180"/>
      <c r="K44" s="180"/>
      <c r="L44" s="180"/>
      <c r="M44" s="180"/>
      <c r="N44" s="180"/>
      <c r="O44" s="180"/>
      <c r="P44" s="180"/>
      <c r="Q44" s="180"/>
      <c r="R44" s="180"/>
      <c r="S44" s="180"/>
      <c r="T44" s="180"/>
      <c r="U44" s="180"/>
      <c r="V44" s="180"/>
      <c r="W44" s="180"/>
      <c r="X44" s="180"/>
      <c r="Y44" s="180"/>
      <c r="Z44" s="180"/>
      <c r="AA44" s="180"/>
      <c r="AB44" s="180"/>
      <c r="AC44" s="180" t="s">
        <v>264</v>
      </c>
      <c r="AD44" s="181">
        <f t="shared" si="33"/>
        <v>144</v>
      </c>
      <c r="AE44" s="182">
        <f>'1. SB ABA DE CARREGAMENTO'!$B$90</f>
        <v>24</v>
      </c>
      <c r="AF44" s="347"/>
      <c r="AG44" s="183">
        <f t="shared" si="1"/>
        <v>0</v>
      </c>
      <c r="AH44" s="183">
        <f t="shared" si="29"/>
        <v>139.19999999999999</v>
      </c>
      <c r="AI44" s="183">
        <f t="shared" si="2"/>
        <v>0</v>
      </c>
      <c r="AJ44" s="183">
        <f t="shared" si="3"/>
        <v>0</v>
      </c>
      <c r="AK44" s="183">
        <f t="shared" si="31"/>
        <v>0</v>
      </c>
      <c r="AL44" s="183">
        <f t="shared" si="34"/>
        <v>0</v>
      </c>
      <c r="AM44" s="183">
        <f t="shared" si="35"/>
        <v>0</v>
      </c>
      <c r="AN44" s="183">
        <f t="shared" si="7"/>
        <v>0</v>
      </c>
      <c r="AO44" s="183">
        <f t="shared" si="8"/>
        <v>0</v>
      </c>
      <c r="AP44" s="183">
        <f t="shared" si="36"/>
        <v>0</v>
      </c>
      <c r="AQ44" s="183">
        <f t="shared" si="37"/>
        <v>0</v>
      </c>
      <c r="AR44" s="183">
        <f t="shared" si="11"/>
        <v>0</v>
      </c>
      <c r="AS44" s="183">
        <f t="shared" si="12"/>
        <v>0</v>
      </c>
      <c r="AT44" s="183">
        <f t="shared" si="13"/>
        <v>0</v>
      </c>
      <c r="AU44" s="183">
        <f t="shared" si="14"/>
        <v>0</v>
      </c>
      <c r="AV44" s="183">
        <f t="shared" si="15"/>
        <v>0</v>
      </c>
      <c r="AW44" s="183">
        <f t="shared" si="25"/>
        <v>0</v>
      </c>
      <c r="AX44" s="183">
        <f t="shared" si="26"/>
        <v>0</v>
      </c>
      <c r="AY44" s="183">
        <f t="shared" si="27"/>
        <v>0</v>
      </c>
      <c r="AZ44" s="183">
        <f t="shared" si="16"/>
        <v>0</v>
      </c>
      <c r="BA44" s="183">
        <f t="shared" si="17"/>
        <v>0</v>
      </c>
      <c r="BB44" s="183">
        <f t="shared" si="38"/>
        <v>0</v>
      </c>
      <c r="BC44" s="183">
        <f t="shared" si="28"/>
        <v>0</v>
      </c>
      <c r="BD44" s="183">
        <f t="shared" si="39"/>
        <v>0</v>
      </c>
      <c r="BE44" s="179"/>
      <c r="BF44" s="179"/>
      <c r="BG44" s="179"/>
      <c r="BH44" s="179"/>
      <c r="BI44" s="179"/>
      <c r="BJ44" s="179"/>
      <c r="BK44" s="179"/>
      <c r="BL44" s="179"/>
    </row>
    <row r="45" spans="1:64" ht="12.75" customHeight="1" x14ac:dyDescent="0.2">
      <c r="A45" s="346"/>
      <c r="B45" s="345"/>
      <c r="C45" s="180" t="s">
        <v>257</v>
      </c>
      <c r="D45" s="347"/>
      <c r="E45" s="180"/>
      <c r="F45" s="180"/>
      <c r="G45" s="180"/>
      <c r="H45" s="180"/>
      <c r="I45" s="180"/>
      <c r="J45" s="180"/>
      <c r="K45" s="180"/>
      <c r="L45" s="180"/>
      <c r="M45" s="180"/>
      <c r="N45" s="180"/>
      <c r="O45" s="180"/>
      <c r="P45" s="180"/>
      <c r="Q45" s="180"/>
      <c r="R45" s="180"/>
      <c r="S45" s="180"/>
      <c r="T45" s="180"/>
      <c r="U45" s="180"/>
      <c r="V45" s="180">
        <v>150</v>
      </c>
      <c r="W45" s="180"/>
      <c r="X45" s="180"/>
      <c r="Y45" s="180"/>
      <c r="Z45" s="180"/>
      <c r="AA45" s="180"/>
      <c r="AB45" s="180"/>
      <c r="AC45" s="180" t="s">
        <v>258</v>
      </c>
      <c r="AD45" s="181">
        <f t="shared" si="33"/>
        <v>0.17</v>
      </c>
      <c r="AE45" s="182">
        <f>'1. SB ABA DE CARREGAMENTO'!$B$90</f>
        <v>24</v>
      </c>
      <c r="AF45" s="347"/>
      <c r="AG45" s="183">
        <f t="shared" si="1"/>
        <v>0</v>
      </c>
      <c r="AH45" s="183">
        <f t="shared" si="29"/>
        <v>0</v>
      </c>
      <c r="AI45" s="183">
        <f t="shared" si="2"/>
        <v>0</v>
      </c>
      <c r="AJ45" s="183">
        <f t="shared" si="3"/>
        <v>0</v>
      </c>
      <c r="AK45" s="183">
        <f t="shared" si="31"/>
        <v>0</v>
      </c>
      <c r="AL45" s="183">
        <f t="shared" si="34"/>
        <v>0</v>
      </c>
      <c r="AM45" s="183">
        <f t="shared" si="35"/>
        <v>0</v>
      </c>
      <c r="AN45" s="183">
        <f t="shared" si="7"/>
        <v>0</v>
      </c>
      <c r="AO45" s="183">
        <f t="shared" si="8"/>
        <v>0</v>
      </c>
      <c r="AP45" s="183">
        <f t="shared" si="36"/>
        <v>0</v>
      </c>
      <c r="AQ45" s="183">
        <f t="shared" si="37"/>
        <v>0</v>
      </c>
      <c r="AR45" s="183">
        <f t="shared" si="11"/>
        <v>0</v>
      </c>
      <c r="AS45" s="183">
        <f t="shared" si="12"/>
        <v>0</v>
      </c>
      <c r="AT45" s="183">
        <f t="shared" si="13"/>
        <v>0</v>
      </c>
      <c r="AU45" s="183">
        <f t="shared" si="14"/>
        <v>0</v>
      </c>
      <c r="AV45" s="183">
        <f t="shared" si="15"/>
        <v>0</v>
      </c>
      <c r="AW45" s="183">
        <f t="shared" si="25"/>
        <v>0</v>
      </c>
      <c r="AX45" s="183">
        <f t="shared" si="26"/>
        <v>1.0625000000000002</v>
      </c>
      <c r="AY45" s="183">
        <f t="shared" si="27"/>
        <v>0</v>
      </c>
      <c r="AZ45" s="183">
        <f t="shared" si="16"/>
        <v>0</v>
      </c>
      <c r="BA45" s="183">
        <f t="shared" si="17"/>
        <v>0</v>
      </c>
      <c r="BB45" s="183">
        <f t="shared" si="38"/>
        <v>0</v>
      </c>
      <c r="BC45" s="183">
        <f t="shared" si="28"/>
        <v>0</v>
      </c>
      <c r="BD45" s="183">
        <f t="shared" si="39"/>
        <v>0</v>
      </c>
      <c r="BE45" s="179"/>
      <c r="BF45" s="179"/>
      <c r="BG45" s="179"/>
      <c r="BH45" s="179"/>
      <c r="BI45" s="179"/>
      <c r="BJ45" s="179"/>
      <c r="BK45" s="179"/>
      <c r="BL45" s="179"/>
    </row>
    <row r="46" spans="1:64" ht="12.75" customHeight="1" x14ac:dyDescent="0.2">
      <c r="A46" s="346"/>
      <c r="B46" s="345"/>
      <c r="C46" s="180" t="s">
        <v>259</v>
      </c>
      <c r="D46" s="347"/>
      <c r="E46" s="180"/>
      <c r="F46" s="180"/>
      <c r="G46" s="180"/>
      <c r="H46" s="180"/>
      <c r="I46" s="180"/>
      <c r="J46" s="180"/>
      <c r="K46" s="180"/>
      <c r="L46" s="180"/>
      <c r="M46" s="180"/>
      <c r="N46" s="180"/>
      <c r="O46" s="180"/>
      <c r="P46" s="180"/>
      <c r="Q46" s="180"/>
      <c r="R46" s="180"/>
      <c r="S46" s="180"/>
      <c r="T46" s="180"/>
      <c r="U46" s="180"/>
      <c r="V46" s="180"/>
      <c r="W46" s="180">
        <v>150</v>
      </c>
      <c r="X46" s="180"/>
      <c r="Y46" s="180"/>
      <c r="Z46" s="180"/>
      <c r="AA46" s="180"/>
      <c r="AB46" s="180"/>
      <c r="AC46" s="180" t="s">
        <v>260</v>
      </c>
      <c r="AD46" s="181">
        <f t="shared" si="33"/>
        <v>8</v>
      </c>
      <c r="AE46" s="182">
        <f>'1. SB ABA DE CARREGAMENTO'!$B$90</f>
        <v>24</v>
      </c>
      <c r="AF46" s="347"/>
      <c r="AG46" s="183">
        <f t="shared" si="1"/>
        <v>0</v>
      </c>
      <c r="AH46" s="183">
        <f t="shared" si="29"/>
        <v>0</v>
      </c>
      <c r="AI46" s="183">
        <f t="shared" si="2"/>
        <v>0</v>
      </c>
      <c r="AJ46" s="183">
        <f t="shared" si="3"/>
        <v>0</v>
      </c>
      <c r="AK46" s="183">
        <f t="shared" si="31"/>
        <v>0</v>
      </c>
      <c r="AL46" s="183">
        <f t="shared" si="34"/>
        <v>0</v>
      </c>
      <c r="AM46" s="183">
        <f t="shared" si="35"/>
        <v>0</v>
      </c>
      <c r="AN46" s="183">
        <f t="shared" si="7"/>
        <v>0</v>
      </c>
      <c r="AO46" s="183">
        <f t="shared" si="8"/>
        <v>0</v>
      </c>
      <c r="AP46" s="183">
        <f t="shared" si="36"/>
        <v>0</v>
      </c>
      <c r="AQ46" s="183">
        <f t="shared" si="37"/>
        <v>0</v>
      </c>
      <c r="AR46" s="183">
        <f t="shared" si="11"/>
        <v>0</v>
      </c>
      <c r="AS46" s="183">
        <f t="shared" si="12"/>
        <v>0</v>
      </c>
      <c r="AT46" s="183">
        <f t="shared" si="13"/>
        <v>0</v>
      </c>
      <c r="AU46" s="183">
        <f t="shared" si="14"/>
        <v>0</v>
      </c>
      <c r="AV46" s="183">
        <f t="shared" si="15"/>
        <v>0</v>
      </c>
      <c r="AW46" s="183">
        <f t="shared" si="25"/>
        <v>0</v>
      </c>
      <c r="AX46" s="183">
        <f t="shared" si="26"/>
        <v>0</v>
      </c>
      <c r="AY46" s="183">
        <f t="shared" si="27"/>
        <v>50</v>
      </c>
      <c r="AZ46" s="183">
        <f t="shared" si="16"/>
        <v>0</v>
      </c>
      <c r="BA46" s="183">
        <f t="shared" si="17"/>
        <v>0</v>
      </c>
      <c r="BB46" s="183">
        <f t="shared" si="38"/>
        <v>0</v>
      </c>
      <c r="BC46" s="183">
        <f t="shared" si="28"/>
        <v>0</v>
      </c>
      <c r="BD46" s="183">
        <f t="shared" si="39"/>
        <v>0</v>
      </c>
      <c r="BE46" s="179"/>
      <c r="BF46" s="179"/>
      <c r="BG46" s="179"/>
      <c r="BH46" s="179"/>
      <c r="BI46" s="179"/>
      <c r="BJ46" s="179"/>
      <c r="BK46" s="179"/>
      <c r="BL46" s="179"/>
    </row>
    <row r="47" spans="1:64" ht="12.75" customHeight="1" x14ac:dyDescent="0.2">
      <c r="A47" s="346"/>
      <c r="B47" s="345"/>
      <c r="C47" s="180" t="s">
        <v>279</v>
      </c>
      <c r="D47" s="347"/>
      <c r="E47" s="180"/>
      <c r="F47" s="180">
        <v>134.49</v>
      </c>
      <c r="G47" s="180"/>
      <c r="H47" s="180"/>
      <c r="I47" s="180"/>
      <c r="J47" s="180"/>
      <c r="K47" s="180"/>
      <c r="L47" s="180"/>
      <c r="M47" s="180"/>
      <c r="N47" s="180"/>
      <c r="O47" s="180"/>
      <c r="P47" s="180"/>
      <c r="Q47" s="180"/>
      <c r="R47" s="180"/>
      <c r="S47" s="180"/>
      <c r="T47" s="180"/>
      <c r="U47" s="180"/>
      <c r="V47" s="180"/>
      <c r="W47" s="180"/>
      <c r="X47" s="180"/>
      <c r="Y47" s="180"/>
      <c r="Z47" s="180"/>
      <c r="AA47" s="180"/>
      <c r="AB47" s="180"/>
      <c r="AC47" s="180" t="s">
        <v>261</v>
      </c>
      <c r="AD47" s="181">
        <f t="shared" si="33"/>
        <v>24</v>
      </c>
      <c r="AE47" s="182">
        <f>'1. SB ABA DE CARREGAMENTO'!$B$90</f>
        <v>24</v>
      </c>
      <c r="AF47" s="347"/>
      <c r="AG47" s="183">
        <f t="shared" si="1"/>
        <v>0</v>
      </c>
      <c r="AH47" s="183">
        <f t="shared" si="29"/>
        <v>134.49</v>
      </c>
      <c r="AI47" s="183">
        <f t="shared" si="2"/>
        <v>0</v>
      </c>
      <c r="AJ47" s="183">
        <f t="shared" si="3"/>
        <v>0</v>
      </c>
      <c r="AK47" s="183">
        <f t="shared" si="31"/>
        <v>0</v>
      </c>
      <c r="AL47" s="183">
        <f t="shared" si="34"/>
        <v>0</v>
      </c>
      <c r="AM47" s="183">
        <f t="shared" si="35"/>
        <v>0</v>
      </c>
      <c r="AN47" s="183">
        <f t="shared" si="7"/>
        <v>0</v>
      </c>
      <c r="AO47" s="183">
        <f t="shared" si="8"/>
        <v>0</v>
      </c>
      <c r="AP47" s="183">
        <f t="shared" si="36"/>
        <v>0</v>
      </c>
      <c r="AQ47" s="183">
        <f t="shared" si="37"/>
        <v>0</v>
      </c>
      <c r="AR47" s="183">
        <f t="shared" si="11"/>
        <v>0</v>
      </c>
      <c r="AS47" s="183">
        <f t="shared" si="12"/>
        <v>0</v>
      </c>
      <c r="AT47" s="183">
        <f t="shared" si="13"/>
        <v>0</v>
      </c>
      <c r="AU47" s="183">
        <f t="shared" si="14"/>
        <v>0</v>
      </c>
      <c r="AV47" s="183">
        <f t="shared" si="15"/>
        <v>0</v>
      </c>
      <c r="AW47" s="183">
        <f t="shared" si="25"/>
        <v>0</v>
      </c>
      <c r="AX47" s="183">
        <f t="shared" si="26"/>
        <v>0</v>
      </c>
      <c r="AY47" s="183">
        <f t="shared" si="27"/>
        <v>0</v>
      </c>
      <c r="AZ47" s="183">
        <f t="shared" si="16"/>
        <v>0</v>
      </c>
      <c r="BA47" s="183">
        <f t="shared" si="17"/>
        <v>0</v>
      </c>
      <c r="BB47" s="183">
        <f t="shared" si="38"/>
        <v>0</v>
      </c>
      <c r="BC47" s="183">
        <f t="shared" si="28"/>
        <v>0</v>
      </c>
      <c r="BD47" s="183">
        <f>(AB47*AD47)/AE47</f>
        <v>0</v>
      </c>
      <c r="BE47" s="179"/>
      <c r="BF47" s="179"/>
      <c r="BG47" s="179"/>
      <c r="BH47" s="179"/>
      <c r="BI47" s="179"/>
      <c r="BJ47" s="179"/>
      <c r="BK47" s="179"/>
      <c r="BL47" s="179"/>
    </row>
    <row r="48" spans="1:64" ht="12.75" customHeight="1" x14ac:dyDescent="0.2">
      <c r="A48" s="346"/>
      <c r="B48" s="345"/>
      <c r="C48" s="180" t="s">
        <v>270</v>
      </c>
      <c r="D48" s="347"/>
      <c r="E48" s="180"/>
      <c r="F48" s="180"/>
      <c r="G48" s="180"/>
      <c r="H48" s="180">
        <v>220.77</v>
      </c>
      <c r="I48" s="180"/>
      <c r="J48" s="180"/>
      <c r="K48" s="180"/>
      <c r="L48" s="180"/>
      <c r="M48" s="180"/>
      <c r="N48" s="180"/>
      <c r="O48" s="180"/>
      <c r="P48" s="180"/>
      <c r="Q48" s="180"/>
      <c r="R48" s="180"/>
      <c r="S48" s="180"/>
      <c r="T48" s="180"/>
      <c r="U48" s="180"/>
      <c r="V48" s="180"/>
      <c r="W48" s="180"/>
      <c r="X48" s="180"/>
      <c r="Y48" s="180"/>
      <c r="Z48" s="180"/>
      <c r="AA48" s="180"/>
      <c r="AB48" s="180"/>
      <c r="AC48" s="180" t="s">
        <v>266</v>
      </c>
      <c r="AD48" s="181">
        <f t="shared" si="33"/>
        <v>4.33</v>
      </c>
      <c r="AE48" s="182">
        <f>'1. SB ABA DE CARREGAMENTO'!$B$90</f>
        <v>24</v>
      </c>
      <c r="AF48" s="347"/>
      <c r="AG48" s="183">
        <f t="shared" si="1"/>
        <v>0</v>
      </c>
      <c r="AH48" s="183">
        <f t="shared" si="29"/>
        <v>0</v>
      </c>
      <c r="AI48" s="183">
        <f t="shared" si="2"/>
        <v>0</v>
      </c>
      <c r="AJ48" s="183">
        <f t="shared" si="3"/>
        <v>39.8305875</v>
      </c>
      <c r="AK48" s="183">
        <f t="shared" si="31"/>
        <v>0</v>
      </c>
      <c r="AL48" s="183">
        <f t="shared" si="34"/>
        <v>0</v>
      </c>
      <c r="AM48" s="183">
        <f t="shared" si="35"/>
        <v>0</v>
      </c>
      <c r="AN48" s="183">
        <f t="shared" si="7"/>
        <v>0</v>
      </c>
      <c r="AO48" s="183">
        <f t="shared" si="8"/>
        <v>0</v>
      </c>
      <c r="AP48" s="183">
        <f t="shared" si="36"/>
        <v>0</v>
      </c>
      <c r="AQ48" s="183">
        <f t="shared" si="37"/>
        <v>0</v>
      </c>
      <c r="AR48" s="183">
        <f t="shared" si="11"/>
        <v>0</v>
      </c>
      <c r="AS48" s="183">
        <f t="shared" si="12"/>
        <v>0</v>
      </c>
      <c r="AT48" s="183">
        <f t="shared" si="13"/>
        <v>0</v>
      </c>
      <c r="AU48" s="183">
        <f t="shared" si="14"/>
        <v>0</v>
      </c>
      <c r="AV48" s="183">
        <f t="shared" si="15"/>
        <v>0</v>
      </c>
      <c r="AW48" s="183">
        <f t="shared" si="25"/>
        <v>0</v>
      </c>
      <c r="AX48" s="183">
        <f t="shared" si="26"/>
        <v>0</v>
      </c>
      <c r="AY48" s="183">
        <f t="shared" si="27"/>
        <v>0</v>
      </c>
      <c r="AZ48" s="183">
        <f t="shared" si="16"/>
        <v>0</v>
      </c>
      <c r="BA48" s="183">
        <f t="shared" si="17"/>
        <v>0</v>
      </c>
      <c r="BB48" s="183">
        <f t="shared" si="38"/>
        <v>0</v>
      </c>
      <c r="BC48" s="183">
        <f t="shared" si="28"/>
        <v>0</v>
      </c>
      <c r="BD48" s="183">
        <f>(AB48*AD48)/AE48</f>
        <v>0</v>
      </c>
      <c r="BE48" s="179"/>
      <c r="BF48" s="179"/>
      <c r="BG48" s="179"/>
      <c r="BH48" s="179"/>
      <c r="BI48" s="179"/>
      <c r="BJ48" s="179"/>
      <c r="BK48" s="179"/>
      <c r="BL48" s="179"/>
    </row>
    <row r="49" spans="1:64" ht="12.75" customHeight="1" x14ac:dyDescent="0.2">
      <c r="A49" s="346"/>
      <c r="B49" s="345"/>
      <c r="C49" s="180" t="s">
        <v>271</v>
      </c>
      <c r="D49" s="347"/>
      <c r="E49" s="180"/>
      <c r="F49" s="180"/>
      <c r="G49" s="180"/>
      <c r="H49" s="180"/>
      <c r="I49" s="180"/>
      <c r="J49" s="180"/>
      <c r="K49" s="180"/>
      <c r="L49" s="180"/>
      <c r="M49" s="180"/>
      <c r="N49" s="180"/>
      <c r="O49" s="180"/>
      <c r="P49" s="180"/>
      <c r="Q49" s="180"/>
      <c r="R49" s="180"/>
      <c r="S49" s="180"/>
      <c r="T49" s="180"/>
      <c r="U49" s="180"/>
      <c r="V49" s="180"/>
      <c r="W49" s="180"/>
      <c r="X49" s="180"/>
      <c r="Y49" s="180"/>
      <c r="Z49" s="180">
        <v>98.5</v>
      </c>
      <c r="AA49" s="180"/>
      <c r="AB49" s="180"/>
      <c r="AC49" s="180" t="s">
        <v>264</v>
      </c>
      <c r="AD49" s="181">
        <f t="shared" si="33"/>
        <v>144</v>
      </c>
      <c r="AE49" s="182">
        <f>'1. SB ABA DE CARREGAMENTO'!$B$90</f>
        <v>24</v>
      </c>
      <c r="AF49" s="347"/>
      <c r="AG49" s="183">
        <f t="shared" si="1"/>
        <v>0</v>
      </c>
      <c r="AH49" s="183">
        <f t="shared" si="29"/>
        <v>0</v>
      </c>
      <c r="AI49" s="183">
        <f t="shared" si="2"/>
        <v>0</v>
      </c>
      <c r="AJ49" s="183">
        <f t="shared" si="3"/>
        <v>0</v>
      </c>
      <c r="AK49" s="183">
        <f t="shared" si="31"/>
        <v>0</v>
      </c>
      <c r="AL49" s="183">
        <f t="shared" si="34"/>
        <v>0</v>
      </c>
      <c r="AM49" s="183">
        <f t="shared" si="35"/>
        <v>0</v>
      </c>
      <c r="AN49" s="183">
        <f t="shared" si="7"/>
        <v>0</v>
      </c>
      <c r="AO49" s="183">
        <f t="shared" si="8"/>
        <v>0</v>
      </c>
      <c r="AP49" s="183">
        <f t="shared" si="36"/>
        <v>0</v>
      </c>
      <c r="AQ49" s="183">
        <f t="shared" si="37"/>
        <v>0</v>
      </c>
      <c r="AR49" s="183">
        <f t="shared" si="11"/>
        <v>0</v>
      </c>
      <c r="AS49" s="183">
        <f t="shared" si="12"/>
        <v>0</v>
      </c>
      <c r="AT49" s="183">
        <f t="shared" si="13"/>
        <v>0</v>
      </c>
      <c r="AU49" s="183">
        <f t="shared" si="14"/>
        <v>0</v>
      </c>
      <c r="AV49" s="183">
        <f t="shared" si="15"/>
        <v>0</v>
      </c>
      <c r="AW49" s="183">
        <f t="shared" si="25"/>
        <v>0</v>
      </c>
      <c r="AX49" s="183">
        <f t="shared" si="26"/>
        <v>0</v>
      </c>
      <c r="AY49" s="183">
        <f t="shared" si="27"/>
        <v>0</v>
      </c>
      <c r="AZ49" s="183">
        <f t="shared" si="16"/>
        <v>0</v>
      </c>
      <c r="BA49" s="183">
        <f t="shared" si="17"/>
        <v>0</v>
      </c>
      <c r="BB49" s="183">
        <f t="shared" si="38"/>
        <v>591</v>
      </c>
      <c r="BC49" s="183">
        <f t="shared" si="28"/>
        <v>0</v>
      </c>
      <c r="BD49" s="183">
        <f>(AB49*AD49)/AE49</f>
        <v>0</v>
      </c>
      <c r="BE49" s="179"/>
      <c r="BF49" s="179"/>
      <c r="BG49" s="179"/>
      <c r="BH49" s="179"/>
      <c r="BI49" s="179"/>
      <c r="BJ49" s="179"/>
      <c r="BK49" s="179"/>
      <c r="BL49" s="179"/>
    </row>
    <row r="50" spans="1:64" ht="12.75" customHeight="1" x14ac:dyDescent="0.2">
      <c r="A50" s="346"/>
      <c r="B50" s="345"/>
      <c r="C50" s="180" t="s">
        <v>265</v>
      </c>
      <c r="D50" s="347"/>
      <c r="E50" s="180"/>
      <c r="F50" s="180"/>
      <c r="G50" s="180"/>
      <c r="H50" s="180"/>
      <c r="I50" s="180"/>
      <c r="J50" s="180"/>
      <c r="K50" s="180"/>
      <c r="L50" s="180"/>
      <c r="M50" s="180"/>
      <c r="N50" s="180"/>
      <c r="O50" s="180"/>
      <c r="P50" s="180"/>
      <c r="Q50" s="180"/>
      <c r="R50" s="180"/>
      <c r="S50" s="180"/>
      <c r="T50" s="180"/>
      <c r="U50" s="180"/>
      <c r="V50" s="180"/>
      <c r="W50" s="180"/>
      <c r="X50" s="180"/>
      <c r="Y50" s="180"/>
      <c r="Z50" s="180"/>
      <c r="AA50" s="180"/>
      <c r="AB50" s="180">
        <v>98.5</v>
      </c>
      <c r="AC50" s="180" t="s">
        <v>266</v>
      </c>
      <c r="AD50" s="181">
        <f t="shared" si="33"/>
        <v>4.33</v>
      </c>
      <c r="AE50" s="182">
        <v>24</v>
      </c>
      <c r="AF50" s="347"/>
      <c r="AG50" s="183">
        <f t="shared" si="1"/>
        <v>0</v>
      </c>
      <c r="AH50" s="183">
        <f t="shared" si="29"/>
        <v>0</v>
      </c>
      <c r="AI50" s="183">
        <f t="shared" si="2"/>
        <v>0</v>
      </c>
      <c r="AJ50" s="183">
        <f t="shared" si="3"/>
        <v>0</v>
      </c>
      <c r="AK50" s="183">
        <f t="shared" si="31"/>
        <v>0</v>
      </c>
      <c r="AL50" s="183">
        <f t="shared" si="34"/>
        <v>0</v>
      </c>
      <c r="AM50" s="183">
        <f t="shared" si="35"/>
        <v>0</v>
      </c>
      <c r="AN50" s="183">
        <f t="shared" si="7"/>
        <v>0</v>
      </c>
      <c r="AO50" s="183">
        <f t="shared" si="8"/>
        <v>0</v>
      </c>
      <c r="AP50" s="183">
        <f t="shared" si="36"/>
        <v>0</v>
      </c>
      <c r="AQ50" s="183">
        <f t="shared" si="37"/>
        <v>0</v>
      </c>
      <c r="AR50" s="183">
        <f t="shared" si="11"/>
        <v>0</v>
      </c>
      <c r="AS50" s="183">
        <f t="shared" si="12"/>
        <v>0</v>
      </c>
      <c r="AT50" s="183">
        <f t="shared" si="13"/>
        <v>0</v>
      </c>
      <c r="AU50" s="183">
        <f t="shared" si="14"/>
        <v>0</v>
      </c>
      <c r="AV50" s="183">
        <f t="shared" si="15"/>
        <v>0</v>
      </c>
      <c r="AW50" s="183">
        <f t="shared" si="25"/>
        <v>0</v>
      </c>
      <c r="AX50" s="183">
        <f t="shared" si="26"/>
        <v>0</v>
      </c>
      <c r="AY50" s="183">
        <f t="shared" si="27"/>
        <v>0</v>
      </c>
      <c r="AZ50" s="183">
        <f t="shared" si="16"/>
        <v>0</v>
      </c>
      <c r="BA50" s="183">
        <f t="shared" si="17"/>
        <v>0</v>
      </c>
      <c r="BB50" s="183">
        <f t="shared" si="38"/>
        <v>0</v>
      </c>
      <c r="BC50" s="183">
        <f t="shared" si="28"/>
        <v>0</v>
      </c>
      <c r="BD50" s="183">
        <f>(AB50*AD50)/AE50</f>
        <v>17.771041666666665</v>
      </c>
      <c r="BE50" s="179"/>
      <c r="BF50" s="179"/>
      <c r="BG50" s="179"/>
      <c r="BH50" s="179"/>
      <c r="BI50" s="179"/>
      <c r="BJ50" s="179"/>
      <c r="BK50" s="179"/>
      <c r="BL50" s="179"/>
    </row>
    <row r="51" spans="1:64" ht="12.75" customHeight="1" x14ac:dyDescent="0.2">
      <c r="A51" s="346"/>
      <c r="B51" s="345"/>
      <c r="C51" s="180" t="s">
        <v>267</v>
      </c>
      <c r="D51" s="347"/>
      <c r="E51" s="180"/>
      <c r="F51" s="180"/>
      <c r="G51" s="180"/>
      <c r="H51" s="180"/>
      <c r="I51" s="180"/>
      <c r="J51" s="180"/>
      <c r="K51" s="180"/>
      <c r="L51" s="180"/>
      <c r="M51" s="180"/>
      <c r="N51" s="180"/>
      <c r="O51" s="180"/>
      <c r="P51" s="180"/>
      <c r="Q51" s="180"/>
      <c r="R51" s="180"/>
      <c r="S51" s="180"/>
      <c r="T51" s="180"/>
      <c r="U51" s="180"/>
      <c r="V51" s="180"/>
      <c r="W51" s="180"/>
      <c r="X51" s="180"/>
      <c r="Y51" s="180"/>
      <c r="Z51" s="180"/>
      <c r="AA51" s="180">
        <v>291.54000000000002</v>
      </c>
      <c r="AB51" s="180"/>
      <c r="AC51" s="180" t="s">
        <v>266</v>
      </c>
      <c r="AD51" s="181">
        <f t="shared" si="33"/>
        <v>4.33</v>
      </c>
      <c r="AE51" s="182">
        <v>24</v>
      </c>
      <c r="AF51" s="347"/>
      <c r="AG51" s="183">
        <f t="shared" si="1"/>
        <v>0</v>
      </c>
      <c r="AH51" s="183">
        <f t="shared" si="29"/>
        <v>0</v>
      </c>
      <c r="AI51" s="183">
        <f t="shared" si="2"/>
        <v>0</v>
      </c>
      <c r="AJ51" s="183">
        <f t="shared" si="3"/>
        <v>0</v>
      </c>
      <c r="AK51" s="183">
        <f t="shared" si="31"/>
        <v>0</v>
      </c>
      <c r="AL51" s="183">
        <f t="shared" si="34"/>
        <v>0</v>
      </c>
      <c r="AM51" s="183">
        <f t="shared" si="35"/>
        <v>0</v>
      </c>
      <c r="AN51" s="183">
        <f t="shared" si="7"/>
        <v>0</v>
      </c>
      <c r="AO51" s="183">
        <f t="shared" si="8"/>
        <v>0</v>
      </c>
      <c r="AP51" s="183">
        <f t="shared" si="36"/>
        <v>0</v>
      </c>
      <c r="AQ51" s="183">
        <f t="shared" si="37"/>
        <v>0</v>
      </c>
      <c r="AR51" s="183">
        <f t="shared" si="11"/>
        <v>0</v>
      </c>
      <c r="AS51" s="183">
        <f t="shared" si="12"/>
        <v>0</v>
      </c>
      <c r="AT51" s="183">
        <f t="shared" si="13"/>
        <v>0</v>
      </c>
      <c r="AU51" s="183">
        <f t="shared" si="14"/>
        <v>0</v>
      </c>
      <c r="AV51" s="183">
        <f t="shared" si="15"/>
        <v>0</v>
      </c>
      <c r="AW51" s="183">
        <f t="shared" si="25"/>
        <v>0</v>
      </c>
      <c r="AX51" s="183">
        <f t="shared" si="26"/>
        <v>0</v>
      </c>
      <c r="AY51" s="183">
        <f t="shared" si="27"/>
        <v>0</v>
      </c>
      <c r="AZ51" s="183">
        <f t="shared" si="16"/>
        <v>0</v>
      </c>
      <c r="BA51" s="183">
        <f t="shared" si="17"/>
        <v>0</v>
      </c>
      <c r="BB51" s="183">
        <f t="shared" si="38"/>
        <v>0</v>
      </c>
      <c r="BC51" s="183">
        <f t="shared" si="28"/>
        <v>52.598675000000007</v>
      </c>
      <c r="BD51" s="183">
        <f>(AB51*AD51)/AE51</f>
        <v>0</v>
      </c>
      <c r="BE51" s="179"/>
      <c r="BF51" s="179"/>
      <c r="BG51" s="179"/>
      <c r="BH51" s="179"/>
      <c r="BI51" s="179"/>
      <c r="BJ51" s="179"/>
      <c r="BK51" s="179"/>
      <c r="BL51" s="179"/>
    </row>
    <row r="52" spans="1:64" x14ac:dyDescent="0.2">
      <c r="A52" s="359">
        <v>6</v>
      </c>
      <c r="B52" s="349" t="s">
        <v>280</v>
      </c>
      <c r="C52" s="186" t="s">
        <v>281</v>
      </c>
      <c r="D52" s="360">
        <f>SUM(E52:AB60)</f>
        <v>561.43999999999994</v>
      </c>
      <c r="E52" s="186"/>
      <c r="F52" s="186"/>
      <c r="G52" s="186"/>
      <c r="H52" s="186">
        <v>296.58</v>
      </c>
      <c r="I52" s="186"/>
      <c r="J52" s="186"/>
      <c r="K52" s="186"/>
      <c r="L52" s="186"/>
      <c r="M52" s="186"/>
      <c r="N52" s="186"/>
      <c r="O52" s="186"/>
      <c r="P52" s="186"/>
      <c r="Q52" s="186"/>
      <c r="R52" s="186"/>
      <c r="S52" s="186"/>
      <c r="T52" s="186"/>
      <c r="U52" s="186"/>
      <c r="V52" s="186"/>
      <c r="W52" s="186"/>
      <c r="X52" s="186"/>
      <c r="Y52" s="186"/>
      <c r="Z52" s="186"/>
      <c r="AA52" s="186"/>
      <c r="AB52" s="186"/>
      <c r="AC52" s="187" t="s">
        <v>282</v>
      </c>
      <c r="AD52" s="188">
        <f t="shared" si="33"/>
        <v>2</v>
      </c>
      <c r="AE52" s="189">
        <f>'1. SB ABA DE CARREGAMENTO'!$B$90</f>
        <v>24</v>
      </c>
      <c r="AF52" s="360">
        <f>SUM(AG52:BD60)</f>
        <v>159.76959166666668</v>
      </c>
      <c r="AG52" s="199">
        <f t="shared" ref="AG52:AG60" si="40">(E52*AD52)/AE53</f>
        <v>0</v>
      </c>
      <c r="AH52" s="199">
        <f t="shared" ref="AH52:AH60" si="41">(F52*AD52)/AE53</f>
        <v>0</v>
      </c>
      <c r="AI52" s="199">
        <f t="shared" ref="AI52:AI60" si="42">(G52*AD52)/AE53</f>
        <v>0</v>
      </c>
      <c r="AJ52" s="199">
        <f t="shared" ref="AJ52:AJ60" si="43">(H52*AD52)/AE53</f>
        <v>24.715</v>
      </c>
      <c r="AK52" s="199">
        <f t="shared" ref="AK52:AK60" si="44">(I52*AD52)/AE53</f>
        <v>0</v>
      </c>
      <c r="AL52" s="200">
        <f t="shared" si="34"/>
        <v>0</v>
      </c>
      <c r="AM52" s="200">
        <f t="shared" si="35"/>
        <v>0</v>
      </c>
      <c r="AN52" s="199">
        <f t="shared" ref="AN52:AN60" si="45">(L52*AD52)/AE53</f>
        <v>0</v>
      </c>
      <c r="AO52" s="199">
        <f t="shared" ref="AO52:AO60" si="46">(M52*AD52)/AE53</f>
        <v>0</v>
      </c>
      <c r="AP52" s="201">
        <f t="shared" si="36"/>
        <v>0</v>
      </c>
      <c r="AQ52" s="201">
        <f t="shared" si="37"/>
        <v>0</v>
      </c>
      <c r="AR52" s="199">
        <f t="shared" ref="AR52:AR60" si="47">(P52*AD52)/AE53</f>
        <v>0</v>
      </c>
      <c r="AS52" s="199">
        <f t="shared" ref="AS52:AS60" si="48">(Q52*AD52)/AE53</f>
        <v>0</v>
      </c>
      <c r="AT52" s="199">
        <f t="shared" ref="AT52:AT60" si="49">(R52*AD52)/AE53</f>
        <v>0</v>
      </c>
      <c r="AU52" s="199">
        <f t="shared" ref="AU52:AU60" si="50">(S52*AD52)/AE53</f>
        <v>0</v>
      </c>
      <c r="AV52" s="199">
        <f t="shared" ref="AV52:AV60" si="51">(T52*AD52)/AE53</f>
        <v>0</v>
      </c>
      <c r="AW52" s="199">
        <f t="shared" ref="AW52:AW60" si="52">(U52*AD52)/AE53</f>
        <v>0</v>
      </c>
      <c r="AX52" s="199">
        <f t="shared" ref="AX52:AX60" si="53">(V52*AD52)/AE53</f>
        <v>0</v>
      </c>
      <c r="AY52" s="199">
        <f t="shared" ref="AY52:AY60" si="54">(W52*AD52)/AE53</f>
        <v>0</v>
      </c>
      <c r="AZ52" s="199">
        <f t="shared" ref="AZ52:AZ60" si="55">(X52*AD52)/AE53</f>
        <v>0</v>
      </c>
      <c r="BA52" s="199">
        <f t="shared" ref="BA52:BA60" si="56">(Y52*AD52)/AE53</f>
        <v>0</v>
      </c>
      <c r="BB52" s="200">
        <f t="shared" si="38"/>
        <v>0</v>
      </c>
      <c r="BC52" s="200">
        <f t="shared" si="28"/>
        <v>0</v>
      </c>
      <c r="BD52" s="199">
        <f t="shared" ref="BD52:BD60" si="57">(AB52*AD52)/AE53</f>
        <v>0</v>
      </c>
      <c r="BE52" s="179"/>
      <c r="BF52" s="179"/>
      <c r="BG52" s="179"/>
      <c r="BH52" s="179"/>
      <c r="BI52" s="179"/>
      <c r="BJ52" s="179"/>
      <c r="BK52" s="179"/>
      <c r="BL52" s="179"/>
    </row>
    <row r="53" spans="1:64" ht="12.75" customHeight="1" x14ac:dyDescent="0.2">
      <c r="A53" s="359"/>
      <c r="B53" s="349"/>
      <c r="C53" s="186" t="s">
        <v>269</v>
      </c>
      <c r="D53" s="360"/>
      <c r="E53" s="186"/>
      <c r="F53" s="186">
        <v>30.56</v>
      </c>
      <c r="G53" s="186"/>
      <c r="H53" s="186"/>
      <c r="I53" s="186"/>
      <c r="J53" s="186"/>
      <c r="K53" s="186"/>
      <c r="L53" s="186"/>
      <c r="M53" s="186"/>
      <c r="N53" s="186"/>
      <c r="O53" s="186"/>
      <c r="P53" s="186"/>
      <c r="Q53" s="186"/>
      <c r="R53" s="186"/>
      <c r="S53" s="186"/>
      <c r="T53" s="186"/>
      <c r="U53" s="186"/>
      <c r="V53" s="186"/>
      <c r="W53" s="186"/>
      <c r="X53" s="186"/>
      <c r="Y53" s="186"/>
      <c r="Z53" s="186"/>
      <c r="AA53" s="186"/>
      <c r="AB53" s="186"/>
      <c r="AC53" s="187" t="s">
        <v>261</v>
      </c>
      <c r="AD53" s="188">
        <f t="shared" si="33"/>
        <v>24</v>
      </c>
      <c r="AE53" s="189">
        <f>'1. SB ABA DE CARREGAMENTO'!$B$90</f>
        <v>24</v>
      </c>
      <c r="AF53" s="360"/>
      <c r="AG53" s="199">
        <f t="shared" si="40"/>
        <v>0</v>
      </c>
      <c r="AH53" s="199">
        <f t="shared" si="41"/>
        <v>30.56</v>
      </c>
      <c r="AI53" s="199">
        <f t="shared" si="42"/>
        <v>0</v>
      </c>
      <c r="AJ53" s="199">
        <f t="shared" si="43"/>
        <v>0</v>
      </c>
      <c r="AK53" s="199">
        <f t="shared" si="44"/>
        <v>0</v>
      </c>
      <c r="AL53" s="200">
        <f t="shared" si="34"/>
        <v>0</v>
      </c>
      <c r="AM53" s="200">
        <f t="shared" si="35"/>
        <v>0</v>
      </c>
      <c r="AN53" s="199">
        <f t="shared" si="45"/>
        <v>0</v>
      </c>
      <c r="AO53" s="199">
        <f t="shared" si="46"/>
        <v>0</v>
      </c>
      <c r="AP53" s="201">
        <f t="shared" si="36"/>
        <v>0</v>
      </c>
      <c r="AQ53" s="201">
        <f t="shared" si="37"/>
        <v>0</v>
      </c>
      <c r="AR53" s="199">
        <f t="shared" si="47"/>
        <v>0</v>
      </c>
      <c r="AS53" s="199">
        <f t="shared" si="48"/>
        <v>0</v>
      </c>
      <c r="AT53" s="199">
        <f t="shared" si="49"/>
        <v>0</v>
      </c>
      <c r="AU53" s="199">
        <f t="shared" si="50"/>
        <v>0</v>
      </c>
      <c r="AV53" s="199">
        <f t="shared" si="51"/>
        <v>0</v>
      </c>
      <c r="AW53" s="199">
        <f t="shared" si="52"/>
        <v>0</v>
      </c>
      <c r="AX53" s="199">
        <f t="shared" si="53"/>
        <v>0</v>
      </c>
      <c r="AY53" s="199">
        <f t="shared" si="54"/>
        <v>0</v>
      </c>
      <c r="AZ53" s="199">
        <f t="shared" si="55"/>
        <v>0</v>
      </c>
      <c r="BA53" s="199">
        <f t="shared" si="56"/>
        <v>0</v>
      </c>
      <c r="BB53" s="200">
        <f t="shared" si="38"/>
        <v>0</v>
      </c>
      <c r="BC53" s="200">
        <f t="shared" si="28"/>
        <v>0</v>
      </c>
      <c r="BD53" s="199">
        <f t="shared" si="57"/>
        <v>0</v>
      </c>
      <c r="BE53" s="179"/>
      <c r="BF53" s="179"/>
      <c r="BG53" s="179"/>
      <c r="BH53" s="179"/>
      <c r="BI53" s="179"/>
      <c r="BJ53" s="179"/>
      <c r="BK53" s="179"/>
      <c r="BL53" s="179"/>
    </row>
    <row r="54" spans="1:64" x14ac:dyDescent="0.2">
      <c r="A54" s="359"/>
      <c r="B54" s="349"/>
      <c r="C54" s="186" t="s">
        <v>645</v>
      </c>
      <c r="D54" s="360"/>
      <c r="E54" s="186"/>
      <c r="F54" s="186"/>
      <c r="G54" s="186"/>
      <c r="H54" s="186">
        <v>26.36</v>
      </c>
      <c r="I54" s="186"/>
      <c r="J54" s="186"/>
      <c r="K54" s="186"/>
      <c r="L54" s="186"/>
      <c r="M54" s="186"/>
      <c r="N54" s="186"/>
      <c r="O54" s="186"/>
      <c r="P54" s="186"/>
      <c r="Q54" s="186"/>
      <c r="R54" s="186"/>
      <c r="S54" s="186"/>
      <c r="T54" s="186"/>
      <c r="U54" s="186"/>
      <c r="V54" s="186"/>
      <c r="W54" s="186"/>
      <c r="X54" s="186"/>
      <c r="Y54" s="186"/>
      <c r="Z54" s="186"/>
      <c r="AA54" s="186"/>
      <c r="AB54" s="186"/>
      <c r="AC54" s="187" t="s">
        <v>282</v>
      </c>
      <c r="AD54" s="188">
        <f t="shared" si="33"/>
        <v>2</v>
      </c>
      <c r="AE54" s="189">
        <f>'1. SB ABA DE CARREGAMENTO'!$B$90</f>
        <v>24</v>
      </c>
      <c r="AF54" s="360"/>
      <c r="AG54" s="199">
        <f t="shared" si="40"/>
        <v>0</v>
      </c>
      <c r="AH54" s="199">
        <f t="shared" si="41"/>
        <v>0</v>
      </c>
      <c r="AI54" s="199">
        <f t="shared" si="42"/>
        <v>0</v>
      </c>
      <c r="AJ54" s="199">
        <f t="shared" si="43"/>
        <v>2.1966666666666668</v>
      </c>
      <c r="AK54" s="199">
        <f t="shared" si="44"/>
        <v>0</v>
      </c>
      <c r="AL54" s="200">
        <f t="shared" si="34"/>
        <v>0</v>
      </c>
      <c r="AM54" s="200">
        <f t="shared" si="35"/>
        <v>0</v>
      </c>
      <c r="AN54" s="199">
        <f t="shared" si="45"/>
        <v>0</v>
      </c>
      <c r="AO54" s="199">
        <f t="shared" si="46"/>
        <v>0</v>
      </c>
      <c r="AP54" s="201">
        <f t="shared" si="36"/>
        <v>0</v>
      </c>
      <c r="AQ54" s="201">
        <f t="shared" si="37"/>
        <v>0</v>
      </c>
      <c r="AR54" s="199">
        <f t="shared" si="47"/>
        <v>0</v>
      </c>
      <c r="AS54" s="199">
        <f t="shared" si="48"/>
        <v>0</v>
      </c>
      <c r="AT54" s="199">
        <f t="shared" si="49"/>
        <v>0</v>
      </c>
      <c r="AU54" s="199">
        <f t="shared" si="50"/>
        <v>0</v>
      </c>
      <c r="AV54" s="199">
        <f t="shared" si="51"/>
        <v>0</v>
      </c>
      <c r="AW54" s="199">
        <f t="shared" si="52"/>
        <v>0</v>
      </c>
      <c r="AX54" s="199">
        <f t="shared" si="53"/>
        <v>0</v>
      </c>
      <c r="AY54" s="199">
        <f t="shared" si="54"/>
        <v>0</v>
      </c>
      <c r="AZ54" s="199">
        <f t="shared" si="55"/>
        <v>0</v>
      </c>
      <c r="BA54" s="199">
        <f t="shared" si="56"/>
        <v>0</v>
      </c>
      <c r="BB54" s="200">
        <f t="shared" si="38"/>
        <v>0</v>
      </c>
      <c r="BC54" s="200">
        <f t="shared" si="28"/>
        <v>0</v>
      </c>
      <c r="BD54" s="199">
        <f t="shared" si="57"/>
        <v>0</v>
      </c>
      <c r="BE54" s="179"/>
      <c r="BF54" s="179"/>
      <c r="BG54" s="179"/>
      <c r="BH54" s="179"/>
      <c r="BI54" s="179"/>
      <c r="BJ54" s="179"/>
      <c r="BK54" s="179"/>
      <c r="BL54" s="179"/>
    </row>
    <row r="55" spans="1:64" ht="12.75" customHeight="1" x14ac:dyDescent="0.2">
      <c r="A55" s="359"/>
      <c r="B55" s="349"/>
      <c r="C55" s="186" t="s">
        <v>257</v>
      </c>
      <c r="D55" s="360"/>
      <c r="E55" s="186"/>
      <c r="F55" s="186"/>
      <c r="G55" s="186"/>
      <c r="H55" s="186"/>
      <c r="I55" s="186"/>
      <c r="J55" s="186"/>
      <c r="K55" s="186"/>
      <c r="L55" s="186"/>
      <c r="M55" s="186"/>
      <c r="N55" s="186"/>
      <c r="O55" s="186"/>
      <c r="P55" s="186"/>
      <c r="Q55" s="186"/>
      <c r="R55" s="186"/>
      <c r="S55" s="186"/>
      <c r="T55" s="186"/>
      <c r="U55" s="186"/>
      <c r="V55" s="186">
        <v>75</v>
      </c>
      <c r="W55" s="186"/>
      <c r="X55" s="186"/>
      <c r="Y55" s="186"/>
      <c r="Z55" s="186"/>
      <c r="AA55" s="186"/>
      <c r="AB55" s="186"/>
      <c r="AC55" s="187" t="s">
        <v>258</v>
      </c>
      <c r="AD55" s="188">
        <f t="shared" si="33"/>
        <v>0.17</v>
      </c>
      <c r="AE55" s="189">
        <f>'1. SB ABA DE CARREGAMENTO'!$B$90</f>
        <v>24</v>
      </c>
      <c r="AF55" s="360"/>
      <c r="AG55" s="199">
        <f t="shared" si="40"/>
        <v>0</v>
      </c>
      <c r="AH55" s="199">
        <f t="shared" si="41"/>
        <v>0</v>
      </c>
      <c r="AI55" s="199">
        <f t="shared" si="42"/>
        <v>0</v>
      </c>
      <c r="AJ55" s="199">
        <f t="shared" si="43"/>
        <v>0</v>
      </c>
      <c r="AK55" s="199">
        <f t="shared" si="44"/>
        <v>0</v>
      </c>
      <c r="AL55" s="200">
        <f t="shared" si="34"/>
        <v>0</v>
      </c>
      <c r="AM55" s="200">
        <f t="shared" si="35"/>
        <v>0</v>
      </c>
      <c r="AN55" s="199">
        <f t="shared" si="45"/>
        <v>0</v>
      </c>
      <c r="AO55" s="199">
        <f t="shared" si="46"/>
        <v>0</v>
      </c>
      <c r="AP55" s="201">
        <f t="shared" si="36"/>
        <v>0</v>
      </c>
      <c r="AQ55" s="201">
        <f t="shared" si="37"/>
        <v>0</v>
      </c>
      <c r="AR55" s="199">
        <f t="shared" si="47"/>
        <v>0</v>
      </c>
      <c r="AS55" s="199">
        <f t="shared" si="48"/>
        <v>0</v>
      </c>
      <c r="AT55" s="199">
        <f t="shared" si="49"/>
        <v>0</v>
      </c>
      <c r="AU55" s="199">
        <f t="shared" si="50"/>
        <v>0</v>
      </c>
      <c r="AV55" s="199">
        <f t="shared" si="51"/>
        <v>0</v>
      </c>
      <c r="AW55" s="199">
        <f t="shared" si="52"/>
        <v>0</v>
      </c>
      <c r="AX55" s="199">
        <f t="shared" si="53"/>
        <v>0.53125000000000011</v>
      </c>
      <c r="AY55" s="199">
        <f t="shared" si="54"/>
        <v>0</v>
      </c>
      <c r="AZ55" s="199">
        <f t="shared" si="55"/>
        <v>0</v>
      </c>
      <c r="BA55" s="199">
        <f t="shared" si="56"/>
        <v>0</v>
      </c>
      <c r="BB55" s="200">
        <f t="shared" si="38"/>
        <v>0</v>
      </c>
      <c r="BC55" s="200">
        <f t="shared" si="28"/>
        <v>0</v>
      </c>
      <c r="BD55" s="199">
        <f t="shared" si="57"/>
        <v>0</v>
      </c>
      <c r="BE55" s="179"/>
      <c r="BF55" s="179"/>
      <c r="BG55" s="179"/>
      <c r="BH55" s="179"/>
      <c r="BI55" s="179"/>
      <c r="BJ55" s="179"/>
      <c r="BK55" s="179"/>
      <c r="BL55" s="179"/>
    </row>
    <row r="56" spans="1:64" ht="12.75" customHeight="1" x14ac:dyDescent="0.2">
      <c r="A56" s="359"/>
      <c r="B56" s="349"/>
      <c r="C56" s="186" t="s">
        <v>259</v>
      </c>
      <c r="D56" s="360"/>
      <c r="E56" s="186"/>
      <c r="F56" s="186"/>
      <c r="G56" s="186"/>
      <c r="H56" s="186"/>
      <c r="I56" s="186"/>
      <c r="J56" s="186"/>
      <c r="K56" s="186"/>
      <c r="L56" s="186"/>
      <c r="M56" s="186"/>
      <c r="N56" s="186"/>
      <c r="O56" s="186"/>
      <c r="P56" s="186"/>
      <c r="Q56" s="186"/>
      <c r="R56" s="186"/>
      <c r="S56" s="186"/>
      <c r="T56" s="186"/>
      <c r="U56" s="186"/>
      <c r="V56" s="186"/>
      <c r="W56" s="186">
        <v>75</v>
      </c>
      <c r="X56" s="186"/>
      <c r="Y56" s="186"/>
      <c r="Z56" s="186"/>
      <c r="AA56" s="186"/>
      <c r="AB56" s="186"/>
      <c r="AC56" s="187" t="s">
        <v>260</v>
      </c>
      <c r="AD56" s="188">
        <f t="shared" si="33"/>
        <v>8</v>
      </c>
      <c r="AE56" s="189">
        <f>'1. SB ABA DE CARREGAMENTO'!$B$90</f>
        <v>24</v>
      </c>
      <c r="AF56" s="360"/>
      <c r="AG56" s="199">
        <f t="shared" si="40"/>
        <v>0</v>
      </c>
      <c r="AH56" s="199">
        <f t="shared" si="41"/>
        <v>0</v>
      </c>
      <c r="AI56" s="199">
        <f t="shared" si="42"/>
        <v>0</v>
      </c>
      <c r="AJ56" s="199">
        <f t="shared" si="43"/>
        <v>0</v>
      </c>
      <c r="AK56" s="199">
        <f t="shared" si="44"/>
        <v>0</v>
      </c>
      <c r="AL56" s="200">
        <f t="shared" si="34"/>
        <v>0</v>
      </c>
      <c r="AM56" s="200">
        <f t="shared" si="35"/>
        <v>0</v>
      </c>
      <c r="AN56" s="199">
        <f t="shared" si="45"/>
        <v>0</v>
      </c>
      <c r="AO56" s="199">
        <f t="shared" si="46"/>
        <v>0</v>
      </c>
      <c r="AP56" s="201">
        <f t="shared" si="36"/>
        <v>0</v>
      </c>
      <c r="AQ56" s="201">
        <f t="shared" si="37"/>
        <v>0</v>
      </c>
      <c r="AR56" s="199">
        <f t="shared" si="47"/>
        <v>0</v>
      </c>
      <c r="AS56" s="199">
        <f t="shared" si="48"/>
        <v>0</v>
      </c>
      <c r="AT56" s="199">
        <f t="shared" si="49"/>
        <v>0</v>
      </c>
      <c r="AU56" s="199">
        <f t="shared" si="50"/>
        <v>0</v>
      </c>
      <c r="AV56" s="199">
        <f t="shared" si="51"/>
        <v>0</v>
      </c>
      <c r="AW56" s="199">
        <f t="shared" si="52"/>
        <v>0</v>
      </c>
      <c r="AX56" s="199">
        <f t="shared" si="53"/>
        <v>0</v>
      </c>
      <c r="AY56" s="199">
        <f t="shared" si="54"/>
        <v>25</v>
      </c>
      <c r="AZ56" s="199">
        <f t="shared" si="55"/>
        <v>0</v>
      </c>
      <c r="BA56" s="199">
        <f t="shared" si="56"/>
        <v>0</v>
      </c>
      <c r="BB56" s="200">
        <f t="shared" si="38"/>
        <v>0</v>
      </c>
      <c r="BC56" s="200">
        <f t="shared" si="28"/>
        <v>0</v>
      </c>
      <c r="BD56" s="199">
        <f t="shared" si="57"/>
        <v>0</v>
      </c>
      <c r="BE56" s="179"/>
      <c r="BF56" s="179"/>
      <c r="BG56" s="179"/>
      <c r="BH56" s="179"/>
      <c r="BI56" s="179"/>
      <c r="BJ56" s="179"/>
      <c r="BK56" s="179"/>
      <c r="BL56" s="179"/>
    </row>
    <row r="57" spans="1:64" ht="12.75" customHeight="1" x14ac:dyDescent="0.2">
      <c r="A57" s="359"/>
      <c r="B57" s="349"/>
      <c r="C57" s="186" t="s">
        <v>279</v>
      </c>
      <c r="D57" s="360"/>
      <c r="E57" s="186"/>
      <c r="F57" s="186">
        <v>5.36</v>
      </c>
      <c r="G57" s="186"/>
      <c r="H57" s="186"/>
      <c r="I57" s="186"/>
      <c r="J57" s="186"/>
      <c r="K57" s="186"/>
      <c r="L57" s="186"/>
      <c r="M57" s="186"/>
      <c r="N57" s="186"/>
      <c r="O57" s="186"/>
      <c r="P57" s="186"/>
      <c r="Q57" s="186"/>
      <c r="R57" s="186"/>
      <c r="S57" s="186"/>
      <c r="T57" s="186"/>
      <c r="U57" s="186"/>
      <c r="V57" s="186"/>
      <c r="W57" s="186"/>
      <c r="X57" s="186"/>
      <c r="Y57" s="186"/>
      <c r="Z57" s="186"/>
      <c r="AA57" s="186"/>
      <c r="AB57" s="186"/>
      <c r="AC57" s="187" t="s">
        <v>261</v>
      </c>
      <c r="AD57" s="188">
        <f t="shared" si="33"/>
        <v>24</v>
      </c>
      <c r="AE57" s="189">
        <f>'1. SB ABA DE CARREGAMENTO'!$B$90</f>
        <v>24</v>
      </c>
      <c r="AF57" s="360"/>
      <c r="AG57" s="199">
        <f t="shared" si="40"/>
        <v>0</v>
      </c>
      <c r="AH57" s="199">
        <f t="shared" si="41"/>
        <v>5.36</v>
      </c>
      <c r="AI57" s="199">
        <f t="shared" si="42"/>
        <v>0</v>
      </c>
      <c r="AJ57" s="199">
        <f t="shared" si="43"/>
        <v>0</v>
      </c>
      <c r="AK57" s="199">
        <f t="shared" si="44"/>
        <v>0</v>
      </c>
      <c r="AL57" s="200">
        <f t="shared" si="34"/>
        <v>0</v>
      </c>
      <c r="AM57" s="200">
        <f t="shared" si="35"/>
        <v>0</v>
      </c>
      <c r="AN57" s="199">
        <f t="shared" si="45"/>
        <v>0</v>
      </c>
      <c r="AO57" s="199">
        <f t="shared" si="46"/>
        <v>0</v>
      </c>
      <c r="AP57" s="201">
        <f t="shared" si="36"/>
        <v>0</v>
      </c>
      <c r="AQ57" s="201">
        <f t="shared" si="37"/>
        <v>0</v>
      </c>
      <c r="AR57" s="199">
        <f t="shared" si="47"/>
        <v>0</v>
      </c>
      <c r="AS57" s="199">
        <f t="shared" si="48"/>
        <v>0</v>
      </c>
      <c r="AT57" s="199">
        <f t="shared" si="49"/>
        <v>0</v>
      </c>
      <c r="AU57" s="199">
        <f t="shared" si="50"/>
        <v>0</v>
      </c>
      <c r="AV57" s="199">
        <f t="shared" si="51"/>
        <v>0</v>
      </c>
      <c r="AW57" s="199">
        <f t="shared" si="52"/>
        <v>0</v>
      </c>
      <c r="AX57" s="199">
        <f t="shared" si="53"/>
        <v>0</v>
      </c>
      <c r="AY57" s="199">
        <f t="shared" si="54"/>
        <v>0</v>
      </c>
      <c r="AZ57" s="199">
        <f t="shared" si="55"/>
        <v>0</v>
      </c>
      <c r="BA57" s="199">
        <f t="shared" si="56"/>
        <v>0</v>
      </c>
      <c r="BB57" s="200">
        <f t="shared" si="38"/>
        <v>0</v>
      </c>
      <c r="BC57" s="200">
        <f t="shared" si="28"/>
        <v>0</v>
      </c>
      <c r="BD57" s="199">
        <f t="shared" si="57"/>
        <v>0</v>
      </c>
      <c r="BE57" s="179"/>
      <c r="BF57" s="179"/>
      <c r="BG57" s="179"/>
      <c r="BH57" s="179"/>
      <c r="BI57" s="179"/>
      <c r="BJ57" s="179"/>
      <c r="BK57" s="179"/>
      <c r="BL57" s="179"/>
    </row>
    <row r="58" spans="1:64" ht="12.75" customHeight="1" x14ac:dyDescent="0.2">
      <c r="A58" s="359"/>
      <c r="B58" s="349"/>
      <c r="C58" s="186" t="s">
        <v>271</v>
      </c>
      <c r="D58" s="360"/>
      <c r="E58" s="186"/>
      <c r="F58" s="186"/>
      <c r="G58" s="186"/>
      <c r="H58" s="186"/>
      <c r="I58" s="186"/>
      <c r="J58" s="186"/>
      <c r="K58" s="186"/>
      <c r="L58" s="186"/>
      <c r="M58" s="186"/>
      <c r="N58" s="186"/>
      <c r="O58" s="186"/>
      <c r="P58" s="186"/>
      <c r="Q58" s="186"/>
      <c r="R58" s="186"/>
      <c r="S58" s="186"/>
      <c r="T58" s="186"/>
      <c r="U58" s="186"/>
      <c r="V58" s="186"/>
      <c r="W58" s="186"/>
      <c r="X58" s="186"/>
      <c r="Y58" s="186"/>
      <c r="Z58" s="186">
        <v>10.64</v>
      </c>
      <c r="AA58" s="186"/>
      <c r="AB58" s="186"/>
      <c r="AC58" s="187" t="s">
        <v>264</v>
      </c>
      <c r="AD58" s="188">
        <f t="shared" si="33"/>
        <v>144</v>
      </c>
      <c r="AE58" s="189">
        <f>'1. SB ABA DE CARREGAMENTO'!$B$90</f>
        <v>24</v>
      </c>
      <c r="AF58" s="360"/>
      <c r="AG58" s="199">
        <f t="shared" si="40"/>
        <v>0</v>
      </c>
      <c r="AH58" s="199">
        <f t="shared" si="41"/>
        <v>0</v>
      </c>
      <c r="AI58" s="199">
        <f t="shared" si="42"/>
        <v>0</v>
      </c>
      <c r="AJ58" s="199">
        <f t="shared" si="43"/>
        <v>0</v>
      </c>
      <c r="AK58" s="199">
        <f t="shared" si="44"/>
        <v>0</v>
      </c>
      <c r="AL58" s="200">
        <f t="shared" si="34"/>
        <v>0</v>
      </c>
      <c r="AM58" s="200">
        <f t="shared" si="35"/>
        <v>0</v>
      </c>
      <c r="AN58" s="199">
        <f t="shared" si="45"/>
        <v>0</v>
      </c>
      <c r="AO58" s="199">
        <f t="shared" si="46"/>
        <v>0</v>
      </c>
      <c r="AP58" s="201">
        <f t="shared" si="36"/>
        <v>0</v>
      </c>
      <c r="AQ58" s="201">
        <f t="shared" si="37"/>
        <v>0</v>
      </c>
      <c r="AR58" s="199">
        <f t="shared" si="47"/>
        <v>0</v>
      </c>
      <c r="AS58" s="199">
        <f t="shared" si="48"/>
        <v>0</v>
      </c>
      <c r="AT58" s="199">
        <f t="shared" si="49"/>
        <v>0</v>
      </c>
      <c r="AU58" s="199">
        <f t="shared" si="50"/>
        <v>0</v>
      </c>
      <c r="AV58" s="199">
        <f t="shared" si="51"/>
        <v>0</v>
      </c>
      <c r="AW58" s="199">
        <f t="shared" si="52"/>
        <v>0</v>
      </c>
      <c r="AX58" s="199">
        <f t="shared" si="53"/>
        <v>0</v>
      </c>
      <c r="AY58" s="199">
        <f t="shared" si="54"/>
        <v>0</v>
      </c>
      <c r="AZ58" s="199">
        <f t="shared" si="55"/>
        <v>0</v>
      </c>
      <c r="BA58" s="199">
        <f t="shared" si="56"/>
        <v>0</v>
      </c>
      <c r="BB58" s="200">
        <f t="shared" si="38"/>
        <v>63.84</v>
      </c>
      <c r="BC58" s="200">
        <f t="shared" si="28"/>
        <v>0</v>
      </c>
      <c r="BD58" s="199">
        <f t="shared" si="57"/>
        <v>0</v>
      </c>
      <c r="BE58" s="179"/>
      <c r="BF58" s="179"/>
      <c r="BG58" s="179"/>
      <c r="BH58" s="179"/>
      <c r="BI58" s="179"/>
      <c r="BJ58" s="179"/>
      <c r="BK58" s="179"/>
      <c r="BL58" s="179"/>
    </row>
    <row r="59" spans="1:64" ht="12.75" customHeight="1" x14ac:dyDescent="0.2">
      <c r="A59" s="359"/>
      <c r="B59" s="349"/>
      <c r="C59" s="186" t="s">
        <v>265</v>
      </c>
      <c r="D59" s="360"/>
      <c r="E59" s="186"/>
      <c r="F59" s="186"/>
      <c r="G59" s="186"/>
      <c r="H59" s="186"/>
      <c r="I59" s="186"/>
      <c r="J59" s="186"/>
      <c r="K59" s="186"/>
      <c r="L59" s="186"/>
      <c r="M59" s="186"/>
      <c r="N59" s="186"/>
      <c r="O59" s="186"/>
      <c r="P59" s="186"/>
      <c r="Q59" s="186"/>
      <c r="R59" s="186"/>
      <c r="S59" s="186"/>
      <c r="T59" s="186"/>
      <c r="U59" s="186"/>
      <c r="V59" s="186"/>
      <c r="W59" s="186"/>
      <c r="X59" s="186"/>
      <c r="Y59" s="186"/>
      <c r="Z59" s="186"/>
      <c r="AA59" s="186"/>
      <c r="AB59" s="186">
        <v>10.64</v>
      </c>
      <c r="AC59" s="187" t="s">
        <v>266</v>
      </c>
      <c r="AD59" s="188">
        <f t="shared" si="33"/>
        <v>4.33</v>
      </c>
      <c r="AE59" s="189">
        <v>24</v>
      </c>
      <c r="AF59" s="360"/>
      <c r="AG59" s="199">
        <f t="shared" si="40"/>
        <v>0</v>
      </c>
      <c r="AH59" s="199">
        <f t="shared" si="41"/>
        <v>0</v>
      </c>
      <c r="AI59" s="199">
        <f t="shared" si="42"/>
        <v>0</v>
      </c>
      <c r="AJ59" s="199">
        <f t="shared" si="43"/>
        <v>0</v>
      </c>
      <c r="AK59" s="199">
        <f t="shared" si="44"/>
        <v>0</v>
      </c>
      <c r="AL59" s="200">
        <f t="shared" si="34"/>
        <v>0</v>
      </c>
      <c r="AM59" s="200">
        <f t="shared" si="35"/>
        <v>0</v>
      </c>
      <c r="AN59" s="199">
        <f t="shared" si="45"/>
        <v>0</v>
      </c>
      <c r="AO59" s="199">
        <f t="shared" si="46"/>
        <v>0</v>
      </c>
      <c r="AP59" s="201">
        <f t="shared" si="36"/>
        <v>0</v>
      </c>
      <c r="AQ59" s="201">
        <f t="shared" si="37"/>
        <v>0</v>
      </c>
      <c r="AR59" s="199">
        <f t="shared" si="47"/>
        <v>0</v>
      </c>
      <c r="AS59" s="199">
        <f t="shared" si="48"/>
        <v>0</v>
      </c>
      <c r="AT59" s="199">
        <f t="shared" si="49"/>
        <v>0</v>
      </c>
      <c r="AU59" s="199">
        <f t="shared" si="50"/>
        <v>0</v>
      </c>
      <c r="AV59" s="199">
        <f t="shared" si="51"/>
        <v>0</v>
      </c>
      <c r="AW59" s="199">
        <f t="shared" si="52"/>
        <v>0</v>
      </c>
      <c r="AX59" s="199">
        <f t="shared" si="53"/>
        <v>0</v>
      </c>
      <c r="AY59" s="199">
        <f t="shared" si="54"/>
        <v>0</v>
      </c>
      <c r="AZ59" s="199">
        <f t="shared" si="55"/>
        <v>0</v>
      </c>
      <c r="BA59" s="199">
        <f t="shared" si="56"/>
        <v>0</v>
      </c>
      <c r="BB59" s="200">
        <f t="shared" si="38"/>
        <v>0</v>
      </c>
      <c r="BC59" s="200">
        <f t="shared" si="28"/>
        <v>0</v>
      </c>
      <c r="BD59" s="199">
        <f t="shared" si="57"/>
        <v>1.9196333333333335</v>
      </c>
      <c r="BE59" s="179"/>
      <c r="BF59" s="179"/>
      <c r="BG59" s="179"/>
      <c r="BH59" s="179"/>
      <c r="BI59" s="179"/>
      <c r="BJ59" s="179"/>
      <c r="BK59" s="179"/>
      <c r="BL59" s="179"/>
    </row>
    <row r="60" spans="1:64" ht="12.75" customHeight="1" x14ac:dyDescent="0.2">
      <c r="A60" s="359"/>
      <c r="B60" s="349"/>
      <c r="C60" s="186" t="s">
        <v>283</v>
      </c>
      <c r="D60" s="360"/>
      <c r="E60" s="186"/>
      <c r="F60" s="186"/>
      <c r="G60" s="186"/>
      <c r="H60" s="186"/>
      <c r="I60" s="186"/>
      <c r="J60" s="186"/>
      <c r="K60" s="186"/>
      <c r="L60" s="186"/>
      <c r="M60" s="186"/>
      <c r="N60" s="186"/>
      <c r="O60" s="186"/>
      <c r="P60" s="186"/>
      <c r="Q60" s="186"/>
      <c r="R60" s="186"/>
      <c r="S60" s="186"/>
      <c r="T60" s="186"/>
      <c r="U60" s="186"/>
      <c r="V60" s="186"/>
      <c r="W60" s="186"/>
      <c r="X60" s="186"/>
      <c r="Y60" s="186"/>
      <c r="Z60" s="186"/>
      <c r="AA60" s="186">
        <v>31.3</v>
      </c>
      <c r="AB60" s="186"/>
      <c r="AC60" s="187" t="s">
        <v>266</v>
      </c>
      <c r="AD60" s="188">
        <f t="shared" si="33"/>
        <v>4.33</v>
      </c>
      <c r="AE60" s="189">
        <v>24</v>
      </c>
      <c r="AF60" s="360"/>
      <c r="AG60" s="199">
        <f t="shared" si="40"/>
        <v>0</v>
      </c>
      <c r="AH60" s="199">
        <f t="shared" si="41"/>
        <v>0</v>
      </c>
      <c r="AI60" s="199">
        <f t="shared" si="42"/>
        <v>0</v>
      </c>
      <c r="AJ60" s="199">
        <f t="shared" si="43"/>
        <v>0</v>
      </c>
      <c r="AK60" s="199">
        <f t="shared" si="44"/>
        <v>0</v>
      </c>
      <c r="AL60" s="200">
        <f t="shared" si="34"/>
        <v>0</v>
      </c>
      <c r="AM60" s="200">
        <f t="shared" si="35"/>
        <v>0</v>
      </c>
      <c r="AN60" s="199">
        <f t="shared" si="45"/>
        <v>0</v>
      </c>
      <c r="AO60" s="199">
        <f t="shared" si="46"/>
        <v>0</v>
      </c>
      <c r="AP60" s="201">
        <f t="shared" si="36"/>
        <v>0</v>
      </c>
      <c r="AQ60" s="201">
        <f t="shared" si="37"/>
        <v>0</v>
      </c>
      <c r="AR60" s="199">
        <f t="shared" si="47"/>
        <v>0</v>
      </c>
      <c r="AS60" s="199">
        <f t="shared" si="48"/>
        <v>0</v>
      </c>
      <c r="AT60" s="199">
        <f t="shared" si="49"/>
        <v>0</v>
      </c>
      <c r="AU60" s="199">
        <f t="shared" si="50"/>
        <v>0</v>
      </c>
      <c r="AV60" s="199">
        <f t="shared" si="51"/>
        <v>0</v>
      </c>
      <c r="AW60" s="199">
        <f t="shared" si="52"/>
        <v>0</v>
      </c>
      <c r="AX60" s="199">
        <f t="shared" si="53"/>
        <v>0</v>
      </c>
      <c r="AY60" s="199">
        <f t="shared" si="54"/>
        <v>0</v>
      </c>
      <c r="AZ60" s="199">
        <f t="shared" si="55"/>
        <v>0</v>
      </c>
      <c r="BA60" s="199">
        <f t="shared" si="56"/>
        <v>0</v>
      </c>
      <c r="BB60" s="200">
        <f t="shared" si="38"/>
        <v>0</v>
      </c>
      <c r="BC60" s="200">
        <f t="shared" si="28"/>
        <v>5.6470416666666665</v>
      </c>
      <c r="BD60" s="199">
        <f t="shared" si="57"/>
        <v>0</v>
      </c>
      <c r="BE60" s="179"/>
      <c r="BF60" s="179"/>
      <c r="BG60" s="179"/>
      <c r="BH60" s="179"/>
      <c r="BI60" s="179"/>
      <c r="BJ60" s="179"/>
      <c r="BK60" s="179"/>
      <c r="BL60" s="179"/>
    </row>
    <row r="61" spans="1:64" ht="25.5" hidden="1" customHeight="1" x14ac:dyDescent="0.2">
      <c r="A61" s="346"/>
      <c r="B61" s="349"/>
      <c r="C61" s="349"/>
      <c r="D61" s="347"/>
      <c r="E61" s="202"/>
      <c r="F61" s="202"/>
      <c r="G61" s="202"/>
      <c r="H61" s="202"/>
      <c r="I61" s="202"/>
      <c r="J61" s="202"/>
      <c r="K61" s="202"/>
      <c r="L61" s="202"/>
      <c r="M61" s="202"/>
      <c r="N61" s="202"/>
      <c r="O61" s="202"/>
      <c r="P61" s="202"/>
      <c r="Q61" s="180"/>
      <c r="R61" s="180"/>
      <c r="S61" s="180"/>
      <c r="T61" s="180"/>
      <c r="U61" s="180"/>
      <c r="V61" s="180"/>
      <c r="W61" s="180"/>
      <c r="X61" s="180"/>
      <c r="Y61" s="180"/>
      <c r="Z61" s="180"/>
      <c r="AA61" s="180"/>
      <c r="AB61" s="180"/>
      <c r="AC61" s="180"/>
      <c r="AD61" s="181">
        <f t="shared" si="33"/>
        <v>0</v>
      </c>
      <c r="AE61" s="182">
        <f>'1. SB ABA DE CARREGAMENTO'!$B$90</f>
        <v>24</v>
      </c>
      <c r="AF61" s="347"/>
      <c r="AG61" s="183">
        <f t="shared" ref="AG61:AG80" si="58">(E61*AD61)/AE61</f>
        <v>0</v>
      </c>
      <c r="AH61" s="183">
        <f t="shared" ref="AH61:AH75" si="59">(F61*AD61)/AE61</f>
        <v>0</v>
      </c>
      <c r="AI61" s="183">
        <f t="shared" ref="AI61:AI80" si="60">(G61*AD61)/AE61</f>
        <v>0</v>
      </c>
      <c r="AJ61" s="183">
        <f t="shared" ref="AJ61:AJ80" si="61">(H61*AD61)/AE61</f>
        <v>0</v>
      </c>
      <c r="AK61" s="183">
        <f t="shared" ref="AK61:AK80" si="62">(I61*AD61)/AE61</f>
        <v>0</v>
      </c>
      <c r="AL61" s="183">
        <f t="shared" si="34"/>
        <v>0</v>
      </c>
      <c r="AM61" s="183">
        <f t="shared" si="35"/>
        <v>0</v>
      </c>
      <c r="AN61" s="183">
        <f t="shared" ref="AN61:AN77" si="63">(L61*AD61)/AE61</f>
        <v>0</v>
      </c>
      <c r="AO61" s="183">
        <f t="shared" ref="AO61:AO77" si="64">(M61*AD61)/AE61</f>
        <v>0</v>
      </c>
      <c r="AP61" s="183">
        <f t="shared" si="36"/>
        <v>0</v>
      </c>
      <c r="AQ61" s="183">
        <f t="shared" si="37"/>
        <v>0</v>
      </c>
      <c r="AR61" s="183">
        <f t="shared" ref="AR61:AR80" si="65">(P61*AD61)/AE61</f>
        <v>0</v>
      </c>
      <c r="AS61" s="183">
        <f t="shared" ref="AS61:AS80" si="66">(Q61*AD61)/AE61</f>
        <v>0</v>
      </c>
      <c r="AT61" s="183">
        <f t="shared" ref="AT61:AT80" si="67">(R61*AD61)/AE61</f>
        <v>0</v>
      </c>
      <c r="AU61" s="183">
        <f t="shared" ref="AU61:AU80" si="68">(S61*AD61)/AE61</f>
        <v>0</v>
      </c>
      <c r="AV61" s="183">
        <f t="shared" ref="AV61:AV80" si="69">(T61*AD61)/AE61</f>
        <v>0</v>
      </c>
      <c r="AW61" s="183">
        <f t="shared" ref="AW61:AW80" si="70">(U61*AD61)/AE61</f>
        <v>0</v>
      </c>
      <c r="AX61" s="183">
        <f t="shared" ref="AX61:AX80" si="71">(V61*AD61)/AE61</f>
        <v>0</v>
      </c>
      <c r="AY61" s="183">
        <f t="shared" ref="AY61:AY80" si="72">(W61*AD61)/AE61</f>
        <v>0</v>
      </c>
      <c r="AZ61" s="183">
        <f t="shared" ref="AZ61:AZ80" si="73">(X61*AD61)/AE61</f>
        <v>0</v>
      </c>
      <c r="BA61" s="183">
        <f t="shared" ref="BA61:BA80" si="74">(Y61*AD61)/AE61</f>
        <v>0</v>
      </c>
      <c r="BB61" s="183">
        <f t="shared" ref="BB61:BB69" si="75">(Z61*AB61)/AE61</f>
        <v>0</v>
      </c>
      <c r="BC61" s="183">
        <f t="shared" ref="BC61:BC69" si="76">(AA61*AB61)/AE61</f>
        <v>0</v>
      </c>
      <c r="BD61" s="183">
        <f>(AB61*AD61)/AE61</f>
        <v>0</v>
      </c>
      <c r="BE61" s="179"/>
      <c r="BF61" s="179"/>
      <c r="BG61" s="179"/>
      <c r="BH61" s="179"/>
      <c r="BI61" s="179"/>
      <c r="BJ61" s="179"/>
      <c r="BK61" s="179"/>
      <c r="BL61" s="179"/>
    </row>
    <row r="62" spans="1:64" ht="25.5" hidden="1" customHeight="1" x14ac:dyDescent="0.2">
      <c r="A62" s="346"/>
      <c r="B62" s="346"/>
      <c r="C62" s="346"/>
      <c r="D62" s="346"/>
      <c r="E62" s="202"/>
      <c r="F62" s="202"/>
      <c r="G62" s="202"/>
      <c r="H62" s="202"/>
      <c r="I62" s="202"/>
      <c r="J62" s="202"/>
      <c r="K62" s="202"/>
      <c r="L62" s="202"/>
      <c r="M62" s="202"/>
      <c r="N62" s="202"/>
      <c r="O62" s="202"/>
      <c r="P62" s="202"/>
      <c r="Q62" s="180"/>
      <c r="R62" s="180"/>
      <c r="S62" s="180"/>
      <c r="T62" s="180"/>
      <c r="U62" s="180">
        <v>0</v>
      </c>
      <c r="V62" s="180"/>
      <c r="W62" s="180"/>
      <c r="X62" s="180"/>
      <c r="Y62" s="180"/>
      <c r="Z62" s="180"/>
      <c r="AA62" s="180"/>
      <c r="AB62" s="180"/>
      <c r="AC62" s="180"/>
      <c r="AD62" s="181">
        <f t="shared" si="33"/>
        <v>0</v>
      </c>
      <c r="AE62" s="182">
        <f>'1. SB ABA DE CARREGAMENTO'!$B$90</f>
        <v>24</v>
      </c>
      <c r="AF62" s="347"/>
      <c r="AG62" s="183">
        <f t="shared" si="58"/>
        <v>0</v>
      </c>
      <c r="AH62" s="183">
        <f t="shared" si="59"/>
        <v>0</v>
      </c>
      <c r="AI62" s="183">
        <f t="shared" si="60"/>
        <v>0</v>
      </c>
      <c r="AJ62" s="183">
        <f t="shared" si="61"/>
        <v>0</v>
      </c>
      <c r="AK62" s="183">
        <f t="shared" si="62"/>
        <v>0</v>
      </c>
      <c r="AL62" s="183">
        <f t="shared" si="34"/>
        <v>0</v>
      </c>
      <c r="AM62" s="183">
        <f t="shared" si="35"/>
        <v>0</v>
      </c>
      <c r="AN62" s="183">
        <f t="shared" si="63"/>
        <v>0</v>
      </c>
      <c r="AO62" s="183">
        <f t="shared" si="64"/>
        <v>0</v>
      </c>
      <c r="AP62" s="183">
        <f t="shared" si="36"/>
        <v>0</v>
      </c>
      <c r="AQ62" s="183">
        <f t="shared" si="37"/>
        <v>0</v>
      </c>
      <c r="AR62" s="183">
        <f t="shared" si="65"/>
        <v>0</v>
      </c>
      <c r="AS62" s="183">
        <f t="shared" si="66"/>
        <v>0</v>
      </c>
      <c r="AT62" s="183">
        <f t="shared" si="67"/>
        <v>0</v>
      </c>
      <c r="AU62" s="183">
        <f t="shared" si="68"/>
        <v>0</v>
      </c>
      <c r="AV62" s="183">
        <f t="shared" si="69"/>
        <v>0</v>
      </c>
      <c r="AW62" s="183">
        <f t="shared" si="70"/>
        <v>0</v>
      </c>
      <c r="AX62" s="183">
        <f t="shared" si="71"/>
        <v>0</v>
      </c>
      <c r="AY62" s="183">
        <f t="shared" si="72"/>
        <v>0</v>
      </c>
      <c r="AZ62" s="183">
        <f t="shared" si="73"/>
        <v>0</v>
      </c>
      <c r="BA62" s="183">
        <f t="shared" si="74"/>
        <v>0</v>
      </c>
      <c r="BB62" s="183">
        <f t="shared" si="75"/>
        <v>0</v>
      </c>
      <c r="BC62" s="183">
        <f t="shared" si="76"/>
        <v>0</v>
      </c>
      <c r="BD62" s="183">
        <f>(AB62*AD62)/AE62</f>
        <v>0</v>
      </c>
      <c r="BE62" s="179"/>
      <c r="BF62" s="179"/>
      <c r="BG62" s="179"/>
      <c r="BH62" s="179"/>
      <c r="BI62" s="179"/>
      <c r="BJ62" s="179"/>
      <c r="BK62" s="179"/>
      <c r="BL62" s="179"/>
    </row>
    <row r="63" spans="1:64" ht="12.75" hidden="1" customHeight="1" x14ac:dyDescent="0.2">
      <c r="A63" s="346"/>
      <c r="B63" s="346"/>
      <c r="C63" s="346"/>
      <c r="D63" s="346"/>
      <c r="E63" s="202"/>
      <c r="F63" s="202"/>
      <c r="G63" s="202"/>
      <c r="H63" s="202"/>
      <c r="I63" s="202"/>
      <c r="J63" s="202"/>
      <c r="K63" s="202"/>
      <c r="L63" s="202"/>
      <c r="M63" s="202"/>
      <c r="N63" s="202"/>
      <c r="O63" s="202"/>
      <c r="P63" s="202"/>
      <c r="Q63" s="180"/>
      <c r="R63" s="180"/>
      <c r="S63" s="180"/>
      <c r="T63" s="180"/>
      <c r="U63" s="180"/>
      <c r="V63" s="180"/>
      <c r="W63" s="180"/>
      <c r="X63" s="180"/>
      <c r="Y63" s="180"/>
      <c r="Z63" s="180"/>
      <c r="AA63" s="180"/>
      <c r="AB63" s="180"/>
      <c r="AC63" s="180"/>
      <c r="AD63" s="181">
        <f t="shared" si="33"/>
        <v>0</v>
      </c>
      <c r="AE63" s="182">
        <f>'1. SB ABA DE CARREGAMENTO'!$B$90</f>
        <v>24</v>
      </c>
      <c r="AF63" s="347"/>
      <c r="AG63" s="183">
        <f t="shared" si="58"/>
        <v>0</v>
      </c>
      <c r="AH63" s="183">
        <f t="shared" si="59"/>
        <v>0</v>
      </c>
      <c r="AI63" s="183">
        <f t="shared" si="60"/>
        <v>0</v>
      </c>
      <c r="AJ63" s="183">
        <f t="shared" si="61"/>
        <v>0</v>
      </c>
      <c r="AK63" s="183">
        <f t="shared" si="62"/>
        <v>0</v>
      </c>
      <c r="AL63" s="183">
        <f t="shared" si="34"/>
        <v>0</v>
      </c>
      <c r="AM63" s="183">
        <f t="shared" si="35"/>
        <v>0</v>
      </c>
      <c r="AN63" s="183">
        <f t="shared" si="63"/>
        <v>0</v>
      </c>
      <c r="AO63" s="183">
        <f t="shared" si="64"/>
        <v>0</v>
      </c>
      <c r="AP63" s="183">
        <f t="shared" si="36"/>
        <v>0</v>
      </c>
      <c r="AQ63" s="183">
        <f t="shared" si="37"/>
        <v>0</v>
      </c>
      <c r="AR63" s="183">
        <f t="shared" si="65"/>
        <v>0</v>
      </c>
      <c r="AS63" s="183">
        <f t="shared" si="66"/>
        <v>0</v>
      </c>
      <c r="AT63" s="183">
        <f t="shared" si="67"/>
        <v>0</v>
      </c>
      <c r="AU63" s="183">
        <f t="shared" si="68"/>
        <v>0</v>
      </c>
      <c r="AV63" s="183">
        <f t="shared" si="69"/>
        <v>0</v>
      </c>
      <c r="AW63" s="183">
        <f t="shared" si="70"/>
        <v>0</v>
      </c>
      <c r="AX63" s="183">
        <f t="shared" si="71"/>
        <v>0</v>
      </c>
      <c r="AY63" s="183">
        <f t="shared" si="72"/>
        <v>0</v>
      </c>
      <c r="AZ63" s="183">
        <f t="shared" si="73"/>
        <v>0</v>
      </c>
      <c r="BA63" s="183">
        <f t="shared" si="74"/>
        <v>0</v>
      </c>
      <c r="BB63" s="183">
        <f t="shared" si="75"/>
        <v>0</v>
      </c>
      <c r="BC63" s="183">
        <f t="shared" si="76"/>
        <v>0</v>
      </c>
      <c r="BD63" s="183">
        <f>(AB63*AD63)/AE63</f>
        <v>0</v>
      </c>
      <c r="BE63" s="179"/>
      <c r="BF63" s="179"/>
      <c r="BG63" s="179"/>
      <c r="BH63" s="179"/>
      <c r="BI63" s="179"/>
      <c r="BJ63" s="179"/>
      <c r="BK63" s="179"/>
      <c r="BL63" s="179"/>
    </row>
    <row r="64" spans="1:64" ht="38.25" hidden="1" customHeight="1" x14ac:dyDescent="0.2">
      <c r="A64" s="346"/>
      <c r="B64" s="346"/>
      <c r="C64" s="346"/>
      <c r="D64" s="346"/>
      <c r="E64" s="202"/>
      <c r="F64" s="202"/>
      <c r="G64" s="202"/>
      <c r="H64" s="202"/>
      <c r="I64" s="202"/>
      <c r="J64" s="202"/>
      <c r="K64" s="202"/>
      <c r="L64" s="202"/>
      <c r="M64" s="202"/>
      <c r="N64" s="202"/>
      <c r="O64" s="202"/>
      <c r="P64" s="202"/>
      <c r="Q64" s="180"/>
      <c r="R64" s="180"/>
      <c r="S64" s="180"/>
      <c r="T64" s="180"/>
      <c r="U64" s="180"/>
      <c r="V64" s="180"/>
      <c r="W64" s="180"/>
      <c r="X64" s="180"/>
      <c r="Y64" s="180"/>
      <c r="Z64" s="180"/>
      <c r="AA64" s="180"/>
      <c r="AB64" s="180"/>
      <c r="AC64" s="180"/>
      <c r="AD64" s="181">
        <f t="shared" si="33"/>
        <v>0</v>
      </c>
      <c r="AE64" s="182">
        <f>'1. SB ABA DE CARREGAMENTO'!$B$90</f>
        <v>24</v>
      </c>
      <c r="AF64" s="347"/>
      <c r="AG64" s="183">
        <f t="shared" si="58"/>
        <v>0</v>
      </c>
      <c r="AH64" s="183">
        <f t="shared" si="59"/>
        <v>0</v>
      </c>
      <c r="AI64" s="183">
        <f t="shared" si="60"/>
        <v>0</v>
      </c>
      <c r="AJ64" s="183">
        <f t="shared" si="61"/>
        <v>0</v>
      </c>
      <c r="AK64" s="183">
        <f t="shared" si="62"/>
        <v>0</v>
      </c>
      <c r="AL64" s="183">
        <f t="shared" si="34"/>
        <v>0</v>
      </c>
      <c r="AM64" s="183">
        <f t="shared" si="35"/>
        <v>0</v>
      </c>
      <c r="AN64" s="183">
        <f t="shared" si="63"/>
        <v>0</v>
      </c>
      <c r="AO64" s="183">
        <f t="shared" si="64"/>
        <v>0</v>
      </c>
      <c r="AP64" s="183">
        <f t="shared" si="36"/>
        <v>0</v>
      </c>
      <c r="AQ64" s="183">
        <f t="shared" si="37"/>
        <v>0</v>
      </c>
      <c r="AR64" s="183">
        <f t="shared" si="65"/>
        <v>0</v>
      </c>
      <c r="AS64" s="183">
        <f t="shared" si="66"/>
        <v>0</v>
      </c>
      <c r="AT64" s="183">
        <f t="shared" si="67"/>
        <v>0</v>
      </c>
      <c r="AU64" s="183">
        <f t="shared" si="68"/>
        <v>0</v>
      </c>
      <c r="AV64" s="183">
        <f t="shared" si="69"/>
        <v>0</v>
      </c>
      <c r="AW64" s="183">
        <f t="shared" si="70"/>
        <v>0</v>
      </c>
      <c r="AX64" s="183">
        <f t="shared" si="71"/>
        <v>0</v>
      </c>
      <c r="AY64" s="183">
        <f t="shared" si="72"/>
        <v>0</v>
      </c>
      <c r="AZ64" s="183">
        <f t="shared" si="73"/>
        <v>0</v>
      </c>
      <c r="BA64" s="183">
        <f t="shared" si="74"/>
        <v>0</v>
      </c>
      <c r="BB64" s="183">
        <f t="shared" si="75"/>
        <v>0</v>
      </c>
      <c r="BC64" s="183">
        <f t="shared" si="76"/>
        <v>0</v>
      </c>
      <c r="BD64" s="183">
        <f>(AB64*AD64)/AE64</f>
        <v>0</v>
      </c>
      <c r="BE64" s="179"/>
      <c r="BF64" s="179"/>
      <c r="BG64" s="179"/>
      <c r="BH64" s="179"/>
      <c r="BI64" s="179"/>
      <c r="BJ64" s="179"/>
      <c r="BK64" s="179"/>
      <c r="BL64" s="179"/>
    </row>
    <row r="65" spans="1:64" ht="12.75" hidden="1" customHeight="1" x14ac:dyDescent="0.2">
      <c r="A65" s="346"/>
      <c r="B65" s="346"/>
      <c r="C65" s="346"/>
      <c r="D65" s="346"/>
      <c r="E65" s="202"/>
      <c r="F65" s="202"/>
      <c r="G65" s="202"/>
      <c r="H65" s="202"/>
      <c r="I65" s="202"/>
      <c r="J65" s="202"/>
      <c r="K65" s="202"/>
      <c r="L65" s="202"/>
      <c r="M65" s="202"/>
      <c r="N65" s="202"/>
      <c r="O65" s="202"/>
      <c r="P65" s="202"/>
      <c r="Q65" s="180"/>
      <c r="R65" s="180"/>
      <c r="S65" s="180"/>
      <c r="T65" s="180"/>
      <c r="U65" s="180">
        <v>0</v>
      </c>
      <c r="V65" s="180"/>
      <c r="W65" s="180"/>
      <c r="X65" s="180"/>
      <c r="Y65" s="180"/>
      <c r="Z65" s="180"/>
      <c r="AA65" s="180"/>
      <c r="AB65" s="180"/>
      <c r="AC65" s="180"/>
      <c r="AD65" s="181">
        <f t="shared" si="33"/>
        <v>0</v>
      </c>
      <c r="AE65" s="182">
        <f>'1. SB ABA DE CARREGAMENTO'!$B$90</f>
        <v>24</v>
      </c>
      <c r="AF65" s="347"/>
      <c r="AG65" s="183">
        <f t="shared" si="58"/>
        <v>0</v>
      </c>
      <c r="AH65" s="183">
        <f t="shared" si="59"/>
        <v>0</v>
      </c>
      <c r="AI65" s="183">
        <f t="shared" si="60"/>
        <v>0</v>
      </c>
      <c r="AJ65" s="183">
        <f t="shared" si="61"/>
        <v>0</v>
      </c>
      <c r="AK65" s="183">
        <f t="shared" si="62"/>
        <v>0</v>
      </c>
      <c r="AL65" s="183">
        <f t="shared" si="34"/>
        <v>0</v>
      </c>
      <c r="AM65" s="183">
        <f t="shared" si="35"/>
        <v>0</v>
      </c>
      <c r="AN65" s="183">
        <f t="shared" si="63"/>
        <v>0</v>
      </c>
      <c r="AO65" s="183">
        <f t="shared" si="64"/>
        <v>0</v>
      </c>
      <c r="AP65" s="183">
        <f t="shared" si="36"/>
        <v>0</v>
      </c>
      <c r="AQ65" s="183">
        <f t="shared" si="37"/>
        <v>0</v>
      </c>
      <c r="AR65" s="183">
        <f t="shared" si="65"/>
        <v>0</v>
      </c>
      <c r="AS65" s="183">
        <f t="shared" si="66"/>
        <v>0</v>
      </c>
      <c r="AT65" s="183">
        <f t="shared" si="67"/>
        <v>0</v>
      </c>
      <c r="AU65" s="183">
        <f t="shared" si="68"/>
        <v>0</v>
      </c>
      <c r="AV65" s="183">
        <f t="shared" si="69"/>
        <v>0</v>
      </c>
      <c r="AW65" s="183">
        <f t="shared" si="70"/>
        <v>0</v>
      </c>
      <c r="AX65" s="183">
        <f t="shared" si="71"/>
        <v>0</v>
      </c>
      <c r="AY65" s="183">
        <f t="shared" si="72"/>
        <v>0</v>
      </c>
      <c r="AZ65" s="183">
        <f t="shared" si="73"/>
        <v>0</v>
      </c>
      <c r="BA65" s="183">
        <f t="shared" si="74"/>
        <v>0</v>
      </c>
      <c r="BB65" s="183">
        <f t="shared" si="75"/>
        <v>0</v>
      </c>
      <c r="BC65" s="183">
        <f t="shared" si="76"/>
        <v>0</v>
      </c>
      <c r="BD65" s="183">
        <f>(AB65*AD65)/AE65</f>
        <v>0</v>
      </c>
      <c r="BE65" s="179"/>
      <c r="BF65" s="179"/>
      <c r="BG65" s="179"/>
      <c r="BH65" s="179"/>
      <c r="BI65" s="179"/>
      <c r="BJ65" s="179"/>
      <c r="BK65" s="179"/>
      <c r="BL65" s="179"/>
    </row>
    <row r="66" spans="1:64" ht="12.75" hidden="1" customHeight="1" x14ac:dyDescent="0.2">
      <c r="A66" s="346"/>
      <c r="B66" s="346"/>
      <c r="C66" s="346"/>
      <c r="D66" s="346"/>
      <c r="E66" s="202"/>
      <c r="F66" s="202"/>
      <c r="G66" s="202"/>
      <c r="H66" s="202"/>
      <c r="I66" s="202"/>
      <c r="J66" s="202"/>
      <c r="K66" s="202"/>
      <c r="L66" s="202"/>
      <c r="M66" s="202"/>
      <c r="N66" s="202"/>
      <c r="O66" s="202"/>
      <c r="P66" s="202"/>
      <c r="Q66" s="180"/>
      <c r="R66" s="180"/>
      <c r="S66" s="180"/>
      <c r="T66" s="180"/>
      <c r="U66" s="180"/>
      <c r="V66" s="180"/>
      <c r="W66" s="180"/>
      <c r="X66" s="180"/>
      <c r="Y66" s="180"/>
      <c r="Z66" s="180"/>
      <c r="AA66" s="180"/>
      <c r="AB66" s="180"/>
      <c r="AC66" s="180"/>
      <c r="AD66" s="181">
        <f t="shared" si="33"/>
        <v>0</v>
      </c>
      <c r="AE66" s="182">
        <f>'1. SB ABA DE CARREGAMENTO'!$B$90</f>
        <v>24</v>
      </c>
      <c r="AF66" s="347"/>
      <c r="AG66" s="183">
        <f t="shared" si="58"/>
        <v>0</v>
      </c>
      <c r="AH66" s="183">
        <f t="shared" si="59"/>
        <v>0</v>
      </c>
      <c r="AI66" s="183">
        <f t="shared" si="60"/>
        <v>0</v>
      </c>
      <c r="AJ66" s="183">
        <f t="shared" si="61"/>
        <v>0</v>
      </c>
      <c r="AK66" s="183">
        <f t="shared" si="62"/>
        <v>0</v>
      </c>
      <c r="AL66" s="183">
        <f t="shared" si="34"/>
        <v>0</v>
      </c>
      <c r="AM66" s="183">
        <f t="shared" si="35"/>
        <v>0</v>
      </c>
      <c r="AN66" s="183">
        <f t="shared" si="63"/>
        <v>0</v>
      </c>
      <c r="AO66" s="183">
        <f t="shared" si="64"/>
        <v>0</v>
      </c>
      <c r="AP66" s="183">
        <f t="shared" si="36"/>
        <v>0</v>
      </c>
      <c r="AQ66" s="183">
        <f t="shared" si="37"/>
        <v>0</v>
      </c>
      <c r="AR66" s="183">
        <f t="shared" si="65"/>
        <v>0</v>
      </c>
      <c r="AS66" s="183">
        <f t="shared" si="66"/>
        <v>0</v>
      </c>
      <c r="AT66" s="183">
        <f t="shared" si="67"/>
        <v>0</v>
      </c>
      <c r="AU66" s="183">
        <f t="shared" si="68"/>
        <v>0</v>
      </c>
      <c r="AV66" s="183">
        <f t="shared" si="69"/>
        <v>0</v>
      </c>
      <c r="AW66" s="183">
        <f t="shared" si="70"/>
        <v>0</v>
      </c>
      <c r="AX66" s="183">
        <f t="shared" si="71"/>
        <v>0</v>
      </c>
      <c r="AY66" s="183">
        <f t="shared" si="72"/>
        <v>0</v>
      </c>
      <c r="AZ66" s="183">
        <f t="shared" si="73"/>
        <v>0</v>
      </c>
      <c r="BA66" s="183">
        <f t="shared" si="74"/>
        <v>0</v>
      </c>
      <c r="BB66" s="183">
        <f t="shared" si="75"/>
        <v>0</v>
      </c>
      <c r="BC66" s="183">
        <f t="shared" si="76"/>
        <v>0</v>
      </c>
      <c r="BD66" s="183"/>
      <c r="BE66" s="179"/>
      <c r="BF66" s="179"/>
      <c r="BG66" s="179"/>
      <c r="BH66" s="179"/>
      <c r="BI66" s="179"/>
      <c r="BJ66" s="179"/>
      <c r="BK66" s="179"/>
      <c r="BL66" s="179"/>
    </row>
    <row r="67" spans="1:64" ht="12.75" hidden="1" customHeight="1" x14ac:dyDescent="0.2">
      <c r="A67" s="346"/>
      <c r="B67" s="346"/>
      <c r="C67" s="346"/>
      <c r="D67" s="346"/>
      <c r="E67" s="202"/>
      <c r="F67" s="202"/>
      <c r="G67" s="202"/>
      <c r="H67" s="202"/>
      <c r="I67" s="202"/>
      <c r="J67" s="202"/>
      <c r="K67" s="202"/>
      <c r="L67" s="202"/>
      <c r="M67" s="202"/>
      <c r="N67" s="202"/>
      <c r="O67" s="202"/>
      <c r="P67" s="202"/>
      <c r="Q67" s="180"/>
      <c r="R67" s="180"/>
      <c r="S67" s="180"/>
      <c r="T67" s="180"/>
      <c r="U67" s="180"/>
      <c r="V67" s="180"/>
      <c r="W67" s="180"/>
      <c r="X67" s="180"/>
      <c r="Y67" s="180"/>
      <c r="Z67" s="180"/>
      <c r="AA67" s="180"/>
      <c r="AB67" s="180"/>
      <c r="AC67" s="180"/>
      <c r="AD67" s="181">
        <f t="shared" si="33"/>
        <v>0</v>
      </c>
      <c r="AE67" s="182">
        <f>'1. SB ABA DE CARREGAMENTO'!$B$90</f>
        <v>24</v>
      </c>
      <c r="AF67" s="347"/>
      <c r="AG67" s="183">
        <f t="shared" si="58"/>
        <v>0</v>
      </c>
      <c r="AH67" s="183">
        <f t="shared" si="59"/>
        <v>0</v>
      </c>
      <c r="AI67" s="183">
        <f t="shared" si="60"/>
        <v>0</v>
      </c>
      <c r="AJ67" s="183">
        <f t="shared" si="61"/>
        <v>0</v>
      </c>
      <c r="AK67" s="183">
        <f t="shared" si="62"/>
        <v>0</v>
      </c>
      <c r="AL67" s="183">
        <f t="shared" si="34"/>
        <v>0</v>
      </c>
      <c r="AM67" s="183">
        <f t="shared" si="35"/>
        <v>0</v>
      </c>
      <c r="AN67" s="183">
        <f t="shared" si="63"/>
        <v>0</v>
      </c>
      <c r="AO67" s="183">
        <f t="shared" si="64"/>
        <v>0</v>
      </c>
      <c r="AP67" s="183">
        <f t="shared" si="36"/>
        <v>0</v>
      </c>
      <c r="AQ67" s="183">
        <f t="shared" si="37"/>
        <v>0</v>
      </c>
      <c r="AR67" s="183">
        <f t="shared" si="65"/>
        <v>0</v>
      </c>
      <c r="AS67" s="183">
        <f t="shared" si="66"/>
        <v>0</v>
      </c>
      <c r="AT67" s="183">
        <f t="shared" si="67"/>
        <v>0</v>
      </c>
      <c r="AU67" s="183">
        <f t="shared" si="68"/>
        <v>0</v>
      </c>
      <c r="AV67" s="183">
        <f t="shared" si="69"/>
        <v>0</v>
      </c>
      <c r="AW67" s="183">
        <f t="shared" si="70"/>
        <v>0</v>
      </c>
      <c r="AX67" s="183">
        <f t="shared" si="71"/>
        <v>0</v>
      </c>
      <c r="AY67" s="183">
        <f t="shared" si="72"/>
        <v>0</v>
      </c>
      <c r="AZ67" s="183">
        <f t="shared" si="73"/>
        <v>0</v>
      </c>
      <c r="BA67" s="183">
        <f t="shared" si="74"/>
        <v>0</v>
      </c>
      <c r="BB67" s="183">
        <f t="shared" si="75"/>
        <v>0</v>
      </c>
      <c r="BC67" s="183">
        <f t="shared" si="76"/>
        <v>0</v>
      </c>
      <c r="BD67" s="183">
        <f t="shared" ref="BD67:BD77" si="77">(AB67*AD67)/AE67</f>
        <v>0</v>
      </c>
      <c r="BE67" s="179"/>
      <c r="BF67" s="179"/>
      <c r="BG67" s="179"/>
      <c r="BH67" s="179"/>
      <c r="BI67" s="179"/>
      <c r="BJ67" s="179"/>
      <c r="BK67" s="179"/>
      <c r="BL67" s="179"/>
    </row>
    <row r="68" spans="1:64" ht="12.75" hidden="1" customHeight="1" x14ac:dyDescent="0.2">
      <c r="A68" s="346"/>
      <c r="B68" s="346"/>
      <c r="C68" s="346"/>
      <c r="D68" s="346"/>
      <c r="E68" s="202"/>
      <c r="F68" s="202"/>
      <c r="G68" s="202"/>
      <c r="H68" s="202"/>
      <c r="I68" s="202"/>
      <c r="J68" s="202"/>
      <c r="K68" s="202"/>
      <c r="L68" s="202"/>
      <c r="M68" s="202"/>
      <c r="N68" s="202"/>
      <c r="O68" s="202"/>
      <c r="P68" s="202"/>
      <c r="Q68" s="180"/>
      <c r="R68" s="180"/>
      <c r="S68" s="180"/>
      <c r="T68" s="180"/>
      <c r="U68" s="180"/>
      <c r="V68" s="180"/>
      <c r="W68" s="180"/>
      <c r="X68" s="180"/>
      <c r="Y68" s="180"/>
      <c r="Z68" s="180"/>
      <c r="AA68" s="180"/>
      <c r="AB68" s="180"/>
      <c r="AC68" s="180"/>
      <c r="AD68" s="181">
        <f t="shared" ref="AD68:AD80" si="78">IF(AC68="DIÁRIA",AE68,IF(AC68="2xDIA",(AE68*2),IF(AC68="3xDIA",(AE68*3),IF(AC68="4xDIA",(AE68*4),IF(AC68="5xDIA",(AE68*5),IF(AC68="6xDIA",(AE68*6),IF(AC68="SEMANAL",4.33,IF(AC68="2xSEMANA",8,IF(AC68="3xSEMANA",12,IF(AC68="QUINZENAL",2,IF(AC68="MENSAL",1,IF(AC68="BIMESTRAL",0.5,IF(AC68="TRIMESTRAL",0.33,IF(AC68="SEMESTRAL",0.17,0))))))))))))))</f>
        <v>0</v>
      </c>
      <c r="AE68" s="182">
        <f>'1. SB ABA DE CARREGAMENTO'!$B$90</f>
        <v>24</v>
      </c>
      <c r="AF68" s="347"/>
      <c r="AG68" s="183">
        <f t="shared" si="58"/>
        <v>0</v>
      </c>
      <c r="AH68" s="183">
        <f t="shared" si="59"/>
        <v>0</v>
      </c>
      <c r="AI68" s="183">
        <f t="shared" si="60"/>
        <v>0</v>
      </c>
      <c r="AJ68" s="183">
        <f t="shared" si="61"/>
        <v>0</v>
      </c>
      <c r="AK68" s="183">
        <f t="shared" si="62"/>
        <v>0</v>
      </c>
      <c r="AL68" s="183">
        <f t="shared" ref="AL68:AL80" si="79">(J68*AD68)/AE68</f>
        <v>0</v>
      </c>
      <c r="AM68" s="183">
        <f t="shared" ref="AM68:AM80" si="80">(K68*AD68)/AE68</f>
        <v>0</v>
      </c>
      <c r="AN68" s="183">
        <f t="shared" si="63"/>
        <v>0</v>
      </c>
      <c r="AO68" s="183">
        <f t="shared" si="64"/>
        <v>0</v>
      </c>
      <c r="AP68" s="183">
        <f t="shared" ref="AP68:AP80" si="81">(N68*AD68)/AE68</f>
        <v>0</v>
      </c>
      <c r="AQ68" s="183">
        <f t="shared" ref="AQ68:AQ80" si="82">(O68*AD68)/AE68</f>
        <v>0</v>
      </c>
      <c r="AR68" s="183">
        <f t="shared" si="65"/>
        <v>0</v>
      </c>
      <c r="AS68" s="183">
        <f t="shared" si="66"/>
        <v>0</v>
      </c>
      <c r="AT68" s="183">
        <f t="shared" si="67"/>
        <v>0</v>
      </c>
      <c r="AU68" s="183">
        <f t="shared" si="68"/>
        <v>0</v>
      </c>
      <c r="AV68" s="183">
        <f t="shared" si="69"/>
        <v>0</v>
      </c>
      <c r="AW68" s="183">
        <f t="shared" si="70"/>
        <v>0</v>
      </c>
      <c r="AX68" s="183">
        <f t="shared" si="71"/>
        <v>0</v>
      </c>
      <c r="AY68" s="183">
        <f t="shared" si="72"/>
        <v>0</v>
      </c>
      <c r="AZ68" s="183">
        <f t="shared" si="73"/>
        <v>0</v>
      </c>
      <c r="BA68" s="183">
        <f t="shared" si="74"/>
        <v>0</v>
      </c>
      <c r="BB68" s="183">
        <f t="shared" si="75"/>
        <v>0</v>
      </c>
      <c r="BC68" s="183">
        <f t="shared" si="76"/>
        <v>0</v>
      </c>
      <c r="BD68" s="183">
        <f t="shared" si="77"/>
        <v>0</v>
      </c>
      <c r="BE68" s="179"/>
      <c r="BF68" s="179"/>
      <c r="BG68" s="179"/>
      <c r="BH68" s="179"/>
      <c r="BI68" s="179"/>
      <c r="BJ68" s="179"/>
      <c r="BK68" s="179"/>
      <c r="BL68" s="179"/>
    </row>
    <row r="69" spans="1:64" ht="12.75" hidden="1" customHeight="1" x14ac:dyDescent="0.2">
      <c r="A69" s="346"/>
      <c r="B69" s="346"/>
      <c r="C69" s="346"/>
      <c r="D69" s="346"/>
      <c r="E69" s="202"/>
      <c r="F69" s="202"/>
      <c r="G69" s="202"/>
      <c r="H69" s="202"/>
      <c r="I69" s="202"/>
      <c r="J69" s="202"/>
      <c r="K69" s="202"/>
      <c r="L69" s="202"/>
      <c r="M69" s="202"/>
      <c r="N69" s="202"/>
      <c r="O69" s="202"/>
      <c r="P69" s="202"/>
      <c r="Q69" s="180"/>
      <c r="R69" s="180"/>
      <c r="S69" s="180"/>
      <c r="T69" s="180"/>
      <c r="U69" s="180"/>
      <c r="V69" s="180"/>
      <c r="W69" s="180"/>
      <c r="X69" s="180"/>
      <c r="Y69" s="180"/>
      <c r="Z69" s="180"/>
      <c r="AA69" s="180"/>
      <c r="AB69" s="180"/>
      <c r="AC69" s="180"/>
      <c r="AD69" s="181">
        <f t="shared" si="78"/>
        <v>0</v>
      </c>
      <c r="AE69" s="182">
        <f>'1. SB ABA DE CARREGAMENTO'!$B$90</f>
        <v>24</v>
      </c>
      <c r="AF69" s="347"/>
      <c r="AG69" s="183">
        <f t="shared" si="58"/>
        <v>0</v>
      </c>
      <c r="AH69" s="183">
        <f t="shared" si="59"/>
        <v>0</v>
      </c>
      <c r="AI69" s="183">
        <f t="shared" si="60"/>
        <v>0</v>
      </c>
      <c r="AJ69" s="183">
        <f t="shared" si="61"/>
        <v>0</v>
      </c>
      <c r="AK69" s="183">
        <f t="shared" si="62"/>
        <v>0</v>
      </c>
      <c r="AL69" s="183">
        <f t="shared" si="79"/>
        <v>0</v>
      </c>
      <c r="AM69" s="183">
        <f t="shared" si="80"/>
        <v>0</v>
      </c>
      <c r="AN69" s="183">
        <f t="shared" si="63"/>
        <v>0</v>
      </c>
      <c r="AO69" s="183">
        <f t="shared" si="64"/>
        <v>0</v>
      </c>
      <c r="AP69" s="183">
        <f t="shared" si="81"/>
        <v>0</v>
      </c>
      <c r="AQ69" s="183">
        <f t="shared" si="82"/>
        <v>0</v>
      </c>
      <c r="AR69" s="183">
        <f t="shared" si="65"/>
        <v>0</v>
      </c>
      <c r="AS69" s="183">
        <f t="shared" si="66"/>
        <v>0</v>
      </c>
      <c r="AT69" s="183">
        <f t="shared" si="67"/>
        <v>0</v>
      </c>
      <c r="AU69" s="183">
        <f t="shared" si="68"/>
        <v>0</v>
      </c>
      <c r="AV69" s="183">
        <f t="shared" si="69"/>
        <v>0</v>
      </c>
      <c r="AW69" s="183">
        <f t="shared" si="70"/>
        <v>0</v>
      </c>
      <c r="AX69" s="183">
        <f t="shared" si="71"/>
        <v>0</v>
      </c>
      <c r="AY69" s="183">
        <f t="shared" si="72"/>
        <v>0</v>
      </c>
      <c r="AZ69" s="183">
        <f t="shared" si="73"/>
        <v>0</v>
      </c>
      <c r="BA69" s="183">
        <f t="shared" si="74"/>
        <v>0</v>
      </c>
      <c r="BB69" s="183">
        <f t="shared" si="75"/>
        <v>0</v>
      </c>
      <c r="BC69" s="183">
        <f t="shared" si="76"/>
        <v>0</v>
      </c>
      <c r="BD69" s="183">
        <f t="shared" si="77"/>
        <v>0</v>
      </c>
      <c r="BE69" s="179"/>
      <c r="BF69" s="179"/>
      <c r="BG69" s="179"/>
      <c r="BH69" s="179"/>
      <c r="BI69" s="179"/>
      <c r="BJ69" s="179"/>
      <c r="BK69" s="179"/>
      <c r="BL69" s="179"/>
    </row>
    <row r="70" spans="1:64" x14ac:dyDescent="0.2">
      <c r="A70" s="346">
        <v>8</v>
      </c>
      <c r="B70" s="345" t="s">
        <v>648</v>
      </c>
      <c r="C70" s="180" t="s">
        <v>647</v>
      </c>
      <c r="D70" s="347">
        <f>SUM(E70:AB80)</f>
        <v>1718.1599999999999</v>
      </c>
      <c r="E70" s="180"/>
      <c r="F70" s="180">
        <v>19.36</v>
      </c>
      <c r="G70" s="180"/>
      <c r="H70" s="180"/>
      <c r="I70" s="180"/>
      <c r="J70" s="180"/>
      <c r="K70" s="180"/>
      <c r="L70" s="180"/>
      <c r="M70" s="180"/>
      <c r="N70" s="180"/>
      <c r="O70" s="180"/>
      <c r="P70" s="180"/>
      <c r="Q70" s="180"/>
      <c r="R70" s="180"/>
      <c r="S70" s="180"/>
      <c r="T70" s="180"/>
      <c r="U70" s="180">
        <v>0</v>
      </c>
      <c r="V70" s="180"/>
      <c r="W70" s="180"/>
      <c r="X70" s="180"/>
      <c r="Y70" s="180"/>
      <c r="Z70" s="180"/>
      <c r="AA70" s="180"/>
      <c r="AB70" s="180"/>
      <c r="AC70" s="180" t="s">
        <v>261</v>
      </c>
      <c r="AD70" s="181">
        <f t="shared" si="78"/>
        <v>24</v>
      </c>
      <c r="AE70" s="182">
        <f>'1. SB ABA DE CARREGAMENTO'!$B$90</f>
        <v>24</v>
      </c>
      <c r="AF70" s="347">
        <f>SUM(AG70:BD80)</f>
        <v>2320.6809750000002</v>
      </c>
      <c r="AG70" s="183">
        <f t="shared" si="58"/>
        <v>0</v>
      </c>
      <c r="AH70" s="183">
        <f t="shared" si="59"/>
        <v>19.36</v>
      </c>
      <c r="AI70" s="183">
        <f t="shared" si="60"/>
        <v>0</v>
      </c>
      <c r="AJ70" s="183">
        <f t="shared" si="61"/>
        <v>0</v>
      </c>
      <c r="AK70" s="183">
        <f t="shared" si="62"/>
        <v>0</v>
      </c>
      <c r="AL70" s="183">
        <f t="shared" si="79"/>
        <v>0</v>
      </c>
      <c r="AM70" s="183">
        <f t="shared" si="80"/>
        <v>0</v>
      </c>
      <c r="AN70" s="183">
        <f t="shared" si="63"/>
        <v>0</v>
      </c>
      <c r="AO70" s="183">
        <f t="shared" si="64"/>
        <v>0</v>
      </c>
      <c r="AP70" s="183">
        <f t="shared" si="81"/>
        <v>0</v>
      </c>
      <c r="AQ70" s="183">
        <f t="shared" si="82"/>
        <v>0</v>
      </c>
      <c r="AR70" s="183">
        <f t="shared" si="65"/>
        <v>0</v>
      </c>
      <c r="AS70" s="183">
        <f t="shared" si="66"/>
        <v>0</v>
      </c>
      <c r="AT70" s="183">
        <f t="shared" si="67"/>
        <v>0</v>
      </c>
      <c r="AU70" s="183">
        <f t="shared" si="68"/>
        <v>0</v>
      </c>
      <c r="AV70" s="183">
        <f t="shared" si="69"/>
        <v>0</v>
      </c>
      <c r="AW70" s="183">
        <f t="shared" si="70"/>
        <v>0</v>
      </c>
      <c r="AX70" s="183">
        <f t="shared" si="71"/>
        <v>0</v>
      </c>
      <c r="AY70" s="183">
        <f t="shared" si="72"/>
        <v>0</v>
      </c>
      <c r="AZ70" s="183">
        <f t="shared" si="73"/>
        <v>0</v>
      </c>
      <c r="BA70" s="183">
        <f t="shared" si="74"/>
        <v>0</v>
      </c>
      <c r="BB70" s="183">
        <f t="shared" ref="BB70:BB80" si="83">(Z70*AD70)/AE70</f>
        <v>0</v>
      </c>
      <c r="BC70" s="183">
        <f t="shared" ref="BC70:BC80" si="84">(AA70*AD70)/AE70</f>
        <v>0</v>
      </c>
      <c r="BD70" s="183">
        <f t="shared" si="77"/>
        <v>0</v>
      </c>
      <c r="BE70" s="179"/>
      <c r="BF70" s="179"/>
      <c r="BG70" s="179"/>
      <c r="BH70" s="179"/>
      <c r="BI70" s="179"/>
      <c r="BJ70" s="179"/>
      <c r="BK70" s="179"/>
      <c r="BL70" s="179"/>
    </row>
    <row r="71" spans="1:64" x14ac:dyDescent="0.2">
      <c r="A71" s="346"/>
      <c r="B71" s="345"/>
      <c r="C71" s="180" t="s">
        <v>284</v>
      </c>
      <c r="D71" s="347"/>
      <c r="E71" s="180">
        <v>608</v>
      </c>
      <c r="F71" s="180"/>
      <c r="G71" s="180"/>
      <c r="H71" s="180"/>
      <c r="I71" s="180"/>
      <c r="J71" s="180"/>
      <c r="K71" s="180"/>
      <c r="L71" s="180"/>
      <c r="M71" s="180"/>
      <c r="N71" s="180"/>
      <c r="O71" s="180"/>
      <c r="P71" s="180"/>
      <c r="Q71" s="180"/>
      <c r="R71" s="180"/>
      <c r="S71" s="180"/>
      <c r="T71" s="180"/>
      <c r="U71" s="180"/>
      <c r="V71" s="180"/>
      <c r="W71" s="180"/>
      <c r="X71" s="180"/>
      <c r="Y71" s="180"/>
      <c r="Z71" s="180"/>
      <c r="AA71" s="180"/>
      <c r="AB71" s="180"/>
      <c r="AC71" s="180" t="s">
        <v>261</v>
      </c>
      <c r="AD71" s="181">
        <f t="shared" si="78"/>
        <v>24</v>
      </c>
      <c r="AE71" s="182">
        <f>'1. SB ABA DE CARREGAMENTO'!$B$90</f>
        <v>24</v>
      </c>
      <c r="AF71" s="347"/>
      <c r="AG71" s="183">
        <f t="shared" si="58"/>
        <v>608</v>
      </c>
      <c r="AH71" s="183">
        <f t="shared" si="59"/>
        <v>0</v>
      </c>
      <c r="AI71" s="183">
        <f t="shared" si="60"/>
        <v>0</v>
      </c>
      <c r="AJ71" s="183">
        <f t="shared" si="61"/>
        <v>0</v>
      </c>
      <c r="AK71" s="183">
        <f t="shared" si="62"/>
        <v>0</v>
      </c>
      <c r="AL71" s="183">
        <f t="shared" si="79"/>
        <v>0</v>
      </c>
      <c r="AM71" s="183">
        <f t="shared" si="80"/>
        <v>0</v>
      </c>
      <c r="AN71" s="183">
        <f t="shared" si="63"/>
        <v>0</v>
      </c>
      <c r="AO71" s="183">
        <f t="shared" si="64"/>
        <v>0</v>
      </c>
      <c r="AP71" s="183">
        <f t="shared" si="81"/>
        <v>0</v>
      </c>
      <c r="AQ71" s="183">
        <f t="shared" si="82"/>
        <v>0</v>
      </c>
      <c r="AR71" s="183">
        <f t="shared" si="65"/>
        <v>0</v>
      </c>
      <c r="AS71" s="183">
        <f t="shared" si="66"/>
        <v>0</v>
      </c>
      <c r="AT71" s="183">
        <f t="shared" si="67"/>
        <v>0</v>
      </c>
      <c r="AU71" s="183">
        <f t="shared" si="68"/>
        <v>0</v>
      </c>
      <c r="AV71" s="183">
        <f t="shared" si="69"/>
        <v>0</v>
      </c>
      <c r="AW71" s="183">
        <f t="shared" si="70"/>
        <v>0</v>
      </c>
      <c r="AX71" s="183">
        <f t="shared" si="71"/>
        <v>0</v>
      </c>
      <c r="AY71" s="183">
        <f t="shared" si="72"/>
        <v>0</v>
      </c>
      <c r="AZ71" s="183">
        <f t="shared" si="73"/>
        <v>0</v>
      </c>
      <c r="BA71" s="183">
        <f t="shared" si="74"/>
        <v>0</v>
      </c>
      <c r="BB71" s="183">
        <f t="shared" si="83"/>
        <v>0</v>
      </c>
      <c r="BC71" s="183">
        <f t="shared" si="84"/>
        <v>0</v>
      </c>
      <c r="BD71" s="183">
        <f t="shared" si="77"/>
        <v>0</v>
      </c>
      <c r="BE71" s="179"/>
      <c r="BF71" s="179"/>
      <c r="BG71" s="179"/>
      <c r="BH71" s="179"/>
      <c r="BI71" s="179"/>
      <c r="BJ71" s="179"/>
      <c r="BK71" s="179"/>
      <c r="BL71" s="179"/>
    </row>
    <row r="72" spans="1:64" x14ac:dyDescent="0.2">
      <c r="A72" s="346"/>
      <c r="B72" s="345"/>
      <c r="C72" s="180" t="s">
        <v>285</v>
      </c>
      <c r="D72" s="347"/>
      <c r="E72" s="180"/>
      <c r="F72" s="180"/>
      <c r="G72" s="180"/>
      <c r="H72" s="180"/>
      <c r="I72" s="180"/>
      <c r="J72" s="180"/>
      <c r="K72" s="180"/>
      <c r="L72" s="180"/>
      <c r="M72" s="180">
        <v>260.18</v>
      </c>
      <c r="N72" s="180"/>
      <c r="O72" s="180"/>
      <c r="P72" s="180"/>
      <c r="Q72" s="180"/>
      <c r="R72" s="180"/>
      <c r="S72" s="180"/>
      <c r="T72" s="180"/>
      <c r="U72" s="180"/>
      <c r="V72" s="180"/>
      <c r="W72" s="180"/>
      <c r="X72" s="180"/>
      <c r="Y72" s="180"/>
      <c r="Z72" s="180"/>
      <c r="AA72" s="180"/>
      <c r="AB72" s="180"/>
      <c r="AC72" s="180" t="s">
        <v>266</v>
      </c>
      <c r="AD72" s="181">
        <f t="shared" si="78"/>
        <v>4.33</v>
      </c>
      <c r="AE72" s="182">
        <f>'1. SB ABA DE CARREGAMENTO'!$B$90</f>
        <v>24</v>
      </c>
      <c r="AF72" s="347"/>
      <c r="AG72" s="183">
        <f t="shared" si="58"/>
        <v>0</v>
      </c>
      <c r="AH72" s="183">
        <f t="shared" si="59"/>
        <v>0</v>
      </c>
      <c r="AI72" s="183">
        <f t="shared" si="60"/>
        <v>0</v>
      </c>
      <c r="AJ72" s="183">
        <f t="shared" si="61"/>
        <v>0</v>
      </c>
      <c r="AK72" s="183">
        <f t="shared" si="62"/>
        <v>0</v>
      </c>
      <c r="AL72" s="183">
        <f t="shared" si="79"/>
        <v>0</v>
      </c>
      <c r="AM72" s="183">
        <f t="shared" si="80"/>
        <v>0</v>
      </c>
      <c r="AN72" s="183">
        <f t="shared" si="63"/>
        <v>0</v>
      </c>
      <c r="AO72" s="183">
        <f t="shared" si="64"/>
        <v>46.940808333333337</v>
      </c>
      <c r="AP72" s="183">
        <f t="shared" si="81"/>
        <v>0</v>
      </c>
      <c r="AQ72" s="183">
        <f t="shared" si="82"/>
        <v>0</v>
      </c>
      <c r="AR72" s="183">
        <f t="shared" si="65"/>
        <v>0</v>
      </c>
      <c r="AS72" s="183">
        <f t="shared" si="66"/>
        <v>0</v>
      </c>
      <c r="AT72" s="183">
        <f t="shared" si="67"/>
        <v>0</v>
      </c>
      <c r="AU72" s="183">
        <f t="shared" si="68"/>
        <v>0</v>
      </c>
      <c r="AV72" s="183">
        <f t="shared" si="69"/>
        <v>0</v>
      </c>
      <c r="AW72" s="183">
        <f t="shared" si="70"/>
        <v>0</v>
      </c>
      <c r="AX72" s="183">
        <f t="shared" si="71"/>
        <v>0</v>
      </c>
      <c r="AY72" s="183">
        <f t="shared" si="72"/>
        <v>0</v>
      </c>
      <c r="AZ72" s="183">
        <f t="shared" si="73"/>
        <v>0</v>
      </c>
      <c r="BA72" s="183">
        <f t="shared" si="74"/>
        <v>0</v>
      </c>
      <c r="BB72" s="183">
        <f t="shared" si="83"/>
        <v>0</v>
      </c>
      <c r="BC72" s="183">
        <f t="shared" si="84"/>
        <v>0</v>
      </c>
      <c r="BD72" s="183">
        <f t="shared" si="77"/>
        <v>0</v>
      </c>
      <c r="BE72" s="179"/>
      <c r="BF72" s="179"/>
      <c r="BG72" s="179"/>
      <c r="BH72" s="179"/>
      <c r="BI72" s="179"/>
      <c r="BJ72" s="179"/>
      <c r="BK72" s="179"/>
      <c r="BL72" s="179"/>
    </row>
    <row r="73" spans="1:64" x14ac:dyDescent="0.2">
      <c r="A73" s="346"/>
      <c r="B73" s="345"/>
      <c r="C73" s="180" t="s">
        <v>646</v>
      </c>
      <c r="D73" s="347"/>
      <c r="E73" s="180"/>
      <c r="F73" s="180"/>
      <c r="G73" s="180"/>
      <c r="H73" s="180">
        <v>29.48</v>
      </c>
      <c r="I73" s="180"/>
      <c r="J73" s="180"/>
      <c r="K73" s="180"/>
      <c r="L73" s="180"/>
      <c r="M73" s="180"/>
      <c r="N73" s="180"/>
      <c r="O73" s="180"/>
      <c r="P73" s="180"/>
      <c r="Q73" s="180"/>
      <c r="R73" s="180"/>
      <c r="S73" s="180"/>
      <c r="T73" s="180"/>
      <c r="U73" s="180"/>
      <c r="V73" s="180"/>
      <c r="W73" s="180"/>
      <c r="X73" s="180"/>
      <c r="Y73" s="180"/>
      <c r="Z73" s="180"/>
      <c r="AA73" s="180"/>
      <c r="AB73" s="180"/>
      <c r="AC73" s="180" t="s">
        <v>282</v>
      </c>
      <c r="AD73" s="181">
        <f t="shared" si="78"/>
        <v>2</v>
      </c>
      <c r="AE73" s="182">
        <f>'1. SB ABA DE CARREGAMENTO'!$B$90</f>
        <v>24</v>
      </c>
      <c r="AF73" s="347"/>
      <c r="AG73" s="183">
        <f t="shared" si="58"/>
        <v>0</v>
      </c>
      <c r="AH73" s="183">
        <f t="shared" si="59"/>
        <v>0</v>
      </c>
      <c r="AI73" s="183">
        <f t="shared" si="60"/>
        <v>0</v>
      </c>
      <c r="AJ73" s="183">
        <f t="shared" si="61"/>
        <v>2.4566666666666666</v>
      </c>
      <c r="AK73" s="183">
        <f t="shared" si="62"/>
        <v>0</v>
      </c>
      <c r="AL73" s="183">
        <f t="shared" si="79"/>
        <v>0</v>
      </c>
      <c r="AM73" s="183">
        <f t="shared" si="80"/>
        <v>0</v>
      </c>
      <c r="AN73" s="183">
        <f t="shared" si="63"/>
        <v>0</v>
      </c>
      <c r="AO73" s="183">
        <f t="shared" si="64"/>
        <v>0</v>
      </c>
      <c r="AP73" s="183">
        <f t="shared" si="81"/>
        <v>0</v>
      </c>
      <c r="AQ73" s="183">
        <f t="shared" si="82"/>
        <v>0</v>
      </c>
      <c r="AR73" s="183">
        <f t="shared" si="65"/>
        <v>0</v>
      </c>
      <c r="AS73" s="183">
        <f t="shared" si="66"/>
        <v>0</v>
      </c>
      <c r="AT73" s="183">
        <f t="shared" si="67"/>
        <v>0</v>
      </c>
      <c r="AU73" s="183">
        <f t="shared" si="68"/>
        <v>0</v>
      </c>
      <c r="AV73" s="183">
        <f t="shared" si="69"/>
        <v>0</v>
      </c>
      <c r="AW73" s="183">
        <f t="shared" si="70"/>
        <v>0</v>
      </c>
      <c r="AX73" s="183">
        <f t="shared" si="71"/>
        <v>0</v>
      </c>
      <c r="AY73" s="183">
        <f t="shared" si="72"/>
        <v>0</v>
      </c>
      <c r="AZ73" s="183">
        <f t="shared" si="73"/>
        <v>0</v>
      </c>
      <c r="BA73" s="183">
        <f t="shared" si="74"/>
        <v>0</v>
      </c>
      <c r="BB73" s="183">
        <f t="shared" si="83"/>
        <v>0</v>
      </c>
      <c r="BC73" s="183">
        <f t="shared" si="84"/>
        <v>0</v>
      </c>
      <c r="BD73" s="183">
        <f t="shared" si="77"/>
        <v>0</v>
      </c>
      <c r="BE73" s="179"/>
      <c r="BF73" s="179"/>
      <c r="BG73" s="179"/>
      <c r="BH73" s="179"/>
      <c r="BI73" s="179"/>
      <c r="BJ73" s="179"/>
      <c r="BK73" s="179"/>
      <c r="BL73" s="179"/>
    </row>
    <row r="74" spans="1:64" ht="12.75" customHeight="1" x14ac:dyDescent="0.2">
      <c r="A74" s="346"/>
      <c r="B74" s="345"/>
      <c r="C74" s="180" t="s">
        <v>255</v>
      </c>
      <c r="D74" s="347"/>
      <c r="E74" s="180"/>
      <c r="F74" s="180"/>
      <c r="G74" s="180"/>
      <c r="H74" s="180"/>
      <c r="I74" s="180"/>
      <c r="J74" s="180"/>
      <c r="K74" s="180"/>
      <c r="L74" s="180">
        <v>376.75</v>
      </c>
      <c r="M74" s="180"/>
      <c r="N74" s="180"/>
      <c r="O74" s="180"/>
      <c r="P74" s="180"/>
      <c r="Q74" s="180"/>
      <c r="R74" s="180"/>
      <c r="S74" s="180"/>
      <c r="T74" s="180"/>
      <c r="U74" s="180"/>
      <c r="V74" s="180"/>
      <c r="W74" s="180"/>
      <c r="X74" s="180"/>
      <c r="Y74" s="180"/>
      <c r="Z74" s="180"/>
      <c r="AA74" s="180"/>
      <c r="AB74" s="180"/>
      <c r="AC74" s="180" t="s">
        <v>253</v>
      </c>
      <c r="AD74" s="181">
        <f t="shared" si="78"/>
        <v>72</v>
      </c>
      <c r="AE74" s="182">
        <f>'1. SB ABA DE CARREGAMENTO'!$B$90</f>
        <v>24</v>
      </c>
      <c r="AF74" s="347"/>
      <c r="AG74" s="183">
        <f t="shared" si="58"/>
        <v>0</v>
      </c>
      <c r="AH74" s="183">
        <f t="shared" si="59"/>
        <v>0</v>
      </c>
      <c r="AI74" s="183">
        <f t="shared" si="60"/>
        <v>0</v>
      </c>
      <c r="AJ74" s="183">
        <f t="shared" si="61"/>
        <v>0</v>
      </c>
      <c r="AK74" s="183">
        <f t="shared" si="62"/>
        <v>0</v>
      </c>
      <c r="AL74" s="183">
        <f t="shared" si="79"/>
        <v>0</v>
      </c>
      <c r="AM74" s="183">
        <f t="shared" si="80"/>
        <v>0</v>
      </c>
      <c r="AN74" s="183">
        <f t="shared" si="63"/>
        <v>1130.25</v>
      </c>
      <c r="AO74" s="183">
        <f t="shared" si="64"/>
        <v>0</v>
      </c>
      <c r="AP74" s="183">
        <f t="shared" si="81"/>
        <v>0</v>
      </c>
      <c r="AQ74" s="183">
        <f t="shared" si="82"/>
        <v>0</v>
      </c>
      <c r="AR74" s="183">
        <f t="shared" si="65"/>
        <v>0</v>
      </c>
      <c r="AS74" s="183">
        <f t="shared" si="66"/>
        <v>0</v>
      </c>
      <c r="AT74" s="183">
        <f t="shared" si="67"/>
        <v>0</v>
      </c>
      <c r="AU74" s="183">
        <f t="shared" si="68"/>
        <v>0</v>
      </c>
      <c r="AV74" s="183">
        <f t="shared" si="69"/>
        <v>0</v>
      </c>
      <c r="AW74" s="183">
        <f t="shared" si="70"/>
        <v>0</v>
      </c>
      <c r="AX74" s="183">
        <f t="shared" si="71"/>
        <v>0</v>
      </c>
      <c r="AY74" s="183">
        <f t="shared" si="72"/>
        <v>0</v>
      </c>
      <c r="AZ74" s="183">
        <f t="shared" si="73"/>
        <v>0</v>
      </c>
      <c r="BA74" s="183">
        <f t="shared" si="74"/>
        <v>0</v>
      </c>
      <c r="BB74" s="183">
        <f t="shared" si="83"/>
        <v>0</v>
      </c>
      <c r="BC74" s="183">
        <f t="shared" si="84"/>
        <v>0</v>
      </c>
      <c r="BD74" s="183">
        <f t="shared" si="77"/>
        <v>0</v>
      </c>
      <c r="BE74" s="179"/>
      <c r="BF74" s="179"/>
      <c r="BG74" s="179"/>
      <c r="BH74" s="179"/>
      <c r="BI74" s="179"/>
      <c r="BJ74" s="179"/>
      <c r="BK74" s="179"/>
      <c r="BL74" s="179"/>
    </row>
    <row r="75" spans="1:64" ht="25.5" x14ac:dyDescent="0.2">
      <c r="A75" s="346"/>
      <c r="B75" s="345"/>
      <c r="C75" s="180" t="s">
        <v>275</v>
      </c>
      <c r="D75" s="347"/>
      <c r="E75" s="180"/>
      <c r="F75" s="198"/>
      <c r="G75" s="180"/>
      <c r="H75" s="180"/>
      <c r="I75" s="180"/>
      <c r="J75" s="180"/>
      <c r="K75" s="180"/>
      <c r="L75" s="180"/>
      <c r="M75" s="180">
        <v>155.99</v>
      </c>
      <c r="N75" s="180"/>
      <c r="O75" s="180"/>
      <c r="P75" s="180"/>
      <c r="Q75" s="180"/>
      <c r="R75" s="180"/>
      <c r="S75" s="180"/>
      <c r="T75" s="180"/>
      <c r="U75" s="180"/>
      <c r="V75" s="180"/>
      <c r="W75" s="180"/>
      <c r="X75" s="180"/>
      <c r="Y75" s="180"/>
      <c r="Z75" s="180"/>
      <c r="AA75" s="180"/>
      <c r="AB75" s="180"/>
      <c r="AC75" s="180" t="s">
        <v>261</v>
      </c>
      <c r="AD75" s="181">
        <f t="shared" si="78"/>
        <v>24</v>
      </c>
      <c r="AE75" s="182">
        <f>'1. SB ABA DE CARREGAMENTO'!$B$90</f>
        <v>24</v>
      </c>
      <c r="AF75" s="347"/>
      <c r="AG75" s="183">
        <f t="shared" si="58"/>
        <v>0</v>
      </c>
      <c r="AH75" s="183">
        <f t="shared" si="59"/>
        <v>0</v>
      </c>
      <c r="AI75" s="183">
        <f t="shared" si="60"/>
        <v>0</v>
      </c>
      <c r="AJ75" s="183">
        <f t="shared" si="61"/>
        <v>0</v>
      </c>
      <c r="AK75" s="183">
        <f t="shared" si="62"/>
        <v>0</v>
      </c>
      <c r="AL75" s="183">
        <f t="shared" si="79"/>
        <v>0</v>
      </c>
      <c r="AM75" s="183">
        <f t="shared" si="80"/>
        <v>0</v>
      </c>
      <c r="AN75" s="183">
        <f t="shared" si="63"/>
        <v>0</v>
      </c>
      <c r="AO75" s="183">
        <f t="shared" si="64"/>
        <v>155.99</v>
      </c>
      <c r="AP75" s="183">
        <f t="shared" si="81"/>
        <v>0</v>
      </c>
      <c r="AQ75" s="183">
        <f t="shared" si="82"/>
        <v>0</v>
      </c>
      <c r="AR75" s="183">
        <f t="shared" si="65"/>
        <v>0</v>
      </c>
      <c r="AS75" s="183">
        <f t="shared" si="66"/>
        <v>0</v>
      </c>
      <c r="AT75" s="183">
        <f t="shared" si="67"/>
        <v>0</v>
      </c>
      <c r="AU75" s="183">
        <f t="shared" si="68"/>
        <v>0</v>
      </c>
      <c r="AV75" s="183">
        <f t="shared" si="69"/>
        <v>0</v>
      </c>
      <c r="AW75" s="183">
        <f t="shared" si="70"/>
        <v>0</v>
      </c>
      <c r="AX75" s="183">
        <f t="shared" si="71"/>
        <v>0</v>
      </c>
      <c r="AY75" s="183">
        <f t="shared" si="72"/>
        <v>0</v>
      </c>
      <c r="AZ75" s="183">
        <f t="shared" si="73"/>
        <v>0</v>
      </c>
      <c r="BA75" s="183">
        <f t="shared" si="74"/>
        <v>0</v>
      </c>
      <c r="BB75" s="183">
        <f t="shared" si="83"/>
        <v>0</v>
      </c>
      <c r="BC75" s="183">
        <f t="shared" si="84"/>
        <v>0</v>
      </c>
      <c r="BD75" s="183">
        <f t="shared" si="77"/>
        <v>0</v>
      </c>
      <c r="BE75" s="179"/>
      <c r="BF75" s="179"/>
      <c r="BG75" s="179"/>
      <c r="BH75" s="179"/>
      <c r="BI75" s="179"/>
      <c r="BJ75" s="179"/>
      <c r="BK75" s="179"/>
      <c r="BL75" s="179"/>
    </row>
    <row r="76" spans="1:64" ht="12.75" customHeight="1" x14ac:dyDescent="0.2">
      <c r="A76" s="346"/>
      <c r="B76" s="345"/>
      <c r="C76" s="180" t="s">
        <v>257</v>
      </c>
      <c r="D76" s="347"/>
      <c r="E76" s="203"/>
      <c r="F76" s="185"/>
      <c r="G76" s="204"/>
      <c r="H76" s="180"/>
      <c r="I76" s="180"/>
      <c r="J76" s="180"/>
      <c r="K76" s="180"/>
      <c r="L76" s="180"/>
      <c r="M76" s="180"/>
      <c r="N76" s="180"/>
      <c r="O76" s="180"/>
      <c r="P76" s="180"/>
      <c r="Q76" s="180"/>
      <c r="R76" s="180"/>
      <c r="S76" s="180"/>
      <c r="T76" s="180"/>
      <c r="U76" s="180"/>
      <c r="V76" s="180">
        <v>25</v>
      </c>
      <c r="W76" s="180"/>
      <c r="X76" s="180"/>
      <c r="Y76" s="180"/>
      <c r="Z76" s="180"/>
      <c r="AA76" s="180"/>
      <c r="AB76" s="180"/>
      <c r="AC76" s="180" t="s">
        <v>258</v>
      </c>
      <c r="AD76" s="181">
        <f t="shared" si="78"/>
        <v>0.17</v>
      </c>
      <c r="AE76" s="182">
        <f>'1. SB ABA DE CARREGAMENTO'!$B$90</f>
        <v>24</v>
      </c>
      <c r="AF76" s="347"/>
      <c r="AG76" s="183">
        <f t="shared" si="58"/>
        <v>0</v>
      </c>
      <c r="AH76" s="183">
        <f>(V76*AD76)/AE76</f>
        <v>0.17708333333333334</v>
      </c>
      <c r="AI76" s="183">
        <f t="shared" si="60"/>
        <v>0</v>
      </c>
      <c r="AJ76" s="183">
        <f t="shared" si="61"/>
        <v>0</v>
      </c>
      <c r="AK76" s="183">
        <f t="shared" si="62"/>
        <v>0</v>
      </c>
      <c r="AL76" s="183">
        <f t="shared" si="79"/>
        <v>0</v>
      </c>
      <c r="AM76" s="183">
        <f t="shared" si="80"/>
        <v>0</v>
      </c>
      <c r="AN76" s="183">
        <f t="shared" si="63"/>
        <v>0</v>
      </c>
      <c r="AO76" s="183">
        <f t="shared" si="64"/>
        <v>0</v>
      </c>
      <c r="AP76" s="183">
        <f t="shared" si="81"/>
        <v>0</v>
      </c>
      <c r="AQ76" s="183">
        <f t="shared" si="82"/>
        <v>0</v>
      </c>
      <c r="AR76" s="183">
        <f t="shared" si="65"/>
        <v>0</v>
      </c>
      <c r="AS76" s="183">
        <f t="shared" si="66"/>
        <v>0</v>
      </c>
      <c r="AT76" s="183">
        <f t="shared" si="67"/>
        <v>0</v>
      </c>
      <c r="AU76" s="183">
        <f t="shared" si="68"/>
        <v>0</v>
      </c>
      <c r="AV76" s="183">
        <f t="shared" si="69"/>
        <v>0</v>
      </c>
      <c r="AW76" s="183">
        <f t="shared" si="70"/>
        <v>0</v>
      </c>
      <c r="AX76" s="183">
        <f t="shared" si="71"/>
        <v>0.17708333333333334</v>
      </c>
      <c r="AY76" s="183">
        <f t="shared" si="72"/>
        <v>0</v>
      </c>
      <c r="AZ76" s="183">
        <f t="shared" si="73"/>
        <v>0</v>
      </c>
      <c r="BA76" s="183">
        <f t="shared" si="74"/>
        <v>0</v>
      </c>
      <c r="BB76" s="183">
        <f t="shared" si="83"/>
        <v>0</v>
      </c>
      <c r="BC76" s="183">
        <f t="shared" si="84"/>
        <v>0</v>
      </c>
      <c r="BD76" s="183">
        <f t="shared" si="77"/>
        <v>0</v>
      </c>
      <c r="BE76" s="179"/>
      <c r="BF76" s="179"/>
      <c r="BG76" s="179"/>
      <c r="BH76" s="179"/>
      <c r="BI76" s="179"/>
      <c r="BJ76" s="179"/>
      <c r="BK76" s="179"/>
      <c r="BL76" s="179"/>
    </row>
    <row r="77" spans="1:64" ht="12.75" customHeight="1" x14ac:dyDescent="0.2">
      <c r="A77" s="346"/>
      <c r="B77" s="345"/>
      <c r="C77" s="180" t="s">
        <v>259</v>
      </c>
      <c r="D77" s="347"/>
      <c r="E77" s="203"/>
      <c r="F77" s="185"/>
      <c r="G77" s="204"/>
      <c r="H77" s="180"/>
      <c r="I77" s="180"/>
      <c r="J77" s="180"/>
      <c r="K77" s="180"/>
      <c r="L77" s="180"/>
      <c r="M77" s="180"/>
      <c r="N77" s="180"/>
      <c r="O77" s="180"/>
      <c r="P77" s="180"/>
      <c r="Q77" s="180"/>
      <c r="R77" s="180"/>
      <c r="S77" s="180"/>
      <c r="T77" s="180"/>
      <c r="U77" s="180"/>
      <c r="V77" s="180"/>
      <c r="W77" s="180">
        <v>25</v>
      </c>
      <c r="X77" s="180"/>
      <c r="Y77" s="180"/>
      <c r="Z77" s="180"/>
      <c r="AA77" s="180"/>
      <c r="AB77" s="180"/>
      <c r="AC77" s="180" t="s">
        <v>258</v>
      </c>
      <c r="AD77" s="181">
        <f t="shared" si="78"/>
        <v>0.17</v>
      </c>
      <c r="AE77" s="182">
        <f>'1. SB ABA DE CARREGAMENTO'!$B$90</f>
        <v>24</v>
      </c>
      <c r="AF77" s="347"/>
      <c r="AG77" s="183">
        <f t="shared" si="58"/>
        <v>0</v>
      </c>
      <c r="AH77" s="183">
        <f>(V77*AD77)/AE77</f>
        <v>0</v>
      </c>
      <c r="AI77" s="183">
        <f t="shared" si="60"/>
        <v>0</v>
      </c>
      <c r="AJ77" s="183">
        <f t="shared" si="61"/>
        <v>0</v>
      </c>
      <c r="AK77" s="183">
        <f t="shared" si="62"/>
        <v>0</v>
      </c>
      <c r="AL77" s="183">
        <f t="shared" si="79"/>
        <v>0</v>
      </c>
      <c r="AM77" s="183">
        <f t="shared" si="80"/>
        <v>0</v>
      </c>
      <c r="AN77" s="183">
        <f t="shared" si="63"/>
        <v>0</v>
      </c>
      <c r="AO77" s="183">
        <f t="shared" si="64"/>
        <v>0</v>
      </c>
      <c r="AP77" s="183">
        <f t="shared" si="81"/>
        <v>0</v>
      </c>
      <c r="AQ77" s="183">
        <f t="shared" si="82"/>
        <v>0</v>
      </c>
      <c r="AR77" s="183">
        <f t="shared" si="65"/>
        <v>0</v>
      </c>
      <c r="AS77" s="183">
        <f t="shared" si="66"/>
        <v>0</v>
      </c>
      <c r="AT77" s="183">
        <f t="shared" si="67"/>
        <v>0</v>
      </c>
      <c r="AU77" s="183">
        <f t="shared" si="68"/>
        <v>0</v>
      </c>
      <c r="AV77" s="183">
        <f t="shared" si="69"/>
        <v>0</v>
      </c>
      <c r="AW77" s="183">
        <f t="shared" si="70"/>
        <v>0</v>
      </c>
      <c r="AX77" s="183">
        <f t="shared" si="71"/>
        <v>0</v>
      </c>
      <c r="AY77" s="183">
        <f t="shared" si="72"/>
        <v>0.17708333333333334</v>
      </c>
      <c r="AZ77" s="183">
        <f t="shared" si="73"/>
        <v>0</v>
      </c>
      <c r="BA77" s="183">
        <f t="shared" si="74"/>
        <v>0</v>
      </c>
      <c r="BB77" s="183">
        <f t="shared" si="83"/>
        <v>0</v>
      </c>
      <c r="BC77" s="183">
        <f t="shared" si="84"/>
        <v>0</v>
      </c>
      <c r="BD77" s="183">
        <f t="shared" si="77"/>
        <v>0</v>
      </c>
      <c r="BE77" s="179"/>
      <c r="BF77" s="179"/>
      <c r="BG77" s="179"/>
      <c r="BH77" s="179"/>
      <c r="BI77" s="179"/>
      <c r="BJ77" s="179"/>
      <c r="BK77" s="179"/>
      <c r="BL77" s="179"/>
    </row>
    <row r="78" spans="1:64" ht="12.75" customHeight="1" x14ac:dyDescent="0.2">
      <c r="A78" s="346"/>
      <c r="B78" s="345"/>
      <c r="C78" s="180" t="s">
        <v>271</v>
      </c>
      <c r="D78" s="347"/>
      <c r="E78" s="180"/>
      <c r="F78" s="180"/>
      <c r="G78" s="180"/>
      <c r="H78" s="180"/>
      <c r="I78" s="180"/>
      <c r="J78" s="180"/>
      <c r="K78" s="180"/>
      <c r="L78" s="180"/>
      <c r="M78" s="180"/>
      <c r="N78" s="180"/>
      <c r="O78" s="180"/>
      <c r="P78" s="180"/>
      <c r="Q78" s="180"/>
      <c r="R78" s="180"/>
      <c r="S78" s="180"/>
      <c r="T78" s="180"/>
      <c r="U78" s="180"/>
      <c r="V78" s="180"/>
      <c r="W78" s="180"/>
      <c r="X78" s="180"/>
      <c r="Y78" s="180"/>
      <c r="Z78" s="180">
        <v>54.6</v>
      </c>
      <c r="AA78" s="180"/>
      <c r="AB78" s="180"/>
      <c r="AC78" s="180" t="s">
        <v>264</v>
      </c>
      <c r="AD78" s="181">
        <f t="shared" si="78"/>
        <v>144</v>
      </c>
      <c r="AE78" s="182">
        <f>'1. SB ABA DE CARREGAMENTO'!$B$90</f>
        <v>24</v>
      </c>
      <c r="AF78" s="347"/>
      <c r="AG78" s="183">
        <f t="shared" si="58"/>
        <v>0</v>
      </c>
      <c r="AH78" s="183">
        <f>(F78*AD78)/AE78</f>
        <v>0</v>
      </c>
      <c r="AI78" s="183">
        <f t="shared" si="60"/>
        <v>0</v>
      </c>
      <c r="AJ78" s="183">
        <f t="shared" si="61"/>
        <v>0</v>
      </c>
      <c r="AK78" s="183">
        <f t="shared" si="62"/>
        <v>0</v>
      </c>
      <c r="AL78" s="183">
        <f t="shared" si="79"/>
        <v>0</v>
      </c>
      <c r="AM78" s="183">
        <f t="shared" si="80"/>
        <v>0</v>
      </c>
      <c r="AN78" s="183">
        <f>(L78*AD78)/AE78</f>
        <v>0</v>
      </c>
      <c r="AO78" s="183">
        <f>(M78*AD78)/AE78</f>
        <v>0</v>
      </c>
      <c r="AP78" s="183">
        <f t="shared" si="81"/>
        <v>0</v>
      </c>
      <c r="AQ78" s="183">
        <f t="shared" si="82"/>
        <v>0</v>
      </c>
      <c r="AR78" s="183">
        <f t="shared" si="65"/>
        <v>0</v>
      </c>
      <c r="AS78" s="183">
        <f t="shared" si="66"/>
        <v>0</v>
      </c>
      <c r="AT78" s="183">
        <f t="shared" si="67"/>
        <v>0</v>
      </c>
      <c r="AU78" s="183">
        <f t="shared" si="68"/>
        <v>0</v>
      </c>
      <c r="AV78" s="183">
        <f t="shared" si="69"/>
        <v>0</v>
      </c>
      <c r="AW78" s="183">
        <f t="shared" si="70"/>
        <v>0</v>
      </c>
      <c r="AX78" s="183">
        <f t="shared" si="71"/>
        <v>0</v>
      </c>
      <c r="AY78" s="183">
        <f t="shared" si="72"/>
        <v>0</v>
      </c>
      <c r="AZ78" s="183">
        <f t="shared" si="73"/>
        <v>0</v>
      </c>
      <c r="BA78" s="183">
        <f t="shared" si="74"/>
        <v>0</v>
      </c>
      <c r="BB78" s="183">
        <f t="shared" si="83"/>
        <v>327.60000000000002</v>
      </c>
      <c r="BC78" s="183">
        <f t="shared" si="84"/>
        <v>0</v>
      </c>
      <c r="BD78" s="183">
        <f>(AB78*AD78)/AE78</f>
        <v>0</v>
      </c>
      <c r="BE78" s="179"/>
      <c r="BF78" s="179"/>
      <c r="BG78" s="179"/>
      <c r="BH78" s="179"/>
      <c r="BI78" s="179"/>
      <c r="BJ78" s="179"/>
      <c r="BK78" s="179"/>
      <c r="BL78" s="179"/>
    </row>
    <row r="79" spans="1:64" ht="12.75" customHeight="1" x14ac:dyDescent="0.2">
      <c r="A79" s="346"/>
      <c r="B79" s="345"/>
      <c r="C79" s="180" t="s">
        <v>286</v>
      </c>
      <c r="D79" s="347"/>
      <c r="E79" s="180"/>
      <c r="F79" s="180"/>
      <c r="G79" s="180"/>
      <c r="H79" s="180"/>
      <c r="I79" s="180"/>
      <c r="J79" s="180"/>
      <c r="K79" s="180"/>
      <c r="L79" s="180"/>
      <c r="M79" s="180"/>
      <c r="N79" s="180"/>
      <c r="O79" s="180"/>
      <c r="P79" s="180"/>
      <c r="Q79" s="180"/>
      <c r="R79" s="180"/>
      <c r="S79" s="180"/>
      <c r="T79" s="180"/>
      <c r="U79" s="180"/>
      <c r="V79" s="180"/>
      <c r="W79" s="180"/>
      <c r="X79" s="180"/>
      <c r="Y79" s="180"/>
      <c r="Z79" s="180"/>
      <c r="AA79" s="180"/>
      <c r="AB79" s="180">
        <v>54.6</v>
      </c>
      <c r="AC79" s="180" t="s">
        <v>266</v>
      </c>
      <c r="AD79" s="181">
        <f t="shared" si="78"/>
        <v>4.33</v>
      </c>
      <c r="AE79" s="182">
        <v>24</v>
      </c>
      <c r="AF79" s="347"/>
      <c r="AG79" s="183">
        <f t="shared" si="58"/>
        <v>0</v>
      </c>
      <c r="AH79" s="183">
        <f>(F79*AD79)/AE79</f>
        <v>0</v>
      </c>
      <c r="AI79" s="183">
        <f t="shared" si="60"/>
        <v>0</v>
      </c>
      <c r="AJ79" s="183">
        <f t="shared" si="61"/>
        <v>0</v>
      </c>
      <c r="AK79" s="183">
        <f t="shared" si="62"/>
        <v>0</v>
      </c>
      <c r="AL79" s="183">
        <f t="shared" si="79"/>
        <v>0</v>
      </c>
      <c r="AM79" s="183">
        <f t="shared" si="80"/>
        <v>0</v>
      </c>
      <c r="AN79" s="183">
        <f>(L79*AD79)/AE79</f>
        <v>0</v>
      </c>
      <c r="AO79" s="183">
        <f>(M79*AD79)/AE79</f>
        <v>0</v>
      </c>
      <c r="AP79" s="183">
        <f t="shared" si="81"/>
        <v>0</v>
      </c>
      <c r="AQ79" s="183">
        <f t="shared" si="82"/>
        <v>0</v>
      </c>
      <c r="AR79" s="183">
        <f t="shared" si="65"/>
        <v>0</v>
      </c>
      <c r="AS79" s="183">
        <f t="shared" si="66"/>
        <v>0</v>
      </c>
      <c r="AT79" s="183">
        <f t="shared" si="67"/>
        <v>0</v>
      </c>
      <c r="AU79" s="183">
        <f t="shared" si="68"/>
        <v>0</v>
      </c>
      <c r="AV79" s="183">
        <f t="shared" si="69"/>
        <v>0</v>
      </c>
      <c r="AW79" s="183">
        <f t="shared" si="70"/>
        <v>0</v>
      </c>
      <c r="AX79" s="183">
        <f t="shared" si="71"/>
        <v>0</v>
      </c>
      <c r="AY79" s="183">
        <f t="shared" si="72"/>
        <v>0</v>
      </c>
      <c r="AZ79" s="183">
        <f t="shared" si="73"/>
        <v>0</v>
      </c>
      <c r="BA79" s="183">
        <f t="shared" si="74"/>
        <v>0</v>
      </c>
      <c r="BB79" s="183">
        <f t="shared" si="83"/>
        <v>0</v>
      </c>
      <c r="BC79" s="183">
        <f t="shared" si="84"/>
        <v>0</v>
      </c>
      <c r="BD79" s="183">
        <f>(AB79*AD79)/AE79</f>
        <v>9.8507499999999997</v>
      </c>
      <c r="BE79" s="179"/>
      <c r="BF79" s="179"/>
      <c r="BG79" s="179"/>
      <c r="BH79" s="179"/>
      <c r="BI79" s="179"/>
      <c r="BJ79" s="179"/>
      <c r="BK79" s="179"/>
      <c r="BL79" s="179"/>
    </row>
    <row r="80" spans="1:64" ht="12.75" customHeight="1" x14ac:dyDescent="0.2">
      <c r="A80" s="346"/>
      <c r="B80" s="345"/>
      <c r="C80" s="180" t="s">
        <v>283</v>
      </c>
      <c r="D80" s="347"/>
      <c r="E80" s="180"/>
      <c r="F80" s="180"/>
      <c r="G80" s="180"/>
      <c r="H80" s="180"/>
      <c r="I80" s="180"/>
      <c r="J80" s="180"/>
      <c r="K80" s="180"/>
      <c r="L80" s="180"/>
      <c r="M80" s="180"/>
      <c r="N80" s="180"/>
      <c r="O80" s="180"/>
      <c r="P80" s="180"/>
      <c r="Q80" s="180"/>
      <c r="R80" s="180"/>
      <c r="S80" s="180"/>
      <c r="T80" s="180"/>
      <c r="U80" s="180"/>
      <c r="V80" s="180"/>
      <c r="W80" s="180"/>
      <c r="X80" s="180"/>
      <c r="Y80" s="180"/>
      <c r="Z80" s="180"/>
      <c r="AA80" s="180">
        <v>109.2</v>
      </c>
      <c r="AB80" s="180"/>
      <c r="AC80" s="180" t="s">
        <v>266</v>
      </c>
      <c r="AD80" s="181">
        <f t="shared" si="78"/>
        <v>4.33</v>
      </c>
      <c r="AE80" s="182">
        <v>24</v>
      </c>
      <c r="AF80" s="347"/>
      <c r="AG80" s="183">
        <f t="shared" si="58"/>
        <v>0</v>
      </c>
      <c r="AH80" s="183">
        <f>(F80*AD80)/AE80</f>
        <v>0</v>
      </c>
      <c r="AI80" s="183">
        <f t="shared" si="60"/>
        <v>0</v>
      </c>
      <c r="AJ80" s="183">
        <f t="shared" si="61"/>
        <v>0</v>
      </c>
      <c r="AK80" s="183">
        <f t="shared" si="62"/>
        <v>0</v>
      </c>
      <c r="AL80" s="183">
        <f t="shared" si="79"/>
        <v>0</v>
      </c>
      <c r="AM80" s="183">
        <f t="shared" si="80"/>
        <v>0</v>
      </c>
      <c r="AN80" s="183">
        <f>(L80*AD80)/AE80</f>
        <v>0</v>
      </c>
      <c r="AO80" s="183">
        <f>(M80*AD80)/AE80</f>
        <v>0</v>
      </c>
      <c r="AP80" s="183">
        <f t="shared" si="81"/>
        <v>0</v>
      </c>
      <c r="AQ80" s="183">
        <f t="shared" si="82"/>
        <v>0</v>
      </c>
      <c r="AR80" s="183">
        <f t="shared" si="65"/>
        <v>0</v>
      </c>
      <c r="AS80" s="183">
        <f t="shared" si="66"/>
        <v>0</v>
      </c>
      <c r="AT80" s="183">
        <f t="shared" si="67"/>
        <v>0</v>
      </c>
      <c r="AU80" s="183">
        <f t="shared" si="68"/>
        <v>0</v>
      </c>
      <c r="AV80" s="183">
        <f t="shared" si="69"/>
        <v>0</v>
      </c>
      <c r="AW80" s="183">
        <f t="shared" si="70"/>
        <v>0</v>
      </c>
      <c r="AX80" s="183">
        <f t="shared" si="71"/>
        <v>0</v>
      </c>
      <c r="AY80" s="183">
        <f t="shared" si="72"/>
        <v>0</v>
      </c>
      <c r="AZ80" s="183">
        <f t="shared" si="73"/>
        <v>0</v>
      </c>
      <c r="BA80" s="183">
        <f t="shared" si="74"/>
        <v>0</v>
      </c>
      <c r="BB80" s="183">
        <f t="shared" si="83"/>
        <v>0</v>
      </c>
      <c r="BC80" s="183">
        <f t="shared" si="84"/>
        <v>19.701499999999999</v>
      </c>
      <c r="BD80" s="183">
        <f>(AB80*AD80)/AE80</f>
        <v>0</v>
      </c>
      <c r="BE80" s="179"/>
      <c r="BF80" s="179"/>
      <c r="BG80" s="179"/>
      <c r="BH80" s="179"/>
      <c r="BI80" s="179"/>
      <c r="BJ80" s="179"/>
      <c r="BK80" s="179"/>
      <c r="BL80" s="179"/>
    </row>
    <row r="81" spans="1:64" ht="12.75" customHeight="1" x14ac:dyDescent="0.2">
      <c r="A81" s="361" t="s">
        <v>210</v>
      </c>
      <c r="B81" s="361"/>
      <c r="C81" s="361"/>
      <c r="D81" s="205">
        <f t="shared" ref="D81:I81" si="85">SUM(D8:D80)</f>
        <v>15269.45</v>
      </c>
      <c r="E81" s="205">
        <f t="shared" si="85"/>
        <v>608</v>
      </c>
      <c r="F81" s="205">
        <f t="shared" si="85"/>
        <v>3757.56</v>
      </c>
      <c r="G81" s="205">
        <f t="shared" si="85"/>
        <v>729.3</v>
      </c>
      <c r="H81" s="205">
        <f t="shared" si="85"/>
        <v>664.7600000000001</v>
      </c>
      <c r="I81" s="205">
        <f t="shared" si="85"/>
        <v>0</v>
      </c>
      <c r="J81" s="205"/>
      <c r="K81" s="205"/>
      <c r="L81" s="205">
        <f t="shared" ref="L81:Y81" si="86">SUM(L8:L80)</f>
        <v>2275.6</v>
      </c>
      <c r="M81" s="205">
        <f t="shared" si="86"/>
        <v>416.17</v>
      </c>
      <c r="N81" s="205">
        <f t="shared" si="86"/>
        <v>0</v>
      </c>
      <c r="O81" s="205">
        <f t="shared" si="86"/>
        <v>0</v>
      </c>
      <c r="P81" s="205">
        <f t="shared" si="86"/>
        <v>0</v>
      </c>
      <c r="Q81" s="205">
        <f t="shared" si="86"/>
        <v>0</v>
      </c>
      <c r="R81" s="205">
        <f t="shared" si="86"/>
        <v>0</v>
      </c>
      <c r="S81" s="205">
        <f t="shared" si="86"/>
        <v>0</v>
      </c>
      <c r="T81" s="205">
        <f t="shared" si="86"/>
        <v>0</v>
      </c>
      <c r="U81" s="205">
        <f t="shared" si="86"/>
        <v>1507</v>
      </c>
      <c r="V81" s="205">
        <f t="shared" si="86"/>
        <v>847</v>
      </c>
      <c r="W81" s="205">
        <f t="shared" si="86"/>
        <v>2354</v>
      </c>
      <c r="X81" s="205">
        <f t="shared" si="86"/>
        <v>0</v>
      </c>
      <c r="Y81" s="205">
        <f t="shared" si="86"/>
        <v>112.2</v>
      </c>
      <c r="Z81" s="205"/>
      <c r="AA81" s="205"/>
      <c r="AB81" s="205">
        <f t="shared" ref="AB81:BD81" si="87">SUM(AB8:AB80)</f>
        <v>470.76</v>
      </c>
      <c r="AC81" s="205">
        <f t="shared" si="87"/>
        <v>0</v>
      </c>
      <c r="AD81" s="205">
        <f t="shared" si="87"/>
        <v>2485.13</v>
      </c>
      <c r="AE81" s="205">
        <f t="shared" si="87"/>
        <v>1752</v>
      </c>
      <c r="AF81" s="205">
        <f t="shared" si="87"/>
        <v>24558.29810833334</v>
      </c>
      <c r="AG81" s="205">
        <f t="shared" si="87"/>
        <v>608</v>
      </c>
      <c r="AH81" s="205">
        <f t="shared" si="87"/>
        <v>10285.355416666669</v>
      </c>
      <c r="AI81" s="205">
        <f t="shared" si="87"/>
        <v>2187.9</v>
      </c>
      <c r="AJ81" s="205">
        <f t="shared" si="87"/>
        <v>85.719675000000009</v>
      </c>
      <c r="AK81" s="205">
        <f t="shared" si="87"/>
        <v>0</v>
      </c>
      <c r="AL81" s="205">
        <f t="shared" si="87"/>
        <v>0</v>
      </c>
      <c r="AM81" s="205">
        <f t="shared" si="87"/>
        <v>0</v>
      </c>
      <c r="AN81" s="205">
        <f t="shared" si="87"/>
        <v>6826.7999999999993</v>
      </c>
      <c r="AO81" s="205">
        <f t="shared" si="87"/>
        <v>202.93080833333335</v>
      </c>
      <c r="AP81" s="205">
        <f t="shared" si="87"/>
        <v>0</v>
      </c>
      <c r="AQ81" s="205">
        <f t="shared" si="87"/>
        <v>0</v>
      </c>
      <c r="AR81" s="205">
        <f t="shared" si="87"/>
        <v>0</v>
      </c>
      <c r="AS81" s="205">
        <f t="shared" si="87"/>
        <v>0</v>
      </c>
      <c r="AT81" s="205">
        <f t="shared" si="87"/>
        <v>0</v>
      </c>
      <c r="AU81" s="205">
        <f t="shared" si="87"/>
        <v>0</v>
      </c>
      <c r="AV81" s="205">
        <f t="shared" si="87"/>
        <v>0</v>
      </c>
      <c r="AW81" s="205">
        <f t="shared" si="87"/>
        <v>109.47458333333331</v>
      </c>
      <c r="AX81" s="205">
        <f t="shared" si="87"/>
        <v>38.932916666666671</v>
      </c>
      <c r="AY81" s="205">
        <f t="shared" si="87"/>
        <v>776.51041666666674</v>
      </c>
      <c r="AZ81" s="205">
        <f t="shared" si="87"/>
        <v>0</v>
      </c>
      <c r="BA81" s="205">
        <f t="shared" si="87"/>
        <v>336.6</v>
      </c>
      <c r="BB81" s="205">
        <f t="shared" si="87"/>
        <v>2824.56</v>
      </c>
      <c r="BC81" s="205">
        <f t="shared" si="87"/>
        <v>190.5813416666667</v>
      </c>
      <c r="BD81" s="205">
        <f t="shared" si="87"/>
        <v>84.932950000000005</v>
      </c>
      <c r="BE81" s="179"/>
      <c r="BF81" s="179"/>
      <c r="BG81" s="179"/>
      <c r="BH81" s="179"/>
      <c r="BI81" s="179"/>
      <c r="BJ81" s="179"/>
      <c r="BK81" s="179"/>
      <c r="BL81" s="179"/>
    </row>
    <row r="82" spans="1:64" ht="12.75" customHeight="1" x14ac:dyDescent="0.2"/>
    <row r="83" spans="1:64" ht="12.75" customHeight="1" x14ac:dyDescent="0.2"/>
    <row r="84" spans="1:64" ht="12.75" customHeight="1" x14ac:dyDescent="0.2"/>
    <row r="85" spans="1:64" ht="12.75" customHeight="1" x14ac:dyDescent="0.2"/>
    <row r="86" spans="1:64" ht="12.75" customHeight="1" x14ac:dyDescent="0.2"/>
    <row r="87" spans="1:64" ht="12.75" customHeight="1" x14ac:dyDescent="0.2"/>
    <row r="88" spans="1:64" ht="12.75" customHeight="1" x14ac:dyDescent="0.2"/>
    <row r="89" spans="1:64" ht="12.75" customHeight="1" x14ac:dyDescent="0.2"/>
    <row r="90" spans="1:64" ht="12.75" customHeight="1" x14ac:dyDescent="0.2"/>
    <row r="91" spans="1:64" ht="12.75" customHeight="1" x14ac:dyDescent="0.2"/>
    <row r="92" spans="1:64" ht="12.75" customHeight="1" x14ac:dyDescent="0.2"/>
    <row r="93" spans="1:64" ht="12.75" customHeight="1" x14ac:dyDescent="0.2"/>
    <row r="94" spans="1:64" ht="12.75" customHeight="1" x14ac:dyDescent="0.2"/>
    <row r="95" spans="1:64" ht="12.75" customHeight="1" x14ac:dyDescent="0.2"/>
    <row r="96" spans="1:64"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sheetData>
  <sheetProtection selectLockedCells="1" selectUnlockedCells="1"/>
  <mergeCells count="56">
    <mergeCell ref="A70:A80"/>
    <mergeCell ref="B70:B80"/>
    <mergeCell ref="D70:D80"/>
    <mergeCell ref="AF70:AF80"/>
    <mergeCell ref="A81:C81"/>
    <mergeCell ref="A61:A69"/>
    <mergeCell ref="B61:B69"/>
    <mergeCell ref="C61:C69"/>
    <mergeCell ref="D61:D69"/>
    <mergeCell ref="AF61:AF69"/>
    <mergeCell ref="A43:A51"/>
    <mergeCell ref="B43:B51"/>
    <mergeCell ref="D43:D51"/>
    <mergeCell ref="AF43:AF51"/>
    <mergeCell ref="A52:A60"/>
    <mergeCell ref="B52:B60"/>
    <mergeCell ref="D52:D60"/>
    <mergeCell ref="AF52:AF60"/>
    <mergeCell ref="A28:A36"/>
    <mergeCell ref="B28:B36"/>
    <mergeCell ref="D28:D36"/>
    <mergeCell ref="AF28:AF36"/>
    <mergeCell ref="D37:D42"/>
    <mergeCell ref="AF37:AF42"/>
    <mergeCell ref="A37:A42"/>
    <mergeCell ref="B37:B42"/>
    <mergeCell ref="A8:A18"/>
    <mergeCell ref="B8:B18"/>
    <mergeCell ref="D8:D18"/>
    <mergeCell ref="AF8:AF18"/>
    <mergeCell ref="A19:A27"/>
    <mergeCell ref="B19:B27"/>
    <mergeCell ref="D19:D27"/>
    <mergeCell ref="AF19:AF27"/>
    <mergeCell ref="AC5:AC7"/>
    <mergeCell ref="AD5:AD7"/>
    <mergeCell ref="AE5:AE7"/>
    <mergeCell ref="AG5:BD5"/>
    <mergeCell ref="E6:L6"/>
    <mergeCell ref="M6:T6"/>
    <mergeCell ref="U6:W6"/>
    <mergeCell ref="Z6:AB6"/>
    <mergeCell ref="AG6:AN6"/>
    <mergeCell ref="AO6:AV6"/>
    <mergeCell ref="AW6:AY6"/>
    <mergeCell ref="BB6:BD6"/>
    <mergeCell ref="A5:A7"/>
    <mergeCell ref="B5:B7"/>
    <mergeCell ref="C5:C7"/>
    <mergeCell ref="D5:D7"/>
    <mergeCell ref="E5:AB5"/>
    <mergeCell ref="A1:D4"/>
    <mergeCell ref="E1:S4"/>
    <mergeCell ref="T1:AB4"/>
    <mergeCell ref="AC1:AK4"/>
    <mergeCell ref="AN1:BD4"/>
  </mergeCells>
  <dataValidations count="1">
    <dataValidation type="list" allowBlank="1" showInputMessage="1" showErrorMessage="1" prompt=" - " sqref="AC8:AC80">
      <formula1>"DIÁRIA,2xDIA,3xDIA,4xDIA,5xDIA,6xDIA,SEMANAL,2xSEMANA,3xSEMANA,QUINZENAL,MENSAL,BIMESTRAL,TRIMESTRAL,SEMESTRAL"</formula1>
      <formula2>0</formula2>
    </dataValidation>
  </dataValidations>
  <printOptions horizontalCentered="1" verticalCentered="1"/>
  <pageMargins left="0" right="0" top="0.39370078740157483" bottom="0" header="0" footer="0.51181102362204722"/>
  <pageSetup paperSize="9" scale="24" pageOrder="overThenDown" orientation="landscape" r:id="rId1"/>
  <headerFooter>
    <oddHeader>&amp;R&amp;P de &amp;N</oddHeader>
    <oddFooter>&amp;L&amp;F - &amp;A&amp;CPágina &amp;P de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Z998"/>
  <sheetViews>
    <sheetView showGridLines="0" zoomScaleNormal="100" workbookViewId="0">
      <selection activeCell="C64" sqref="C64"/>
    </sheetView>
  </sheetViews>
  <sheetFormatPr defaultColWidth="14.42578125" defaultRowHeight="14.25" x14ac:dyDescent="0.2"/>
  <cols>
    <col min="1" max="1" width="25.7109375" style="99" customWidth="1"/>
    <col min="2" max="2" width="20" style="99" customWidth="1"/>
    <col min="3" max="3" width="14" style="99" customWidth="1"/>
    <col min="4" max="4" width="18.85546875" style="99" customWidth="1"/>
    <col min="5" max="5" width="16" style="99" customWidth="1"/>
    <col min="6" max="6" width="15.7109375" style="99" customWidth="1"/>
    <col min="7" max="7" width="16.28515625" style="99" customWidth="1"/>
    <col min="8" max="8" width="15.28515625" style="99" customWidth="1"/>
    <col min="9" max="9" width="13" style="99" customWidth="1"/>
    <col min="10" max="10" width="15.28515625" style="99" customWidth="1"/>
    <col min="11" max="11" width="4.7109375" style="99" customWidth="1"/>
    <col min="12" max="12" width="7.140625" style="99" customWidth="1"/>
    <col min="13" max="13" width="4.42578125" style="99" customWidth="1"/>
    <col min="14" max="14" width="13.85546875" style="99" customWidth="1"/>
    <col min="15" max="15" width="15.140625" style="99" customWidth="1"/>
    <col min="16" max="16" width="9.5703125" style="99" customWidth="1"/>
    <col min="17" max="17" width="11.7109375" style="99" customWidth="1"/>
    <col min="18" max="19" width="9.140625" style="99" customWidth="1"/>
    <col min="20" max="26" width="8" style="99" customWidth="1"/>
    <col min="27" max="16384" width="14.42578125" style="99"/>
  </cols>
  <sheetData>
    <row r="1" spans="1:26" ht="12.75" customHeight="1" x14ac:dyDescent="0.2">
      <c r="A1" s="291" t="s">
        <v>0</v>
      </c>
      <c r="B1" s="291"/>
      <c r="C1" s="291"/>
      <c r="D1" s="291"/>
      <c r="E1" s="291"/>
      <c r="F1" s="291"/>
      <c r="G1" s="291"/>
      <c r="H1" s="291"/>
      <c r="I1" s="291"/>
      <c r="J1" s="291"/>
      <c r="K1" s="291"/>
      <c r="L1" s="291"/>
      <c r="M1" s="291"/>
      <c r="N1" s="291"/>
      <c r="O1" s="291"/>
      <c r="P1" s="291"/>
      <c r="Q1" s="120"/>
      <c r="R1" s="120"/>
      <c r="S1" s="120"/>
      <c r="T1" s="120"/>
      <c r="U1" s="120"/>
      <c r="V1" s="120"/>
      <c r="W1" s="120"/>
      <c r="X1" s="120"/>
      <c r="Y1" s="120"/>
      <c r="Z1" s="120"/>
    </row>
    <row r="2" spans="1:26" ht="12.75" customHeight="1" x14ac:dyDescent="0.2">
      <c r="A2" s="291" t="s">
        <v>1</v>
      </c>
      <c r="B2" s="291"/>
      <c r="C2" s="291"/>
      <c r="D2" s="291"/>
      <c r="E2" s="291"/>
      <c r="F2" s="291"/>
      <c r="G2" s="291"/>
      <c r="H2" s="291"/>
      <c r="I2" s="291"/>
      <c r="J2" s="291"/>
      <c r="K2" s="291"/>
      <c r="L2" s="291"/>
      <c r="M2" s="291"/>
      <c r="N2" s="291"/>
      <c r="O2" s="291"/>
      <c r="P2" s="291"/>
      <c r="Q2" s="120"/>
      <c r="R2" s="120"/>
      <c r="S2" s="120"/>
      <c r="T2" s="120"/>
      <c r="U2" s="120"/>
      <c r="V2" s="120"/>
      <c r="W2" s="120"/>
      <c r="X2" s="120"/>
      <c r="Y2" s="120"/>
      <c r="Z2" s="120"/>
    </row>
    <row r="3" spans="1:26" ht="12.75" customHeight="1" x14ac:dyDescent="0.2">
      <c r="A3" s="291" t="s">
        <v>2</v>
      </c>
      <c r="B3" s="291"/>
      <c r="C3" s="291"/>
      <c r="D3" s="291"/>
      <c r="E3" s="291"/>
      <c r="F3" s="291"/>
      <c r="G3" s="291"/>
      <c r="H3" s="291"/>
      <c r="I3" s="291"/>
      <c r="J3" s="291"/>
      <c r="K3" s="291"/>
      <c r="L3" s="291"/>
      <c r="M3" s="291"/>
      <c r="N3" s="291"/>
      <c r="O3" s="291"/>
      <c r="P3" s="291"/>
      <c r="Q3" s="120"/>
      <c r="R3" s="120"/>
      <c r="S3" s="120"/>
      <c r="T3" s="120"/>
      <c r="U3" s="120"/>
      <c r="V3" s="120"/>
      <c r="W3" s="120"/>
      <c r="X3" s="120"/>
      <c r="Y3" s="120"/>
      <c r="Z3" s="120"/>
    </row>
    <row r="4" spans="1:26" ht="12.75" customHeight="1" x14ac:dyDescent="0.2">
      <c r="A4" s="292" t="str">
        <f>'1. SB ABA DE CARREGAMENTO'!A4</f>
        <v>CAMPUS SÃO BORJA</v>
      </c>
      <c r="B4" s="292"/>
      <c r="C4" s="292"/>
      <c r="D4" s="292"/>
      <c r="E4" s="292"/>
      <c r="F4" s="292"/>
      <c r="G4" s="292"/>
      <c r="H4" s="292"/>
      <c r="I4" s="292"/>
      <c r="J4" s="292"/>
      <c r="K4" s="292"/>
      <c r="L4" s="292"/>
      <c r="M4" s="292"/>
      <c r="N4" s="292"/>
      <c r="O4" s="292"/>
      <c r="P4" s="292"/>
      <c r="Q4" s="120"/>
      <c r="R4" s="120"/>
      <c r="S4" s="120"/>
      <c r="T4" s="120"/>
      <c r="U4" s="120"/>
      <c r="V4" s="120"/>
      <c r="W4" s="120"/>
      <c r="X4" s="120"/>
      <c r="Y4" s="120"/>
      <c r="Z4" s="120"/>
    </row>
    <row r="5" spans="1:26" ht="20.25" customHeight="1" x14ac:dyDescent="0.2">
      <c r="A5" s="362" t="s">
        <v>287</v>
      </c>
      <c r="B5" s="362"/>
      <c r="C5" s="362"/>
      <c r="D5" s="362"/>
      <c r="E5" s="362"/>
      <c r="F5" s="362"/>
      <c r="G5" s="362"/>
      <c r="H5" s="362"/>
      <c r="I5" s="362"/>
      <c r="J5" s="362"/>
      <c r="K5" s="362"/>
      <c r="L5" s="362"/>
      <c r="M5" s="362"/>
      <c r="N5" s="362"/>
      <c r="O5" s="362"/>
      <c r="P5" s="362"/>
      <c r="Q5" s="120"/>
      <c r="R5" s="120"/>
      <c r="S5" s="120"/>
      <c r="T5" s="120"/>
      <c r="U5" s="120"/>
      <c r="V5" s="120"/>
      <c r="W5" s="120"/>
      <c r="X5" s="120"/>
      <c r="Y5" s="120"/>
      <c r="Z5" s="120"/>
    </row>
    <row r="6" spans="1:26" ht="12.75" customHeight="1" x14ac:dyDescent="0.2">
      <c r="A6" s="2"/>
      <c r="B6" s="2"/>
      <c r="C6" s="2"/>
      <c r="D6" s="2"/>
      <c r="E6" s="2"/>
      <c r="F6" s="2"/>
      <c r="G6" s="2"/>
      <c r="H6" s="2"/>
      <c r="I6" s="2"/>
      <c r="J6" s="2"/>
      <c r="K6" s="2"/>
      <c r="L6" s="2"/>
      <c r="M6" s="2"/>
      <c r="N6" s="2"/>
      <c r="O6" s="2"/>
      <c r="P6" s="2"/>
      <c r="Q6" s="102"/>
      <c r="R6" s="102"/>
      <c r="S6" s="102"/>
      <c r="T6" s="102"/>
      <c r="U6" s="102"/>
      <c r="V6" s="102"/>
      <c r="W6" s="102"/>
      <c r="X6" s="102"/>
      <c r="Y6" s="102"/>
      <c r="Z6" s="102"/>
    </row>
    <row r="7" spans="1:26" ht="138.75" customHeight="1" x14ac:dyDescent="0.2">
      <c r="A7" s="18" t="s">
        <v>21</v>
      </c>
      <c r="B7" s="18" t="s">
        <v>22</v>
      </c>
      <c r="C7" s="18" t="s">
        <v>705</v>
      </c>
      <c r="D7" s="18" t="s">
        <v>689</v>
      </c>
      <c r="E7" s="18" t="s">
        <v>289</v>
      </c>
      <c r="F7" s="18" t="s">
        <v>290</v>
      </c>
      <c r="G7" s="18" t="s">
        <v>291</v>
      </c>
      <c r="H7" s="18" t="s">
        <v>292</v>
      </c>
      <c r="I7" s="363" t="s">
        <v>293</v>
      </c>
      <c r="J7" s="363"/>
      <c r="K7" s="363"/>
      <c r="L7" s="363"/>
      <c r="M7" s="363"/>
      <c r="N7" s="363"/>
      <c r="O7" s="363"/>
      <c r="P7" s="363"/>
      <c r="Q7" s="120"/>
      <c r="R7" s="120"/>
      <c r="S7" s="120"/>
      <c r="T7" s="120"/>
      <c r="U7" s="120"/>
      <c r="V7" s="120"/>
      <c r="W7" s="120"/>
      <c r="X7" s="120"/>
      <c r="Y7" s="120"/>
      <c r="Z7" s="120"/>
    </row>
    <row r="8" spans="1:26" ht="43.5" customHeight="1" x14ac:dyDescent="0.2">
      <c r="A8" s="364" t="s">
        <v>23</v>
      </c>
      <c r="B8" s="145" t="s">
        <v>306</v>
      </c>
      <c r="C8" s="127">
        <f>'1. SB ABA DE CARREGAMENTO'!$C$22</f>
        <v>1200</v>
      </c>
      <c r="D8" s="146">
        <f>'3. SB Área'!AG81</f>
        <v>608</v>
      </c>
      <c r="E8" s="147">
        <f t="shared" ref="E8:E24" si="0">D8/C8</f>
        <v>0.50666666666666671</v>
      </c>
      <c r="F8" s="131">
        <f t="shared" ref="F8:F25" si="1">TRUNC(E8,0)</f>
        <v>0</v>
      </c>
      <c r="G8" s="147">
        <f t="shared" ref="G8:G25" si="2">E8-F8</f>
        <v>0.50666666666666671</v>
      </c>
      <c r="H8" s="147">
        <f t="shared" ref="H8:H25" si="3">G8*$C$27*60</f>
        <v>243.20000000000002</v>
      </c>
      <c r="I8" s="135">
        <f t="shared" ref="I8:I25" si="4">F8</f>
        <v>0</v>
      </c>
      <c r="J8" s="148" t="s">
        <v>295</v>
      </c>
      <c r="K8" s="135">
        <f t="shared" ref="K8:K23" si="5">$C$31</f>
        <v>0</v>
      </c>
      <c r="L8" s="148" t="s">
        <v>296</v>
      </c>
      <c r="M8" s="135">
        <v>1</v>
      </c>
      <c r="N8" s="148" t="s">
        <v>297</v>
      </c>
      <c r="O8" s="137">
        <f t="shared" ref="O8:O25" si="6">H8</f>
        <v>243.20000000000002</v>
      </c>
      <c r="P8" s="148" t="s">
        <v>298</v>
      </c>
      <c r="R8" s="149"/>
    </row>
    <row r="9" spans="1:26" ht="38.25" customHeight="1" x14ac:dyDescent="0.2">
      <c r="A9" s="364"/>
      <c r="B9" s="150" t="s">
        <v>25</v>
      </c>
      <c r="C9" s="127">
        <f>'1. SB ABA DE CARREGAMENTO'!$C$23</f>
        <v>1200</v>
      </c>
      <c r="D9" s="146">
        <f>'3. SB Área'!AH81</f>
        <v>10285.355416666669</v>
      </c>
      <c r="E9" s="147">
        <f t="shared" si="0"/>
        <v>8.5711295138888914</v>
      </c>
      <c r="F9" s="131">
        <f t="shared" si="1"/>
        <v>8</v>
      </c>
      <c r="G9" s="147">
        <f t="shared" si="2"/>
        <v>0.57112951388889144</v>
      </c>
      <c r="H9" s="147">
        <f t="shared" si="3"/>
        <v>274.14216666666789</v>
      </c>
      <c r="I9" s="135">
        <f t="shared" si="4"/>
        <v>8</v>
      </c>
      <c r="J9" s="148" t="s">
        <v>295</v>
      </c>
      <c r="K9" s="135">
        <f t="shared" si="5"/>
        <v>0</v>
      </c>
      <c r="L9" s="148" t="s">
        <v>296</v>
      </c>
      <c r="M9" s="135">
        <v>1</v>
      </c>
      <c r="N9" s="148" t="s">
        <v>297</v>
      </c>
      <c r="O9" s="137">
        <f t="shared" si="6"/>
        <v>274.14216666666789</v>
      </c>
      <c r="P9" s="148" t="s">
        <v>298</v>
      </c>
    </row>
    <row r="10" spans="1:26" ht="38.25" customHeight="1" x14ac:dyDescent="0.2">
      <c r="A10" s="364"/>
      <c r="B10" s="150" t="s">
        <v>26</v>
      </c>
      <c r="C10" s="127">
        <f>'1. SB ABA DE CARREGAMENTO'!$C$24</f>
        <v>450</v>
      </c>
      <c r="D10" s="146">
        <f>'3. SB Área'!AI81</f>
        <v>2187.9</v>
      </c>
      <c r="E10" s="147">
        <f t="shared" si="0"/>
        <v>4.8620000000000001</v>
      </c>
      <c r="F10" s="131">
        <f t="shared" si="1"/>
        <v>4</v>
      </c>
      <c r="G10" s="147">
        <f t="shared" si="2"/>
        <v>0.8620000000000001</v>
      </c>
      <c r="H10" s="147">
        <f t="shared" si="3"/>
        <v>413.76000000000005</v>
      </c>
      <c r="I10" s="135">
        <f t="shared" si="4"/>
        <v>4</v>
      </c>
      <c r="J10" s="148" t="s">
        <v>295</v>
      </c>
      <c r="K10" s="135">
        <f t="shared" si="5"/>
        <v>0</v>
      </c>
      <c r="L10" s="148" t="s">
        <v>296</v>
      </c>
      <c r="M10" s="135">
        <v>1</v>
      </c>
      <c r="N10" s="148" t="s">
        <v>297</v>
      </c>
      <c r="O10" s="137">
        <f t="shared" si="6"/>
        <v>413.76000000000005</v>
      </c>
      <c r="P10" s="148" t="s">
        <v>298</v>
      </c>
    </row>
    <row r="11" spans="1:26" ht="38.25" customHeight="1" x14ac:dyDescent="0.2">
      <c r="A11" s="364"/>
      <c r="B11" s="150" t="s">
        <v>27</v>
      </c>
      <c r="C11" s="127">
        <f>'1. SB ABA DE CARREGAMENTO'!$C$25</f>
        <v>2500</v>
      </c>
      <c r="D11" s="146">
        <f>'3. SB Área'!AJ81</f>
        <v>85.719675000000009</v>
      </c>
      <c r="E11" s="147">
        <f t="shared" si="0"/>
        <v>3.4287870000000005E-2</v>
      </c>
      <c r="F11" s="131">
        <f t="shared" si="1"/>
        <v>0</v>
      </c>
      <c r="G11" s="147">
        <f t="shared" si="2"/>
        <v>3.4287870000000005E-2</v>
      </c>
      <c r="H11" s="147">
        <f t="shared" si="3"/>
        <v>16.458177600000003</v>
      </c>
      <c r="I11" s="135">
        <f t="shared" si="4"/>
        <v>0</v>
      </c>
      <c r="J11" s="148" t="s">
        <v>295</v>
      </c>
      <c r="K11" s="135">
        <f t="shared" si="5"/>
        <v>0</v>
      </c>
      <c r="L11" s="148" t="s">
        <v>296</v>
      </c>
      <c r="M11" s="135">
        <v>1</v>
      </c>
      <c r="N11" s="148" t="s">
        <v>297</v>
      </c>
      <c r="O11" s="137">
        <f t="shared" si="6"/>
        <v>16.458177600000003</v>
      </c>
      <c r="P11" s="148" t="s">
        <v>298</v>
      </c>
    </row>
    <row r="12" spans="1:26" ht="38.25" customHeight="1" x14ac:dyDescent="0.2">
      <c r="A12" s="364"/>
      <c r="B12" s="150" t="s">
        <v>28</v>
      </c>
      <c r="C12" s="127">
        <f>'1. SB ABA DE CARREGAMENTO'!$C$26</f>
        <v>1800</v>
      </c>
      <c r="D12" s="146">
        <f>'3. SB Área'!AK81</f>
        <v>0</v>
      </c>
      <c r="E12" s="147">
        <f t="shared" si="0"/>
        <v>0</v>
      </c>
      <c r="F12" s="131">
        <f t="shared" si="1"/>
        <v>0</v>
      </c>
      <c r="G12" s="147">
        <f t="shared" si="2"/>
        <v>0</v>
      </c>
      <c r="H12" s="148">
        <f t="shared" si="3"/>
        <v>0</v>
      </c>
      <c r="I12" s="135">
        <f t="shared" si="4"/>
        <v>0</v>
      </c>
      <c r="J12" s="148" t="s">
        <v>295</v>
      </c>
      <c r="K12" s="135">
        <f t="shared" si="5"/>
        <v>0</v>
      </c>
      <c r="L12" s="148" t="s">
        <v>296</v>
      </c>
      <c r="M12" s="135">
        <v>1</v>
      </c>
      <c r="N12" s="148" t="s">
        <v>297</v>
      </c>
      <c r="O12" s="135">
        <f t="shared" si="6"/>
        <v>0</v>
      </c>
      <c r="P12" s="148" t="s">
        <v>298</v>
      </c>
    </row>
    <row r="13" spans="1:26" ht="38.25" customHeight="1" x14ac:dyDescent="0.2">
      <c r="A13" s="364"/>
      <c r="B13" s="150" t="s">
        <v>307</v>
      </c>
      <c r="C13" s="127">
        <f>'1. SB ABA DE CARREGAMENTO'!$C$27</f>
        <v>1500</v>
      </c>
      <c r="D13" s="146">
        <f>'3. SB Área'!AN81</f>
        <v>6826.7999999999993</v>
      </c>
      <c r="E13" s="147">
        <f t="shared" si="0"/>
        <v>4.5511999999999997</v>
      </c>
      <c r="F13" s="131">
        <f t="shared" si="1"/>
        <v>4</v>
      </c>
      <c r="G13" s="147">
        <f t="shared" si="2"/>
        <v>0.55119999999999969</v>
      </c>
      <c r="H13" s="147">
        <f t="shared" si="3"/>
        <v>264.57599999999985</v>
      </c>
      <c r="I13" s="135">
        <f t="shared" si="4"/>
        <v>4</v>
      </c>
      <c r="J13" s="148" t="s">
        <v>295</v>
      </c>
      <c r="K13" s="135">
        <f t="shared" si="5"/>
        <v>0</v>
      </c>
      <c r="L13" s="148" t="s">
        <v>296</v>
      </c>
      <c r="M13" s="135">
        <v>1</v>
      </c>
      <c r="N13" s="148" t="s">
        <v>297</v>
      </c>
      <c r="O13" s="137">
        <f t="shared" si="6"/>
        <v>264.57599999999985</v>
      </c>
      <c r="P13" s="148" t="s">
        <v>298</v>
      </c>
    </row>
    <row r="14" spans="1:26" ht="38.25" hidden="1" customHeight="1" x14ac:dyDescent="0.2">
      <c r="A14" s="364"/>
      <c r="B14" s="150" t="s">
        <v>236</v>
      </c>
      <c r="C14" s="127">
        <f>'1. SB ABA DE CARREGAMENTO'!C29</f>
        <v>800</v>
      </c>
      <c r="D14" s="146">
        <f>'3. SB Área'!AL81</f>
        <v>0</v>
      </c>
      <c r="E14" s="147">
        <f t="shared" si="0"/>
        <v>0</v>
      </c>
      <c r="F14" s="131">
        <f t="shared" si="1"/>
        <v>0</v>
      </c>
      <c r="G14" s="147">
        <f t="shared" si="2"/>
        <v>0</v>
      </c>
      <c r="H14" s="147">
        <f t="shared" si="3"/>
        <v>0</v>
      </c>
      <c r="I14" s="135">
        <f t="shared" si="4"/>
        <v>0</v>
      </c>
      <c r="J14" s="148" t="s">
        <v>295</v>
      </c>
      <c r="K14" s="135">
        <f t="shared" si="5"/>
        <v>0</v>
      </c>
      <c r="L14" s="148" t="s">
        <v>296</v>
      </c>
      <c r="M14" s="135">
        <v>1</v>
      </c>
      <c r="N14" s="148" t="s">
        <v>297</v>
      </c>
      <c r="O14" s="137">
        <f t="shared" si="6"/>
        <v>0</v>
      </c>
      <c r="P14" s="148" t="s">
        <v>298</v>
      </c>
    </row>
    <row r="15" spans="1:26" ht="38.25" hidden="1" customHeight="1" x14ac:dyDescent="0.2">
      <c r="A15" s="364"/>
      <c r="B15" s="150" t="s">
        <v>32</v>
      </c>
      <c r="C15" s="127">
        <f>'1. SB ABA DE CARREGAMENTO'!C30</f>
        <v>450</v>
      </c>
      <c r="D15" s="146">
        <f>'3. SB Área'!AM81</f>
        <v>0</v>
      </c>
      <c r="E15" s="147">
        <f t="shared" si="0"/>
        <v>0</v>
      </c>
      <c r="F15" s="131">
        <f t="shared" si="1"/>
        <v>0</v>
      </c>
      <c r="G15" s="147">
        <f t="shared" si="2"/>
        <v>0</v>
      </c>
      <c r="H15" s="147">
        <f t="shared" si="3"/>
        <v>0</v>
      </c>
      <c r="I15" s="135">
        <f t="shared" si="4"/>
        <v>0</v>
      </c>
      <c r="J15" s="148" t="s">
        <v>295</v>
      </c>
      <c r="K15" s="135">
        <f t="shared" si="5"/>
        <v>0</v>
      </c>
      <c r="L15" s="148" t="s">
        <v>296</v>
      </c>
      <c r="M15" s="135">
        <v>1</v>
      </c>
      <c r="N15" s="148" t="s">
        <v>297</v>
      </c>
      <c r="O15" s="137">
        <f t="shared" si="6"/>
        <v>0</v>
      </c>
      <c r="P15" s="148" t="s">
        <v>298</v>
      </c>
    </row>
    <row r="16" spans="1:26" ht="38.25" customHeight="1" x14ac:dyDescent="0.2">
      <c r="A16" s="365" t="s">
        <v>33</v>
      </c>
      <c r="B16" s="151" t="s">
        <v>34</v>
      </c>
      <c r="C16" s="127">
        <f>'1. SB ABA DE CARREGAMENTO'!$C$31</f>
        <v>2700</v>
      </c>
      <c r="D16" s="152">
        <f>'3. SB Área'!AO81</f>
        <v>202.93080833333335</v>
      </c>
      <c r="E16" s="153">
        <f t="shared" si="0"/>
        <v>7.5159558641975308E-2</v>
      </c>
      <c r="F16" s="154">
        <f t="shared" si="1"/>
        <v>0</v>
      </c>
      <c r="G16" s="153">
        <f t="shared" si="2"/>
        <v>7.5159558641975308E-2</v>
      </c>
      <c r="H16" s="153">
        <f t="shared" si="3"/>
        <v>36.076588148148147</v>
      </c>
      <c r="I16" s="135">
        <f t="shared" si="4"/>
        <v>0</v>
      </c>
      <c r="J16" s="155" t="s">
        <v>295</v>
      </c>
      <c r="K16" s="135">
        <f t="shared" si="5"/>
        <v>0</v>
      </c>
      <c r="L16" s="155" t="s">
        <v>296</v>
      </c>
      <c r="M16" s="135">
        <v>1</v>
      </c>
      <c r="N16" s="155" t="s">
        <v>297</v>
      </c>
      <c r="O16" s="137">
        <f t="shared" si="6"/>
        <v>36.076588148148147</v>
      </c>
      <c r="P16" s="155" t="s">
        <v>298</v>
      </c>
    </row>
    <row r="17" spans="1:18" ht="38.25" customHeight="1" x14ac:dyDescent="0.2">
      <c r="A17" s="365"/>
      <c r="B17" s="151" t="s">
        <v>239</v>
      </c>
      <c r="C17" s="127">
        <f>'1. SB ABA DE CARREGAMENTO'!C32</f>
        <v>800</v>
      </c>
      <c r="D17" s="152">
        <f>'3. SB Área'!AP81</f>
        <v>0</v>
      </c>
      <c r="E17" s="153">
        <f t="shared" si="0"/>
        <v>0</v>
      </c>
      <c r="F17" s="154">
        <f t="shared" si="1"/>
        <v>0</v>
      </c>
      <c r="G17" s="153">
        <f t="shared" si="2"/>
        <v>0</v>
      </c>
      <c r="H17" s="153">
        <f t="shared" si="3"/>
        <v>0</v>
      </c>
      <c r="I17" s="135">
        <f t="shared" si="4"/>
        <v>0</v>
      </c>
      <c r="J17" s="155" t="s">
        <v>295</v>
      </c>
      <c r="K17" s="135">
        <f t="shared" si="5"/>
        <v>0</v>
      </c>
      <c r="L17" s="155" t="s">
        <v>296</v>
      </c>
      <c r="M17" s="135">
        <v>1</v>
      </c>
      <c r="N17" s="155" t="s">
        <v>297</v>
      </c>
      <c r="O17" s="137">
        <f t="shared" si="6"/>
        <v>0</v>
      </c>
      <c r="P17" s="155" t="s">
        <v>298</v>
      </c>
    </row>
    <row r="18" spans="1:18" ht="38.25" customHeight="1" x14ac:dyDescent="0.2">
      <c r="A18" s="365"/>
      <c r="B18" s="151" t="s">
        <v>240</v>
      </c>
      <c r="C18" s="127">
        <f>'1. SB ABA DE CARREGAMENTO'!C33</f>
        <v>450</v>
      </c>
      <c r="D18" s="152">
        <f>'3. SB Área'!AQ81</f>
        <v>0</v>
      </c>
      <c r="E18" s="153">
        <f t="shared" si="0"/>
        <v>0</v>
      </c>
      <c r="F18" s="154">
        <f t="shared" si="1"/>
        <v>0</v>
      </c>
      <c r="G18" s="153">
        <f t="shared" si="2"/>
        <v>0</v>
      </c>
      <c r="H18" s="155">
        <f t="shared" si="3"/>
        <v>0</v>
      </c>
      <c r="I18" s="135">
        <f t="shared" si="4"/>
        <v>0</v>
      </c>
      <c r="J18" s="155" t="s">
        <v>295</v>
      </c>
      <c r="K18" s="135">
        <f t="shared" si="5"/>
        <v>0</v>
      </c>
      <c r="L18" s="155" t="s">
        <v>296</v>
      </c>
      <c r="M18" s="135">
        <v>1</v>
      </c>
      <c r="N18" s="155" t="s">
        <v>297</v>
      </c>
      <c r="O18" s="135">
        <f t="shared" si="6"/>
        <v>0</v>
      </c>
      <c r="P18" s="155" t="s">
        <v>298</v>
      </c>
    </row>
    <row r="19" spans="1:18" ht="38.25" customHeight="1" x14ac:dyDescent="0.2">
      <c r="A19" s="365"/>
      <c r="B19" s="151" t="s">
        <v>37</v>
      </c>
      <c r="C19" s="127">
        <f>'1. SB ABA DE CARREGAMENTO'!$C$34</f>
        <v>9000</v>
      </c>
      <c r="D19" s="152">
        <f>'3. SB Área'!AR81</f>
        <v>0</v>
      </c>
      <c r="E19" s="153">
        <f t="shared" si="0"/>
        <v>0</v>
      </c>
      <c r="F19" s="154">
        <f t="shared" si="1"/>
        <v>0</v>
      </c>
      <c r="G19" s="153">
        <f t="shared" si="2"/>
        <v>0</v>
      </c>
      <c r="H19" s="153">
        <f t="shared" si="3"/>
        <v>0</v>
      </c>
      <c r="I19" s="135">
        <f t="shared" si="4"/>
        <v>0</v>
      </c>
      <c r="J19" s="155" t="s">
        <v>295</v>
      </c>
      <c r="K19" s="135">
        <f t="shared" si="5"/>
        <v>0</v>
      </c>
      <c r="L19" s="155" t="s">
        <v>296</v>
      </c>
      <c r="M19" s="135">
        <v>1</v>
      </c>
      <c r="N19" s="155" t="s">
        <v>297</v>
      </c>
      <c r="O19" s="137">
        <f t="shared" si="6"/>
        <v>0</v>
      </c>
      <c r="P19" s="155" t="s">
        <v>298</v>
      </c>
    </row>
    <row r="20" spans="1:18" ht="38.25" customHeight="1" x14ac:dyDescent="0.2">
      <c r="A20" s="365"/>
      <c r="B20" s="151" t="s">
        <v>38</v>
      </c>
      <c r="C20" s="127">
        <f>'1. SB ABA DE CARREGAMENTO'!$C$35</f>
        <v>2700</v>
      </c>
      <c r="D20" s="152">
        <f>'3. SB Área'!AS81</f>
        <v>0</v>
      </c>
      <c r="E20" s="153">
        <f t="shared" si="0"/>
        <v>0</v>
      </c>
      <c r="F20" s="154">
        <f t="shared" si="1"/>
        <v>0</v>
      </c>
      <c r="G20" s="153">
        <f t="shared" si="2"/>
        <v>0</v>
      </c>
      <c r="H20" s="156">
        <f t="shared" si="3"/>
        <v>0</v>
      </c>
      <c r="I20" s="135">
        <f t="shared" si="4"/>
        <v>0</v>
      </c>
      <c r="J20" s="155" t="s">
        <v>295</v>
      </c>
      <c r="K20" s="135">
        <f t="shared" si="5"/>
        <v>0</v>
      </c>
      <c r="L20" s="155" t="s">
        <v>296</v>
      </c>
      <c r="M20" s="135">
        <v>1</v>
      </c>
      <c r="N20" s="155" t="s">
        <v>297</v>
      </c>
      <c r="O20" s="157">
        <f t="shared" si="6"/>
        <v>0</v>
      </c>
      <c r="P20" s="155" t="s">
        <v>298</v>
      </c>
    </row>
    <row r="21" spans="1:18" ht="38.25" customHeight="1" x14ac:dyDescent="0.2">
      <c r="A21" s="365"/>
      <c r="B21" s="151" t="s">
        <v>39</v>
      </c>
      <c r="C21" s="127">
        <f>'1. SB ABA DE CARREGAMENTO'!$C$36</f>
        <v>2700</v>
      </c>
      <c r="D21" s="152">
        <f>'3. SB Área'!AT81</f>
        <v>0</v>
      </c>
      <c r="E21" s="153">
        <f t="shared" si="0"/>
        <v>0</v>
      </c>
      <c r="F21" s="154">
        <f t="shared" si="1"/>
        <v>0</v>
      </c>
      <c r="G21" s="153">
        <f t="shared" si="2"/>
        <v>0</v>
      </c>
      <c r="H21" s="156">
        <f t="shared" si="3"/>
        <v>0</v>
      </c>
      <c r="I21" s="135">
        <f t="shared" si="4"/>
        <v>0</v>
      </c>
      <c r="J21" s="155" t="s">
        <v>295</v>
      </c>
      <c r="K21" s="135">
        <f t="shared" si="5"/>
        <v>0</v>
      </c>
      <c r="L21" s="155" t="s">
        <v>296</v>
      </c>
      <c r="M21" s="135">
        <v>1</v>
      </c>
      <c r="N21" s="155" t="s">
        <v>297</v>
      </c>
      <c r="O21" s="157">
        <f t="shared" si="6"/>
        <v>0</v>
      </c>
      <c r="P21" s="155" t="s">
        <v>298</v>
      </c>
    </row>
    <row r="22" spans="1:18" ht="38.25" customHeight="1" x14ac:dyDescent="0.2">
      <c r="A22" s="365"/>
      <c r="B22" s="151" t="s">
        <v>40</v>
      </c>
      <c r="C22" s="127">
        <f>'1. SB ABA DE CARREGAMENTO'!$C$37</f>
        <v>2700</v>
      </c>
      <c r="D22" s="152">
        <f>'3. SB Área'!AU81</f>
        <v>0</v>
      </c>
      <c r="E22" s="153">
        <f t="shared" si="0"/>
        <v>0</v>
      </c>
      <c r="F22" s="154">
        <f t="shared" si="1"/>
        <v>0</v>
      </c>
      <c r="G22" s="153">
        <f t="shared" si="2"/>
        <v>0</v>
      </c>
      <c r="H22" s="156">
        <f t="shared" si="3"/>
        <v>0</v>
      </c>
      <c r="I22" s="135">
        <f t="shared" si="4"/>
        <v>0</v>
      </c>
      <c r="J22" s="155" t="s">
        <v>295</v>
      </c>
      <c r="K22" s="135">
        <f t="shared" si="5"/>
        <v>0</v>
      </c>
      <c r="L22" s="155" t="s">
        <v>296</v>
      </c>
      <c r="M22" s="135">
        <v>1</v>
      </c>
      <c r="N22" s="155" t="s">
        <v>297</v>
      </c>
      <c r="O22" s="157">
        <f t="shared" si="6"/>
        <v>0</v>
      </c>
      <c r="P22" s="155" t="s">
        <v>298</v>
      </c>
    </row>
    <row r="23" spans="1:18" ht="38.25" customHeight="1" x14ac:dyDescent="0.2">
      <c r="A23" s="365"/>
      <c r="B23" s="151" t="s">
        <v>41</v>
      </c>
      <c r="C23" s="127">
        <f>'1. SB ABA DE CARREGAMENTO'!$C$38</f>
        <v>100000</v>
      </c>
      <c r="D23" s="152">
        <f>'3. SB Área'!AV81</f>
        <v>0</v>
      </c>
      <c r="E23" s="153">
        <f t="shared" si="0"/>
        <v>0</v>
      </c>
      <c r="F23" s="154">
        <f t="shared" si="1"/>
        <v>0</v>
      </c>
      <c r="G23" s="153">
        <f t="shared" si="2"/>
        <v>0</v>
      </c>
      <c r="H23" s="153">
        <f t="shared" si="3"/>
        <v>0</v>
      </c>
      <c r="I23" s="135">
        <f t="shared" si="4"/>
        <v>0</v>
      </c>
      <c r="J23" s="155" t="s">
        <v>295</v>
      </c>
      <c r="K23" s="135">
        <f t="shared" si="5"/>
        <v>0</v>
      </c>
      <c r="L23" s="155" t="s">
        <v>296</v>
      </c>
      <c r="M23" s="135">
        <v>1</v>
      </c>
      <c r="N23" s="155" t="s">
        <v>297</v>
      </c>
      <c r="O23" s="137">
        <f t="shared" si="6"/>
        <v>0</v>
      </c>
      <c r="P23" s="155" t="s">
        <v>298</v>
      </c>
    </row>
    <row r="24" spans="1:18" ht="38.25" customHeight="1" x14ac:dyDescent="0.2">
      <c r="A24" s="158" t="s">
        <v>52</v>
      </c>
      <c r="B24" s="159" t="s">
        <v>53</v>
      </c>
      <c r="C24" s="3">
        <f>'1. SB ABA DE CARREGAMENTO'!$C$46</f>
        <v>450</v>
      </c>
      <c r="D24" s="160">
        <f>'3. SB Área'!BA81</f>
        <v>336.6</v>
      </c>
      <c r="E24" s="161">
        <f t="shared" si="0"/>
        <v>0.748</v>
      </c>
      <c r="F24" s="158">
        <f t="shared" si="1"/>
        <v>0</v>
      </c>
      <c r="G24" s="161">
        <f t="shared" si="2"/>
        <v>0.748</v>
      </c>
      <c r="H24" s="161">
        <f t="shared" si="3"/>
        <v>359.04</v>
      </c>
      <c r="I24" s="162">
        <f t="shared" si="4"/>
        <v>0</v>
      </c>
      <c r="J24" s="163" t="s">
        <v>295</v>
      </c>
      <c r="K24" s="162">
        <f>$C$27</f>
        <v>8</v>
      </c>
      <c r="L24" s="163" t="s">
        <v>296</v>
      </c>
      <c r="M24" s="162">
        <v>1</v>
      </c>
      <c r="N24" s="163" t="s">
        <v>297</v>
      </c>
      <c r="O24" s="164">
        <f t="shared" si="6"/>
        <v>359.04</v>
      </c>
      <c r="P24" s="163" t="s">
        <v>298</v>
      </c>
    </row>
    <row r="25" spans="1:18" ht="52.5" customHeight="1" x14ac:dyDescent="0.2">
      <c r="A25" s="366" t="s">
        <v>308</v>
      </c>
      <c r="B25" s="366"/>
      <c r="C25" s="366"/>
      <c r="D25" s="165">
        <f>SUM(D8:D24)</f>
        <v>20533.305900000003</v>
      </c>
      <c r="E25" s="166">
        <f>SUM(E8:E24)</f>
        <v>19.348443609197531</v>
      </c>
      <c r="F25" s="18">
        <f t="shared" si="1"/>
        <v>19</v>
      </c>
      <c r="G25" s="166">
        <f t="shared" si="2"/>
        <v>0.34844360919753115</v>
      </c>
      <c r="H25" s="167">
        <f t="shared" si="3"/>
        <v>167.25293241481495</v>
      </c>
      <c r="I25" s="168">
        <f t="shared" si="4"/>
        <v>19</v>
      </c>
      <c r="J25" s="167" t="s">
        <v>295</v>
      </c>
      <c r="K25" s="169">
        <f>$C$27</f>
        <v>8</v>
      </c>
      <c r="L25" s="167" t="s">
        <v>296</v>
      </c>
      <c r="M25" s="170">
        <v>1</v>
      </c>
      <c r="N25" s="167" t="s">
        <v>297</v>
      </c>
      <c r="O25" s="168">
        <f t="shared" si="6"/>
        <v>167.25293241481495</v>
      </c>
      <c r="P25" s="167" t="s">
        <v>298</v>
      </c>
      <c r="Q25" s="171"/>
      <c r="R25" s="171"/>
    </row>
    <row r="26" spans="1:18" ht="15.75" customHeight="1" x14ac:dyDescent="0.2">
      <c r="D26" s="143"/>
      <c r="E26" s="120"/>
      <c r="F26" s="16"/>
      <c r="G26" s="120"/>
      <c r="H26" s="120"/>
      <c r="J26" s="120"/>
      <c r="K26" s="120"/>
      <c r="L26" s="120"/>
      <c r="M26" s="120"/>
      <c r="N26" s="120"/>
      <c r="P26" s="120"/>
    </row>
    <row r="27" spans="1:18" ht="20.25" customHeight="1" x14ac:dyDescent="0.2">
      <c r="A27" s="367" t="s">
        <v>300</v>
      </c>
      <c r="B27" s="367"/>
      <c r="C27" s="172">
        <v>8</v>
      </c>
      <c r="D27" s="173" t="s">
        <v>301</v>
      </c>
      <c r="E27" s="368" t="s">
        <v>302</v>
      </c>
      <c r="F27" s="368"/>
      <c r="G27" s="368"/>
      <c r="H27" s="368"/>
      <c r="I27" s="368"/>
      <c r="J27" s="368"/>
      <c r="K27" s="368"/>
      <c r="L27" s="369">
        <f>F25+G25</f>
        <v>19.348443609197531</v>
      </c>
      <c r="M27" s="369"/>
      <c r="N27" s="369"/>
      <c r="O27" s="369"/>
      <c r="P27" s="369"/>
    </row>
    <row r="28" spans="1:18" ht="18.75" customHeight="1" x14ac:dyDescent="0.2">
      <c r="A28" s="363" t="s">
        <v>303</v>
      </c>
      <c r="B28" s="363"/>
      <c r="C28" s="363"/>
      <c r="D28" s="363"/>
      <c r="E28" s="363"/>
      <c r="F28" s="363"/>
      <c r="G28" s="363"/>
      <c r="H28" s="363"/>
      <c r="I28" s="363"/>
      <c r="J28" s="363"/>
      <c r="K28" s="363"/>
      <c r="L28" s="363"/>
      <c r="M28" s="363"/>
      <c r="N28" s="363"/>
      <c r="O28" s="363"/>
      <c r="P28" s="363"/>
    </row>
    <row r="29" spans="1:18" ht="18.75" customHeight="1" x14ac:dyDescent="0.2">
      <c r="A29" s="372" t="s">
        <v>304</v>
      </c>
      <c r="B29" s="372"/>
      <c r="C29" s="372"/>
      <c r="D29" s="372"/>
      <c r="E29" s="372"/>
      <c r="F29" s="372"/>
      <c r="G29" s="372"/>
      <c r="H29" s="372"/>
      <c r="I29" s="372"/>
      <c r="J29" s="372"/>
      <c r="K29" s="372"/>
      <c r="L29" s="372"/>
      <c r="M29" s="372"/>
      <c r="N29" s="372"/>
      <c r="O29" s="372"/>
      <c r="P29" s="372"/>
    </row>
    <row r="30" spans="1:18" ht="35.25" customHeight="1" x14ac:dyDescent="0.2">
      <c r="A30" s="373" t="s">
        <v>305</v>
      </c>
      <c r="B30" s="373"/>
      <c r="C30" s="373"/>
      <c r="D30" s="373"/>
      <c r="E30" s="373"/>
      <c r="F30" s="373"/>
      <c r="G30" s="373"/>
      <c r="H30" s="373"/>
      <c r="I30" s="373"/>
      <c r="J30" s="373"/>
      <c r="K30" s="373"/>
      <c r="L30" s="373"/>
      <c r="M30" s="373"/>
      <c r="N30" s="373"/>
      <c r="O30" s="373"/>
      <c r="P30" s="373"/>
    </row>
    <row r="31" spans="1:18" ht="18.75" customHeight="1" x14ac:dyDescent="0.2">
      <c r="A31" s="373"/>
      <c r="B31" s="373"/>
      <c r="C31" s="373"/>
      <c r="D31" s="373"/>
      <c r="E31" s="373"/>
      <c r="F31" s="373"/>
      <c r="G31" s="373"/>
      <c r="H31" s="373"/>
      <c r="I31" s="373"/>
      <c r="J31" s="373"/>
      <c r="K31" s="373"/>
      <c r="L31" s="373"/>
      <c r="M31" s="373"/>
      <c r="N31" s="373"/>
      <c r="O31" s="373"/>
      <c r="P31" s="373"/>
    </row>
    <row r="32" spans="1:18" ht="36" customHeight="1" x14ac:dyDescent="0.2">
      <c r="A32" s="374" t="s">
        <v>309</v>
      </c>
      <c r="B32" s="374"/>
      <c r="C32" s="374"/>
      <c r="D32" s="374"/>
      <c r="E32" s="374"/>
      <c r="F32" s="374"/>
      <c r="G32" s="374"/>
      <c r="H32" s="374"/>
      <c r="I32" s="374"/>
      <c r="J32" s="374"/>
      <c r="K32" s="374"/>
      <c r="L32" s="374"/>
      <c r="M32" s="374"/>
      <c r="N32" s="374"/>
      <c r="O32" s="374"/>
      <c r="P32" s="374"/>
    </row>
    <row r="33" spans="1:16" ht="18" customHeight="1" x14ac:dyDescent="0.2">
      <c r="A33" s="174"/>
      <c r="E33" s="120"/>
      <c r="G33" s="120"/>
      <c r="H33" s="120"/>
      <c r="P33" s="175"/>
    </row>
    <row r="34" spans="1:16" ht="18.75" customHeight="1" x14ac:dyDescent="0.2">
      <c r="A34" s="370" t="s">
        <v>310</v>
      </c>
      <c r="B34" s="370"/>
      <c r="C34" s="370"/>
      <c r="D34" s="370"/>
      <c r="E34" s="370"/>
      <c r="F34" s="370"/>
      <c r="G34" s="370"/>
      <c r="H34" s="370"/>
      <c r="I34" s="370"/>
      <c r="J34" s="370"/>
      <c r="K34" s="370"/>
      <c r="L34" s="370"/>
      <c r="M34" s="370"/>
      <c r="N34" s="370"/>
      <c r="O34" s="370"/>
      <c r="P34" s="370"/>
    </row>
    <row r="35" spans="1:16" ht="18.75" customHeight="1" x14ac:dyDescent="0.2">
      <c r="A35" s="371" t="s">
        <v>311</v>
      </c>
      <c r="B35" s="371"/>
      <c r="C35" s="371"/>
      <c r="D35" s="371"/>
      <c r="E35" s="371"/>
      <c r="F35" s="371"/>
      <c r="G35" s="371"/>
      <c r="H35" s="371"/>
      <c r="I35" s="371"/>
      <c r="J35" s="371"/>
      <c r="K35" s="371"/>
      <c r="L35" s="371"/>
      <c r="M35" s="371"/>
      <c r="N35" s="371"/>
      <c r="O35" s="371"/>
      <c r="P35" s="176"/>
    </row>
    <row r="36" spans="1:16" ht="12.75" customHeight="1" x14ac:dyDescent="0.2">
      <c r="E36" s="120"/>
      <c r="G36" s="120"/>
      <c r="H36" s="120"/>
    </row>
    <row r="37" spans="1:16" ht="12.75" customHeight="1" x14ac:dyDescent="0.2">
      <c r="E37" s="120"/>
      <c r="G37" s="120"/>
      <c r="H37" s="120"/>
    </row>
    <row r="38" spans="1:16" ht="12.75" customHeight="1" x14ac:dyDescent="0.2">
      <c r="E38" s="120"/>
      <c r="G38" s="120"/>
      <c r="H38" s="120"/>
    </row>
    <row r="39" spans="1:16" ht="12.75" customHeight="1" x14ac:dyDescent="0.2">
      <c r="E39" s="120"/>
      <c r="G39" s="120"/>
      <c r="H39" s="120"/>
    </row>
    <row r="40" spans="1:16" ht="12.75" customHeight="1" x14ac:dyDescent="0.2">
      <c r="E40" s="120"/>
      <c r="G40" s="120"/>
      <c r="H40" s="120"/>
    </row>
    <row r="41" spans="1:16" ht="12.75" customHeight="1" x14ac:dyDescent="0.2">
      <c r="E41" s="120"/>
      <c r="G41" s="120"/>
      <c r="H41" s="120"/>
    </row>
    <row r="42" spans="1:16" ht="12.75" customHeight="1" x14ac:dyDescent="0.2">
      <c r="E42" s="120"/>
      <c r="G42" s="120"/>
      <c r="H42" s="120"/>
    </row>
    <row r="43" spans="1:16" ht="12.75" customHeight="1" x14ac:dyDescent="0.2">
      <c r="E43" s="120"/>
      <c r="G43" s="120"/>
      <c r="H43" s="120"/>
    </row>
    <row r="44" spans="1:16" ht="12.75" customHeight="1" x14ac:dyDescent="0.2">
      <c r="E44" s="120"/>
      <c r="G44" s="120"/>
      <c r="H44" s="120"/>
    </row>
    <row r="45" spans="1:16" ht="12.75" customHeight="1" x14ac:dyDescent="0.2">
      <c r="E45" s="120"/>
      <c r="G45" s="120"/>
      <c r="H45" s="120"/>
    </row>
    <row r="46" spans="1:16" ht="12.75" customHeight="1" x14ac:dyDescent="0.2">
      <c r="E46" s="120"/>
      <c r="G46" s="120"/>
      <c r="H46" s="120"/>
    </row>
    <row r="47" spans="1:16" ht="12.75" customHeight="1" x14ac:dyDescent="0.2">
      <c r="E47" s="120"/>
      <c r="G47" s="120"/>
      <c r="H47" s="120"/>
    </row>
    <row r="48" spans="1:16" ht="12.75" customHeight="1" x14ac:dyDescent="0.2">
      <c r="E48" s="120"/>
      <c r="G48" s="120"/>
      <c r="H48" s="120"/>
    </row>
    <row r="49" spans="5:8" ht="12.75" customHeight="1" x14ac:dyDescent="0.2">
      <c r="E49" s="120"/>
      <c r="G49" s="120"/>
      <c r="H49" s="120"/>
    </row>
    <row r="50" spans="5:8" ht="12.75" customHeight="1" x14ac:dyDescent="0.2">
      <c r="E50" s="120"/>
      <c r="G50" s="120"/>
      <c r="H50" s="120"/>
    </row>
    <row r="51" spans="5:8" ht="12.75" customHeight="1" x14ac:dyDescent="0.2">
      <c r="E51" s="120"/>
      <c r="G51" s="120"/>
      <c r="H51" s="120"/>
    </row>
    <row r="52" spans="5:8" ht="12.75" customHeight="1" x14ac:dyDescent="0.2">
      <c r="E52" s="120"/>
      <c r="G52" s="120"/>
      <c r="H52" s="120"/>
    </row>
    <row r="53" spans="5:8" ht="12.75" customHeight="1" x14ac:dyDescent="0.2">
      <c r="E53" s="120"/>
      <c r="G53" s="120"/>
      <c r="H53" s="120"/>
    </row>
    <row r="54" spans="5:8" ht="12.75" customHeight="1" x14ac:dyDescent="0.2">
      <c r="E54" s="120"/>
      <c r="G54" s="120"/>
      <c r="H54" s="120"/>
    </row>
    <row r="55" spans="5:8" ht="12.75" customHeight="1" x14ac:dyDescent="0.2">
      <c r="E55" s="120"/>
      <c r="G55" s="120"/>
      <c r="H55" s="120"/>
    </row>
    <row r="56" spans="5:8" ht="12.75" customHeight="1" x14ac:dyDescent="0.2">
      <c r="E56" s="120"/>
      <c r="G56" s="120"/>
      <c r="H56" s="120"/>
    </row>
    <row r="57" spans="5:8" ht="12.75" customHeight="1" x14ac:dyDescent="0.2">
      <c r="E57" s="120"/>
      <c r="G57" s="120"/>
      <c r="H57" s="120"/>
    </row>
    <row r="58" spans="5:8" ht="12.75" customHeight="1" x14ac:dyDescent="0.2">
      <c r="E58" s="120"/>
      <c r="G58" s="120"/>
      <c r="H58" s="120"/>
    </row>
    <row r="59" spans="5:8" ht="12.75" customHeight="1" x14ac:dyDescent="0.2">
      <c r="E59" s="120"/>
      <c r="G59" s="120"/>
      <c r="H59" s="120"/>
    </row>
    <row r="60" spans="5:8" ht="12.75" customHeight="1" x14ac:dyDescent="0.2">
      <c r="E60" s="120"/>
      <c r="G60" s="120"/>
      <c r="H60" s="120"/>
    </row>
    <row r="61" spans="5:8" ht="12.75" customHeight="1" x14ac:dyDescent="0.2">
      <c r="E61" s="120"/>
      <c r="G61" s="120"/>
      <c r="H61" s="120"/>
    </row>
    <row r="62" spans="5:8" ht="12.75" customHeight="1" x14ac:dyDescent="0.2">
      <c r="E62" s="120"/>
      <c r="G62" s="120"/>
      <c r="H62" s="120"/>
    </row>
    <row r="63" spans="5:8" ht="12.75" customHeight="1" x14ac:dyDescent="0.2">
      <c r="E63" s="120"/>
      <c r="G63" s="120"/>
      <c r="H63" s="120"/>
    </row>
    <row r="64" spans="5:8" ht="12.75" customHeight="1" x14ac:dyDescent="0.2">
      <c r="E64" s="120"/>
      <c r="G64" s="120"/>
      <c r="H64" s="120"/>
    </row>
    <row r="65" spans="5:8" ht="12.75" customHeight="1" x14ac:dyDescent="0.2">
      <c r="E65" s="120"/>
      <c r="G65" s="120"/>
      <c r="H65" s="120"/>
    </row>
    <row r="66" spans="5:8" ht="12.75" customHeight="1" x14ac:dyDescent="0.2">
      <c r="E66" s="120"/>
      <c r="G66" s="120"/>
      <c r="H66" s="120"/>
    </row>
    <row r="67" spans="5:8" ht="12.75" customHeight="1" x14ac:dyDescent="0.2">
      <c r="E67" s="120"/>
      <c r="G67" s="120"/>
      <c r="H67" s="120"/>
    </row>
    <row r="68" spans="5:8" ht="12.75" customHeight="1" x14ac:dyDescent="0.2">
      <c r="E68" s="120"/>
      <c r="G68" s="120"/>
      <c r="H68" s="120"/>
    </row>
    <row r="69" spans="5:8" ht="12.75" customHeight="1" x14ac:dyDescent="0.2">
      <c r="E69" s="120"/>
      <c r="G69" s="120"/>
      <c r="H69" s="120"/>
    </row>
    <row r="70" spans="5:8" ht="12.75" customHeight="1" x14ac:dyDescent="0.2">
      <c r="E70" s="120"/>
      <c r="G70" s="120"/>
      <c r="H70" s="120"/>
    </row>
    <row r="71" spans="5:8" ht="12.75" customHeight="1" x14ac:dyDescent="0.2">
      <c r="E71" s="120"/>
      <c r="G71" s="120"/>
      <c r="H71" s="120"/>
    </row>
    <row r="72" spans="5:8" ht="12.75" customHeight="1" x14ac:dyDescent="0.2">
      <c r="E72" s="120"/>
      <c r="G72" s="120"/>
      <c r="H72" s="120"/>
    </row>
    <row r="73" spans="5:8" ht="12.75" customHeight="1" x14ac:dyDescent="0.2">
      <c r="E73" s="120"/>
      <c r="G73" s="120"/>
      <c r="H73" s="120"/>
    </row>
    <row r="74" spans="5:8" ht="12.75" customHeight="1" x14ac:dyDescent="0.2">
      <c r="E74" s="120"/>
      <c r="G74" s="120"/>
      <c r="H74" s="120"/>
    </row>
    <row r="75" spans="5:8" ht="12.75" customHeight="1" x14ac:dyDescent="0.2">
      <c r="E75" s="120"/>
      <c r="G75" s="120"/>
      <c r="H75" s="120"/>
    </row>
    <row r="76" spans="5:8" ht="12.75" customHeight="1" x14ac:dyDescent="0.2">
      <c r="E76" s="120"/>
      <c r="G76" s="120"/>
      <c r="H76" s="120"/>
    </row>
    <row r="77" spans="5:8" ht="12.75" customHeight="1" x14ac:dyDescent="0.2">
      <c r="E77" s="120"/>
      <c r="G77" s="120"/>
      <c r="H77" s="120"/>
    </row>
    <row r="78" spans="5:8" ht="12.75" customHeight="1" x14ac:dyDescent="0.2">
      <c r="E78" s="120"/>
      <c r="G78" s="120"/>
      <c r="H78" s="120"/>
    </row>
    <row r="79" spans="5:8" ht="12.75" customHeight="1" x14ac:dyDescent="0.2">
      <c r="E79" s="120"/>
      <c r="G79" s="120"/>
      <c r="H79" s="120"/>
    </row>
    <row r="80" spans="5:8" ht="12.75" customHeight="1" x14ac:dyDescent="0.2">
      <c r="E80" s="120"/>
      <c r="G80" s="120"/>
      <c r="H80" s="120"/>
    </row>
    <row r="81" spans="5:8" ht="12.75" customHeight="1" x14ac:dyDescent="0.2">
      <c r="E81" s="120"/>
      <c r="G81" s="120"/>
      <c r="H81" s="120"/>
    </row>
    <row r="82" spans="5:8" ht="12.75" customHeight="1" x14ac:dyDescent="0.2">
      <c r="E82" s="120"/>
      <c r="G82" s="120"/>
      <c r="H82" s="120"/>
    </row>
    <row r="83" spans="5:8" ht="12.75" customHeight="1" x14ac:dyDescent="0.2">
      <c r="E83" s="120"/>
      <c r="G83" s="120"/>
      <c r="H83" s="120"/>
    </row>
    <row r="84" spans="5:8" ht="12.75" customHeight="1" x14ac:dyDescent="0.2">
      <c r="E84" s="120"/>
      <c r="G84" s="120"/>
      <c r="H84" s="120"/>
    </row>
    <row r="85" spans="5:8" ht="12.75" customHeight="1" x14ac:dyDescent="0.2">
      <c r="E85" s="120"/>
      <c r="G85" s="120"/>
      <c r="H85" s="120"/>
    </row>
    <row r="86" spans="5:8" ht="12.75" customHeight="1" x14ac:dyDescent="0.2">
      <c r="E86" s="120"/>
      <c r="G86" s="120"/>
      <c r="H86" s="120"/>
    </row>
    <row r="87" spans="5:8" ht="12.75" customHeight="1" x14ac:dyDescent="0.2">
      <c r="E87" s="120"/>
      <c r="G87" s="120"/>
      <c r="H87" s="120"/>
    </row>
    <row r="88" spans="5:8" ht="12.75" customHeight="1" x14ac:dyDescent="0.2">
      <c r="E88" s="120"/>
      <c r="G88" s="120"/>
      <c r="H88" s="120"/>
    </row>
    <row r="89" spans="5:8" ht="12.75" customHeight="1" x14ac:dyDescent="0.2">
      <c r="E89" s="120"/>
      <c r="G89" s="120"/>
      <c r="H89" s="120"/>
    </row>
    <row r="90" spans="5:8" ht="12.75" customHeight="1" x14ac:dyDescent="0.2">
      <c r="E90" s="120"/>
      <c r="G90" s="120"/>
      <c r="H90" s="120"/>
    </row>
    <row r="91" spans="5:8" ht="12.75" customHeight="1" x14ac:dyDescent="0.2">
      <c r="E91" s="120"/>
      <c r="G91" s="120"/>
      <c r="H91" s="120"/>
    </row>
    <row r="92" spans="5:8" ht="12.75" customHeight="1" x14ac:dyDescent="0.2">
      <c r="E92" s="120"/>
      <c r="G92" s="120"/>
      <c r="H92" s="120"/>
    </row>
    <row r="93" spans="5:8" ht="12.75" customHeight="1" x14ac:dyDescent="0.2">
      <c r="E93" s="120"/>
      <c r="G93" s="120"/>
      <c r="H93" s="120"/>
    </row>
    <row r="94" spans="5:8" ht="12.75" customHeight="1" x14ac:dyDescent="0.2">
      <c r="E94" s="120"/>
      <c r="G94" s="120"/>
      <c r="H94" s="120"/>
    </row>
    <row r="95" spans="5:8" ht="12.75" customHeight="1" x14ac:dyDescent="0.2">
      <c r="E95" s="120"/>
      <c r="G95" s="120"/>
      <c r="H95" s="120"/>
    </row>
    <row r="96" spans="5:8" ht="12.75" customHeight="1" x14ac:dyDescent="0.2">
      <c r="E96" s="120"/>
      <c r="G96" s="120"/>
      <c r="H96" s="120"/>
    </row>
    <row r="97" spans="5:8" ht="12.75" customHeight="1" x14ac:dyDescent="0.2">
      <c r="E97" s="120"/>
      <c r="G97" s="120"/>
      <c r="H97" s="120"/>
    </row>
    <row r="98" spans="5:8" ht="12.75" customHeight="1" x14ac:dyDescent="0.2">
      <c r="E98" s="120"/>
      <c r="G98" s="120"/>
      <c r="H98" s="120"/>
    </row>
    <row r="99" spans="5:8" ht="12.75" customHeight="1" x14ac:dyDescent="0.2">
      <c r="E99" s="120"/>
      <c r="G99" s="120"/>
      <c r="H99" s="120"/>
    </row>
    <row r="100" spans="5:8" ht="12.75" customHeight="1" x14ac:dyDescent="0.2">
      <c r="E100" s="120"/>
      <c r="G100" s="120"/>
      <c r="H100" s="120"/>
    </row>
    <row r="101" spans="5:8" ht="12.75" customHeight="1" x14ac:dyDescent="0.2">
      <c r="E101" s="120"/>
      <c r="G101" s="120"/>
      <c r="H101" s="120"/>
    </row>
    <row r="102" spans="5:8" ht="12.75" customHeight="1" x14ac:dyDescent="0.2">
      <c r="E102" s="120"/>
      <c r="G102" s="120"/>
      <c r="H102" s="120"/>
    </row>
    <row r="103" spans="5:8" ht="12.75" customHeight="1" x14ac:dyDescent="0.2">
      <c r="E103" s="120"/>
      <c r="G103" s="120"/>
      <c r="H103" s="120"/>
    </row>
    <row r="104" spans="5:8" ht="12.75" customHeight="1" x14ac:dyDescent="0.2">
      <c r="E104" s="120"/>
      <c r="G104" s="120"/>
      <c r="H104" s="120"/>
    </row>
    <row r="105" spans="5:8" ht="12.75" customHeight="1" x14ac:dyDescent="0.2">
      <c r="E105" s="120"/>
      <c r="G105" s="120"/>
      <c r="H105" s="120"/>
    </row>
    <row r="106" spans="5:8" ht="12.75" customHeight="1" x14ac:dyDescent="0.2">
      <c r="E106" s="120"/>
      <c r="G106" s="120"/>
      <c r="H106" s="120"/>
    </row>
    <row r="107" spans="5:8" ht="12.75" customHeight="1" x14ac:dyDescent="0.2">
      <c r="E107" s="120"/>
      <c r="G107" s="120"/>
      <c r="H107" s="120"/>
    </row>
    <row r="108" spans="5:8" ht="12.75" customHeight="1" x14ac:dyDescent="0.2">
      <c r="E108" s="120"/>
      <c r="G108" s="120"/>
      <c r="H108" s="120"/>
    </row>
    <row r="109" spans="5:8" ht="12.75" customHeight="1" x14ac:dyDescent="0.2">
      <c r="E109" s="120"/>
      <c r="G109" s="120"/>
      <c r="H109" s="120"/>
    </row>
    <row r="110" spans="5:8" ht="12.75" customHeight="1" x14ac:dyDescent="0.2">
      <c r="E110" s="120"/>
      <c r="G110" s="120"/>
      <c r="H110" s="120"/>
    </row>
    <row r="111" spans="5:8" ht="12.75" customHeight="1" x14ac:dyDescent="0.2">
      <c r="E111" s="120"/>
      <c r="G111" s="120"/>
      <c r="H111" s="120"/>
    </row>
    <row r="112" spans="5:8" ht="12.75" customHeight="1" x14ac:dyDescent="0.2">
      <c r="E112" s="120"/>
      <c r="G112" s="120"/>
      <c r="H112" s="120"/>
    </row>
    <row r="113" spans="5:8" ht="12.75" customHeight="1" x14ac:dyDescent="0.2">
      <c r="E113" s="120"/>
      <c r="G113" s="120"/>
      <c r="H113" s="120"/>
    </row>
    <row r="114" spans="5:8" ht="12.75" customHeight="1" x14ac:dyDescent="0.2">
      <c r="E114" s="120"/>
      <c r="G114" s="120"/>
      <c r="H114" s="120"/>
    </row>
    <row r="115" spans="5:8" ht="12.75" customHeight="1" x14ac:dyDescent="0.2">
      <c r="E115" s="120"/>
      <c r="G115" s="120"/>
      <c r="H115" s="120"/>
    </row>
    <row r="116" spans="5:8" ht="12.75" customHeight="1" x14ac:dyDescent="0.2">
      <c r="E116" s="120"/>
      <c r="G116" s="120"/>
      <c r="H116" s="120"/>
    </row>
    <row r="117" spans="5:8" ht="12.75" customHeight="1" x14ac:dyDescent="0.2">
      <c r="E117" s="120"/>
      <c r="G117" s="120"/>
      <c r="H117" s="120"/>
    </row>
    <row r="118" spans="5:8" ht="12.75" customHeight="1" x14ac:dyDescent="0.2">
      <c r="E118" s="120"/>
      <c r="G118" s="120"/>
      <c r="H118" s="120"/>
    </row>
    <row r="119" spans="5:8" ht="12.75" customHeight="1" x14ac:dyDescent="0.2">
      <c r="E119" s="120"/>
      <c r="G119" s="120"/>
      <c r="H119" s="120"/>
    </row>
    <row r="120" spans="5:8" ht="12.75" customHeight="1" x14ac:dyDescent="0.2">
      <c r="E120" s="120"/>
      <c r="G120" s="120"/>
      <c r="H120" s="120"/>
    </row>
    <row r="121" spans="5:8" ht="12.75" customHeight="1" x14ac:dyDescent="0.2">
      <c r="E121" s="120"/>
      <c r="G121" s="120"/>
      <c r="H121" s="120"/>
    </row>
    <row r="122" spans="5:8" ht="12.75" customHeight="1" x14ac:dyDescent="0.2">
      <c r="E122" s="120"/>
      <c r="G122" s="120"/>
      <c r="H122" s="120"/>
    </row>
    <row r="123" spans="5:8" ht="12.75" customHeight="1" x14ac:dyDescent="0.2">
      <c r="E123" s="120"/>
      <c r="G123" s="120"/>
      <c r="H123" s="120"/>
    </row>
    <row r="124" spans="5:8" ht="12.75" customHeight="1" x14ac:dyDescent="0.2">
      <c r="E124" s="120"/>
      <c r="G124" s="120"/>
      <c r="H124" s="120"/>
    </row>
    <row r="125" spans="5:8" ht="12.75" customHeight="1" x14ac:dyDescent="0.2">
      <c r="E125" s="120"/>
      <c r="G125" s="120"/>
      <c r="H125" s="120"/>
    </row>
    <row r="126" spans="5:8" ht="12.75" customHeight="1" x14ac:dyDescent="0.2">
      <c r="E126" s="120"/>
      <c r="G126" s="120"/>
      <c r="H126" s="120"/>
    </row>
    <row r="127" spans="5:8" ht="12.75" customHeight="1" x14ac:dyDescent="0.2">
      <c r="E127" s="120"/>
      <c r="G127" s="120"/>
      <c r="H127" s="120"/>
    </row>
    <row r="128" spans="5:8" ht="12.75" customHeight="1" x14ac:dyDescent="0.2">
      <c r="E128" s="120"/>
      <c r="G128" s="120"/>
      <c r="H128" s="120"/>
    </row>
    <row r="129" spans="5:8" ht="12.75" customHeight="1" x14ac:dyDescent="0.2">
      <c r="E129" s="120"/>
      <c r="G129" s="120"/>
      <c r="H129" s="120"/>
    </row>
    <row r="130" spans="5:8" ht="12.75" customHeight="1" x14ac:dyDescent="0.2">
      <c r="E130" s="120"/>
      <c r="G130" s="120"/>
      <c r="H130" s="120"/>
    </row>
    <row r="131" spans="5:8" ht="12.75" customHeight="1" x14ac:dyDescent="0.2">
      <c r="E131" s="120"/>
      <c r="G131" s="120"/>
      <c r="H131" s="120"/>
    </row>
    <row r="132" spans="5:8" ht="12.75" customHeight="1" x14ac:dyDescent="0.2">
      <c r="E132" s="120"/>
      <c r="G132" s="120"/>
      <c r="H132" s="120"/>
    </row>
    <row r="133" spans="5:8" ht="12.75" customHeight="1" x14ac:dyDescent="0.2">
      <c r="E133" s="120"/>
      <c r="G133" s="120"/>
      <c r="H133" s="120"/>
    </row>
    <row r="134" spans="5:8" ht="12.75" customHeight="1" x14ac:dyDescent="0.2">
      <c r="E134" s="120"/>
      <c r="G134" s="120"/>
      <c r="H134" s="120"/>
    </row>
    <row r="135" spans="5:8" ht="12.75" customHeight="1" x14ac:dyDescent="0.2">
      <c r="E135" s="120"/>
      <c r="G135" s="120"/>
      <c r="H135" s="120"/>
    </row>
    <row r="136" spans="5:8" ht="12.75" customHeight="1" x14ac:dyDescent="0.2">
      <c r="E136" s="120"/>
      <c r="G136" s="120"/>
      <c r="H136" s="120"/>
    </row>
    <row r="137" spans="5:8" ht="12.75" customHeight="1" x14ac:dyDescent="0.2">
      <c r="E137" s="120"/>
      <c r="G137" s="120"/>
      <c r="H137" s="120"/>
    </row>
    <row r="138" spans="5:8" ht="12.75" customHeight="1" x14ac:dyDescent="0.2">
      <c r="E138" s="120"/>
      <c r="G138" s="120"/>
      <c r="H138" s="120"/>
    </row>
    <row r="139" spans="5:8" ht="12.75" customHeight="1" x14ac:dyDescent="0.2">
      <c r="E139" s="120"/>
      <c r="G139" s="120"/>
      <c r="H139" s="120"/>
    </row>
    <row r="140" spans="5:8" ht="12.75" customHeight="1" x14ac:dyDescent="0.2">
      <c r="E140" s="120"/>
      <c r="G140" s="120"/>
      <c r="H140" s="120"/>
    </row>
    <row r="141" spans="5:8" ht="12.75" customHeight="1" x14ac:dyDescent="0.2">
      <c r="E141" s="120"/>
      <c r="G141" s="120"/>
      <c r="H141" s="120"/>
    </row>
    <row r="142" spans="5:8" ht="12.75" customHeight="1" x14ac:dyDescent="0.2">
      <c r="E142" s="120"/>
      <c r="G142" s="120"/>
      <c r="H142" s="120"/>
    </row>
    <row r="143" spans="5:8" ht="12.75" customHeight="1" x14ac:dyDescent="0.2">
      <c r="E143" s="120"/>
      <c r="G143" s="120"/>
      <c r="H143" s="120"/>
    </row>
    <row r="144" spans="5:8" ht="12.75" customHeight="1" x14ac:dyDescent="0.2">
      <c r="E144" s="120"/>
      <c r="G144" s="120"/>
      <c r="H144" s="120"/>
    </row>
    <row r="145" spans="5:8" ht="12.75" customHeight="1" x14ac:dyDescent="0.2">
      <c r="E145" s="120"/>
      <c r="G145" s="120"/>
      <c r="H145" s="120"/>
    </row>
    <row r="146" spans="5:8" ht="12.75" customHeight="1" x14ac:dyDescent="0.2">
      <c r="E146" s="120"/>
      <c r="G146" s="120"/>
      <c r="H146" s="120"/>
    </row>
    <row r="147" spans="5:8" ht="12.75" customHeight="1" x14ac:dyDescent="0.2">
      <c r="E147" s="120"/>
      <c r="G147" s="120"/>
      <c r="H147" s="120"/>
    </row>
    <row r="148" spans="5:8" ht="12.75" customHeight="1" x14ac:dyDescent="0.2">
      <c r="E148" s="120"/>
      <c r="G148" s="120"/>
      <c r="H148" s="120"/>
    </row>
    <row r="149" spans="5:8" ht="12.75" customHeight="1" x14ac:dyDescent="0.2">
      <c r="E149" s="120"/>
      <c r="G149" s="120"/>
      <c r="H149" s="120"/>
    </row>
    <row r="150" spans="5:8" ht="12.75" customHeight="1" x14ac:dyDescent="0.2">
      <c r="E150" s="120"/>
      <c r="G150" s="120"/>
      <c r="H150" s="120"/>
    </row>
    <row r="151" spans="5:8" ht="12.75" customHeight="1" x14ac:dyDescent="0.2">
      <c r="E151" s="120"/>
      <c r="G151" s="120"/>
      <c r="H151" s="120"/>
    </row>
    <row r="152" spans="5:8" ht="12.75" customHeight="1" x14ac:dyDescent="0.2">
      <c r="E152" s="120"/>
      <c r="G152" s="120"/>
      <c r="H152" s="120"/>
    </row>
    <row r="153" spans="5:8" ht="12.75" customHeight="1" x14ac:dyDescent="0.2">
      <c r="E153" s="120"/>
      <c r="G153" s="120"/>
      <c r="H153" s="120"/>
    </row>
    <row r="154" spans="5:8" ht="12.75" customHeight="1" x14ac:dyDescent="0.2">
      <c r="E154" s="120"/>
      <c r="G154" s="120"/>
      <c r="H154" s="120"/>
    </row>
    <row r="155" spans="5:8" ht="12.75" customHeight="1" x14ac:dyDescent="0.2">
      <c r="E155" s="120"/>
      <c r="G155" s="120"/>
      <c r="H155" s="120"/>
    </row>
    <row r="156" spans="5:8" ht="12.75" customHeight="1" x14ac:dyDescent="0.2">
      <c r="E156" s="120"/>
      <c r="G156" s="120"/>
      <c r="H156" s="120"/>
    </row>
    <row r="157" spans="5:8" ht="12.75" customHeight="1" x14ac:dyDescent="0.2">
      <c r="E157" s="120"/>
      <c r="G157" s="120"/>
      <c r="H157" s="120"/>
    </row>
    <row r="158" spans="5:8" ht="12.75" customHeight="1" x14ac:dyDescent="0.2">
      <c r="E158" s="120"/>
      <c r="G158" s="120"/>
      <c r="H158" s="120"/>
    </row>
    <row r="159" spans="5:8" ht="12.75" customHeight="1" x14ac:dyDescent="0.2">
      <c r="E159" s="120"/>
      <c r="G159" s="120"/>
      <c r="H159" s="120"/>
    </row>
    <row r="160" spans="5:8" ht="12.75" customHeight="1" x14ac:dyDescent="0.2">
      <c r="E160" s="120"/>
      <c r="G160" s="120"/>
      <c r="H160" s="120"/>
    </row>
    <row r="161" spans="5:8" ht="12.75" customHeight="1" x14ac:dyDescent="0.2">
      <c r="E161" s="120"/>
      <c r="G161" s="120"/>
      <c r="H161" s="120"/>
    </row>
    <row r="162" spans="5:8" ht="12.75" customHeight="1" x14ac:dyDescent="0.2">
      <c r="E162" s="120"/>
      <c r="G162" s="120"/>
      <c r="H162" s="120"/>
    </row>
    <row r="163" spans="5:8" ht="12.75" customHeight="1" x14ac:dyDescent="0.2">
      <c r="E163" s="120"/>
      <c r="G163" s="120"/>
      <c r="H163" s="120"/>
    </row>
    <row r="164" spans="5:8" ht="12.75" customHeight="1" x14ac:dyDescent="0.2">
      <c r="E164" s="120"/>
      <c r="G164" s="120"/>
      <c r="H164" s="120"/>
    </row>
    <row r="165" spans="5:8" ht="12.75" customHeight="1" x14ac:dyDescent="0.2">
      <c r="E165" s="120"/>
      <c r="G165" s="120"/>
      <c r="H165" s="120"/>
    </row>
    <row r="166" spans="5:8" ht="12.75" customHeight="1" x14ac:dyDescent="0.2">
      <c r="E166" s="120"/>
      <c r="G166" s="120"/>
      <c r="H166" s="120"/>
    </row>
    <row r="167" spans="5:8" ht="12.75" customHeight="1" x14ac:dyDescent="0.2">
      <c r="E167" s="120"/>
      <c r="G167" s="120"/>
      <c r="H167" s="120"/>
    </row>
    <row r="168" spans="5:8" ht="12.75" customHeight="1" x14ac:dyDescent="0.2">
      <c r="E168" s="120"/>
      <c r="G168" s="120"/>
      <c r="H168" s="120"/>
    </row>
    <row r="169" spans="5:8" ht="12.75" customHeight="1" x14ac:dyDescent="0.2">
      <c r="E169" s="120"/>
      <c r="G169" s="120"/>
      <c r="H169" s="120"/>
    </row>
    <row r="170" spans="5:8" ht="12.75" customHeight="1" x14ac:dyDescent="0.2">
      <c r="E170" s="120"/>
      <c r="G170" s="120"/>
      <c r="H170" s="120"/>
    </row>
    <row r="171" spans="5:8" ht="12.75" customHeight="1" x14ac:dyDescent="0.2">
      <c r="E171" s="120"/>
      <c r="G171" s="120"/>
      <c r="H171" s="120"/>
    </row>
    <row r="172" spans="5:8" ht="12.75" customHeight="1" x14ac:dyDescent="0.2">
      <c r="E172" s="120"/>
      <c r="G172" s="120"/>
      <c r="H172" s="120"/>
    </row>
    <row r="173" spans="5:8" ht="12.75" customHeight="1" x14ac:dyDescent="0.2">
      <c r="E173" s="120"/>
      <c r="G173" s="120"/>
      <c r="H173" s="120"/>
    </row>
    <row r="174" spans="5:8" ht="12.75" customHeight="1" x14ac:dyDescent="0.2">
      <c r="E174" s="120"/>
      <c r="G174" s="120"/>
      <c r="H174" s="120"/>
    </row>
    <row r="175" spans="5:8" ht="12.75" customHeight="1" x14ac:dyDescent="0.2">
      <c r="E175" s="120"/>
      <c r="G175" s="120"/>
      <c r="H175" s="120"/>
    </row>
    <row r="176" spans="5:8" ht="12.75" customHeight="1" x14ac:dyDescent="0.2">
      <c r="E176" s="120"/>
      <c r="G176" s="120"/>
      <c r="H176" s="120"/>
    </row>
    <row r="177" spans="5:8" ht="12.75" customHeight="1" x14ac:dyDescent="0.2">
      <c r="E177" s="120"/>
      <c r="G177" s="120"/>
      <c r="H177" s="120"/>
    </row>
    <row r="178" spans="5:8" ht="12.75" customHeight="1" x14ac:dyDescent="0.2">
      <c r="E178" s="120"/>
      <c r="G178" s="120"/>
      <c r="H178" s="120"/>
    </row>
    <row r="179" spans="5:8" ht="12.75" customHeight="1" x14ac:dyDescent="0.2">
      <c r="E179" s="120"/>
      <c r="G179" s="120"/>
      <c r="H179" s="120"/>
    </row>
    <row r="180" spans="5:8" ht="12.75" customHeight="1" x14ac:dyDescent="0.2">
      <c r="E180" s="120"/>
      <c r="G180" s="120"/>
      <c r="H180" s="120"/>
    </row>
    <row r="181" spans="5:8" ht="12.75" customHeight="1" x14ac:dyDescent="0.2">
      <c r="E181" s="120"/>
      <c r="G181" s="120"/>
      <c r="H181" s="120"/>
    </row>
    <row r="182" spans="5:8" ht="12.75" customHeight="1" x14ac:dyDescent="0.2">
      <c r="E182" s="120"/>
      <c r="G182" s="120"/>
      <c r="H182" s="120"/>
    </row>
    <row r="183" spans="5:8" ht="12.75" customHeight="1" x14ac:dyDescent="0.2">
      <c r="E183" s="120"/>
      <c r="G183" s="120"/>
      <c r="H183" s="120"/>
    </row>
    <row r="184" spans="5:8" ht="12.75" customHeight="1" x14ac:dyDescent="0.2">
      <c r="E184" s="120"/>
      <c r="G184" s="120"/>
      <c r="H184" s="120"/>
    </row>
    <row r="185" spans="5:8" ht="12.75" customHeight="1" x14ac:dyDescent="0.2">
      <c r="E185" s="120"/>
      <c r="G185" s="120"/>
      <c r="H185" s="120"/>
    </row>
    <row r="186" spans="5:8" ht="12.75" customHeight="1" x14ac:dyDescent="0.2">
      <c r="E186" s="120"/>
      <c r="G186" s="120"/>
      <c r="H186" s="120"/>
    </row>
    <row r="187" spans="5:8" ht="12.75" customHeight="1" x14ac:dyDescent="0.2">
      <c r="E187" s="120"/>
      <c r="G187" s="120"/>
      <c r="H187" s="120"/>
    </row>
    <row r="188" spans="5:8" ht="12.75" customHeight="1" x14ac:dyDescent="0.2">
      <c r="E188" s="120"/>
      <c r="G188" s="120"/>
      <c r="H188" s="120"/>
    </row>
    <row r="189" spans="5:8" ht="12.75" customHeight="1" x14ac:dyDescent="0.2">
      <c r="E189" s="120"/>
      <c r="G189" s="120"/>
      <c r="H189" s="120"/>
    </row>
    <row r="190" spans="5:8" ht="12.75" customHeight="1" x14ac:dyDescent="0.2">
      <c r="E190" s="120"/>
      <c r="G190" s="120"/>
      <c r="H190" s="120"/>
    </row>
    <row r="191" spans="5:8" ht="12.75" customHeight="1" x14ac:dyDescent="0.2">
      <c r="E191" s="120"/>
      <c r="G191" s="120"/>
      <c r="H191" s="120"/>
    </row>
    <row r="192" spans="5:8" ht="12.75" customHeight="1" x14ac:dyDescent="0.2">
      <c r="E192" s="120"/>
      <c r="G192" s="120"/>
      <c r="H192" s="120"/>
    </row>
    <row r="193" spans="5:8" ht="12.75" customHeight="1" x14ac:dyDescent="0.2">
      <c r="E193" s="120"/>
      <c r="G193" s="120"/>
      <c r="H193" s="120"/>
    </row>
    <row r="194" spans="5:8" ht="12.75" customHeight="1" x14ac:dyDescent="0.2">
      <c r="E194" s="120"/>
      <c r="G194" s="120"/>
      <c r="H194" s="120"/>
    </row>
    <row r="195" spans="5:8" ht="12.75" customHeight="1" x14ac:dyDescent="0.2">
      <c r="E195" s="120"/>
      <c r="G195" s="120"/>
      <c r="H195" s="120"/>
    </row>
    <row r="196" spans="5:8" ht="12.75" customHeight="1" x14ac:dyDescent="0.2">
      <c r="E196" s="120"/>
      <c r="G196" s="120"/>
      <c r="H196" s="120"/>
    </row>
    <row r="197" spans="5:8" ht="12.75" customHeight="1" x14ac:dyDescent="0.2">
      <c r="E197" s="120"/>
      <c r="G197" s="120"/>
      <c r="H197" s="120"/>
    </row>
    <row r="198" spans="5:8" ht="12.75" customHeight="1" x14ac:dyDescent="0.2">
      <c r="E198" s="120"/>
      <c r="G198" s="120"/>
      <c r="H198" s="120"/>
    </row>
    <row r="199" spans="5:8" ht="12.75" customHeight="1" x14ac:dyDescent="0.2">
      <c r="E199" s="120"/>
      <c r="G199" s="120"/>
      <c r="H199" s="120"/>
    </row>
    <row r="200" spans="5:8" ht="12.75" customHeight="1" x14ac:dyDescent="0.2">
      <c r="E200" s="120"/>
      <c r="G200" s="120"/>
      <c r="H200" s="120"/>
    </row>
    <row r="201" spans="5:8" ht="12.75" customHeight="1" x14ac:dyDescent="0.2">
      <c r="E201" s="120"/>
      <c r="G201" s="120"/>
      <c r="H201" s="120"/>
    </row>
    <row r="202" spans="5:8" ht="12.75" customHeight="1" x14ac:dyDescent="0.2">
      <c r="E202" s="120"/>
      <c r="G202" s="120"/>
      <c r="H202" s="120"/>
    </row>
    <row r="203" spans="5:8" ht="12.75" customHeight="1" x14ac:dyDescent="0.2">
      <c r="E203" s="120"/>
      <c r="G203" s="120"/>
      <c r="H203" s="120"/>
    </row>
    <row r="204" spans="5:8" ht="12.75" customHeight="1" x14ac:dyDescent="0.2">
      <c r="E204" s="120"/>
      <c r="G204" s="120"/>
      <c r="H204" s="120"/>
    </row>
    <row r="205" spans="5:8" ht="12.75" customHeight="1" x14ac:dyDescent="0.2">
      <c r="E205" s="120"/>
      <c r="G205" s="120"/>
      <c r="H205" s="120"/>
    </row>
    <row r="206" spans="5:8" ht="12.75" customHeight="1" x14ac:dyDescent="0.2">
      <c r="E206" s="120"/>
      <c r="G206" s="120"/>
      <c r="H206" s="120"/>
    </row>
    <row r="207" spans="5:8" ht="12.75" customHeight="1" x14ac:dyDescent="0.2">
      <c r="E207" s="120"/>
      <c r="G207" s="120"/>
      <c r="H207" s="120"/>
    </row>
    <row r="208" spans="5:8" ht="12.75" customHeight="1" x14ac:dyDescent="0.2">
      <c r="E208" s="120"/>
      <c r="G208" s="120"/>
      <c r="H208" s="120"/>
    </row>
    <row r="209" spans="5:8" ht="12.75" customHeight="1" x14ac:dyDescent="0.2">
      <c r="E209" s="120"/>
      <c r="G209" s="120"/>
      <c r="H209" s="120"/>
    </row>
    <row r="210" spans="5:8" ht="12.75" customHeight="1" x14ac:dyDescent="0.2">
      <c r="E210" s="120"/>
      <c r="G210" s="120"/>
      <c r="H210" s="120"/>
    </row>
    <row r="211" spans="5:8" ht="12.75" customHeight="1" x14ac:dyDescent="0.2">
      <c r="E211" s="120"/>
      <c r="G211" s="120"/>
      <c r="H211" s="120"/>
    </row>
    <row r="212" spans="5:8" ht="12.75" customHeight="1" x14ac:dyDescent="0.2">
      <c r="E212" s="120"/>
      <c r="G212" s="120"/>
      <c r="H212" s="120"/>
    </row>
    <row r="213" spans="5:8" ht="12.75" customHeight="1" x14ac:dyDescent="0.2">
      <c r="E213" s="120"/>
      <c r="G213" s="120"/>
      <c r="H213" s="120"/>
    </row>
    <row r="214" spans="5:8" ht="12.75" customHeight="1" x14ac:dyDescent="0.2">
      <c r="E214" s="120"/>
      <c r="G214" s="120"/>
      <c r="H214" s="120"/>
    </row>
    <row r="215" spans="5:8" ht="12.75" customHeight="1" x14ac:dyDescent="0.2">
      <c r="E215" s="120"/>
      <c r="G215" s="120"/>
      <c r="H215" s="120"/>
    </row>
    <row r="216" spans="5:8" ht="12.75" customHeight="1" x14ac:dyDescent="0.2">
      <c r="E216" s="120"/>
      <c r="G216" s="120"/>
      <c r="H216" s="120"/>
    </row>
    <row r="217" spans="5:8" ht="12.75" customHeight="1" x14ac:dyDescent="0.2">
      <c r="E217" s="120"/>
      <c r="G217" s="120"/>
      <c r="H217" s="120"/>
    </row>
    <row r="218" spans="5:8" ht="12.75" customHeight="1" x14ac:dyDescent="0.2">
      <c r="E218" s="120"/>
      <c r="G218" s="120"/>
      <c r="H218" s="120"/>
    </row>
    <row r="219" spans="5:8" ht="12.75" customHeight="1" x14ac:dyDescent="0.2">
      <c r="E219" s="120"/>
      <c r="G219" s="120"/>
      <c r="H219" s="120"/>
    </row>
    <row r="220" spans="5:8" ht="12.75" customHeight="1" x14ac:dyDescent="0.2">
      <c r="E220" s="120"/>
      <c r="G220" s="120"/>
      <c r="H220" s="120"/>
    </row>
    <row r="221" spans="5:8" ht="12.75" customHeight="1" x14ac:dyDescent="0.2">
      <c r="E221" s="120"/>
      <c r="G221" s="120"/>
      <c r="H221" s="120"/>
    </row>
    <row r="222" spans="5:8" ht="12.75" customHeight="1" x14ac:dyDescent="0.2">
      <c r="E222" s="120"/>
      <c r="G222" s="120"/>
      <c r="H222" s="120"/>
    </row>
    <row r="223" spans="5:8" ht="12.75" customHeight="1" x14ac:dyDescent="0.2">
      <c r="E223" s="120"/>
      <c r="G223" s="120"/>
      <c r="H223" s="120"/>
    </row>
    <row r="224" spans="5:8" ht="12.75" customHeight="1" x14ac:dyDescent="0.2">
      <c r="E224" s="120"/>
      <c r="G224" s="120"/>
      <c r="H224" s="120"/>
    </row>
    <row r="225" spans="5:8" ht="12.75" customHeight="1" x14ac:dyDescent="0.2">
      <c r="E225" s="120"/>
      <c r="G225" s="120"/>
      <c r="H225" s="120"/>
    </row>
    <row r="226" spans="5:8" ht="12.75" customHeight="1" x14ac:dyDescent="0.2">
      <c r="E226" s="120"/>
      <c r="G226" s="120"/>
      <c r="H226" s="120"/>
    </row>
    <row r="227" spans="5:8" ht="12.75" customHeight="1" x14ac:dyDescent="0.2">
      <c r="E227" s="120"/>
      <c r="G227" s="120"/>
      <c r="H227" s="120"/>
    </row>
    <row r="228" spans="5:8" ht="12.75" customHeight="1" x14ac:dyDescent="0.2">
      <c r="E228" s="120"/>
      <c r="G228" s="120"/>
      <c r="H228" s="120"/>
    </row>
    <row r="229" spans="5:8" ht="12.75" customHeight="1" x14ac:dyDescent="0.2">
      <c r="E229" s="120"/>
      <c r="G229" s="120"/>
      <c r="H229" s="120"/>
    </row>
    <row r="230" spans="5:8" ht="12.75" customHeight="1" x14ac:dyDescent="0.2">
      <c r="E230" s="120"/>
      <c r="G230" s="120"/>
      <c r="H230" s="120"/>
    </row>
    <row r="231" spans="5:8" ht="12.75" customHeight="1" x14ac:dyDescent="0.2">
      <c r="E231" s="120"/>
      <c r="G231" s="120"/>
      <c r="H231" s="120"/>
    </row>
    <row r="232" spans="5:8" ht="12.75" customHeight="1" x14ac:dyDescent="0.2">
      <c r="E232" s="120"/>
      <c r="G232" s="120"/>
      <c r="H232" s="120"/>
    </row>
    <row r="233" spans="5:8" ht="12.75" customHeight="1" x14ac:dyDescent="0.2">
      <c r="E233" s="120"/>
      <c r="G233" s="120"/>
      <c r="H233" s="120"/>
    </row>
    <row r="234" spans="5:8" ht="12.75" customHeight="1" x14ac:dyDescent="0.2">
      <c r="E234" s="120"/>
      <c r="G234" s="120"/>
      <c r="H234" s="120"/>
    </row>
    <row r="235" spans="5:8" ht="12.75" customHeight="1" x14ac:dyDescent="0.2">
      <c r="E235" s="120"/>
      <c r="G235" s="120"/>
      <c r="H235" s="120"/>
    </row>
    <row r="236" spans="5:8" ht="12.75" customHeight="1" x14ac:dyDescent="0.2"/>
    <row r="237" spans="5:8" ht="12.75" customHeight="1" x14ac:dyDescent="0.2"/>
    <row r="238" spans="5:8" ht="12.75" customHeight="1" x14ac:dyDescent="0.2"/>
    <row r="239" spans="5:8" ht="12.75" customHeight="1" x14ac:dyDescent="0.2"/>
    <row r="240" spans="5:8"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sheetData>
  <sheetProtection selectLockedCells="1" selectUnlockedCells="1"/>
  <mergeCells count="19">
    <mergeCell ref="A34:P34"/>
    <mergeCell ref="A35:O35"/>
    <mergeCell ref="A28:P28"/>
    <mergeCell ref="A29:P29"/>
    <mergeCell ref="A30:P30"/>
    <mergeCell ref="A31:P31"/>
    <mergeCell ref="A32:P32"/>
    <mergeCell ref="I7:P7"/>
    <mergeCell ref="A8:A15"/>
    <mergeCell ref="A16:A23"/>
    <mergeCell ref="A25:C25"/>
    <mergeCell ref="A27:B27"/>
    <mergeCell ref="E27:K27"/>
    <mergeCell ref="L27:P27"/>
    <mergeCell ref="A1:P1"/>
    <mergeCell ref="A2:P2"/>
    <mergeCell ref="A3:P3"/>
    <mergeCell ref="A4:P4"/>
    <mergeCell ref="A5:P5"/>
  </mergeCells>
  <printOptions horizontalCentered="1"/>
  <pageMargins left="0" right="0" top="0" bottom="0" header="0" footer="0.51181102362204722"/>
  <pageSetup paperSize="9" scale="54" pageOrder="overThenDown" orientation="landscape" r:id="rId1"/>
  <headerFooter>
    <oddHeader>&amp;R&amp;P de &amp;N</oddHeader>
    <oddFooter>&amp;L&amp;F - &amp;A&amp;CPágina &amp;P de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P1000"/>
  <sheetViews>
    <sheetView showGridLines="0" zoomScaleNormal="100" workbookViewId="0">
      <selection activeCell="C64" sqref="C64"/>
    </sheetView>
  </sheetViews>
  <sheetFormatPr defaultColWidth="14.42578125" defaultRowHeight="14.25" x14ac:dyDescent="0.2"/>
  <cols>
    <col min="1" max="1" width="18.85546875" style="99" customWidth="1"/>
    <col min="2" max="2" width="19.140625" style="99" customWidth="1"/>
    <col min="3" max="3" width="14.5703125" style="99" customWidth="1"/>
    <col min="4" max="4" width="16.140625" style="99" customWidth="1"/>
    <col min="5" max="5" width="19.140625" style="99" customWidth="1"/>
    <col min="6" max="6" width="16.140625" style="99" customWidth="1"/>
    <col min="7" max="7" width="13.42578125" style="99" customWidth="1"/>
    <col min="8" max="8" width="19.5703125" style="99" customWidth="1"/>
    <col min="9" max="9" width="8" style="99" customWidth="1"/>
    <col min="10" max="10" width="15.5703125" style="99" customWidth="1"/>
    <col min="11" max="11" width="8" style="99" customWidth="1"/>
    <col min="12" max="12" width="8.85546875" style="99" customWidth="1"/>
    <col min="13" max="13" width="8" style="99" customWidth="1"/>
    <col min="14" max="14" width="13.42578125" style="99" customWidth="1"/>
    <col min="15" max="15" width="16.5703125" style="99" customWidth="1"/>
    <col min="16" max="16" width="9.140625" style="99" customWidth="1"/>
    <col min="17" max="26" width="8" style="99" customWidth="1"/>
    <col min="27" max="16384" width="14.42578125" style="99"/>
  </cols>
  <sheetData>
    <row r="1" spans="1:16" ht="12.75" customHeight="1" x14ac:dyDescent="0.2">
      <c r="A1" s="291" t="s">
        <v>0</v>
      </c>
      <c r="B1" s="291"/>
      <c r="C1" s="291"/>
      <c r="D1" s="291"/>
      <c r="E1" s="291"/>
      <c r="F1" s="291"/>
      <c r="G1" s="291"/>
      <c r="H1" s="291"/>
      <c r="I1" s="291"/>
      <c r="J1" s="291"/>
      <c r="K1" s="291"/>
      <c r="L1" s="291"/>
      <c r="M1" s="291"/>
      <c r="N1" s="291"/>
      <c r="O1" s="291"/>
      <c r="P1" s="291"/>
    </row>
    <row r="2" spans="1:16" ht="12.75" customHeight="1" x14ac:dyDescent="0.2">
      <c r="A2" s="291" t="s">
        <v>1</v>
      </c>
      <c r="B2" s="291"/>
      <c r="C2" s="291"/>
      <c r="D2" s="291"/>
      <c r="E2" s="291"/>
      <c r="F2" s="291"/>
      <c r="G2" s="291"/>
      <c r="H2" s="291"/>
      <c r="I2" s="291"/>
      <c r="J2" s="291"/>
      <c r="K2" s="291"/>
      <c r="L2" s="291"/>
      <c r="M2" s="291"/>
      <c r="N2" s="291"/>
      <c r="O2" s="291"/>
      <c r="P2" s="291"/>
    </row>
    <row r="3" spans="1:16" ht="12.75" customHeight="1" x14ac:dyDescent="0.2">
      <c r="A3" s="291" t="s">
        <v>2</v>
      </c>
      <c r="B3" s="291"/>
      <c r="C3" s="291"/>
      <c r="D3" s="291"/>
      <c r="E3" s="291"/>
      <c r="F3" s="291"/>
      <c r="G3" s="291"/>
      <c r="H3" s="291"/>
      <c r="I3" s="291"/>
      <c r="J3" s="291"/>
      <c r="K3" s="291"/>
      <c r="L3" s="291"/>
      <c r="M3" s="291"/>
      <c r="N3" s="291"/>
      <c r="O3" s="291"/>
      <c r="P3" s="291"/>
    </row>
    <row r="4" spans="1:16" ht="12.75" customHeight="1" x14ac:dyDescent="0.2">
      <c r="A4" s="292" t="str">
        <f>'1. SB ABA DE CARREGAMENTO'!A4</f>
        <v>CAMPUS SÃO BORJA</v>
      </c>
      <c r="B4" s="292"/>
      <c r="C4" s="292"/>
      <c r="D4" s="292"/>
      <c r="E4" s="292"/>
      <c r="F4" s="292"/>
      <c r="G4" s="292"/>
      <c r="H4" s="292"/>
      <c r="I4" s="292"/>
      <c r="J4" s="292"/>
      <c r="K4" s="292"/>
      <c r="L4" s="292"/>
      <c r="M4" s="292"/>
      <c r="N4" s="292"/>
      <c r="O4" s="292"/>
      <c r="P4" s="292"/>
    </row>
    <row r="5" spans="1:16" ht="20.25" customHeight="1" x14ac:dyDescent="0.2">
      <c r="A5" s="362" t="s">
        <v>287</v>
      </c>
      <c r="B5" s="362"/>
      <c r="C5" s="362"/>
      <c r="D5" s="362"/>
      <c r="E5" s="362"/>
      <c r="F5" s="362"/>
      <c r="G5" s="362"/>
      <c r="H5" s="362"/>
      <c r="I5" s="362"/>
      <c r="J5" s="362"/>
      <c r="K5" s="362"/>
      <c r="L5" s="362"/>
      <c r="M5" s="362"/>
      <c r="N5" s="362"/>
      <c r="O5" s="362"/>
      <c r="P5" s="362"/>
    </row>
    <row r="6" spans="1:16" ht="12.75" customHeight="1" x14ac:dyDescent="0.2">
      <c r="A6" s="2"/>
      <c r="B6" s="2"/>
      <c r="C6" s="2"/>
      <c r="D6" s="2"/>
      <c r="E6" s="2"/>
      <c r="F6" s="2"/>
      <c r="G6" s="2"/>
      <c r="H6" s="2"/>
      <c r="I6" s="2"/>
      <c r="J6" s="2"/>
      <c r="K6" s="2"/>
      <c r="L6" s="2"/>
      <c r="M6" s="2"/>
      <c r="N6" s="2"/>
      <c r="O6" s="2"/>
      <c r="P6" s="2"/>
    </row>
    <row r="7" spans="1:16" ht="114" customHeight="1" x14ac:dyDescent="0.2">
      <c r="A7" s="130" t="s">
        <v>21</v>
      </c>
      <c r="B7" s="130" t="s">
        <v>22</v>
      </c>
      <c r="C7" s="130" t="s">
        <v>704</v>
      </c>
      <c r="D7" s="130" t="s">
        <v>288</v>
      </c>
      <c r="E7" s="130" t="s">
        <v>289</v>
      </c>
      <c r="F7" s="130" t="s">
        <v>290</v>
      </c>
      <c r="G7" s="130" t="s">
        <v>291</v>
      </c>
      <c r="H7" s="130" t="s">
        <v>292</v>
      </c>
      <c r="I7" s="375" t="s">
        <v>293</v>
      </c>
      <c r="J7" s="375"/>
      <c r="K7" s="375"/>
      <c r="L7" s="375"/>
      <c r="M7" s="375"/>
      <c r="N7" s="375"/>
      <c r="O7" s="375"/>
      <c r="P7" s="375"/>
    </row>
    <row r="8" spans="1:16" ht="51" customHeight="1" x14ac:dyDescent="0.2">
      <c r="A8" s="364" t="s">
        <v>232</v>
      </c>
      <c r="B8" s="131" t="s">
        <v>294</v>
      </c>
      <c r="C8" s="127">
        <f>'1. SB ABA DE CARREGAMENTO'!$C$39</f>
        <v>300</v>
      </c>
      <c r="D8" s="132">
        <f>'3. SB Área'!BB81</f>
        <v>2824.56</v>
      </c>
      <c r="E8" s="133">
        <f>D8/C8</f>
        <v>9.4152000000000005</v>
      </c>
      <c r="F8" s="134">
        <f>TRUNC(E8,0)</f>
        <v>9</v>
      </c>
      <c r="G8" s="133">
        <f>E8-F8</f>
        <v>0.41520000000000046</v>
      </c>
      <c r="H8" s="133">
        <f>G8*$C$13*60</f>
        <v>199.29600000000022</v>
      </c>
      <c r="I8" s="135">
        <f>F8</f>
        <v>9</v>
      </c>
      <c r="J8" s="136" t="s">
        <v>295</v>
      </c>
      <c r="K8" s="135">
        <v>8</v>
      </c>
      <c r="L8" s="136" t="s">
        <v>296</v>
      </c>
      <c r="M8" s="135">
        <v>1</v>
      </c>
      <c r="N8" s="136" t="s">
        <v>297</v>
      </c>
      <c r="O8" s="137">
        <f>H8</f>
        <v>199.29600000000022</v>
      </c>
      <c r="P8" s="136" t="s">
        <v>298</v>
      </c>
    </row>
    <row r="9" spans="1:16" ht="51" customHeight="1" x14ac:dyDescent="0.2">
      <c r="A9" s="364"/>
      <c r="B9" s="131" t="s">
        <v>236</v>
      </c>
      <c r="C9" s="127">
        <f>'1. SB ABA DE CARREGAMENTO'!C40</f>
        <v>800</v>
      </c>
      <c r="D9" s="132">
        <f>'3. SB Área'!BC81</f>
        <v>190.5813416666667</v>
      </c>
      <c r="E9" s="133">
        <f>D9/C9</f>
        <v>0.23822667708333337</v>
      </c>
      <c r="F9" s="134">
        <f>TRUNC(E9,0)</f>
        <v>0</v>
      </c>
      <c r="G9" s="133">
        <f>E9-F9</f>
        <v>0.23822667708333337</v>
      </c>
      <c r="H9" s="133">
        <f>G9*$C$13*60</f>
        <v>114.34880500000001</v>
      </c>
      <c r="I9" s="135">
        <f>F9</f>
        <v>0</v>
      </c>
      <c r="J9" s="136" t="s">
        <v>295</v>
      </c>
      <c r="K9" s="135">
        <v>8</v>
      </c>
      <c r="L9" s="136" t="s">
        <v>296</v>
      </c>
      <c r="M9" s="135">
        <v>1</v>
      </c>
      <c r="N9" s="136" t="s">
        <v>297</v>
      </c>
      <c r="O9" s="137">
        <f>H9</f>
        <v>114.34880500000001</v>
      </c>
      <c r="P9" s="136" t="s">
        <v>298</v>
      </c>
    </row>
    <row r="10" spans="1:16" ht="51" customHeight="1" x14ac:dyDescent="0.2">
      <c r="A10" s="364"/>
      <c r="B10" s="131" t="s">
        <v>32</v>
      </c>
      <c r="C10" s="127">
        <f>'1. SB ABA DE CARREGAMENTO'!C41</f>
        <v>450</v>
      </c>
      <c r="D10" s="132">
        <f>'3. SB Área'!BD81</f>
        <v>84.932950000000005</v>
      </c>
      <c r="E10" s="133">
        <f>D10/C10</f>
        <v>0.1887398888888889</v>
      </c>
      <c r="F10" s="134">
        <f>TRUNC(E10,0)</f>
        <v>0</v>
      </c>
      <c r="G10" s="133">
        <f>E10-F10</f>
        <v>0.1887398888888889</v>
      </c>
      <c r="H10" s="136">
        <f>G10*$C$13*60</f>
        <v>90.595146666666679</v>
      </c>
      <c r="I10" s="135">
        <f>F10</f>
        <v>0</v>
      </c>
      <c r="J10" s="136" t="s">
        <v>295</v>
      </c>
      <c r="K10" s="135">
        <v>8</v>
      </c>
      <c r="L10" s="136" t="s">
        <v>296</v>
      </c>
      <c r="M10" s="135">
        <v>1</v>
      </c>
      <c r="N10" s="136" t="s">
        <v>297</v>
      </c>
      <c r="O10" s="135">
        <f>H10</f>
        <v>90.595146666666679</v>
      </c>
      <c r="P10" s="136" t="s">
        <v>298</v>
      </c>
    </row>
    <row r="11" spans="1:16" ht="51" customHeight="1" x14ac:dyDescent="0.2">
      <c r="A11" s="376" t="s">
        <v>299</v>
      </c>
      <c r="B11" s="376"/>
      <c r="C11" s="376"/>
      <c r="D11" s="138">
        <f>SUM(D8:D10)</f>
        <v>3100.0742916666663</v>
      </c>
      <c r="E11" s="139">
        <f>SUM(E8:E10)</f>
        <v>9.8421665659722226</v>
      </c>
      <c r="F11" s="130">
        <f>SUM(F8:F10)</f>
        <v>9</v>
      </c>
      <c r="G11" s="139">
        <f>SUM(G8:G10)</f>
        <v>0.84216656597222272</v>
      </c>
      <c r="H11" s="140">
        <f>G11*$C$13*60</f>
        <v>404.23995166666691</v>
      </c>
      <c r="I11" s="140">
        <f>SUM(I8:I10)</f>
        <v>9</v>
      </c>
      <c r="J11" s="141" t="s">
        <v>295</v>
      </c>
      <c r="K11" s="141">
        <f>$C$13</f>
        <v>8</v>
      </c>
      <c r="L11" s="141" t="s">
        <v>296</v>
      </c>
      <c r="M11" s="142">
        <v>1</v>
      </c>
      <c r="N11" s="141" t="s">
        <v>297</v>
      </c>
      <c r="O11" s="142">
        <f>H11</f>
        <v>404.23995166666691</v>
      </c>
      <c r="P11" s="141" t="s">
        <v>298</v>
      </c>
    </row>
    <row r="12" spans="1:16" ht="15.75" customHeight="1" x14ac:dyDescent="0.2">
      <c r="D12" s="143"/>
      <c r="E12" s="120"/>
      <c r="F12" s="16"/>
      <c r="G12" s="120"/>
      <c r="H12" s="120"/>
      <c r="J12" s="120"/>
      <c r="K12" s="120"/>
      <c r="L12" s="120"/>
      <c r="M12" s="120"/>
      <c r="N12" s="120"/>
      <c r="P12" s="120"/>
    </row>
    <row r="13" spans="1:16" ht="43.5" customHeight="1" x14ac:dyDescent="0.2">
      <c r="A13" s="375" t="s">
        <v>300</v>
      </c>
      <c r="B13" s="375"/>
      <c r="C13" s="144">
        <v>8</v>
      </c>
      <c r="D13" s="130" t="s">
        <v>301</v>
      </c>
      <c r="E13" s="375" t="s">
        <v>302</v>
      </c>
      <c r="F13" s="375"/>
      <c r="G13" s="375"/>
      <c r="H13" s="375"/>
      <c r="I13" s="375"/>
      <c r="J13" s="375"/>
      <c r="K13" s="375"/>
      <c r="L13" s="377">
        <f>F11+G11</f>
        <v>9.8421665659722226</v>
      </c>
      <c r="M13" s="377"/>
      <c r="N13" s="377"/>
      <c r="O13" s="377"/>
      <c r="P13" s="377"/>
    </row>
    <row r="14" spans="1:16" ht="18" customHeight="1" x14ac:dyDescent="0.2">
      <c r="A14" s="375" t="s">
        <v>303</v>
      </c>
      <c r="B14" s="375"/>
      <c r="C14" s="375"/>
      <c r="D14" s="375"/>
      <c r="E14" s="375"/>
      <c r="F14" s="375"/>
      <c r="G14" s="375"/>
      <c r="H14" s="375"/>
      <c r="I14" s="375"/>
      <c r="J14" s="375"/>
      <c r="K14" s="375"/>
      <c r="L14" s="375"/>
      <c r="M14" s="375"/>
      <c r="N14" s="375"/>
      <c r="O14" s="375"/>
      <c r="P14" s="375"/>
    </row>
    <row r="15" spans="1:16" ht="18" customHeight="1" x14ac:dyDescent="0.2">
      <c r="A15" s="372" t="s">
        <v>304</v>
      </c>
      <c r="B15" s="372"/>
      <c r="C15" s="372"/>
      <c r="D15" s="372"/>
      <c r="E15" s="372"/>
      <c r="F15" s="372"/>
      <c r="G15" s="372"/>
      <c r="H15" s="372"/>
      <c r="I15" s="372"/>
      <c r="J15" s="372"/>
      <c r="K15" s="372"/>
      <c r="L15" s="372"/>
      <c r="M15" s="372"/>
      <c r="N15" s="372"/>
      <c r="O15" s="372"/>
      <c r="P15" s="372"/>
    </row>
    <row r="16" spans="1:16" ht="40.5" customHeight="1" x14ac:dyDescent="0.2">
      <c r="A16" s="373" t="s">
        <v>305</v>
      </c>
      <c r="B16" s="373"/>
      <c r="C16" s="373"/>
      <c r="D16" s="373"/>
      <c r="E16" s="373"/>
      <c r="F16" s="373"/>
      <c r="G16" s="373"/>
      <c r="H16" s="373"/>
      <c r="I16" s="373"/>
      <c r="J16" s="373"/>
      <c r="K16" s="373"/>
      <c r="L16" s="373"/>
      <c r="M16" s="373"/>
      <c r="N16" s="373"/>
      <c r="O16" s="373"/>
      <c r="P16" s="373"/>
    </row>
    <row r="17" spans="1:16" ht="18" customHeight="1" x14ac:dyDescent="0.2">
      <c r="A17" s="378"/>
      <c r="B17" s="378"/>
      <c r="C17" s="378"/>
      <c r="D17" s="378"/>
      <c r="E17" s="378"/>
      <c r="F17" s="378"/>
      <c r="G17" s="378"/>
      <c r="H17" s="378"/>
      <c r="I17" s="378"/>
      <c r="J17" s="378"/>
      <c r="K17" s="378"/>
      <c r="L17" s="378"/>
      <c r="M17" s="378"/>
      <c r="N17" s="378"/>
      <c r="O17" s="378"/>
      <c r="P17" s="378"/>
    </row>
    <row r="18" spans="1:16" ht="33.75" customHeight="1" x14ac:dyDescent="0.2">
      <c r="A18" s="379"/>
      <c r="B18" s="379"/>
      <c r="C18" s="379"/>
      <c r="D18" s="379"/>
      <c r="E18" s="379"/>
      <c r="F18" s="379"/>
      <c r="G18" s="379"/>
      <c r="H18" s="379"/>
      <c r="I18" s="379"/>
      <c r="J18" s="379"/>
      <c r="K18" s="379"/>
      <c r="L18" s="379"/>
      <c r="M18" s="379"/>
      <c r="N18" s="379"/>
      <c r="O18" s="379"/>
      <c r="P18" s="379"/>
    </row>
    <row r="19" spans="1:16" ht="12.75" customHeight="1" x14ac:dyDescent="0.2"/>
    <row r="20" spans="1:16" ht="12.75" customHeight="1" x14ac:dyDescent="0.2"/>
    <row r="21" spans="1:16" ht="12.75" customHeight="1" x14ac:dyDescent="0.2"/>
    <row r="22" spans="1:16" ht="12.75" customHeight="1" x14ac:dyDescent="0.2"/>
    <row r="23" spans="1:16" ht="12.75" customHeight="1" x14ac:dyDescent="0.2"/>
    <row r="24" spans="1:16" ht="12.75" customHeight="1" x14ac:dyDescent="0.2"/>
    <row r="25" spans="1:16" ht="12.75" customHeight="1" x14ac:dyDescent="0.2"/>
    <row r="26" spans="1:16" ht="12.75" customHeight="1" x14ac:dyDescent="0.2"/>
    <row r="27" spans="1:16" ht="12.75" customHeight="1" x14ac:dyDescent="0.2"/>
    <row r="28" spans="1:16" ht="12.75" customHeight="1" x14ac:dyDescent="0.2"/>
    <row r="29" spans="1:16" ht="12.75" customHeight="1" x14ac:dyDescent="0.2"/>
    <row r="30" spans="1:16" ht="12.75" customHeight="1" x14ac:dyDescent="0.2"/>
    <row r="31" spans="1:16" ht="12.75" customHeight="1" x14ac:dyDescent="0.2"/>
    <row r="32" spans="1:16"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sheetProtection selectLockedCells="1" selectUnlockedCells="1"/>
  <mergeCells count="16">
    <mergeCell ref="A14:P14"/>
    <mergeCell ref="A15:P15"/>
    <mergeCell ref="A16:P16"/>
    <mergeCell ref="A17:P17"/>
    <mergeCell ref="A18:P18"/>
    <mergeCell ref="I7:P7"/>
    <mergeCell ref="A8:A10"/>
    <mergeCell ref="A11:C11"/>
    <mergeCell ref="A13:B13"/>
    <mergeCell ref="E13:K13"/>
    <mergeCell ref="L13:P13"/>
    <mergeCell ref="A1:P1"/>
    <mergeCell ref="A2:P2"/>
    <mergeCell ref="A3:P3"/>
    <mergeCell ref="A4:P4"/>
    <mergeCell ref="A5:P5"/>
  </mergeCells>
  <printOptions horizontalCentered="1"/>
  <pageMargins left="0" right="0" top="0.39370078740157483" bottom="0" header="0" footer="0.51181102362204722"/>
  <pageSetup paperSize="9" scale="65" pageOrder="overThenDown" orientation="landscape" r:id="rId1"/>
  <headerFooter>
    <oddHeader>&amp;R&amp;P de &amp;N</oddHeader>
    <oddFooter>&amp;L&amp;F - &amp;A&amp;CPágina &amp;P de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S1000"/>
  <sheetViews>
    <sheetView showGridLines="0" zoomScaleNormal="100" workbookViewId="0">
      <selection activeCell="C64" sqref="C64"/>
    </sheetView>
  </sheetViews>
  <sheetFormatPr defaultColWidth="14.42578125" defaultRowHeight="14.25" x14ac:dyDescent="0.2"/>
  <cols>
    <col min="1" max="1" width="18" style="99" customWidth="1"/>
    <col min="2" max="2" width="17" style="99" customWidth="1"/>
    <col min="3" max="3" width="16.5703125" style="99" customWidth="1"/>
    <col min="4" max="4" width="16.42578125" style="99" customWidth="1"/>
    <col min="5" max="5" width="17.5703125" style="99" customWidth="1"/>
    <col min="6" max="6" width="18.140625" style="99" customWidth="1"/>
    <col min="7" max="7" width="15.28515625" style="99" customWidth="1"/>
    <col min="8" max="8" width="19" style="99" customWidth="1"/>
    <col min="9" max="9" width="8" style="99" customWidth="1"/>
    <col min="10" max="10" width="13" style="99" customWidth="1"/>
    <col min="11" max="11" width="8" style="99" customWidth="1"/>
    <col min="12" max="12" width="9.7109375" style="99" customWidth="1"/>
    <col min="13" max="13" width="8" style="99" customWidth="1"/>
    <col min="14" max="14" width="13.42578125" style="99" customWidth="1"/>
    <col min="15" max="15" width="15.28515625" style="99" customWidth="1"/>
    <col min="16" max="16" width="9.140625" style="99" customWidth="1"/>
    <col min="17" max="19" width="8" style="99" customWidth="1"/>
    <col min="20" max="16384" width="14.42578125" style="99"/>
  </cols>
  <sheetData>
    <row r="1" spans="1:19" ht="12.75" customHeight="1" x14ac:dyDescent="0.2">
      <c r="A1" s="291" t="s">
        <v>0</v>
      </c>
      <c r="B1" s="291"/>
      <c r="C1" s="291"/>
      <c r="D1" s="291"/>
      <c r="E1" s="291"/>
      <c r="F1" s="291"/>
      <c r="G1" s="291"/>
      <c r="H1" s="291"/>
      <c r="I1" s="291"/>
      <c r="J1" s="291"/>
      <c r="K1" s="291"/>
      <c r="L1" s="291"/>
      <c r="M1" s="291"/>
      <c r="N1" s="291"/>
      <c r="O1" s="291"/>
      <c r="P1" s="291"/>
    </row>
    <row r="2" spans="1:19" ht="12.75" customHeight="1" x14ac:dyDescent="0.2">
      <c r="A2" s="291" t="s">
        <v>1</v>
      </c>
      <c r="B2" s="291"/>
      <c r="C2" s="291"/>
      <c r="D2" s="291"/>
      <c r="E2" s="291"/>
      <c r="F2" s="291"/>
      <c r="G2" s="291"/>
      <c r="H2" s="291"/>
      <c r="I2" s="291"/>
      <c r="J2" s="291"/>
      <c r="K2" s="291"/>
      <c r="L2" s="291"/>
      <c r="M2" s="291"/>
      <c r="N2" s="291"/>
      <c r="O2" s="291"/>
      <c r="P2" s="291"/>
    </row>
    <row r="3" spans="1:19" ht="12.75" customHeight="1" x14ac:dyDescent="0.2">
      <c r="A3" s="291" t="s">
        <v>2</v>
      </c>
      <c r="B3" s="291"/>
      <c r="C3" s="291"/>
      <c r="D3" s="291"/>
      <c r="E3" s="291"/>
      <c r="F3" s="291"/>
      <c r="G3" s="291"/>
      <c r="H3" s="291"/>
      <c r="I3" s="291"/>
      <c r="J3" s="291"/>
      <c r="K3" s="291"/>
      <c r="L3" s="291"/>
      <c r="M3" s="291"/>
      <c r="N3" s="291"/>
      <c r="O3" s="291"/>
      <c r="P3" s="291"/>
    </row>
    <row r="4" spans="1:19" ht="12.75" customHeight="1" x14ac:dyDescent="0.2">
      <c r="A4" s="292" t="str">
        <f>'1. SB ABA DE CARREGAMENTO'!A4</f>
        <v>CAMPUS SÃO BORJA</v>
      </c>
      <c r="B4" s="292"/>
      <c r="C4" s="292"/>
      <c r="D4" s="292"/>
      <c r="E4" s="292"/>
      <c r="F4" s="292"/>
      <c r="G4" s="292"/>
      <c r="H4" s="292"/>
      <c r="I4" s="292"/>
      <c r="J4" s="292"/>
      <c r="K4" s="292"/>
      <c r="L4" s="292"/>
      <c r="M4" s="292"/>
      <c r="N4" s="292"/>
      <c r="O4" s="292"/>
      <c r="P4" s="292"/>
    </row>
    <row r="5" spans="1:19" ht="20.25" customHeight="1" x14ac:dyDescent="0.2">
      <c r="A5" s="362" t="s">
        <v>287</v>
      </c>
      <c r="B5" s="362"/>
      <c r="C5" s="362"/>
      <c r="D5" s="362"/>
      <c r="E5" s="362"/>
      <c r="F5" s="362"/>
      <c r="G5" s="362"/>
      <c r="H5" s="362"/>
      <c r="I5" s="362"/>
      <c r="J5" s="362"/>
      <c r="K5" s="362"/>
      <c r="L5" s="362"/>
      <c r="M5" s="362"/>
      <c r="N5" s="362"/>
      <c r="O5" s="362"/>
      <c r="P5" s="362"/>
    </row>
    <row r="6" spans="1:19" ht="12.75" customHeight="1" x14ac:dyDescent="0.2">
      <c r="A6" s="2"/>
      <c r="B6" s="2"/>
      <c r="C6" s="2"/>
      <c r="D6" s="2"/>
      <c r="E6" s="2"/>
      <c r="F6" s="2"/>
      <c r="G6" s="2"/>
      <c r="H6" s="2"/>
      <c r="I6" s="2"/>
      <c r="J6" s="2"/>
      <c r="K6" s="2"/>
      <c r="L6" s="2"/>
      <c r="M6" s="2"/>
      <c r="N6" s="2"/>
      <c r="O6" s="2"/>
      <c r="P6" s="2"/>
    </row>
    <row r="7" spans="1:19" ht="140.25" customHeight="1" x14ac:dyDescent="0.2">
      <c r="A7" s="130" t="s">
        <v>21</v>
      </c>
      <c r="B7" s="130" t="s">
        <v>22</v>
      </c>
      <c r="C7" s="130" t="s">
        <v>703</v>
      </c>
      <c r="D7" s="130" t="s">
        <v>288</v>
      </c>
      <c r="E7" s="130" t="s">
        <v>289</v>
      </c>
      <c r="F7" s="130" t="s">
        <v>290</v>
      </c>
      <c r="G7" s="130" t="s">
        <v>291</v>
      </c>
      <c r="H7" s="130" t="s">
        <v>292</v>
      </c>
      <c r="I7" s="375" t="s">
        <v>293</v>
      </c>
      <c r="J7" s="375"/>
      <c r="K7" s="375"/>
      <c r="L7" s="375"/>
      <c r="M7" s="375"/>
      <c r="N7" s="375"/>
      <c r="O7" s="375"/>
      <c r="P7" s="375"/>
      <c r="Q7" s="120"/>
      <c r="R7" s="120"/>
      <c r="S7" s="120"/>
    </row>
    <row r="8" spans="1:19" ht="51" customHeight="1" x14ac:dyDescent="0.2">
      <c r="A8" s="380" t="s">
        <v>312</v>
      </c>
      <c r="B8" s="277" t="s">
        <v>685</v>
      </c>
      <c r="C8" s="127">
        <f>'1. SB ABA DE CARREGAMENTO'!$C$42</f>
        <v>160</v>
      </c>
      <c r="D8" s="278">
        <f>'3. SB Área'!AW81</f>
        <v>109.47458333333331</v>
      </c>
      <c r="E8" s="133">
        <f>D8/C8</f>
        <v>0.68421614583333323</v>
      </c>
      <c r="F8" s="134">
        <f>TRUNC(E8,0)</f>
        <v>0</v>
      </c>
      <c r="G8" s="133">
        <f>E8-F8</f>
        <v>0.68421614583333323</v>
      </c>
      <c r="H8" s="133">
        <f>G8*$C$14*60</f>
        <v>328.42374999999993</v>
      </c>
      <c r="I8" s="135">
        <f>F8</f>
        <v>0</v>
      </c>
      <c r="J8" s="136" t="s">
        <v>295</v>
      </c>
      <c r="K8" s="135">
        <v>8</v>
      </c>
      <c r="L8" s="136" t="s">
        <v>296</v>
      </c>
      <c r="M8" s="135">
        <v>1</v>
      </c>
      <c r="N8" s="136" t="s">
        <v>297</v>
      </c>
      <c r="O8" s="137">
        <f>H8</f>
        <v>328.42374999999993</v>
      </c>
      <c r="P8" s="136" t="s">
        <v>298</v>
      </c>
    </row>
    <row r="9" spans="1:19" ht="51" customHeight="1" x14ac:dyDescent="0.2">
      <c r="A9" s="380"/>
      <c r="B9" s="277" t="s">
        <v>686</v>
      </c>
      <c r="C9" s="127">
        <f>'1. SB ABA DE CARREGAMENTO'!$C$43</f>
        <v>380</v>
      </c>
      <c r="D9" s="278">
        <f>'3. SB Área'!AX81</f>
        <v>38.932916666666671</v>
      </c>
      <c r="E9" s="133">
        <f>D9/C9</f>
        <v>0.10245504385964914</v>
      </c>
      <c r="F9" s="134">
        <f>TRUNC(E9,0)</f>
        <v>0</v>
      </c>
      <c r="G9" s="133">
        <f>E9-F9</f>
        <v>0.10245504385964914</v>
      </c>
      <c r="H9" s="133">
        <f>G9*$C$14*60</f>
        <v>49.178421052631585</v>
      </c>
      <c r="I9" s="135">
        <f>F9</f>
        <v>0</v>
      </c>
      <c r="J9" s="136" t="s">
        <v>295</v>
      </c>
      <c r="K9" s="135">
        <v>8</v>
      </c>
      <c r="L9" s="136" t="s">
        <v>296</v>
      </c>
      <c r="M9" s="135">
        <v>1</v>
      </c>
      <c r="N9" s="136" t="s">
        <v>297</v>
      </c>
      <c r="O9" s="137">
        <f>H9</f>
        <v>49.178421052631585</v>
      </c>
      <c r="P9" s="136" t="s">
        <v>298</v>
      </c>
    </row>
    <row r="10" spans="1:19" ht="51" customHeight="1" x14ac:dyDescent="0.2">
      <c r="A10" s="380"/>
      <c r="B10" s="279" t="s">
        <v>49</v>
      </c>
      <c r="C10" s="128">
        <f>'1. SB ABA DE CARREGAMENTO'!$C$44</f>
        <v>380</v>
      </c>
      <c r="D10" s="280">
        <f>'3. SB Área'!AY81</f>
        <v>776.51041666666674</v>
      </c>
      <c r="E10" s="281">
        <f>D10/C10</f>
        <v>2.0434484649122808</v>
      </c>
      <c r="F10" s="282">
        <f>TRUNC(E10,0)</f>
        <v>2</v>
      </c>
      <c r="G10" s="281">
        <f>E10-F10</f>
        <v>4.3448464912280826E-2</v>
      </c>
      <c r="H10" s="281">
        <f>G10*$C$14*60</f>
        <v>20.855263157894797</v>
      </c>
      <c r="I10" s="283">
        <f>F10</f>
        <v>2</v>
      </c>
      <c r="J10" s="284" t="s">
        <v>295</v>
      </c>
      <c r="K10" s="283">
        <v>8</v>
      </c>
      <c r="L10" s="284" t="s">
        <v>296</v>
      </c>
      <c r="M10" s="283">
        <v>1</v>
      </c>
      <c r="N10" s="284" t="s">
        <v>297</v>
      </c>
      <c r="O10" s="285">
        <f>H10</f>
        <v>20.855263157894797</v>
      </c>
      <c r="P10" s="284" t="s">
        <v>298</v>
      </c>
    </row>
    <row r="11" spans="1:19" ht="51" customHeight="1" x14ac:dyDescent="0.2">
      <c r="A11" s="154" t="s">
        <v>50</v>
      </c>
      <c r="B11" s="151" t="s">
        <v>51</v>
      </c>
      <c r="C11" s="129">
        <f>'1. SB ABA DE CARREGAMENTO'!$C$45</f>
        <v>160</v>
      </c>
      <c r="D11" s="152">
        <f>'3. SB Área'!AZ81</f>
        <v>0</v>
      </c>
      <c r="E11" s="153">
        <f>D11/C11</f>
        <v>0</v>
      </c>
      <c r="F11" s="154">
        <f>TRUNC(E11,0)</f>
        <v>0</v>
      </c>
      <c r="G11" s="153">
        <f>E11-F11</f>
        <v>0</v>
      </c>
      <c r="H11" s="153">
        <f>G11*$C$14*60</f>
        <v>0</v>
      </c>
      <c r="I11" s="135">
        <f>F11</f>
        <v>0</v>
      </c>
      <c r="J11" s="155" t="s">
        <v>295</v>
      </c>
      <c r="K11" s="135">
        <v>8</v>
      </c>
      <c r="L11" s="155" t="s">
        <v>296</v>
      </c>
      <c r="M11" s="135">
        <v>1</v>
      </c>
      <c r="N11" s="155" t="s">
        <v>297</v>
      </c>
      <c r="O11" s="137">
        <f>H11</f>
        <v>0</v>
      </c>
      <c r="P11" s="155" t="s">
        <v>298</v>
      </c>
    </row>
    <row r="12" spans="1:19" ht="51" customHeight="1" x14ac:dyDescent="0.2">
      <c r="A12" s="375" t="s">
        <v>313</v>
      </c>
      <c r="B12" s="375"/>
      <c r="C12" s="375"/>
      <c r="D12" s="286">
        <f>SUM(D8:D11)</f>
        <v>924.91791666666677</v>
      </c>
      <c r="E12" s="287">
        <f>SUM(E8:E11)</f>
        <v>2.8301196546052632</v>
      </c>
      <c r="F12" s="130">
        <f>TRUNC(E12,0)</f>
        <v>2</v>
      </c>
      <c r="G12" s="287">
        <f>E12-F12</f>
        <v>0.83011965460526316</v>
      </c>
      <c r="H12" s="140">
        <f>G12*$C$14*60</f>
        <v>398.45743421052634</v>
      </c>
      <c r="I12" s="130">
        <f>F12</f>
        <v>2</v>
      </c>
      <c r="J12" s="140" t="s">
        <v>295</v>
      </c>
      <c r="K12" s="140">
        <f>$C$14</f>
        <v>8</v>
      </c>
      <c r="L12" s="140" t="s">
        <v>296</v>
      </c>
      <c r="M12" s="130">
        <v>1</v>
      </c>
      <c r="N12" s="140" t="s">
        <v>297</v>
      </c>
      <c r="O12" s="130">
        <f>H12</f>
        <v>398.45743421052634</v>
      </c>
      <c r="P12" s="140" t="s">
        <v>298</v>
      </c>
      <c r="Q12" s="171"/>
      <c r="R12" s="171"/>
    </row>
    <row r="13" spans="1:19" ht="15.75" customHeight="1" x14ac:dyDescent="0.2">
      <c r="D13" s="143"/>
      <c r="E13" s="120"/>
      <c r="F13" s="16"/>
      <c r="G13" s="120"/>
      <c r="H13" s="120"/>
      <c r="J13" s="120"/>
      <c r="K13" s="120"/>
      <c r="L13" s="120"/>
      <c r="M13" s="120"/>
      <c r="N13" s="120"/>
      <c r="P13" s="120"/>
    </row>
    <row r="14" spans="1:19" ht="19.5" customHeight="1" x14ac:dyDescent="0.2">
      <c r="A14" s="381" t="s">
        <v>300</v>
      </c>
      <c r="B14" s="381"/>
      <c r="C14" s="144">
        <v>8</v>
      </c>
      <c r="D14" s="288" t="s">
        <v>301</v>
      </c>
      <c r="E14" s="381" t="s">
        <v>302</v>
      </c>
      <c r="F14" s="381"/>
      <c r="G14" s="381"/>
      <c r="H14" s="381"/>
      <c r="I14" s="381"/>
      <c r="J14" s="381"/>
      <c r="K14" s="381"/>
      <c r="L14" s="377">
        <f>F12+G12</f>
        <v>2.8301196546052632</v>
      </c>
      <c r="M14" s="377"/>
      <c r="N14" s="377"/>
      <c r="O14" s="377"/>
      <c r="P14" s="377"/>
    </row>
    <row r="15" spans="1:19" ht="18" customHeight="1" x14ac:dyDescent="0.2">
      <c r="A15" s="375" t="s">
        <v>303</v>
      </c>
      <c r="B15" s="375"/>
      <c r="C15" s="375"/>
      <c r="D15" s="375"/>
      <c r="E15" s="375"/>
      <c r="F15" s="375"/>
      <c r="G15" s="375"/>
      <c r="H15" s="375"/>
      <c r="I15" s="375"/>
      <c r="J15" s="375"/>
      <c r="K15" s="375"/>
      <c r="L15" s="375"/>
      <c r="M15" s="375"/>
      <c r="N15" s="375"/>
      <c r="O15" s="375"/>
      <c r="P15" s="375"/>
    </row>
    <row r="16" spans="1:19" ht="18" customHeight="1" x14ac:dyDescent="0.2">
      <c r="A16" s="372" t="s">
        <v>304</v>
      </c>
      <c r="B16" s="372"/>
      <c r="C16" s="372"/>
      <c r="D16" s="372"/>
      <c r="E16" s="372"/>
      <c r="F16" s="372"/>
      <c r="G16" s="372"/>
      <c r="H16" s="372"/>
      <c r="I16" s="372"/>
      <c r="J16" s="372"/>
      <c r="K16" s="372"/>
      <c r="L16" s="372"/>
      <c r="M16" s="372"/>
      <c r="N16" s="372"/>
      <c r="O16" s="372"/>
      <c r="P16" s="372"/>
    </row>
    <row r="17" spans="1:19" ht="57" customHeight="1" x14ac:dyDescent="0.2">
      <c r="A17" s="373" t="s">
        <v>305</v>
      </c>
      <c r="B17" s="373"/>
      <c r="C17" s="373"/>
      <c r="D17" s="373"/>
      <c r="E17" s="373"/>
      <c r="F17" s="373"/>
      <c r="G17" s="373"/>
      <c r="H17" s="373"/>
      <c r="I17" s="373"/>
      <c r="J17" s="373"/>
      <c r="K17" s="373"/>
      <c r="L17" s="373"/>
      <c r="M17" s="373"/>
      <c r="N17" s="373"/>
      <c r="O17" s="373"/>
      <c r="P17" s="373"/>
    </row>
    <row r="18" spans="1:19" ht="40.5" customHeight="1" x14ac:dyDescent="0.2">
      <c r="A18" s="374" t="s">
        <v>687</v>
      </c>
      <c r="B18" s="374"/>
      <c r="C18" s="374"/>
      <c r="D18" s="374"/>
      <c r="E18" s="374"/>
      <c r="F18" s="374"/>
      <c r="G18" s="374"/>
      <c r="H18" s="374"/>
      <c r="I18" s="374"/>
      <c r="J18" s="374"/>
      <c r="K18" s="374"/>
      <c r="L18" s="374"/>
      <c r="M18" s="374"/>
      <c r="N18" s="374"/>
      <c r="O18" s="374"/>
      <c r="P18" s="374"/>
    </row>
    <row r="19" spans="1:19" ht="49.5" customHeight="1" x14ac:dyDescent="0.2">
      <c r="A19" s="384" t="s">
        <v>688</v>
      </c>
      <c r="B19" s="384"/>
      <c r="C19" s="384"/>
      <c r="D19" s="384"/>
      <c r="E19" s="384"/>
      <c r="F19" s="384"/>
      <c r="G19" s="384"/>
      <c r="H19" s="384"/>
      <c r="I19" s="384"/>
      <c r="J19" s="384"/>
      <c r="K19" s="384"/>
      <c r="L19" s="384"/>
      <c r="M19" s="384"/>
      <c r="N19" s="384"/>
      <c r="O19" s="384"/>
      <c r="P19" s="384"/>
    </row>
    <row r="20" spans="1:19" ht="18" customHeight="1" x14ac:dyDescent="0.2">
      <c r="E20" s="120"/>
      <c r="G20" s="120"/>
      <c r="H20" s="120"/>
    </row>
    <row r="21" spans="1:19" ht="18" customHeight="1" x14ac:dyDescent="0.2">
      <c r="E21" s="120"/>
      <c r="G21" s="120"/>
      <c r="H21" s="120"/>
    </row>
    <row r="22" spans="1:19" ht="18" customHeight="1" x14ac:dyDescent="0.2">
      <c r="A22" s="382"/>
      <c r="B22" s="382"/>
      <c r="C22" s="382"/>
      <c r="D22" s="382"/>
      <c r="E22" s="382"/>
      <c r="F22" s="382"/>
      <c r="G22" s="382"/>
      <c r="H22" s="382"/>
      <c r="I22" s="382"/>
      <c r="J22" s="382"/>
      <c r="K22" s="382"/>
      <c r="L22" s="382"/>
      <c r="M22" s="382"/>
      <c r="N22" s="382"/>
      <c r="O22" s="382"/>
      <c r="P22" s="382"/>
      <c r="Q22" s="382"/>
      <c r="R22" s="382"/>
      <c r="S22" s="382"/>
    </row>
    <row r="23" spans="1:19" ht="18" customHeight="1" x14ac:dyDescent="0.2">
      <c r="E23" s="120"/>
      <c r="G23" s="120"/>
      <c r="H23" s="120"/>
    </row>
    <row r="24" spans="1:19" ht="18" customHeight="1" x14ac:dyDescent="0.2">
      <c r="A24" s="383"/>
      <c r="B24" s="383"/>
      <c r="C24" s="383"/>
      <c r="D24" s="383"/>
      <c r="E24" s="383"/>
      <c r="F24" s="383"/>
      <c r="G24" s="383"/>
      <c r="H24" s="383"/>
      <c r="I24" s="383"/>
      <c r="J24" s="383"/>
      <c r="K24" s="383"/>
      <c r="L24" s="383"/>
      <c r="M24" s="383"/>
      <c r="N24" s="383"/>
      <c r="O24" s="383"/>
      <c r="P24" s="383"/>
      <c r="Q24" s="383"/>
      <c r="R24" s="383"/>
      <c r="S24" s="383"/>
    </row>
    <row r="25" spans="1:19" ht="18" customHeight="1" x14ac:dyDescent="0.2">
      <c r="E25" s="120"/>
      <c r="G25" s="120"/>
      <c r="H25" s="120"/>
    </row>
    <row r="26" spans="1:19" ht="18" customHeight="1" x14ac:dyDescent="0.2">
      <c r="A26" s="382"/>
      <c r="B26" s="382"/>
      <c r="C26" s="382"/>
      <c r="D26" s="382"/>
      <c r="E26" s="382"/>
      <c r="F26" s="382"/>
      <c r="G26" s="382"/>
      <c r="H26" s="382"/>
      <c r="I26" s="382"/>
      <c r="J26" s="382"/>
      <c r="K26" s="382"/>
      <c r="L26" s="382"/>
      <c r="M26" s="382"/>
      <c r="N26" s="382"/>
      <c r="O26" s="382"/>
      <c r="P26" s="382"/>
      <c r="Q26" s="382"/>
      <c r="R26" s="382"/>
      <c r="S26" s="382"/>
    </row>
    <row r="27" spans="1:19" ht="18" customHeight="1" x14ac:dyDescent="0.2">
      <c r="A27" s="382"/>
      <c r="B27" s="382"/>
      <c r="C27" s="382"/>
      <c r="D27" s="382"/>
      <c r="E27" s="382"/>
      <c r="F27" s="382"/>
      <c r="G27" s="382"/>
      <c r="H27" s="382"/>
      <c r="I27" s="382"/>
      <c r="J27" s="382"/>
      <c r="K27" s="382"/>
      <c r="L27" s="382"/>
      <c r="M27" s="382"/>
      <c r="N27" s="382"/>
      <c r="O27" s="382"/>
    </row>
    <row r="28" spans="1:19" ht="12.75" customHeight="1" x14ac:dyDescent="0.2"/>
    <row r="29" spans="1:19" ht="12.75" customHeight="1" x14ac:dyDescent="0.2"/>
    <row r="30" spans="1:19" ht="12.75" customHeight="1" x14ac:dyDescent="0.2"/>
    <row r="31" spans="1:19" ht="12.75" customHeight="1" x14ac:dyDescent="0.2"/>
    <row r="32" spans="1:19"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sheetProtection selectLockedCells="1" selectUnlockedCells="1"/>
  <mergeCells count="20">
    <mergeCell ref="A22:S22"/>
    <mergeCell ref="A24:S24"/>
    <mergeCell ref="A26:S26"/>
    <mergeCell ref="A27:O27"/>
    <mergeCell ref="A15:P15"/>
    <mergeCell ref="A16:P16"/>
    <mergeCell ref="A17:P17"/>
    <mergeCell ref="A18:P18"/>
    <mergeCell ref="A19:P19"/>
    <mergeCell ref="I7:P7"/>
    <mergeCell ref="A8:A10"/>
    <mergeCell ref="A12:C12"/>
    <mergeCell ref="A14:B14"/>
    <mergeCell ref="E14:K14"/>
    <mergeCell ref="L14:P14"/>
    <mergeCell ref="A1:P1"/>
    <mergeCell ref="A2:P2"/>
    <mergeCell ref="A3:P3"/>
    <mergeCell ref="A4:P4"/>
    <mergeCell ref="A5:P5"/>
  </mergeCells>
  <printOptions horizontalCentered="1"/>
  <pageMargins left="0" right="0" top="0.39370078740157483" bottom="0" header="0" footer="0.51181102362204722"/>
  <pageSetup paperSize="9" scale="65" orientation="landscape" r:id="rId1"/>
  <headerFooter>
    <oddHeader>&amp;R&amp;P de &amp;N</oddHeader>
    <oddFooter>&amp;L&amp;F - &amp;A&amp;CPágina &amp;P de &amp;N</oddFooter>
  </headerFooter>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Z994"/>
  <sheetViews>
    <sheetView showGridLines="0" topLeftCell="A64" zoomScaleNormal="100" workbookViewId="0">
      <selection activeCell="C64" sqref="C64"/>
    </sheetView>
  </sheetViews>
  <sheetFormatPr defaultColWidth="14.42578125" defaultRowHeight="14.25" x14ac:dyDescent="0.2"/>
  <cols>
    <col min="1" max="1" width="17.28515625" style="99" customWidth="1"/>
    <col min="2" max="2" width="8" style="99" customWidth="1"/>
    <col min="3" max="3" width="17.28515625" style="99" customWidth="1"/>
    <col min="4" max="7" width="15.42578125" style="99" customWidth="1"/>
    <col min="8" max="8" width="12.28515625" style="99" customWidth="1"/>
    <col min="9" max="9" width="20.42578125" style="99" customWidth="1"/>
    <col min="10" max="10" width="18.5703125" style="99" customWidth="1"/>
    <col min="11" max="11" width="11.140625" style="99" customWidth="1"/>
    <col min="12" max="12" width="11.28515625" style="99" customWidth="1"/>
    <col min="13" max="26" width="8" style="99" customWidth="1"/>
    <col min="27" max="16384" width="14.42578125" style="99"/>
  </cols>
  <sheetData>
    <row r="1" spans="1:26" ht="12.75" customHeight="1" x14ac:dyDescent="0.2">
      <c r="A1" s="291" t="s">
        <v>0</v>
      </c>
      <c r="B1" s="291"/>
      <c r="C1" s="291"/>
      <c r="D1" s="291"/>
      <c r="E1" s="291"/>
      <c r="F1" s="291"/>
      <c r="G1" s="291"/>
      <c r="H1" s="291"/>
      <c r="I1" s="291"/>
      <c r="J1" s="291"/>
    </row>
    <row r="2" spans="1:26" ht="12.75" customHeight="1" x14ac:dyDescent="0.2">
      <c r="A2" s="291" t="s">
        <v>1</v>
      </c>
      <c r="B2" s="291"/>
      <c r="C2" s="291"/>
      <c r="D2" s="291"/>
      <c r="E2" s="291"/>
      <c r="F2" s="291"/>
      <c r="G2" s="291"/>
      <c r="H2" s="291"/>
      <c r="I2" s="291"/>
      <c r="J2" s="291"/>
    </row>
    <row r="3" spans="1:26" ht="12.75" customHeight="1" x14ac:dyDescent="0.2">
      <c r="A3" s="291" t="s">
        <v>2</v>
      </c>
      <c r="B3" s="291"/>
      <c r="C3" s="291"/>
      <c r="D3" s="291"/>
      <c r="E3" s="291"/>
      <c r="F3" s="291"/>
      <c r="G3" s="291"/>
      <c r="H3" s="291"/>
      <c r="I3" s="291"/>
      <c r="J3" s="291"/>
    </row>
    <row r="4" spans="1:26" ht="12.75" customHeight="1" x14ac:dyDescent="0.2">
      <c r="A4" s="292" t="str">
        <f>'1. SB ABA DE CARREGAMENTO'!A4</f>
        <v>CAMPUS SÃO BORJA</v>
      </c>
      <c r="B4" s="292"/>
      <c r="C4" s="292"/>
      <c r="D4" s="292"/>
      <c r="E4" s="292"/>
      <c r="F4" s="292"/>
      <c r="G4" s="292"/>
      <c r="H4" s="292"/>
      <c r="I4" s="292"/>
      <c r="J4" s="292"/>
    </row>
    <row r="5" spans="1:26" ht="20.25" customHeight="1" x14ac:dyDescent="0.2">
      <c r="A5" s="362" t="s">
        <v>314</v>
      </c>
      <c r="B5" s="362"/>
      <c r="C5" s="362"/>
      <c r="D5" s="362"/>
      <c r="E5" s="362"/>
      <c r="F5" s="362"/>
      <c r="G5" s="362"/>
      <c r="H5" s="362"/>
      <c r="I5" s="362"/>
      <c r="J5" s="362"/>
      <c r="K5" s="100"/>
      <c r="L5" s="100"/>
      <c r="M5" s="100"/>
      <c r="N5" s="100"/>
      <c r="O5" s="100"/>
      <c r="P5" s="100"/>
      <c r="Q5" s="100"/>
      <c r="R5" s="100"/>
      <c r="S5" s="100"/>
      <c r="T5" s="100"/>
      <c r="U5" s="100"/>
      <c r="V5" s="100"/>
      <c r="W5" s="100"/>
      <c r="X5" s="100"/>
      <c r="Y5" s="100"/>
      <c r="Z5" s="100"/>
    </row>
    <row r="6" spans="1:26" ht="9.75" customHeight="1" x14ac:dyDescent="0.2"/>
    <row r="7" spans="1:26" ht="20.25" customHeight="1" x14ac:dyDescent="0.2">
      <c r="A7" s="385" t="s">
        <v>652</v>
      </c>
      <c r="B7" s="385"/>
      <c r="C7" s="385"/>
      <c r="D7" s="385"/>
      <c r="E7" s="385"/>
      <c r="F7" s="385"/>
      <c r="G7" s="385"/>
      <c r="H7" s="385"/>
      <c r="I7" s="385"/>
      <c r="J7" s="385"/>
    </row>
    <row r="8" spans="1:26" ht="9.75" customHeight="1" x14ac:dyDescent="0.2"/>
    <row r="9" spans="1:26" ht="24" customHeight="1" x14ac:dyDescent="0.2">
      <c r="A9" s="385" t="s">
        <v>315</v>
      </c>
      <c r="B9" s="385"/>
      <c r="C9" s="385"/>
      <c r="D9" s="386" t="s">
        <v>316</v>
      </c>
      <c r="E9" s="386"/>
      <c r="F9" s="386"/>
      <c r="G9" s="386"/>
      <c r="H9" s="386"/>
      <c r="I9" s="387" t="str">
        <f>'1. SB ABA DE CARREGAMENTO'!A4</f>
        <v>CAMPUS SÃO BORJA</v>
      </c>
      <c r="J9" s="387"/>
    </row>
    <row r="10" spans="1:26" ht="24" customHeight="1" x14ac:dyDescent="0.2">
      <c r="A10" s="385"/>
      <c r="B10" s="385"/>
      <c r="C10" s="385"/>
      <c r="D10" s="388" t="s">
        <v>317</v>
      </c>
      <c r="E10" s="388"/>
      <c r="F10" s="388"/>
      <c r="G10" s="113">
        <f>'4. SB Cálc DEMO Limpeza Geral'!D25</f>
        <v>20533.305900000003</v>
      </c>
      <c r="H10" s="4" t="s">
        <v>318</v>
      </c>
      <c r="I10" s="389" t="s">
        <v>319</v>
      </c>
      <c r="J10" s="389"/>
    </row>
    <row r="11" spans="1:26" ht="30" customHeight="1" x14ac:dyDescent="0.2">
      <c r="A11" s="50" t="s">
        <v>320</v>
      </c>
      <c r="B11" s="390" t="str">
        <f>'1. SB ABA DE CARREGAMENTO'!B11</f>
        <v>23243.000810/2021-41</v>
      </c>
      <c r="C11" s="390"/>
      <c r="D11" s="50" t="s">
        <v>321</v>
      </c>
      <c r="E11" s="391" t="str">
        <f>'1. SB ABA DE CARREGAMENTO'!B12</f>
        <v>33 /2021</v>
      </c>
      <c r="F11" s="391"/>
      <c r="G11" s="50" t="s">
        <v>13</v>
      </c>
      <c r="H11" s="51">
        <f>'1. SB ABA DE CARREGAMENTO'!B13</f>
        <v>0</v>
      </c>
      <c r="I11" s="52" t="s">
        <v>14</v>
      </c>
      <c r="J11" s="53" t="str">
        <f>'1. SB ABA DE CARREGAMENTO'!B14</f>
        <v>09h (Horário de Brasília)</v>
      </c>
    </row>
    <row r="12" spans="1:26" ht="24" customHeight="1" x14ac:dyDescent="0.2">
      <c r="A12" s="54" t="s">
        <v>15</v>
      </c>
      <c r="B12" s="392" t="str">
        <f>'1. SB ABA DE CARREGAMENTO'!B15</f>
        <v>xxxx xxxx xxxx</v>
      </c>
      <c r="C12" s="392"/>
      <c r="D12" s="392"/>
      <c r="E12" s="392"/>
      <c r="F12" s="392"/>
      <c r="G12" s="392"/>
      <c r="H12" s="55" t="s">
        <v>322</v>
      </c>
      <c r="I12" s="393" t="str">
        <f>'1. SB ABA DE CARREGAMENTO'!B16</f>
        <v>zz.zzz.zzz/zzzz-zz</v>
      </c>
      <c r="J12" s="393"/>
    </row>
    <row r="13" spans="1:26" ht="24" customHeight="1" x14ac:dyDescent="0.2">
      <c r="A13" s="54" t="s">
        <v>323</v>
      </c>
      <c r="B13" s="392" t="str">
        <f>'1. SB ABA DE CARREGAMENTO'!B17</f>
        <v>Nome Completo</v>
      </c>
      <c r="C13" s="392"/>
      <c r="D13" s="392"/>
      <c r="E13" s="54" t="s">
        <v>324</v>
      </c>
      <c r="F13" s="394" t="str">
        <f>'1. SB ABA DE CARREGAMENTO'!B18</f>
        <v>yyy.yyy.yyy-yy</v>
      </c>
      <c r="G13" s="394"/>
      <c r="H13" s="54" t="s">
        <v>325</v>
      </c>
      <c r="I13" s="395" t="str">
        <f>'1. SB ABA DE CARREGAMENTO'!B19</f>
        <v>tttt ttt t ttt</v>
      </c>
      <c r="J13" s="395"/>
    </row>
    <row r="14" spans="1:26" ht="24" customHeight="1" x14ac:dyDescent="0.2">
      <c r="A14" s="396" t="str">
        <f>IF('1. SB ABA DE CARREGAMENTO'!B15="","PLANILHA CUSTOS E FORMAÇÃO DE PREÇOS DA ADMINISTRAÇÃO DO","")</f>
        <v/>
      </c>
      <c r="B14" s="396"/>
      <c r="C14" s="396"/>
      <c r="D14" s="396"/>
      <c r="E14" s="396"/>
      <c r="F14" s="396"/>
      <c r="G14" s="396"/>
      <c r="H14" s="397" t="str">
        <f>IF('1. SB ABA DE CARREGAMENTO'!B15="",'1. SB ABA DE CARREGAMENTO'!A4,"")</f>
        <v/>
      </c>
      <c r="I14" s="397"/>
      <c r="J14" s="397"/>
    </row>
    <row r="15" spans="1:26" ht="24" customHeight="1" x14ac:dyDescent="0.2">
      <c r="A15" s="401" t="s">
        <v>651</v>
      </c>
      <c r="B15" s="401"/>
      <c r="C15" s="401"/>
      <c r="D15" s="401"/>
      <c r="E15" s="401"/>
      <c r="F15" s="401"/>
      <c r="G15" s="401"/>
      <c r="H15" s="19">
        <f>'1. SB ABA DE CARREGAMENTO'!B51</f>
        <v>1</v>
      </c>
      <c r="I15" s="398" t="str">
        <f>IF(H15=1,"LUCRO REAL",IF(H15=2,"LUCRO PRESUMIDO",IF(H15=3,"SIMPLES-Anexo III",IF(H15=4,"SIMPLES-Anexo IV",IF(H15=5,"LUCRO REAL - PIS/COFINS Não Cumulativo","RT Inválido")))))</f>
        <v>LUCRO REAL</v>
      </c>
      <c r="J15" s="398"/>
    </row>
    <row r="16" spans="1:26" ht="24" customHeight="1" x14ac:dyDescent="0.2">
      <c r="A16" s="2"/>
      <c r="B16" s="2"/>
      <c r="C16" s="2"/>
      <c r="D16" s="2"/>
      <c r="E16" s="2"/>
      <c r="F16" s="2"/>
      <c r="G16" s="2"/>
      <c r="H16" s="2"/>
      <c r="I16" s="2"/>
      <c r="J16" s="2"/>
      <c r="K16" s="100"/>
      <c r="L16" s="100"/>
      <c r="M16" s="100"/>
      <c r="N16" s="100"/>
      <c r="O16" s="100"/>
      <c r="P16" s="100"/>
      <c r="Q16" s="100"/>
      <c r="R16" s="100"/>
      <c r="S16" s="100"/>
      <c r="T16" s="100"/>
      <c r="U16" s="100"/>
      <c r="V16" s="100"/>
      <c r="W16" s="100"/>
      <c r="X16" s="100"/>
      <c r="Y16" s="100"/>
      <c r="Z16" s="100"/>
    </row>
    <row r="17" spans="1:26" ht="24" customHeight="1" x14ac:dyDescent="0.2">
      <c r="A17" s="385" t="s">
        <v>326</v>
      </c>
      <c r="B17" s="385"/>
      <c r="C17" s="385"/>
      <c r="D17" s="385"/>
      <c r="E17" s="385"/>
      <c r="F17" s="385"/>
      <c r="G17" s="385"/>
      <c r="H17" s="385"/>
      <c r="I17" s="385"/>
      <c r="J17" s="385"/>
    </row>
    <row r="18" spans="1:26" ht="24" customHeight="1" x14ac:dyDescent="0.2">
      <c r="A18" s="20" t="s">
        <v>327</v>
      </c>
      <c r="B18" s="399" t="s">
        <v>328</v>
      </c>
      <c r="C18" s="399"/>
      <c r="D18" s="399"/>
      <c r="E18" s="399"/>
      <c r="F18" s="399"/>
      <c r="G18" s="399"/>
      <c r="H18" s="400">
        <f ca="1">'1. SB ABA DE CARREGAMENTO'!B54</f>
        <v>44609</v>
      </c>
      <c r="I18" s="400"/>
      <c r="J18" s="400"/>
    </row>
    <row r="19" spans="1:26" ht="24" customHeight="1" x14ac:dyDescent="0.2">
      <c r="A19" s="20" t="s">
        <v>329</v>
      </c>
      <c r="B19" s="399" t="s">
        <v>58</v>
      </c>
      <c r="C19" s="399"/>
      <c r="D19" s="399"/>
      <c r="E19" s="399"/>
      <c r="F19" s="399"/>
      <c r="G19" s="399"/>
      <c r="H19" s="400" t="str">
        <f>'1. SB ABA DE CARREGAMENTO'!B55</f>
        <v>São Borja/RS</v>
      </c>
      <c r="I19" s="400"/>
      <c r="J19" s="400"/>
    </row>
    <row r="20" spans="1:26" ht="34.5" customHeight="1" x14ac:dyDescent="0.2">
      <c r="A20" s="20" t="s">
        <v>330</v>
      </c>
      <c r="B20" s="399" t="s">
        <v>331</v>
      </c>
      <c r="C20" s="399"/>
      <c r="D20" s="399"/>
      <c r="E20" s="399"/>
      <c r="F20" s="399"/>
      <c r="G20" s="399"/>
      <c r="H20" s="400" t="str">
        <f>'1. SB ABA DE CARREGAMENTO'!B56</f>
        <v>CCT Sindasseio 2022/2022 - Registro MTE: RS005021/2021</v>
      </c>
      <c r="I20" s="400"/>
      <c r="J20" s="400"/>
    </row>
    <row r="21" spans="1:26" ht="24" customHeight="1" x14ac:dyDescent="0.2">
      <c r="A21" s="20" t="s">
        <v>332</v>
      </c>
      <c r="B21" s="399" t="s">
        <v>333</v>
      </c>
      <c r="C21" s="399"/>
      <c r="D21" s="399"/>
      <c r="E21" s="399"/>
      <c r="F21" s="399"/>
      <c r="G21" s="399"/>
      <c r="H21" s="402">
        <f>'1. SB ABA DE CARREGAMENTO'!B57</f>
        <v>20</v>
      </c>
      <c r="I21" s="402"/>
      <c r="J21" s="402"/>
    </row>
    <row r="22" spans="1:26" ht="24" customHeight="1" x14ac:dyDescent="0.2">
      <c r="A22" s="2"/>
      <c r="B22" s="2"/>
      <c r="C22" s="2"/>
      <c r="D22" s="2"/>
      <c r="E22" s="2"/>
      <c r="F22" s="2"/>
      <c r="G22" s="2"/>
      <c r="H22" s="2"/>
      <c r="I22" s="2"/>
      <c r="J22" s="2"/>
      <c r="K22" s="100"/>
      <c r="L22" s="100"/>
      <c r="M22" s="100"/>
      <c r="N22" s="100"/>
      <c r="O22" s="100"/>
      <c r="P22" s="100"/>
      <c r="Q22" s="100"/>
      <c r="R22" s="100"/>
      <c r="S22" s="100"/>
      <c r="T22" s="100"/>
      <c r="U22" s="100"/>
      <c r="V22" s="100"/>
      <c r="W22" s="100"/>
      <c r="X22" s="100"/>
      <c r="Y22" s="100"/>
      <c r="Z22" s="100"/>
    </row>
    <row r="23" spans="1:26" ht="24" customHeight="1" x14ac:dyDescent="0.2">
      <c r="A23" s="385" t="s">
        <v>334</v>
      </c>
      <c r="B23" s="385"/>
      <c r="C23" s="385"/>
      <c r="D23" s="385"/>
      <c r="E23" s="385"/>
      <c r="F23" s="385"/>
      <c r="G23" s="385"/>
      <c r="H23" s="385"/>
      <c r="I23" s="385"/>
      <c r="J23" s="385"/>
    </row>
    <row r="24" spans="1:26" ht="24" customHeight="1" x14ac:dyDescent="0.2">
      <c r="A24" s="403" t="s">
        <v>335</v>
      </c>
      <c r="B24" s="403"/>
      <c r="C24" s="403"/>
      <c r="D24" s="403"/>
      <c r="E24" s="403"/>
      <c r="F24" s="403"/>
      <c r="G24" s="403" t="s">
        <v>336</v>
      </c>
      <c r="H24" s="403"/>
      <c r="I24" s="403" t="s">
        <v>337</v>
      </c>
      <c r="J24" s="403"/>
    </row>
    <row r="25" spans="1:26" ht="24" customHeight="1" x14ac:dyDescent="0.2">
      <c r="A25" s="404" t="s">
        <v>338</v>
      </c>
      <c r="B25" s="404"/>
      <c r="C25" s="404"/>
      <c r="D25" s="404"/>
      <c r="E25" s="404"/>
      <c r="F25" s="404"/>
      <c r="G25" s="405" t="s">
        <v>339</v>
      </c>
      <c r="H25" s="405"/>
      <c r="I25" s="406">
        <f>'4. SB Cálc DEMO Limpeza Geral'!D8</f>
        <v>608</v>
      </c>
      <c r="J25" s="406"/>
    </row>
    <row r="26" spans="1:26" ht="24" customHeight="1" x14ac:dyDescent="0.2">
      <c r="A26" s="404" t="s">
        <v>340</v>
      </c>
      <c r="B26" s="404"/>
      <c r="C26" s="404"/>
      <c r="D26" s="404"/>
      <c r="E26" s="404"/>
      <c r="F26" s="404"/>
      <c r="G26" s="405" t="s">
        <v>339</v>
      </c>
      <c r="H26" s="405"/>
      <c r="I26" s="406">
        <f>'4. SB Cálc DEMO Limpeza Geral'!D9</f>
        <v>10285.355416666669</v>
      </c>
      <c r="J26" s="406"/>
    </row>
    <row r="27" spans="1:26" ht="24" customHeight="1" x14ac:dyDescent="0.2">
      <c r="A27" s="404" t="s">
        <v>341</v>
      </c>
      <c r="B27" s="404"/>
      <c r="C27" s="404"/>
      <c r="D27" s="404"/>
      <c r="E27" s="404"/>
      <c r="F27" s="404"/>
      <c r="G27" s="405" t="s">
        <v>339</v>
      </c>
      <c r="H27" s="405"/>
      <c r="I27" s="406">
        <f>'4. SB Cálc DEMO Limpeza Geral'!D10</f>
        <v>2187.9</v>
      </c>
      <c r="J27" s="406"/>
    </row>
    <row r="28" spans="1:26" ht="24" customHeight="1" x14ac:dyDescent="0.2">
      <c r="A28" s="404" t="s">
        <v>342</v>
      </c>
      <c r="B28" s="404"/>
      <c r="C28" s="404"/>
      <c r="D28" s="404"/>
      <c r="E28" s="404"/>
      <c r="F28" s="404"/>
      <c r="G28" s="405" t="s">
        <v>339</v>
      </c>
      <c r="H28" s="405"/>
      <c r="I28" s="406">
        <f>'4. SB Cálc DEMO Limpeza Geral'!D11</f>
        <v>85.719675000000009</v>
      </c>
      <c r="J28" s="406"/>
    </row>
    <row r="29" spans="1:26" ht="24" customHeight="1" x14ac:dyDescent="0.2">
      <c r="A29" s="404" t="s">
        <v>343</v>
      </c>
      <c r="B29" s="404"/>
      <c r="C29" s="404"/>
      <c r="D29" s="404"/>
      <c r="E29" s="404"/>
      <c r="F29" s="404"/>
      <c r="G29" s="405" t="s">
        <v>339</v>
      </c>
      <c r="H29" s="405"/>
      <c r="I29" s="406">
        <f>'4. SB Cálc DEMO Limpeza Geral'!D12</f>
        <v>0</v>
      </c>
      <c r="J29" s="406"/>
    </row>
    <row r="30" spans="1:26" ht="24" customHeight="1" x14ac:dyDescent="0.2">
      <c r="A30" s="404" t="s">
        <v>344</v>
      </c>
      <c r="B30" s="404"/>
      <c r="C30" s="404"/>
      <c r="D30" s="404"/>
      <c r="E30" s="404"/>
      <c r="F30" s="404"/>
      <c r="G30" s="405" t="s">
        <v>339</v>
      </c>
      <c r="H30" s="405"/>
      <c r="I30" s="406">
        <f>'4. SB Cálc DEMO Limpeza Geral'!D13</f>
        <v>6826.7999999999993</v>
      </c>
      <c r="J30" s="406"/>
    </row>
    <row r="31" spans="1:26" ht="24" customHeight="1" x14ac:dyDescent="0.2">
      <c r="A31" s="404" t="s">
        <v>345</v>
      </c>
      <c r="B31" s="404"/>
      <c r="C31" s="404"/>
      <c r="D31" s="404"/>
      <c r="E31" s="404"/>
      <c r="F31" s="404"/>
      <c r="G31" s="405" t="s">
        <v>339</v>
      </c>
      <c r="H31" s="405"/>
      <c r="I31" s="407">
        <f>'4. SB Cálc DEMO Limpeza Geral'!D14</f>
        <v>0</v>
      </c>
      <c r="J31" s="407"/>
    </row>
    <row r="32" spans="1:26" ht="24" customHeight="1" x14ac:dyDescent="0.2">
      <c r="A32" s="404" t="s">
        <v>346</v>
      </c>
      <c r="B32" s="404"/>
      <c r="C32" s="404"/>
      <c r="D32" s="404"/>
      <c r="E32" s="404"/>
      <c r="F32" s="404"/>
      <c r="G32" s="405" t="s">
        <v>339</v>
      </c>
      <c r="H32" s="405"/>
      <c r="I32" s="407">
        <f>'4. SB Cálc DEMO Limpeza Geral'!D15</f>
        <v>0</v>
      </c>
      <c r="J32" s="407"/>
    </row>
    <row r="33" spans="1:10" ht="24" customHeight="1" x14ac:dyDescent="0.2">
      <c r="A33" s="408" t="s">
        <v>347</v>
      </c>
      <c r="B33" s="408"/>
      <c r="C33" s="408"/>
      <c r="D33" s="408"/>
      <c r="E33" s="408"/>
      <c r="F33" s="408"/>
      <c r="G33" s="408"/>
      <c r="H33" s="408"/>
      <c r="I33" s="409">
        <f>SUM(I25:J32)</f>
        <v>19993.77509166667</v>
      </c>
      <c r="J33" s="409"/>
    </row>
    <row r="34" spans="1:10" ht="24" customHeight="1" x14ac:dyDescent="0.2">
      <c r="A34" s="404" t="s">
        <v>348</v>
      </c>
      <c r="B34" s="404"/>
      <c r="C34" s="404"/>
      <c r="D34" s="404"/>
      <c r="E34" s="404"/>
      <c r="F34" s="404"/>
      <c r="G34" s="405" t="s">
        <v>339</v>
      </c>
      <c r="H34" s="405"/>
      <c r="I34" s="407">
        <f>'4. SB Cálc DEMO Limpeza Geral'!D16</f>
        <v>202.93080833333335</v>
      </c>
      <c r="J34" s="407"/>
    </row>
    <row r="35" spans="1:10" ht="24" customHeight="1" x14ac:dyDescent="0.2">
      <c r="A35" s="404" t="s">
        <v>349</v>
      </c>
      <c r="B35" s="404"/>
      <c r="C35" s="404"/>
      <c r="D35" s="404"/>
      <c r="E35" s="404"/>
      <c r="F35" s="404"/>
      <c r="G35" s="405" t="s">
        <v>339</v>
      </c>
      <c r="H35" s="405"/>
      <c r="I35" s="407">
        <f>'4. SB Cálc DEMO Limpeza Geral'!D17</f>
        <v>0</v>
      </c>
      <c r="J35" s="407"/>
    </row>
    <row r="36" spans="1:10" ht="24" customHeight="1" x14ac:dyDescent="0.2">
      <c r="A36" s="404" t="s">
        <v>350</v>
      </c>
      <c r="B36" s="404"/>
      <c r="C36" s="404"/>
      <c r="D36" s="404"/>
      <c r="E36" s="404"/>
      <c r="F36" s="404"/>
      <c r="G36" s="405" t="s">
        <v>339</v>
      </c>
      <c r="H36" s="405"/>
      <c r="I36" s="407">
        <f>'4. SB Cálc DEMO Limpeza Geral'!D18</f>
        <v>0</v>
      </c>
      <c r="J36" s="407"/>
    </row>
    <row r="37" spans="1:10" ht="24" customHeight="1" x14ac:dyDescent="0.2">
      <c r="A37" s="404" t="s">
        <v>351</v>
      </c>
      <c r="B37" s="404"/>
      <c r="C37" s="404"/>
      <c r="D37" s="404"/>
      <c r="E37" s="404"/>
      <c r="F37" s="404"/>
      <c r="G37" s="405" t="s">
        <v>339</v>
      </c>
      <c r="H37" s="405"/>
      <c r="I37" s="407">
        <f>'4. SB Cálc DEMO Limpeza Geral'!D19</f>
        <v>0</v>
      </c>
      <c r="J37" s="407"/>
    </row>
    <row r="38" spans="1:10" ht="24" customHeight="1" x14ac:dyDescent="0.2">
      <c r="A38" s="404" t="s">
        <v>352</v>
      </c>
      <c r="B38" s="404"/>
      <c r="C38" s="404"/>
      <c r="D38" s="404"/>
      <c r="E38" s="404"/>
      <c r="F38" s="404"/>
      <c r="G38" s="405" t="s">
        <v>339</v>
      </c>
      <c r="H38" s="405"/>
      <c r="I38" s="407">
        <f>'4. SB Cálc DEMO Limpeza Geral'!D20</f>
        <v>0</v>
      </c>
      <c r="J38" s="407"/>
    </row>
    <row r="39" spans="1:10" ht="24" customHeight="1" x14ac:dyDescent="0.2">
      <c r="A39" s="404" t="s">
        <v>353</v>
      </c>
      <c r="B39" s="404"/>
      <c r="C39" s="404"/>
      <c r="D39" s="404"/>
      <c r="E39" s="404"/>
      <c r="F39" s="404"/>
      <c r="G39" s="405" t="s">
        <v>339</v>
      </c>
      <c r="H39" s="405"/>
      <c r="I39" s="407">
        <f>'4. SB Cálc DEMO Limpeza Geral'!D21</f>
        <v>0</v>
      </c>
      <c r="J39" s="407"/>
    </row>
    <row r="40" spans="1:10" ht="24" customHeight="1" x14ac:dyDescent="0.2">
      <c r="A40" s="404" t="s">
        <v>354</v>
      </c>
      <c r="B40" s="404"/>
      <c r="C40" s="404"/>
      <c r="D40" s="404"/>
      <c r="E40" s="404"/>
      <c r="F40" s="404"/>
      <c r="G40" s="405" t="s">
        <v>339</v>
      </c>
      <c r="H40" s="405"/>
      <c r="I40" s="407">
        <f>'4. SB Cálc DEMO Limpeza Geral'!D22</f>
        <v>0</v>
      </c>
      <c r="J40" s="407"/>
    </row>
    <row r="41" spans="1:10" ht="24" customHeight="1" x14ac:dyDescent="0.2">
      <c r="A41" s="404" t="s">
        <v>355</v>
      </c>
      <c r="B41" s="404"/>
      <c r="C41" s="404"/>
      <c r="D41" s="404"/>
      <c r="E41" s="404"/>
      <c r="F41" s="404"/>
      <c r="G41" s="405" t="s">
        <v>339</v>
      </c>
      <c r="H41" s="405"/>
      <c r="I41" s="407">
        <f>'4. SB Cálc DEMO Limpeza Geral'!D23</f>
        <v>0</v>
      </c>
      <c r="J41" s="407"/>
    </row>
    <row r="42" spans="1:10" ht="24" customHeight="1" x14ac:dyDescent="0.2">
      <c r="A42" s="408" t="s">
        <v>356</v>
      </c>
      <c r="B42" s="408"/>
      <c r="C42" s="408"/>
      <c r="D42" s="408"/>
      <c r="E42" s="408"/>
      <c r="F42" s="408"/>
      <c r="G42" s="408"/>
      <c r="H42" s="408"/>
      <c r="I42" s="409">
        <f>SUM(I34:J41)</f>
        <v>202.93080833333335</v>
      </c>
      <c r="J42" s="409"/>
    </row>
    <row r="43" spans="1:10" ht="24" customHeight="1" x14ac:dyDescent="0.2">
      <c r="A43" s="404" t="s">
        <v>357</v>
      </c>
      <c r="B43" s="404"/>
      <c r="C43" s="404"/>
      <c r="D43" s="404"/>
      <c r="E43" s="404"/>
      <c r="F43" s="404"/>
      <c r="G43" s="405" t="s">
        <v>339</v>
      </c>
      <c r="H43" s="405"/>
      <c r="I43" s="410">
        <f>'4. SB Cálc DEMO Limpeza Geral'!D24</f>
        <v>336.6</v>
      </c>
      <c r="J43" s="410"/>
    </row>
    <row r="44" spans="1:10" ht="24" customHeight="1" x14ac:dyDescent="0.2">
      <c r="A44" s="408" t="s">
        <v>358</v>
      </c>
      <c r="B44" s="408"/>
      <c r="C44" s="408"/>
      <c r="D44" s="408"/>
      <c r="E44" s="408"/>
      <c r="F44" s="408"/>
      <c r="G44" s="408"/>
      <c r="H44" s="408"/>
      <c r="I44" s="409">
        <f>I43</f>
        <v>336.6</v>
      </c>
      <c r="J44" s="409"/>
    </row>
    <row r="45" spans="1:10" ht="24" customHeight="1" x14ac:dyDescent="0.2">
      <c r="A45" s="404" t="s">
        <v>359</v>
      </c>
      <c r="B45" s="404"/>
      <c r="C45" s="404"/>
      <c r="D45" s="404"/>
      <c r="E45" s="404"/>
      <c r="F45" s="404"/>
      <c r="G45" s="405" t="s">
        <v>339</v>
      </c>
      <c r="H45" s="405"/>
      <c r="I45" s="410">
        <v>0</v>
      </c>
      <c r="J45" s="410"/>
    </row>
    <row r="46" spans="1:10" ht="24" customHeight="1" x14ac:dyDescent="0.2">
      <c r="A46" s="408" t="s">
        <v>360</v>
      </c>
      <c r="B46" s="408"/>
      <c r="C46" s="408"/>
      <c r="D46" s="408"/>
      <c r="E46" s="408"/>
      <c r="F46" s="408"/>
      <c r="G46" s="408"/>
      <c r="H46" s="408"/>
      <c r="I46" s="409">
        <v>0</v>
      </c>
      <c r="J46" s="409"/>
    </row>
    <row r="47" spans="1:10" ht="24" customHeight="1" x14ac:dyDescent="0.2">
      <c r="A47" s="408" t="s">
        <v>361</v>
      </c>
      <c r="B47" s="408"/>
      <c r="C47" s="408"/>
      <c r="D47" s="408"/>
      <c r="E47" s="408"/>
      <c r="F47" s="408"/>
      <c r="G47" s="408"/>
      <c r="H47" s="408"/>
      <c r="I47" s="409">
        <f>I46+I44+I42+I33</f>
        <v>20533.305900000003</v>
      </c>
      <c r="J47" s="409"/>
    </row>
    <row r="48" spans="1:10" ht="24" customHeight="1" x14ac:dyDescent="0.2">
      <c r="A48" s="411"/>
      <c r="B48" s="411"/>
      <c r="C48" s="411"/>
      <c r="D48" s="411"/>
      <c r="E48" s="411"/>
      <c r="F48" s="411"/>
      <c r="G48" s="411"/>
      <c r="H48" s="411"/>
      <c r="I48" s="411"/>
      <c r="J48" s="411"/>
    </row>
    <row r="49" spans="1:10" ht="24" customHeight="1" x14ac:dyDescent="0.2">
      <c r="A49" s="385" t="s">
        <v>362</v>
      </c>
      <c r="B49" s="385"/>
      <c r="C49" s="385"/>
      <c r="D49" s="385"/>
      <c r="E49" s="385"/>
      <c r="F49" s="385"/>
      <c r="G49" s="385"/>
      <c r="H49" s="385"/>
      <c r="I49" s="385"/>
      <c r="J49" s="385"/>
    </row>
    <row r="50" spans="1:10" ht="24" customHeight="1" x14ac:dyDescent="0.2">
      <c r="A50" s="385" t="s">
        <v>363</v>
      </c>
      <c r="B50" s="385"/>
      <c r="C50" s="385"/>
      <c r="D50" s="385"/>
      <c r="E50" s="385"/>
      <c r="F50" s="385"/>
      <c r="G50" s="385"/>
      <c r="H50" s="385"/>
      <c r="I50" s="385"/>
      <c r="J50" s="385"/>
    </row>
    <row r="51" spans="1:10" ht="24" customHeight="1" x14ac:dyDescent="0.2">
      <c r="A51" s="385" t="s">
        <v>364</v>
      </c>
      <c r="B51" s="385"/>
      <c r="C51" s="385"/>
      <c r="D51" s="385"/>
      <c r="E51" s="385"/>
      <c r="F51" s="385"/>
      <c r="G51" s="385"/>
      <c r="H51" s="385"/>
      <c r="I51" s="385"/>
      <c r="J51" s="385"/>
    </row>
    <row r="52" spans="1:10" ht="24" customHeight="1" x14ac:dyDescent="0.2">
      <c r="A52" s="56">
        <v>1</v>
      </c>
      <c r="B52" s="412" t="s">
        <v>63</v>
      </c>
      <c r="C52" s="412"/>
      <c r="D52" s="412"/>
      <c r="E52" s="412"/>
      <c r="F52" s="412"/>
      <c r="G52" s="412"/>
      <c r="H52" s="413" t="str">
        <f>'1. SB ABA DE CARREGAMENTO'!B60</f>
        <v>Limpeza, Asseio e Conservação</v>
      </c>
      <c r="I52" s="413"/>
      <c r="J52" s="413"/>
    </row>
    <row r="53" spans="1:10" ht="24" customHeight="1" x14ac:dyDescent="0.2">
      <c r="A53" s="56">
        <v>2</v>
      </c>
      <c r="B53" s="412" t="s">
        <v>65</v>
      </c>
      <c r="C53" s="412"/>
      <c r="D53" s="412"/>
      <c r="E53" s="412"/>
      <c r="F53" s="412"/>
      <c r="G53" s="412"/>
      <c r="H53" s="413">
        <f>'1. SB ABA DE CARREGAMENTO'!C61</f>
        <v>5143</v>
      </c>
      <c r="I53" s="413"/>
      <c r="J53" s="413"/>
    </row>
    <row r="54" spans="1:10" ht="24" customHeight="1" x14ac:dyDescent="0.2">
      <c r="A54" s="56">
        <v>3</v>
      </c>
      <c r="B54" s="412" t="s">
        <v>67</v>
      </c>
      <c r="C54" s="412"/>
      <c r="D54" s="412"/>
      <c r="E54" s="412"/>
      <c r="F54" s="412"/>
      <c r="G54" s="412"/>
      <c r="H54" s="414">
        <f>'1. SB ABA DE CARREGAMENTO'!C63</f>
        <v>1314.09</v>
      </c>
      <c r="I54" s="414"/>
      <c r="J54" s="414"/>
    </row>
    <row r="55" spans="1:10" ht="24" customHeight="1" x14ac:dyDescent="0.2">
      <c r="A55" s="56">
        <v>4</v>
      </c>
      <c r="B55" s="412" t="s">
        <v>68</v>
      </c>
      <c r="C55" s="412"/>
      <c r="D55" s="412"/>
      <c r="E55" s="412"/>
      <c r="F55" s="412"/>
      <c r="G55" s="412"/>
      <c r="H55" s="413" t="str">
        <f>'1. SB ABA DE CARREGAMENTO'!C64</f>
        <v>Servente de Limpeza</v>
      </c>
      <c r="I55" s="413"/>
      <c r="J55" s="413"/>
    </row>
    <row r="56" spans="1:10" ht="24" customHeight="1" x14ac:dyDescent="0.2">
      <c r="A56" s="56">
        <v>5</v>
      </c>
      <c r="B56" s="412" t="s">
        <v>70</v>
      </c>
      <c r="C56" s="412"/>
      <c r="D56" s="412"/>
      <c r="E56" s="412"/>
      <c r="F56" s="412"/>
      <c r="G56" s="412"/>
      <c r="H56" s="415">
        <f>'1. SB ABA DE CARREGAMENTO'!C65</f>
        <v>44562</v>
      </c>
      <c r="I56" s="415"/>
      <c r="J56" s="415"/>
    </row>
    <row r="57" spans="1:10" ht="24" customHeight="1" x14ac:dyDescent="0.2">
      <c r="A57" s="57" t="s">
        <v>365</v>
      </c>
      <c r="B57" s="416" t="s">
        <v>366</v>
      </c>
      <c r="C57" s="416"/>
      <c r="D57" s="416"/>
      <c r="E57" s="416"/>
      <c r="F57" s="416"/>
      <c r="G57" s="416"/>
      <c r="H57" s="416"/>
      <c r="I57" s="416"/>
      <c r="J57" s="416"/>
    </row>
    <row r="58" spans="1:10" ht="24" customHeight="1" x14ac:dyDescent="0.2">
      <c r="A58" s="114"/>
      <c r="B58" s="115"/>
      <c r="C58" s="115"/>
      <c r="D58" s="115"/>
      <c r="E58" s="115"/>
      <c r="F58" s="115"/>
      <c r="G58" s="115"/>
      <c r="H58" s="115"/>
      <c r="I58" s="115"/>
      <c r="J58" s="116"/>
    </row>
    <row r="59" spans="1:10" ht="24" customHeight="1" x14ac:dyDescent="0.2">
      <c r="A59" s="385" t="s">
        <v>367</v>
      </c>
      <c r="B59" s="385"/>
      <c r="C59" s="385"/>
      <c r="D59" s="385"/>
      <c r="E59" s="385"/>
      <c r="F59" s="385"/>
      <c r="G59" s="385"/>
      <c r="H59" s="385"/>
      <c r="I59" s="385"/>
      <c r="J59" s="385"/>
    </row>
    <row r="60" spans="1:10" ht="24" customHeight="1" x14ac:dyDescent="0.2">
      <c r="A60" s="19">
        <v>1</v>
      </c>
      <c r="B60" s="385" t="s">
        <v>368</v>
      </c>
      <c r="C60" s="385"/>
      <c r="D60" s="385"/>
      <c r="E60" s="385"/>
      <c r="F60" s="385"/>
      <c r="G60" s="385"/>
      <c r="H60" s="385"/>
      <c r="I60" s="5" t="s">
        <v>369</v>
      </c>
      <c r="J60" s="19" t="s">
        <v>370</v>
      </c>
    </row>
    <row r="61" spans="1:10" ht="24" customHeight="1" x14ac:dyDescent="0.2">
      <c r="A61" s="20" t="s">
        <v>327</v>
      </c>
      <c r="B61" s="417" t="s">
        <v>653</v>
      </c>
      <c r="C61" s="417"/>
      <c r="D61" s="417"/>
      <c r="E61" s="117">
        <f>'1. SB ABA DE CARREGAMENTO'!C68</f>
        <v>44</v>
      </c>
      <c r="F61" s="59" t="s">
        <v>371</v>
      </c>
      <c r="G61" s="418" t="str">
        <f>'1. SB ABA DE CARREGAMENTO'!B62</f>
        <v>Cláusula Quarta da CCT 2022/2022</v>
      </c>
      <c r="H61" s="418"/>
      <c r="I61" s="418"/>
      <c r="J61" s="81">
        <f>H54/44*'1. SB ABA DE CARREGAMENTO'!C68</f>
        <v>1314.09</v>
      </c>
    </row>
    <row r="62" spans="1:10" ht="24" customHeight="1" x14ac:dyDescent="0.2">
      <c r="A62" s="20" t="s">
        <v>329</v>
      </c>
      <c r="B62" s="417" t="s">
        <v>372</v>
      </c>
      <c r="C62" s="417"/>
      <c r="D62" s="418" t="str">
        <f>'1. SB ABA DE CARREGAMENTO'!B69</f>
        <v>Cláusula Décima Sétima da CCT 2022/2022</v>
      </c>
      <c r="E62" s="418"/>
      <c r="F62" s="418"/>
      <c r="G62" s="418"/>
      <c r="H62" s="418"/>
      <c r="I62" s="82">
        <f>'1. SB ABA DE CARREGAMENTO'!C71</f>
        <v>0.2</v>
      </c>
      <c r="J62" s="81">
        <f>ROUND(I62*J61,2)</f>
        <v>262.82</v>
      </c>
    </row>
    <row r="63" spans="1:10" ht="24" customHeight="1" x14ac:dyDescent="0.2">
      <c r="A63" s="20" t="s">
        <v>330</v>
      </c>
      <c r="B63" s="399" t="s">
        <v>654</v>
      </c>
      <c r="C63" s="399"/>
      <c r="D63" s="399"/>
      <c r="E63" s="399"/>
      <c r="F63" s="399"/>
      <c r="G63" s="399"/>
      <c r="H63" s="399"/>
      <c r="I63" s="399"/>
      <c r="J63" s="81">
        <v>0</v>
      </c>
    </row>
    <row r="64" spans="1:10" ht="24" customHeight="1" x14ac:dyDescent="0.2">
      <c r="A64" s="419" t="s">
        <v>373</v>
      </c>
      <c r="B64" s="419"/>
      <c r="C64" s="419"/>
      <c r="D64" s="419"/>
      <c r="E64" s="419"/>
      <c r="F64" s="419"/>
      <c r="G64" s="419"/>
      <c r="H64" s="419"/>
      <c r="I64" s="419"/>
      <c r="J64" s="9">
        <f>SUM(J61:J63)</f>
        <v>1576.9099999999999</v>
      </c>
    </row>
    <row r="65" spans="1:11" ht="24" customHeight="1" x14ac:dyDescent="0.2">
      <c r="A65" s="60" t="s">
        <v>374</v>
      </c>
      <c r="B65" s="420" t="s">
        <v>375</v>
      </c>
      <c r="C65" s="420"/>
      <c r="D65" s="420"/>
      <c r="E65" s="420"/>
      <c r="F65" s="420"/>
      <c r="G65" s="420"/>
      <c r="H65" s="420"/>
      <c r="I65" s="420"/>
      <c r="J65" s="420"/>
    </row>
    <row r="66" spans="1:11" ht="24" customHeight="1" x14ac:dyDescent="0.2">
      <c r="A66" s="118"/>
      <c r="B66" s="119"/>
      <c r="C66" s="115"/>
      <c r="D66" s="115"/>
      <c r="E66" s="115"/>
      <c r="F66" s="115"/>
      <c r="G66" s="115"/>
      <c r="H66" s="115"/>
      <c r="I66" s="115"/>
      <c r="J66" s="116"/>
    </row>
    <row r="67" spans="1:11" ht="24" customHeight="1" x14ac:dyDescent="0.2">
      <c r="A67" s="385" t="s">
        <v>376</v>
      </c>
      <c r="B67" s="385"/>
      <c r="C67" s="385"/>
      <c r="D67" s="385"/>
      <c r="E67" s="385"/>
      <c r="F67" s="385"/>
      <c r="G67" s="385"/>
      <c r="H67" s="385"/>
      <c r="I67" s="385"/>
      <c r="J67" s="385"/>
    </row>
    <row r="68" spans="1:11" ht="24" customHeight="1" x14ac:dyDescent="0.2">
      <c r="A68" s="19" t="s">
        <v>377</v>
      </c>
      <c r="B68" s="385" t="s">
        <v>378</v>
      </c>
      <c r="C68" s="385"/>
      <c r="D68" s="385"/>
      <c r="E68" s="385"/>
      <c r="F68" s="385"/>
      <c r="G68" s="385"/>
      <c r="H68" s="385"/>
      <c r="I68" s="385"/>
      <c r="J68" s="19" t="s">
        <v>379</v>
      </c>
      <c r="K68" s="120"/>
    </row>
    <row r="69" spans="1:11" ht="24" customHeight="1" x14ac:dyDescent="0.2">
      <c r="A69" s="20" t="s">
        <v>327</v>
      </c>
      <c r="B69" s="399" t="s">
        <v>655</v>
      </c>
      <c r="C69" s="399"/>
      <c r="D69" s="399"/>
      <c r="E69" s="399"/>
      <c r="F69" s="399"/>
      <c r="G69" s="399"/>
      <c r="H69" s="399"/>
      <c r="I69" s="399"/>
      <c r="J69" s="64">
        <f>ROUND($J$64/12,2)</f>
        <v>131.41</v>
      </c>
    </row>
    <row r="70" spans="1:11" ht="24" customHeight="1" x14ac:dyDescent="0.2">
      <c r="A70" s="20" t="s">
        <v>329</v>
      </c>
      <c r="B70" s="421" t="s">
        <v>711</v>
      </c>
      <c r="C70" s="421"/>
      <c r="D70" s="421"/>
      <c r="E70" s="421"/>
      <c r="F70" s="421"/>
      <c r="G70" s="421"/>
      <c r="H70" s="421"/>
      <c r="I70" s="421"/>
      <c r="J70" s="64">
        <f>ROUND(J64*3.025%,2)</f>
        <v>47.7</v>
      </c>
    </row>
    <row r="71" spans="1:11" ht="24" customHeight="1" x14ac:dyDescent="0.2">
      <c r="A71" s="419" t="s">
        <v>380</v>
      </c>
      <c r="B71" s="419"/>
      <c r="C71" s="419"/>
      <c r="D71" s="419"/>
      <c r="E71" s="419"/>
      <c r="F71" s="419"/>
      <c r="G71" s="419"/>
      <c r="H71" s="419"/>
      <c r="I71" s="419"/>
      <c r="J71" s="8">
        <f>SUM(J69:J70)</f>
        <v>179.11</v>
      </c>
    </row>
    <row r="72" spans="1:11" ht="27" customHeight="1" x14ac:dyDescent="0.2">
      <c r="A72" s="60" t="s">
        <v>381</v>
      </c>
      <c r="B72" s="420" t="s">
        <v>382</v>
      </c>
      <c r="C72" s="420"/>
      <c r="D72" s="420"/>
      <c r="E72" s="420"/>
      <c r="F72" s="420"/>
      <c r="G72" s="420"/>
      <c r="H72" s="420"/>
      <c r="I72" s="420"/>
      <c r="J72" s="420"/>
    </row>
    <row r="73" spans="1:11" ht="24" customHeight="1" x14ac:dyDescent="0.2">
      <c r="A73" s="118"/>
      <c r="B73" s="119"/>
      <c r="C73" s="115"/>
      <c r="D73" s="115"/>
      <c r="E73" s="115"/>
      <c r="F73" s="115"/>
      <c r="G73" s="115"/>
      <c r="H73" s="115"/>
      <c r="I73" s="115"/>
      <c r="J73" s="116"/>
    </row>
    <row r="74" spans="1:11" ht="36" customHeight="1" x14ac:dyDescent="0.2">
      <c r="A74" s="19" t="s">
        <v>383</v>
      </c>
      <c r="B74" s="385" t="s">
        <v>384</v>
      </c>
      <c r="C74" s="385"/>
      <c r="D74" s="385"/>
      <c r="E74" s="385"/>
      <c r="F74" s="385"/>
      <c r="G74" s="385"/>
      <c r="H74" s="385"/>
      <c r="I74" s="385"/>
      <c r="J74" s="385"/>
    </row>
    <row r="75" spans="1:11" ht="24" customHeight="1" x14ac:dyDescent="0.2">
      <c r="A75" s="19"/>
      <c r="B75" s="385" t="s">
        <v>385</v>
      </c>
      <c r="C75" s="385"/>
      <c r="D75" s="385"/>
      <c r="E75" s="385"/>
      <c r="F75" s="385"/>
      <c r="G75" s="385"/>
      <c r="H75" s="385"/>
      <c r="I75" s="19" t="s">
        <v>369</v>
      </c>
      <c r="J75" s="19" t="s">
        <v>379</v>
      </c>
    </row>
    <row r="76" spans="1:11" ht="24" customHeight="1" x14ac:dyDescent="0.2">
      <c r="A76" s="20" t="s">
        <v>327</v>
      </c>
      <c r="B76" s="399" t="s">
        <v>80</v>
      </c>
      <c r="C76" s="399"/>
      <c r="D76" s="399"/>
      <c r="E76" s="399"/>
      <c r="F76" s="399"/>
      <c r="G76" s="399"/>
      <c r="H76" s="399"/>
      <c r="I76" s="62">
        <f>'1. SB ABA DE CARREGAMENTO'!C78</f>
        <v>0.2</v>
      </c>
      <c r="J76" s="64">
        <f>ROUND((J64+J71)*I76,2)</f>
        <v>351.2</v>
      </c>
    </row>
    <row r="77" spans="1:11" ht="24" customHeight="1" x14ac:dyDescent="0.2">
      <c r="A77" s="20" t="s">
        <v>329</v>
      </c>
      <c r="B77" s="399" t="s">
        <v>81</v>
      </c>
      <c r="C77" s="399"/>
      <c r="D77" s="399"/>
      <c r="E77" s="399"/>
      <c r="F77" s="399"/>
      <c r="G77" s="399"/>
      <c r="H77" s="399"/>
      <c r="I77" s="62">
        <f>IF($H$15=1,'1. SB ABA DE CARREGAMENTO'!C79,IF($H$15=2,'1. SB ABA DE CARREGAMENTO'!C79,0))</f>
        <v>2.5000000000000001E-2</v>
      </c>
      <c r="J77" s="64">
        <f>ROUND((J64+J71)*I77,2)</f>
        <v>43.9</v>
      </c>
    </row>
    <row r="78" spans="1:11" ht="33.75" customHeight="1" x14ac:dyDescent="0.2">
      <c r="A78" s="20" t="s">
        <v>330</v>
      </c>
      <c r="B78" s="399" t="s">
        <v>82</v>
      </c>
      <c r="C78" s="399"/>
      <c r="D78" s="399"/>
      <c r="E78" s="61" t="s">
        <v>386</v>
      </c>
      <c r="F78" s="62">
        <f>'1. SB ABA DE CARREGAMENTO'!$B$74</f>
        <v>0.03</v>
      </c>
      <c r="G78" s="61" t="s">
        <v>387</v>
      </c>
      <c r="H78" s="63">
        <f>'1. SB ABA DE CARREGAMENTO'!$B$75</f>
        <v>1</v>
      </c>
      <c r="I78" s="62">
        <f>'1. SB ABA DE CARREGAMENTO'!C80</f>
        <v>0.03</v>
      </c>
      <c r="J78" s="64">
        <f>ROUND((J64+J71)*I78,2)</f>
        <v>52.68</v>
      </c>
    </row>
    <row r="79" spans="1:11" ht="24" customHeight="1" x14ac:dyDescent="0.2">
      <c r="A79" s="20" t="s">
        <v>332</v>
      </c>
      <c r="B79" s="399" t="s">
        <v>83</v>
      </c>
      <c r="C79" s="399"/>
      <c r="D79" s="399"/>
      <c r="E79" s="399"/>
      <c r="F79" s="399"/>
      <c r="G79" s="399"/>
      <c r="H79" s="399"/>
      <c r="I79" s="62">
        <f>IF($H$15=1,'1. SB ABA DE CARREGAMENTO'!C81,IF($H$15=2,'1. SB ABA DE CARREGAMENTO'!C81,0))</f>
        <v>1.4999999999999999E-2</v>
      </c>
      <c r="J79" s="64">
        <f>ROUND((J64+J71)*I79,2)</f>
        <v>26.34</v>
      </c>
    </row>
    <row r="80" spans="1:11" ht="24" customHeight="1" x14ac:dyDescent="0.2">
      <c r="A80" s="20" t="s">
        <v>388</v>
      </c>
      <c r="B80" s="399" t="s">
        <v>84</v>
      </c>
      <c r="C80" s="399"/>
      <c r="D80" s="399"/>
      <c r="E80" s="399"/>
      <c r="F80" s="399"/>
      <c r="G80" s="399"/>
      <c r="H80" s="399"/>
      <c r="I80" s="62">
        <f>IF($H$15=1,'1. SB ABA DE CARREGAMENTO'!C82,IF($H$15=2,'1. SB ABA DE CARREGAMENTO'!C82,0))</f>
        <v>0.01</v>
      </c>
      <c r="J80" s="64">
        <f>ROUND((J64+J71)*I80,2)</f>
        <v>17.559999999999999</v>
      </c>
    </row>
    <row r="81" spans="1:10" ht="24" customHeight="1" x14ac:dyDescent="0.2">
      <c r="A81" s="20" t="s">
        <v>389</v>
      </c>
      <c r="B81" s="399" t="s">
        <v>85</v>
      </c>
      <c r="C81" s="399"/>
      <c r="D81" s="399"/>
      <c r="E81" s="399"/>
      <c r="F81" s="399"/>
      <c r="G81" s="399"/>
      <c r="H81" s="399"/>
      <c r="I81" s="62">
        <f>IF($H$15=1,'1. SB ABA DE CARREGAMENTO'!C83,IF($H$15=2,'1. SB ABA DE CARREGAMENTO'!C83,0))</f>
        <v>6.0000000000000001E-3</v>
      </c>
      <c r="J81" s="64">
        <f>ROUND((J64+J71)*I81,2)</f>
        <v>10.54</v>
      </c>
    </row>
    <row r="82" spans="1:10" ht="24" customHeight="1" x14ac:dyDescent="0.2">
      <c r="A82" s="20" t="s">
        <v>390</v>
      </c>
      <c r="B82" s="399" t="s">
        <v>86</v>
      </c>
      <c r="C82" s="399"/>
      <c r="D82" s="399"/>
      <c r="E82" s="399"/>
      <c r="F82" s="399"/>
      <c r="G82" s="399"/>
      <c r="H82" s="399"/>
      <c r="I82" s="62">
        <f>IF($H$15=1,'1. SB ABA DE CARREGAMENTO'!C84,IF($H$15=2,'1. SB ABA DE CARREGAMENTO'!C84,0))</f>
        <v>2E-3</v>
      </c>
      <c r="J82" s="64">
        <f>ROUND((J64+J71)*I82,2)</f>
        <v>3.51</v>
      </c>
    </row>
    <row r="83" spans="1:10" ht="24" customHeight="1" x14ac:dyDescent="0.2">
      <c r="A83" s="20" t="s">
        <v>391</v>
      </c>
      <c r="B83" s="399" t="s">
        <v>87</v>
      </c>
      <c r="C83" s="399"/>
      <c r="D83" s="399"/>
      <c r="E83" s="399"/>
      <c r="F83" s="399"/>
      <c r="G83" s="399"/>
      <c r="H83" s="399"/>
      <c r="I83" s="62">
        <f>'1. SB ABA DE CARREGAMENTO'!C85</f>
        <v>0.08</v>
      </c>
      <c r="J83" s="64">
        <f>ROUND((J64+J71)*I83,2)</f>
        <v>140.47999999999999</v>
      </c>
    </row>
    <row r="84" spans="1:10" ht="24" customHeight="1" x14ac:dyDescent="0.2">
      <c r="A84" s="419" t="s">
        <v>392</v>
      </c>
      <c r="B84" s="419"/>
      <c r="C84" s="419"/>
      <c r="D84" s="419"/>
      <c r="E84" s="419"/>
      <c r="F84" s="419"/>
      <c r="G84" s="419"/>
      <c r="H84" s="419"/>
      <c r="I84" s="84">
        <f>SUM(I76:I83)</f>
        <v>0.36800000000000005</v>
      </c>
      <c r="J84" s="8">
        <f>SUM(J76:J83)</f>
        <v>646.20999999999992</v>
      </c>
    </row>
    <row r="85" spans="1:10" ht="24" customHeight="1" x14ac:dyDescent="0.2">
      <c r="A85" s="60" t="s">
        <v>393</v>
      </c>
      <c r="B85" s="420" t="s">
        <v>394</v>
      </c>
      <c r="C85" s="420"/>
      <c r="D85" s="420"/>
      <c r="E85" s="420"/>
      <c r="F85" s="420"/>
      <c r="G85" s="420"/>
      <c r="H85" s="420"/>
      <c r="I85" s="420"/>
      <c r="J85" s="420"/>
    </row>
    <row r="86" spans="1:10" ht="24" customHeight="1" x14ac:dyDescent="0.2">
      <c r="A86" s="60" t="s">
        <v>395</v>
      </c>
      <c r="B86" s="420" t="s">
        <v>396</v>
      </c>
      <c r="C86" s="420"/>
      <c r="D86" s="420"/>
      <c r="E86" s="420"/>
      <c r="F86" s="420"/>
      <c r="G86" s="420"/>
      <c r="H86" s="420"/>
      <c r="I86" s="420"/>
      <c r="J86" s="420"/>
    </row>
    <row r="87" spans="1:10" ht="24" customHeight="1" x14ac:dyDescent="0.2">
      <c r="A87" s="118"/>
      <c r="B87" s="119"/>
      <c r="C87" s="115"/>
      <c r="D87" s="115"/>
      <c r="E87" s="115"/>
      <c r="F87" s="115"/>
      <c r="G87" s="115"/>
      <c r="H87" s="115"/>
      <c r="I87" s="115"/>
      <c r="J87" s="116"/>
    </row>
    <row r="88" spans="1:10" ht="24" customHeight="1" x14ac:dyDescent="0.2">
      <c r="A88" s="6" t="s">
        <v>397</v>
      </c>
      <c r="B88" s="385" t="s">
        <v>398</v>
      </c>
      <c r="C88" s="385"/>
      <c r="D88" s="385"/>
      <c r="E88" s="385"/>
      <c r="F88" s="385"/>
      <c r="G88" s="385"/>
      <c r="H88" s="385"/>
      <c r="I88" s="385"/>
      <c r="J88" s="385"/>
    </row>
    <row r="89" spans="1:10" ht="24" customHeight="1" x14ac:dyDescent="0.2">
      <c r="A89" s="19"/>
      <c r="B89" s="385" t="s">
        <v>398</v>
      </c>
      <c r="C89" s="385"/>
      <c r="D89" s="385"/>
      <c r="E89" s="385"/>
      <c r="F89" s="385"/>
      <c r="G89" s="385"/>
      <c r="H89" s="385"/>
      <c r="I89" s="385"/>
      <c r="J89" s="19" t="s">
        <v>379</v>
      </c>
    </row>
    <row r="90" spans="1:10" ht="24" customHeight="1" x14ac:dyDescent="0.2">
      <c r="A90" s="403" t="s">
        <v>327</v>
      </c>
      <c r="B90" s="399" t="s">
        <v>656</v>
      </c>
      <c r="C90" s="399"/>
      <c r="D90" s="399"/>
      <c r="E90" s="399"/>
      <c r="F90" s="399"/>
      <c r="G90" s="399"/>
      <c r="H90" s="399"/>
      <c r="I90" s="399"/>
      <c r="J90" s="422">
        <f>IF(ROUND((I93*I91*I92)-(J61*0.06),2)&lt;0,0,ROUND((I93*I91*I92)-(J61*0.06),2))*1+(I91*I92*21.726-0.06*J61)*0</f>
        <v>91.55</v>
      </c>
    </row>
    <row r="91" spans="1:10" ht="24" customHeight="1" x14ac:dyDescent="0.2">
      <c r="A91" s="403"/>
      <c r="B91" s="423" t="s">
        <v>399</v>
      </c>
      <c r="C91" s="423"/>
      <c r="D91" s="423"/>
      <c r="E91" s="423"/>
      <c r="F91" s="423"/>
      <c r="G91" s="423"/>
      <c r="H91" s="423"/>
      <c r="I91" s="85">
        <f>'1. SB ABA DE CARREGAMENTO'!$B$88</f>
        <v>3.55</v>
      </c>
      <c r="J91" s="422"/>
    </row>
    <row r="92" spans="1:10" ht="24" customHeight="1" x14ac:dyDescent="0.2">
      <c r="A92" s="403"/>
      <c r="B92" s="423" t="s">
        <v>400</v>
      </c>
      <c r="C92" s="423"/>
      <c r="D92" s="423"/>
      <c r="E92" s="423"/>
      <c r="F92" s="423"/>
      <c r="G92" s="423"/>
      <c r="H92" s="423"/>
      <c r="I92" s="86">
        <f>'1. SB ABA DE CARREGAMENTO'!$B$89</f>
        <v>2</v>
      </c>
      <c r="J92" s="422"/>
    </row>
    <row r="93" spans="1:10" ht="24" customHeight="1" x14ac:dyDescent="0.2">
      <c r="A93" s="403"/>
      <c r="B93" s="423" t="s">
        <v>401</v>
      </c>
      <c r="C93" s="423"/>
      <c r="D93" s="423"/>
      <c r="E93" s="423"/>
      <c r="F93" s="423"/>
      <c r="G93" s="423"/>
      <c r="H93" s="423"/>
      <c r="I93" s="86">
        <f>'1. SB ABA DE CARREGAMENTO'!$B$90</f>
        <v>24</v>
      </c>
      <c r="J93" s="422"/>
    </row>
    <row r="94" spans="1:10" ht="24" customHeight="1" x14ac:dyDescent="0.2">
      <c r="A94" s="403"/>
      <c r="B94" s="423" t="s">
        <v>402</v>
      </c>
      <c r="C94" s="423"/>
      <c r="D94" s="423"/>
      <c r="E94" s="423"/>
      <c r="F94" s="423"/>
      <c r="G94" s="423"/>
      <c r="H94" s="423"/>
      <c r="I94" s="88">
        <f>'1. SB ABA DE CARREGAMENTO'!B91</f>
        <v>0.06</v>
      </c>
      <c r="J94" s="422"/>
    </row>
    <row r="95" spans="1:10" ht="24" customHeight="1" x14ac:dyDescent="0.2">
      <c r="A95" s="403" t="s">
        <v>329</v>
      </c>
      <c r="B95" s="417" t="s">
        <v>657</v>
      </c>
      <c r="C95" s="417"/>
      <c r="D95" s="417"/>
      <c r="E95" s="424" t="str">
        <f>'1. SB ABA DE CARREGAMENTO'!B94</f>
        <v>Cláusula Décima Oitava da CCT 2022/2022</v>
      </c>
      <c r="F95" s="424"/>
      <c r="G95" s="424"/>
      <c r="H95" s="424"/>
      <c r="I95" s="425"/>
      <c r="J95" s="422">
        <f>ROUND((I96*I97)-((I96*I97)*I98),2)</f>
        <v>392.3</v>
      </c>
    </row>
    <row r="96" spans="1:10" ht="24" customHeight="1" x14ac:dyDescent="0.2">
      <c r="A96" s="403"/>
      <c r="B96" s="423" t="s">
        <v>403</v>
      </c>
      <c r="C96" s="423"/>
      <c r="D96" s="423"/>
      <c r="E96" s="423"/>
      <c r="F96" s="423"/>
      <c r="G96" s="423"/>
      <c r="H96" s="423"/>
      <c r="I96" s="81">
        <f>'1. SB ABA DE CARREGAMENTO'!B95</f>
        <v>20.18</v>
      </c>
      <c r="J96" s="422"/>
    </row>
    <row r="97" spans="1:10" ht="24" customHeight="1" x14ac:dyDescent="0.2">
      <c r="A97" s="403"/>
      <c r="B97" s="423" t="s">
        <v>404</v>
      </c>
      <c r="C97" s="423"/>
      <c r="D97" s="423"/>
      <c r="E97" s="423"/>
      <c r="F97" s="423"/>
      <c r="G97" s="423"/>
      <c r="H97" s="423"/>
      <c r="I97" s="86">
        <f>'1. SB ABA DE CARREGAMENTO'!B97</f>
        <v>24</v>
      </c>
      <c r="J97" s="422"/>
    </row>
    <row r="98" spans="1:10" ht="24" customHeight="1" x14ac:dyDescent="0.2">
      <c r="A98" s="403"/>
      <c r="B98" s="423" t="s">
        <v>405</v>
      </c>
      <c r="C98" s="423"/>
      <c r="D98" s="423"/>
      <c r="E98" s="423"/>
      <c r="F98" s="423"/>
      <c r="G98" s="423"/>
      <c r="H98" s="423"/>
      <c r="I98" s="88">
        <f>'1. SB ABA DE CARREGAMENTO'!B96</f>
        <v>0.19</v>
      </c>
      <c r="J98" s="422"/>
    </row>
    <row r="99" spans="1:10" ht="24" customHeight="1" x14ac:dyDescent="0.2">
      <c r="A99" s="20" t="s">
        <v>330</v>
      </c>
      <c r="B99" s="417" t="s">
        <v>406</v>
      </c>
      <c r="C99" s="417"/>
      <c r="D99" s="417"/>
      <c r="E99" s="424" t="str">
        <f>'1. SB ABA DE CARREGAMENTO'!B100</f>
        <v>Cláusula Vigésima Nona da CCT 2022/2022</v>
      </c>
      <c r="F99" s="424"/>
      <c r="G99" s="424"/>
      <c r="H99" s="424"/>
      <c r="I99" s="425"/>
      <c r="J99" s="89">
        <f>'1. SB ABA DE CARREGAMENTO'!C100</f>
        <v>17.32</v>
      </c>
    </row>
    <row r="100" spans="1:10" ht="24" customHeight="1" x14ac:dyDescent="0.2">
      <c r="A100" s="20" t="s">
        <v>332</v>
      </c>
      <c r="B100" s="399" t="s">
        <v>658</v>
      </c>
      <c r="C100" s="399"/>
      <c r="D100" s="399"/>
      <c r="E100" s="399"/>
      <c r="F100" s="399"/>
      <c r="G100" s="399"/>
      <c r="H100" s="399"/>
      <c r="I100" s="399"/>
      <c r="J100" s="64">
        <v>0</v>
      </c>
    </row>
    <row r="101" spans="1:10" ht="24" customHeight="1" x14ac:dyDescent="0.2">
      <c r="A101" s="419" t="s">
        <v>407</v>
      </c>
      <c r="B101" s="419"/>
      <c r="C101" s="419"/>
      <c r="D101" s="419"/>
      <c r="E101" s="419"/>
      <c r="F101" s="419"/>
      <c r="G101" s="419"/>
      <c r="H101" s="419"/>
      <c r="I101" s="419"/>
      <c r="J101" s="8">
        <f>SUM(J90:J99)</f>
        <v>501.17</v>
      </c>
    </row>
    <row r="102" spans="1:10" ht="24" customHeight="1" x14ac:dyDescent="0.2">
      <c r="A102" s="60" t="s">
        <v>408</v>
      </c>
      <c r="B102" s="420" t="s">
        <v>409</v>
      </c>
      <c r="C102" s="420"/>
      <c r="D102" s="420"/>
      <c r="E102" s="420"/>
      <c r="F102" s="420"/>
      <c r="G102" s="420"/>
      <c r="H102" s="420"/>
      <c r="I102" s="420"/>
      <c r="J102" s="420"/>
    </row>
    <row r="103" spans="1:10" ht="30" customHeight="1" x14ac:dyDescent="0.2">
      <c r="A103" s="60" t="s">
        <v>410</v>
      </c>
      <c r="B103" s="420" t="s">
        <v>411</v>
      </c>
      <c r="C103" s="420"/>
      <c r="D103" s="420"/>
      <c r="E103" s="420"/>
      <c r="F103" s="420"/>
      <c r="G103" s="420"/>
      <c r="H103" s="420"/>
      <c r="I103" s="420"/>
      <c r="J103" s="420"/>
    </row>
    <row r="104" spans="1:10" ht="24" customHeight="1" x14ac:dyDescent="0.2">
      <c r="A104" s="65"/>
      <c r="B104" s="66"/>
      <c r="C104" s="66"/>
      <c r="D104" s="66"/>
      <c r="E104" s="66"/>
      <c r="F104" s="66"/>
      <c r="G104" s="66"/>
      <c r="H104" s="66"/>
      <c r="I104" s="66"/>
      <c r="J104" s="66"/>
    </row>
    <row r="105" spans="1:10" ht="24" customHeight="1" x14ac:dyDescent="0.2">
      <c r="A105" s="385" t="s">
        <v>412</v>
      </c>
      <c r="B105" s="385"/>
      <c r="C105" s="385"/>
      <c r="D105" s="385"/>
      <c r="E105" s="385"/>
      <c r="F105" s="385"/>
      <c r="G105" s="385"/>
      <c r="H105" s="385"/>
      <c r="I105" s="385"/>
      <c r="J105" s="385"/>
    </row>
    <row r="106" spans="1:10" ht="24" customHeight="1" x14ac:dyDescent="0.2">
      <c r="A106" s="19" t="s">
        <v>413</v>
      </c>
      <c r="B106" s="385" t="s">
        <v>414</v>
      </c>
      <c r="C106" s="385"/>
      <c r="D106" s="385"/>
      <c r="E106" s="385"/>
      <c r="F106" s="385"/>
      <c r="G106" s="385"/>
      <c r="H106" s="385"/>
      <c r="I106" s="385"/>
      <c r="J106" s="19" t="s">
        <v>379</v>
      </c>
    </row>
    <row r="107" spans="1:10" ht="24" customHeight="1" x14ac:dyDescent="0.2">
      <c r="A107" s="20" t="s">
        <v>415</v>
      </c>
      <c r="B107" s="423" t="s">
        <v>416</v>
      </c>
      <c r="C107" s="423"/>
      <c r="D107" s="423"/>
      <c r="E107" s="423"/>
      <c r="F107" s="423"/>
      <c r="G107" s="423"/>
      <c r="H107" s="423"/>
      <c r="I107" s="423"/>
      <c r="J107" s="64">
        <f>J71</f>
        <v>179.11</v>
      </c>
    </row>
    <row r="108" spans="1:10" ht="24" customHeight="1" x14ac:dyDescent="0.2">
      <c r="A108" s="20" t="s">
        <v>383</v>
      </c>
      <c r="B108" s="423" t="s">
        <v>417</v>
      </c>
      <c r="C108" s="423"/>
      <c r="D108" s="423"/>
      <c r="E108" s="423"/>
      <c r="F108" s="423"/>
      <c r="G108" s="423"/>
      <c r="H108" s="423"/>
      <c r="I108" s="423"/>
      <c r="J108" s="64">
        <f>J84</f>
        <v>646.20999999999992</v>
      </c>
    </row>
    <row r="109" spans="1:10" ht="24" customHeight="1" x14ac:dyDescent="0.2">
      <c r="A109" s="20" t="s">
        <v>418</v>
      </c>
      <c r="B109" s="423" t="s">
        <v>419</v>
      </c>
      <c r="C109" s="423"/>
      <c r="D109" s="423"/>
      <c r="E109" s="423"/>
      <c r="F109" s="423"/>
      <c r="G109" s="423"/>
      <c r="H109" s="423"/>
      <c r="I109" s="423"/>
      <c r="J109" s="64">
        <f>J101</f>
        <v>501.17</v>
      </c>
    </row>
    <row r="110" spans="1:10" ht="24" customHeight="1" x14ac:dyDescent="0.2">
      <c r="A110" s="419" t="s">
        <v>420</v>
      </c>
      <c r="B110" s="419"/>
      <c r="C110" s="419"/>
      <c r="D110" s="419"/>
      <c r="E110" s="419"/>
      <c r="F110" s="419"/>
      <c r="G110" s="419"/>
      <c r="H110" s="419"/>
      <c r="I110" s="419"/>
      <c r="J110" s="8">
        <f>SUM(J107+J108+J109)</f>
        <v>1326.49</v>
      </c>
    </row>
    <row r="111" spans="1:10" ht="15" x14ac:dyDescent="0.2">
      <c r="A111" s="426"/>
      <c r="B111" s="427"/>
      <c r="C111" s="427"/>
      <c r="D111" s="427"/>
      <c r="E111" s="427"/>
      <c r="F111" s="427"/>
      <c r="G111" s="427"/>
      <c r="H111" s="427"/>
      <c r="I111" s="427"/>
      <c r="J111" s="428"/>
    </row>
    <row r="112" spans="1:10" ht="24" customHeight="1" x14ac:dyDescent="0.2">
      <c r="A112" s="385" t="s">
        <v>421</v>
      </c>
      <c r="B112" s="385"/>
      <c r="C112" s="385"/>
      <c r="D112" s="385"/>
      <c r="E112" s="385"/>
      <c r="F112" s="385"/>
      <c r="G112" s="385"/>
      <c r="H112" s="385"/>
      <c r="I112" s="385"/>
      <c r="J112" s="385"/>
    </row>
    <row r="113" spans="1:11" ht="24" customHeight="1" x14ac:dyDescent="0.2">
      <c r="A113" s="19"/>
      <c r="B113" s="385" t="s">
        <v>414</v>
      </c>
      <c r="C113" s="385"/>
      <c r="D113" s="385"/>
      <c r="E113" s="385"/>
      <c r="F113" s="385"/>
      <c r="G113" s="385"/>
      <c r="H113" s="385"/>
      <c r="I113" s="385"/>
      <c r="J113" s="19" t="s">
        <v>422</v>
      </c>
    </row>
    <row r="114" spans="1:11" ht="24" customHeight="1" x14ac:dyDescent="0.2">
      <c r="A114" s="20" t="s">
        <v>327</v>
      </c>
      <c r="B114" s="399" t="s">
        <v>659</v>
      </c>
      <c r="C114" s="399"/>
      <c r="D114" s="399"/>
      <c r="E114" s="399"/>
      <c r="F114" s="399"/>
      <c r="G114" s="399"/>
      <c r="H114" s="399"/>
      <c r="I114" s="399"/>
      <c r="J114" s="64">
        <f>ROUND((($J$64/12)+($J$69/12)+($J$64/12/12)+($J$70/12))*(30/30)*0.05,2)</f>
        <v>7.86</v>
      </c>
    </row>
    <row r="115" spans="1:11" ht="24" customHeight="1" x14ac:dyDescent="0.2">
      <c r="A115" s="20" t="s">
        <v>329</v>
      </c>
      <c r="B115" s="399" t="s">
        <v>423</v>
      </c>
      <c r="C115" s="399"/>
      <c r="D115" s="399"/>
      <c r="E115" s="399"/>
      <c r="F115" s="399"/>
      <c r="G115" s="399"/>
      <c r="H115" s="399"/>
      <c r="I115" s="399"/>
      <c r="J115" s="64">
        <f>ROUND($J$114*I83,2)</f>
        <v>0.63</v>
      </c>
    </row>
    <row r="116" spans="1:11" ht="24" customHeight="1" x14ac:dyDescent="0.2">
      <c r="A116" s="20" t="s">
        <v>330</v>
      </c>
      <c r="B116" s="399" t="s">
        <v>660</v>
      </c>
      <c r="C116" s="399"/>
      <c r="D116" s="399"/>
      <c r="E116" s="399"/>
      <c r="F116" s="399"/>
      <c r="G116" s="399"/>
      <c r="H116" s="399"/>
      <c r="I116" s="399"/>
      <c r="J116" s="64">
        <f>ROUND(0.08*0.4*($J$64+$J$69+$J$70)*0.05,2)</f>
        <v>2.81</v>
      </c>
    </row>
    <row r="117" spans="1:11" ht="24" customHeight="1" x14ac:dyDescent="0.2">
      <c r="A117" s="20" t="s">
        <v>332</v>
      </c>
      <c r="B117" s="399" t="s">
        <v>661</v>
      </c>
      <c r="C117" s="399"/>
      <c r="D117" s="399"/>
      <c r="E117" s="399"/>
      <c r="F117" s="399"/>
      <c r="G117" s="399"/>
      <c r="H117" s="399"/>
      <c r="I117" s="399"/>
      <c r="J117" s="64">
        <f>ROUND(((($J$64/30)*7)/$H$21)*1,2)</f>
        <v>18.399999999999999</v>
      </c>
    </row>
    <row r="118" spans="1:11" ht="24" customHeight="1" x14ac:dyDescent="0.2">
      <c r="A118" s="20" t="s">
        <v>388</v>
      </c>
      <c r="B118" s="399" t="s">
        <v>424</v>
      </c>
      <c r="C118" s="399"/>
      <c r="D118" s="399"/>
      <c r="E118" s="399"/>
      <c r="F118" s="399"/>
      <c r="G118" s="399"/>
      <c r="H118" s="399"/>
      <c r="I118" s="399"/>
      <c r="J118" s="64">
        <f>ROUND($I$84*J117,2)</f>
        <v>6.77</v>
      </c>
    </row>
    <row r="119" spans="1:11" ht="24" customHeight="1" x14ac:dyDescent="0.2">
      <c r="A119" s="20" t="s">
        <v>389</v>
      </c>
      <c r="B119" s="399" t="s">
        <v>662</v>
      </c>
      <c r="C119" s="399"/>
      <c r="D119" s="399"/>
      <c r="E119" s="399"/>
      <c r="F119" s="399"/>
      <c r="G119" s="399"/>
      <c r="H119" s="399"/>
      <c r="I119" s="399"/>
      <c r="J119" s="64">
        <f>ROUND(0.08*0.4*($J$64+$J$69+$J$70)*0.9,2)</f>
        <v>50.57</v>
      </c>
    </row>
    <row r="120" spans="1:11" ht="24" customHeight="1" x14ac:dyDescent="0.2">
      <c r="A120" s="419" t="s">
        <v>425</v>
      </c>
      <c r="B120" s="419"/>
      <c r="C120" s="419"/>
      <c r="D120" s="419"/>
      <c r="E120" s="419"/>
      <c r="F120" s="419"/>
      <c r="G120" s="419"/>
      <c r="H120" s="419"/>
      <c r="I120" s="419"/>
      <c r="J120" s="8">
        <f>SUM(J114:J119)</f>
        <v>87.039999999999992</v>
      </c>
    </row>
    <row r="121" spans="1:11" ht="15" x14ac:dyDescent="0.2">
      <c r="A121" s="426"/>
      <c r="B121" s="427"/>
      <c r="C121" s="427"/>
      <c r="D121" s="427"/>
      <c r="E121" s="427"/>
      <c r="F121" s="427"/>
      <c r="G121" s="427"/>
      <c r="H121" s="427"/>
      <c r="I121" s="427"/>
      <c r="J121" s="428"/>
    </row>
    <row r="122" spans="1:11" ht="24" customHeight="1" x14ac:dyDescent="0.2">
      <c r="A122" s="385" t="s">
        <v>426</v>
      </c>
      <c r="B122" s="385"/>
      <c r="C122" s="385"/>
      <c r="D122" s="385"/>
      <c r="E122" s="385"/>
      <c r="F122" s="385"/>
      <c r="G122" s="385"/>
      <c r="H122" s="385"/>
      <c r="I122" s="385"/>
      <c r="J122" s="385"/>
    </row>
    <row r="123" spans="1:11" ht="24" customHeight="1" x14ac:dyDescent="0.2">
      <c r="A123" s="385" t="s">
        <v>696</v>
      </c>
      <c r="B123" s="385"/>
      <c r="C123" s="385"/>
      <c r="D123" s="385"/>
      <c r="E123" s="385"/>
      <c r="F123" s="385"/>
      <c r="G123" s="385"/>
      <c r="H123" s="385"/>
      <c r="I123" s="385"/>
      <c r="J123" s="385"/>
    </row>
    <row r="124" spans="1:11" ht="39" customHeight="1" x14ac:dyDescent="0.2">
      <c r="A124" s="385" t="s">
        <v>427</v>
      </c>
      <c r="B124" s="385"/>
      <c r="C124" s="7">
        <f>J64</f>
        <v>1576.9099999999999</v>
      </c>
      <c r="D124" s="385" t="s">
        <v>428</v>
      </c>
      <c r="E124" s="385"/>
      <c r="F124" s="7">
        <f>J110-J95-J90</f>
        <v>842.6400000000001</v>
      </c>
      <c r="G124" s="385" t="s">
        <v>429</v>
      </c>
      <c r="H124" s="385"/>
      <c r="I124" s="7">
        <f>J120</f>
        <v>87.039999999999992</v>
      </c>
      <c r="J124" s="8">
        <f>ROUND((J64+(J110-J95-J90)+J120),2)</f>
        <v>2506.59</v>
      </c>
    </row>
    <row r="125" spans="1:11" ht="24" customHeight="1" x14ac:dyDescent="0.2">
      <c r="A125" s="385" t="s">
        <v>430</v>
      </c>
      <c r="B125" s="385"/>
      <c r="C125" s="385"/>
      <c r="D125" s="385"/>
      <c r="E125" s="385"/>
      <c r="F125" s="385"/>
      <c r="G125" s="385" t="s">
        <v>431</v>
      </c>
      <c r="H125" s="385"/>
      <c r="I125" s="385"/>
      <c r="J125" s="9">
        <f>ROUND(J124/30,2)</f>
        <v>83.55</v>
      </c>
    </row>
    <row r="126" spans="1:11" ht="24" customHeight="1" x14ac:dyDescent="0.2">
      <c r="A126" s="10"/>
      <c r="B126" s="11"/>
      <c r="C126" s="11"/>
      <c r="D126" s="11"/>
      <c r="E126" s="11"/>
      <c r="F126" s="12"/>
      <c r="G126" s="10"/>
      <c r="H126" s="11"/>
      <c r="I126" s="12"/>
      <c r="J126" s="13"/>
    </row>
    <row r="127" spans="1:11" ht="24" customHeight="1" x14ac:dyDescent="0.2">
      <c r="A127" s="19" t="s">
        <v>432</v>
      </c>
      <c r="B127" s="385" t="s">
        <v>433</v>
      </c>
      <c r="C127" s="385"/>
      <c r="D127" s="385"/>
      <c r="E127" s="385"/>
      <c r="F127" s="385"/>
      <c r="G127" s="385"/>
      <c r="H127" s="385"/>
      <c r="I127" s="385"/>
      <c r="J127" s="19" t="s">
        <v>379</v>
      </c>
    </row>
    <row r="128" spans="1:11" ht="24" customHeight="1" x14ac:dyDescent="0.2">
      <c r="A128" s="20" t="s">
        <v>327</v>
      </c>
      <c r="B128" s="421" t="s">
        <v>712</v>
      </c>
      <c r="C128" s="421"/>
      <c r="D128" s="421"/>
      <c r="E128" s="421"/>
      <c r="F128" s="421"/>
      <c r="G128" s="421"/>
      <c r="H128" s="421"/>
      <c r="I128" s="421"/>
      <c r="J128" s="64">
        <f>ROUND(J64*9.075%,2)</f>
        <v>143.1</v>
      </c>
      <c r="K128" s="121"/>
    </row>
    <row r="129" spans="1:11" ht="24" customHeight="1" x14ac:dyDescent="0.2">
      <c r="A129" s="20" t="s">
        <v>329</v>
      </c>
      <c r="B129" s="399" t="s">
        <v>663</v>
      </c>
      <c r="C129" s="399"/>
      <c r="D129" s="399"/>
      <c r="E129" s="399"/>
      <c r="F129" s="399"/>
      <c r="G129" s="399"/>
      <c r="H129" s="399"/>
      <c r="I129" s="399"/>
      <c r="J129" s="81">
        <f>ROUND((($J$124/30)*1)/12,2)</f>
        <v>6.96</v>
      </c>
    </row>
    <row r="130" spans="1:11" ht="24" customHeight="1" x14ac:dyDescent="0.2">
      <c r="A130" s="20" t="s">
        <v>330</v>
      </c>
      <c r="B130" s="399" t="s">
        <v>664</v>
      </c>
      <c r="C130" s="399"/>
      <c r="D130" s="399"/>
      <c r="E130" s="399"/>
      <c r="F130" s="399"/>
      <c r="G130" s="399"/>
      <c r="H130" s="399"/>
      <c r="I130" s="399"/>
      <c r="J130" s="81">
        <f>ROUND((($J$124/30)*5)/12*0.015,2)</f>
        <v>0.52</v>
      </c>
    </row>
    <row r="131" spans="1:11" ht="24" customHeight="1" x14ac:dyDescent="0.2">
      <c r="A131" s="20" t="s">
        <v>332</v>
      </c>
      <c r="B131" s="399" t="s">
        <v>665</v>
      </c>
      <c r="C131" s="399"/>
      <c r="D131" s="399"/>
      <c r="E131" s="399"/>
      <c r="F131" s="399"/>
      <c r="G131" s="399"/>
      <c r="H131" s="399"/>
      <c r="I131" s="399"/>
      <c r="J131" s="64">
        <f>ROUND(((($J$124/30)*15)/12)*0.0078,2)</f>
        <v>0.81</v>
      </c>
      <c r="K131" s="121"/>
    </row>
    <row r="132" spans="1:11" ht="24" customHeight="1" x14ac:dyDescent="0.2">
      <c r="A132" s="20" t="s">
        <v>388</v>
      </c>
      <c r="B132" s="399" t="s">
        <v>666</v>
      </c>
      <c r="C132" s="399"/>
      <c r="D132" s="399"/>
      <c r="E132" s="399"/>
      <c r="F132" s="399"/>
      <c r="G132" s="399"/>
      <c r="H132" s="399"/>
      <c r="I132" s="399"/>
      <c r="J132" s="64">
        <f>ROUND((((J64+J64/3)/12+(J84+J101-J95-J90+J120))*4/12)*0.02,2)</f>
        <v>6.17</v>
      </c>
    </row>
    <row r="133" spans="1:11" ht="24" customHeight="1" x14ac:dyDescent="0.2">
      <c r="A133" s="20" t="s">
        <v>389</v>
      </c>
      <c r="B133" s="399" t="s">
        <v>667</v>
      </c>
      <c r="C133" s="399"/>
      <c r="D133" s="399"/>
      <c r="E133" s="399"/>
      <c r="F133" s="399"/>
      <c r="G133" s="399"/>
      <c r="H133" s="399"/>
      <c r="I133" s="399"/>
      <c r="J133" s="64">
        <f>ROUND(((($J$124/30)*5)/12),2)</f>
        <v>34.81</v>
      </c>
    </row>
    <row r="134" spans="1:11" ht="24" customHeight="1" x14ac:dyDescent="0.2">
      <c r="A134" s="419" t="s">
        <v>434</v>
      </c>
      <c r="B134" s="419"/>
      <c r="C134" s="419"/>
      <c r="D134" s="419"/>
      <c r="E134" s="419"/>
      <c r="F134" s="419"/>
      <c r="G134" s="419"/>
      <c r="H134" s="419"/>
      <c r="I134" s="419"/>
      <c r="J134" s="8">
        <f>SUM(J128:J133)</f>
        <v>192.37</v>
      </c>
    </row>
    <row r="135" spans="1:11" ht="24" customHeight="1" x14ac:dyDescent="0.2">
      <c r="A135" s="429"/>
      <c r="B135" s="429"/>
      <c r="C135" s="429"/>
      <c r="D135" s="429"/>
      <c r="E135" s="429"/>
      <c r="F135" s="429"/>
      <c r="G135" s="429"/>
      <c r="H135" s="429"/>
      <c r="I135" s="429"/>
      <c r="J135" s="429"/>
    </row>
    <row r="136" spans="1:11" ht="24" customHeight="1" x14ac:dyDescent="0.2">
      <c r="A136" s="19" t="s">
        <v>435</v>
      </c>
      <c r="B136" s="385" t="s">
        <v>436</v>
      </c>
      <c r="C136" s="385"/>
      <c r="D136" s="385"/>
      <c r="E136" s="385"/>
      <c r="F136" s="385"/>
      <c r="G136" s="385"/>
      <c r="H136" s="385"/>
      <c r="I136" s="385"/>
      <c r="J136" s="19" t="s">
        <v>379</v>
      </c>
    </row>
    <row r="137" spans="1:11" ht="24" customHeight="1" x14ac:dyDescent="0.2">
      <c r="A137" s="20" t="s">
        <v>327</v>
      </c>
      <c r="B137" s="399" t="s">
        <v>437</v>
      </c>
      <c r="C137" s="399"/>
      <c r="D137" s="399"/>
      <c r="E137" s="399"/>
      <c r="F137" s="399"/>
      <c r="G137" s="399"/>
      <c r="H137" s="399"/>
      <c r="I137" s="399"/>
      <c r="J137" s="64">
        <v>0</v>
      </c>
    </row>
    <row r="138" spans="1:11" ht="24" customHeight="1" x14ac:dyDescent="0.2">
      <c r="A138" s="419" t="s">
        <v>438</v>
      </c>
      <c r="B138" s="419"/>
      <c r="C138" s="419"/>
      <c r="D138" s="419"/>
      <c r="E138" s="419"/>
      <c r="F138" s="419"/>
      <c r="G138" s="419"/>
      <c r="H138" s="419"/>
      <c r="I138" s="419"/>
      <c r="J138" s="8">
        <f>SUM(J137)</f>
        <v>0</v>
      </c>
    </row>
    <row r="139" spans="1:11" ht="15" x14ac:dyDescent="0.2">
      <c r="A139" s="430"/>
      <c r="B139" s="430"/>
      <c r="C139" s="430"/>
      <c r="D139" s="430"/>
      <c r="E139" s="430"/>
      <c r="F139" s="430"/>
      <c r="G139" s="430"/>
      <c r="H139" s="430"/>
      <c r="I139" s="430"/>
      <c r="J139" s="430"/>
    </row>
    <row r="140" spans="1:11" ht="24" customHeight="1" x14ac:dyDescent="0.2">
      <c r="A140" s="385" t="s">
        <v>439</v>
      </c>
      <c r="B140" s="385"/>
      <c r="C140" s="385"/>
      <c r="D140" s="385"/>
      <c r="E140" s="385"/>
      <c r="F140" s="385"/>
      <c r="G140" s="385"/>
      <c r="H140" s="385"/>
      <c r="I140" s="385"/>
      <c r="J140" s="385"/>
    </row>
    <row r="141" spans="1:11" ht="24" customHeight="1" x14ac:dyDescent="0.2">
      <c r="A141" s="19" t="s">
        <v>440</v>
      </c>
      <c r="B141" s="385" t="s">
        <v>414</v>
      </c>
      <c r="C141" s="385"/>
      <c r="D141" s="385"/>
      <c r="E141" s="385"/>
      <c r="F141" s="385"/>
      <c r="G141" s="385"/>
      <c r="H141" s="385"/>
      <c r="I141" s="385"/>
      <c r="J141" s="14" t="s">
        <v>379</v>
      </c>
    </row>
    <row r="142" spans="1:11" ht="24" customHeight="1" x14ac:dyDescent="0.2">
      <c r="A142" s="20" t="s">
        <v>432</v>
      </c>
      <c r="B142" s="399" t="s">
        <v>433</v>
      </c>
      <c r="C142" s="399"/>
      <c r="D142" s="399"/>
      <c r="E142" s="399"/>
      <c r="F142" s="399"/>
      <c r="G142" s="399"/>
      <c r="H142" s="399"/>
      <c r="I142" s="399"/>
      <c r="J142" s="64">
        <f>J134</f>
        <v>192.37</v>
      </c>
    </row>
    <row r="143" spans="1:11" ht="24" customHeight="1" x14ac:dyDescent="0.2">
      <c r="A143" s="20" t="s">
        <v>441</v>
      </c>
      <c r="B143" s="399" t="s">
        <v>436</v>
      </c>
      <c r="C143" s="399"/>
      <c r="D143" s="399"/>
      <c r="E143" s="399"/>
      <c r="F143" s="399"/>
      <c r="G143" s="399"/>
      <c r="H143" s="399"/>
      <c r="I143" s="399"/>
      <c r="J143" s="64">
        <f>J138</f>
        <v>0</v>
      </c>
    </row>
    <row r="144" spans="1:11" ht="24" customHeight="1" x14ac:dyDescent="0.2">
      <c r="A144" s="419" t="s">
        <v>442</v>
      </c>
      <c r="B144" s="419"/>
      <c r="C144" s="419"/>
      <c r="D144" s="419"/>
      <c r="E144" s="419"/>
      <c r="F144" s="419"/>
      <c r="G144" s="419"/>
      <c r="H144" s="419"/>
      <c r="I144" s="419"/>
      <c r="J144" s="8">
        <f>SUM(J142+J143)</f>
        <v>192.37</v>
      </c>
    </row>
    <row r="145" spans="1:10" ht="32.25" customHeight="1" x14ac:dyDescent="0.2">
      <c r="A145" s="60" t="s">
        <v>443</v>
      </c>
      <c r="B145" s="420" t="s">
        <v>444</v>
      </c>
      <c r="C145" s="420"/>
      <c r="D145" s="420"/>
      <c r="E145" s="420"/>
      <c r="F145" s="420"/>
      <c r="G145" s="420"/>
      <c r="H145" s="420"/>
      <c r="I145" s="420"/>
      <c r="J145" s="420"/>
    </row>
    <row r="146" spans="1:10" x14ac:dyDescent="0.2">
      <c r="A146" s="118"/>
      <c r="B146" s="119"/>
      <c r="C146" s="115"/>
      <c r="D146" s="115"/>
      <c r="E146" s="115"/>
      <c r="F146" s="115"/>
      <c r="G146" s="115"/>
      <c r="H146" s="115"/>
      <c r="I146" s="115"/>
      <c r="J146" s="116"/>
    </row>
    <row r="147" spans="1:10" ht="24" customHeight="1" x14ac:dyDescent="0.2">
      <c r="A147" s="385" t="s">
        <v>445</v>
      </c>
      <c r="B147" s="385"/>
      <c r="C147" s="385"/>
      <c r="D147" s="385"/>
      <c r="E147" s="385"/>
      <c r="F147" s="385"/>
      <c r="G147" s="385"/>
      <c r="H147" s="385"/>
      <c r="I147" s="385"/>
      <c r="J147" s="385"/>
    </row>
    <row r="148" spans="1:10" ht="24" customHeight="1" x14ac:dyDescent="0.2">
      <c r="A148" s="19"/>
      <c r="B148" s="385" t="s">
        <v>414</v>
      </c>
      <c r="C148" s="385"/>
      <c r="D148" s="385"/>
      <c r="E148" s="385"/>
      <c r="F148" s="385"/>
      <c r="G148" s="385"/>
      <c r="H148" s="385"/>
      <c r="I148" s="385"/>
      <c r="J148" s="19" t="s">
        <v>379</v>
      </c>
    </row>
    <row r="149" spans="1:10" ht="24" customHeight="1" x14ac:dyDescent="0.2">
      <c r="A149" s="20" t="s">
        <v>327</v>
      </c>
      <c r="B149" s="399" t="s">
        <v>446</v>
      </c>
      <c r="C149" s="399"/>
      <c r="D149" s="399"/>
      <c r="E149" s="399"/>
      <c r="F149" s="399"/>
      <c r="G149" s="399"/>
      <c r="H149" s="399"/>
      <c r="I149" s="399"/>
      <c r="J149" s="64">
        <f>'2. SB INSUMOS'!F92</f>
        <v>104.81833333333334</v>
      </c>
    </row>
    <row r="150" spans="1:10" ht="24" customHeight="1" x14ac:dyDescent="0.2">
      <c r="A150" s="20" t="s">
        <v>329</v>
      </c>
      <c r="B150" s="399" t="s">
        <v>447</v>
      </c>
      <c r="C150" s="399"/>
      <c r="D150" s="399"/>
      <c r="E150" s="399"/>
      <c r="F150" s="399"/>
      <c r="G150" s="399"/>
      <c r="H150" s="399"/>
      <c r="I150" s="399"/>
      <c r="J150" s="64">
        <f>'2. SB INSUMOS'!F88</f>
        <v>412.16583455449819</v>
      </c>
    </row>
    <row r="151" spans="1:10" ht="24" customHeight="1" x14ac:dyDescent="0.2">
      <c r="A151" s="20" t="s">
        <v>330</v>
      </c>
      <c r="B151" s="399" t="s">
        <v>448</v>
      </c>
      <c r="C151" s="399"/>
      <c r="D151" s="399"/>
      <c r="E151" s="399"/>
      <c r="F151" s="399"/>
      <c r="G151" s="399"/>
      <c r="H151" s="399"/>
      <c r="I151" s="399"/>
      <c r="J151" s="64">
        <f>'2. SB INSUMOS'!F90</f>
        <v>14.875873718855836</v>
      </c>
    </row>
    <row r="152" spans="1:10" ht="24" customHeight="1" x14ac:dyDescent="0.2">
      <c r="A152" s="20" t="s">
        <v>332</v>
      </c>
      <c r="B152" s="399" t="s">
        <v>674</v>
      </c>
      <c r="C152" s="399"/>
      <c r="D152" s="399"/>
      <c r="E152" s="399"/>
      <c r="F152" s="399"/>
      <c r="G152" s="399"/>
      <c r="H152" s="399"/>
      <c r="I152" s="399"/>
      <c r="J152" s="64" t="s">
        <v>449</v>
      </c>
    </row>
    <row r="153" spans="1:10" ht="24" customHeight="1" x14ac:dyDescent="0.2">
      <c r="A153" s="419" t="s">
        <v>450</v>
      </c>
      <c r="B153" s="419"/>
      <c r="C153" s="419"/>
      <c r="D153" s="419"/>
      <c r="E153" s="419"/>
      <c r="F153" s="419"/>
      <c r="G153" s="419"/>
      <c r="H153" s="419"/>
      <c r="I153" s="419"/>
      <c r="J153" s="8">
        <f>SUM(J149:J152)</f>
        <v>531.86004160668733</v>
      </c>
    </row>
    <row r="154" spans="1:10" ht="24" customHeight="1" x14ac:dyDescent="0.2">
      <c r="A154" s="60" t="s">
        <v>451</v>
      </c>
      <c r="B154" s="420" t="s">
        <v>452</v>
      </c>
      <c r="C154" s="420"/>
      <c r="D154" s="420"/>
      <c r="E154" s="420"/>
      <c r="F154" s="420"/>
      <c r="G154" s="420"/>
      <c r="H154" s="420"/>
      <c r="I154" s="420"/>
      <c r="J154" s="420"/>
    </row>
    <row r="155" spans="1:10" x14ac:dyDescent="0.2">
      <c r="A155" s="429"/>
      <c r="B155" s="429"/>
      <c r="C155" s="429"/>
      <c r="D155" s="429"/>
      <c r="E155" s="429"/>
      <c r="F155" s="429"/>
      <c r="G155" s="429"/>
      <c r="H155" s="429"/>
      <c r="I155" s="429"/>
      <c r="J155" s="429"/>
    </row>
    <row r="156" spans="1:10" ht="24" customHeight="1" x14ac:dyDescent="0.2">
      <c r="A156" s="385" t="s">
        <v>453</v>
      </c>
      <c r="B156" s="385"/>
      <c r="C156" s="385"/>
      <c r="D156" s="385"/>
      <c r="E156" s="385"/>
      <c r="F156" s="385"/>
      <c r="G156" s="385"/>
      <c r="H156" s="385"/>
      <c r="I156" s="385"/>
      <c r="J156" s="385"/>
    </row>
    <row r="157" spans="1:10" ht="24" customHeight="1" x14ac:dyDescent="0.2">
      <c r="A157" s="19"/>
      <c r="B157" s="385" t="s">
        <v>454</v>
      </c>
      <c r="C157" s="385"/>
      <c r="D157" s="385"/>
      <c r="E157" s="385"/>
      <c r="F157" s="385"/>
      <c r="G157" s="385"/>
      <c r="H157" s="385"/>
      <c r="I157" s="19" t="s">
        <v>369</v>
      </c>
      <c r="J157" s="14" t="s">
        <v>379</v>
      </c>
    </row>
    <row r="158" spans="1:10" ht="54.75" customHeight="1" x14ac:dyDescent="0.2">
      <c r="A158" s="399" t="s">
        <v>668</v>
      </c>
      <c r="B158" s="399"/>
      <c r="C158" s="399"/>
      <c r="D158" s="399"/>
      <c r="E158" s="399"/>
      <c r="F158" s="399"/>
      <c r="G158" s="399"/>
      <c r="H158" s="399"/>
      <c r="I158" s="399"/>
      <c r="J158" s="89">
        <f>SUM(J64+J110+J120+J144+J153)</f>
        <v>3714.6700416066869</v>
      </c>
    </row>
    <row r="159" spans="1:10" ht="24" customHeight="1" x14ac:dyDescent="0.2">
      <c r="A159" s="19" t="s">
        <v>327</v>
      </c>
      <c r="B159" s="431" t="s">
        <v>455</v>
      </c>
      <c r="C159" s="431"/>
      <c r="D159" s="431"/>
      <c r="E159" s="431"/>
      <c r="F159" s="431"/>
      <c r="G159" s="431"/>
      <c r="H159" s="431"/>
      <c r="I159" s="91">
        <f>'1. SB ABA DE CARREGAMENTO'!$B$103</f>
        <v>0.06</v>
      </c>
      <c r="J159" s="8">
        <f>ROUND(I159*J158,2)</f>
        <v>222.88</v>
      </c>
    </row>
    <row r="160" spans="1:10" ht="45.75" customHeight="1" x14ac:dyDescent="0.2">
      <c r="A160" s="399" t="s">
        <v>669</v>
      </c>
      <c r="B160" s="399"/>
      <c r="C160" s="399"/>
      <c r="D160" s="399"/>
      <c r="E160" s="399"/>
      <c r="F160" s="399"/>
      <c r="G160" s="399"/>
      <c r="H160" s="399"/>
      <c r="I160" s="399"/>
      <c r="J160" s="89">
        <f>SUM(J64+J110+J120+J144+J153+J159)</f>
        <v>3937.550041606687</v>
      </c>
    </row>
    <row r="161" spans="1:12" ht="24" customHeight="1" x14ac:dyDescent="0.2">
      <c r="A161" s="19" t="s">
        <v>329</v>
      </c>
      <c r="B161" s="431" t="s">
        <v>100</v>
      </c>
      <c r="C161" s="431"/>
      <c r="D161" s="431"/>
      <c r="E161" s="431"/>
      <c r="F161" s="431"/>
      <c r="G161" s="431"/>
      <c r="H161" s="431"/>
      <c r="I161" s="91">
        <f>'1. SB ABA DE CARREGAMENTO'!$B$104</f>
        <v>6.7900000000000002E-2</v>
      </c>
      <c r="J161" s="8">
        <f>ROUND(I161*J160,2)</f>
        <v>267.36</v>
      </c>
    </row>
    <row r="162" spans="1:12" ht="48" customHeight="1" x14ac:dyDescent="0.2">
      <c r="A162" s="399" t="s">
        <v>670</v>
      </c>
      <c r="B162" s="399"/>
      <c r="C162" s="399"/>
      <c r="D162" s="399"/>
      <c r="E162" s="399"/>
      <c r="F162" s="399"/>
      <c r="G162" s="399"/>
      <c r="H162" s="399"/>
      <c r="I162" s="399"/>
      <c r="J162" s="89">
        <f>SUM(J64+J110+J120+J144+J153+J159+J161)</f>
        <v>4204.9100416066867</v>
      </c>
    </row>
    <row r="163" spans="1:12" ht="24" customHeight="1" x14ac:dyDescent="0.2">
      <c r="A163" s="19" t="s">
        <v>330</v>
      </c>
      <c r="B163" s="431" t="s">
        <v>456</v>
      </c>
      <c r="C163" s="431"/>
      <c r="D163" s="431"/>
      <c r="E163" s="431"/>
      <c r="F163" s="431"/>
      <c r="G163" s="431"/>
      <c r="H163" s="431"/>
      <c r="I163" s="91">
        <f>SUM(I164:I167)</f>
        <v>0.1225</v>
      </c>
      <c r="J163" s="8">
        <f>SUM(J164:J167)</f>
        <v>587.02</v>
      </c>
      <c r="K163" s="432"/>
      <c r="L163" s="432"/>
    </row>
    <row r="164" spans="1:12" ht="24" customHeight="1" x14ac:dyDescent="0.2">
      <c r="A164" s="403" t="s">
        <v>457</v>
      </c>
      <c r="B164" s="399" t="s">
        <v>458</v>
      </c>
      <c r="C164" s="399"/>
      <c r="D164" s="399"/>
      <c r="E164" s="399"/>
      <c r="F164" s="399" t="s">
        <v>102</v>
      </c>
      <c r="G164" s="399"/>
      <c r="H164" s="399"/>
      <c r="I164" s="62">
        <f>IF(H15=1,0.0165,IF(H15=2,0.0065,IF(H15=3,'1. SB ABA DE CARREGAMENTO'!B108,IF(H15=4,'1. SB ABA DE CARREGAMENTO'!B108,IF(H15=5,'1. SB ABA DE CARREGAMENTO'!B108,"RT Indefinido")))))</f>
        <v>1.6500000000000001E-2</v>
      </c>
      <c r="J164" s="89">
        <f>ROUND(($J$162/(1-$I$163))*I164,2)</f>
        <v>79.069999999999993</v>
      </c>
      <c r="K164" s="102"/>
      <c r="L164" s="103"/>
    </row>
    <row r="165" spans="1:12" ht="24" customHeight="1" x14ac:dyDescent="0.2">
      <c r="A165" s="403"/>
      <c r="B165" s="399"/>
      <c r="C165" s="399"/>
      <c r="D165" s="399"/>
      <c r="E165" s="399"/>
      <c r="F165" s="399" t="s">
        <v>103</v>
      </c>
      <c r="G165" s="399"/>
      <c r="H165" s="399"/>
      <c r="I165" s="62">
        <f>IF(H15=1,0.076,IF(H15=2,0.03,IF(H15=3,'1. SB ABA DE CARREGAMENTO'!B109,IF(H15=4,'1. SB ABA DE CARREGAMENTO'!B109,IF(H15=5,'1. SB ABA DE CARREGAMENTO'!B109,"RT Indefinido")))))</f>
        <v>7.5999999999999998E-2</v>
      </c>
      <c r="J165" s="89">
        <f>ROUND(($J$162/(1-$I$163))*I165,2)</f>
        <v>364.19</v>
      </c>
      <c r="K165" s="102"/>
      <c r="L165" s="103"/>
    </row>
    <row r="166" spans="1:12" ht="24" customHeight="1" x14ac:dyDescent="0.2">
      <c r="A166" s="20" t="s">
        <v>459</v>
      </c>
      <c r="B166" s="399" t="s">
        <v>460</v>
      </c>
      <c r="C166" s="399"/>
      <c r="D166" s="399"/>
      <c r="E166" s="399"/>
      <c r="F166" s="399" t="s">
        <v>461</v>
      </c>
      <c r="G166" s="399"/>
      <c r="H166" s="399"/>
      <c r="I166" s="62">
        <v>0</v>
      </c>
      <c r="J166" s="64">
        <v>0</v>
      </c>
      <c r="K166" s="102"/>
      <c r="L166" s="103"/>
    </row>
    <row r="167" spans="1:12" ht="24" customHeight="1" x14ac:dyDescent="0.2">
      <c r="A167" s="20" t="s">
        <v>462</v>
      </c>
      <c r="B167" s="399" t="s">
        <v>463</v>
      </c>
      <c r="C167" s="399"/>
      <c r="D167" s="399"/>
      <c r="E167" s="399"/>
      <c r="F167" s="399" t="s">
        <v>464</v>
      </c>
      <c r="G167" s="399"/>
      <c r="H167" s="399"/>
      <c r="I167" s="62">
        <f>'1. SB ABA DE CARREGAMENTO'!$B$105</f>
        <v>0.03</v>
      </c>
      <c r="J167" s="89">
        <f>ROUND(($J$162/(1-$I$163))*I167,2)</f>
        <v>143.76</v>
      </c>
    </row>
    <row r="168" spans="1:12" ht="24" customHeight="1" x14ac:dyDescent="0.2">
      <c r="A168" s="419" t="s">
        <v>465</v>
      </c>
      <c r="B168" s="419"/>
      <c r="C168" s="419"/>
      <c r="D168" s="419"/>
      <c r="E168" s="419"/>
      <c r="F168" s="419"/>
      <c r="G168" s="419"/>
      <c r="H168" s="419"/>
      <c r="I168" s="419"/>
      <c r="J168" s="8">
        <f>SUM(J159+J161+J163)</f>
        <v>1077.26</v>
      </c>
    </row>
    <row r="169" spans="1:12" ht="24" customHeight="1" x14ac:dyDescent="0.2">
      <c r="A169" s="60" t="s">
        <v>466</v>
      </c>
      <c r="B169" s="420" t="s">
        <v>467</v>
      </c>
      <c r="C169" s="420"/>
      <c r="D169" s="420"/>
      <c r="E169" s="420"/>
      <c r="F169" s="420"/>
      <c r="G169" s="420"/>
      <c r="H169" s="420"/>
      <c r="I169" s="420"/>
      <c r="J169" s="420"/>
    </row>
    <row r="170" spans="1:12" ht="24" customHeight="1" x14ac:dyDescent="0.2">
      <c r="A170" s="433" t="s">
        <v>468</v>
      </c>
      <c r="B170" s="434" t="s">
        <v>469</v>
      </c>
      <c r="C170" s="435"/>
      <c r="D170" s="440" t="s">
        <v>697</v>
      </c>
      <c r="E170" s="441"/>
      <c r="F170" s="441"/>
      <c r="G170" s="446" t="s">
        <v>698</v>
      </c>
      <c r="H170" s="447"/>
      <c r="I170" s="275"/>
      <c r="J170" s="452"/>
    </row>
    <row r="171" spans="1:12" ht="24" customHeight="1" x14ac:dyDescent="0.2">
      <c r="A171" s="433"/>
      <c r="B171" s="436"/>
      <c r="C171" s="437"/>
      <c r="D171" s="442"/>
      <c r="E171" s="443"/>
      <c r="F171" s="443"/>
      <c r="G171" s="448"/>
      <c r="H171" s="449"/>
      <c r="I171" s="207"/>
      <c r="J171" s="453"/>
    </row>
    <row r="172" spans="1:12" ht="24" customHeight="1" x14ac:dyDescent="0.2">
      <c r="A172" s="433"/>
      <c r="B172" s="438"/>
      <c r="C172" s="439"/>
      <c r="D172" s="444"/>
      <c r="E172" s="445"/>
      <c r="F172" s="445"/>
      <c r="G172" s="450"/>
      <c r="H172" s="451"/>
      <c r="I172" s="276"/>
      <c r="J172" s="454"/>
    </row>
    <row r="173" spans="1:12" x14ac:dyDescent="0.2">
      <c r="A173" s="485"/>
      <c r="B173" s="486"/>
      <c r="C173" s="486"/>
      <c r="D173" s="486"/>
      <c r="E173" s="486"/>
      <c r="F173" s="486"/>
      <c r="G173" s="486"/>
      <c r="H173" s="486"/>
      <c r="I173" s="486"/>
      <c r="J173" s="487"/>
    </row>
    <row r="174" spans="1:12" ht="24" customHeight="1" x14ac:dyDescent="0.2">
      <c r="A174" s="455" t="s">
        <v>699</v>
      </c>
      <c r="B174" s="455"/>
      <c r="C174" s="455"/>
      <c r="D174" s="455"/>
      <c r="E174" s="455"/>
      <c r="F174" s="455"/>
      <c r="G174" s="455"/>
      <c r="H174" s="455"/>
      <c r="I174" s="455"/>
      <c r="J174" s="455"/>
    </row>
    <row r="175" spans="1:12" ht="24" customHeight="1" x14ac:dyDescent="0.2">
      <c r="A175" s="456" t="s">
        <v>470</v>
      </c>
      <c r="B175" s="456"/>
      <c r="C175" s="456"/>
      <c r="D175" s="456"/>
      <c r="E175" s="456"/>
      <c r="F175" s="456"/>
      <c r="G175" s="456"/>
      <c r="H175" s="456"/>
      <c r="I175" s="456"/>
      <c r="J175" s="19" t="s">
        <v>379</v>
      </c>
    </row>
    <row r="176" spans="1:12" ht="24" customHeight="1" x14ac:dyDescent="0.2">
      <c r="A176" s="69" t="s">
        <v>327</v>
      </c>
      <c r="B176" s="457" t="s">
        <v>471</v>
      </c>
      <c r="C176" s="457"/>
      <c r="D176" s="457"/>
      <c r="E176" s="457"/>
      <c r="F176" s="457"/>
      <c r="G176" s="457"/>
      <c r="H176" s="457"/>
      <c r="I176" s="457"/>
      <c r="J176" s="64">
        <f>J64</f>
        <v>1576.9099999999999</v>
      </c>
    </row>
    <row r="177" spans="1:10" ht="24" customHeight="1" x14ac:dyDescent="0.2">
      <c r="A177" s="69" t="s">
        <v>329</v>
      </c>
      <c r="B177" s="457" t="s">
        <v>472</v>
      </c>
      <c r="C177" s="457"/>
      <c r="D177" s="457"/>
      <c r="E177" s="457"/>
      <c r="F177" s="457"/>
      <c r="G177" s="457"/>
      <c r="H177" s="457"/>
      <c r="I177" s="457"/>
      <c r="J177" s="64">
        <f>J110</f>
        <v>1326.49</v>
      </c>
    </row>
    <row r="178" spans="1:10" ht="24" customHeight="1" x14ac:dyDescent="0.2">
      <c r="A178" s="69" t="s">
        <v>330</v>
      </c>
      <c r="B178" s="457" t="s">
        <v>473</v>
      </c>
      <c r="C178" s="457"/>
      <c r="D178" s="457"/>
      <c r="E178" s="457"/>
      <c r="F178" s="457"/>
      <c r="G178" s="457"/>
      <c r="H178" s="457"/>
      <c r="I178" s="457"/>
      <c r="J178" s="64">
        <f>J120</f>
        <v>87.039999999999992</v>
      </c>
    </row>
    <row r="179" spans="1:10" ht="24" customHeight="1" x14ac:dyDescent="0.2">
      <c r="A179" s="69" t="s">
        <v>332</v>
      </c>
      <c r="B179" s="457" t="s">
        <v>474</v>
      </c>
      <c r="C179" s="457"/>
      <c r="D179" s="457"/>
      <c r="E179" s="457"/>
      <c r="F179" s="457"/>
      <c r="G179" s="457"/>
      <c r="H179" s="457"/>
      <c r="I179" s="457"/>
      <c r="J179" s="64">
        <f>J144</f>
        <v>192.37</v>
      </c>
    </row>
    <row r="180" spans="1:10" ht="24" customHeight="1" x14ac:dyDescent="0.2">
      <c r="A180" s="69" t="s">
        <v>388</v>
      </c>
      <c r="B180" s="457" t="s">
        <v>475</v>
      </c>
      <c r="C180" s="457"/>
      <c r="D180" s="457"/>
      <c r="E180" s="457"/>
      <c r="F180" s="457"/>
      <c r="G180" s="457"/>
      <c r="H180" s="457"/>
      <c r="I180" s="457"/>
      <c r="J180" s="64">
        <f>J153</f>
        <v>531.86004160668733</v>
      </c>
    </row>
    <row r="181" spans="1:10" ht="24" customHeight="1" x14ac:dyDescent="0.2">
      <c r="A181" s="458" t="s">
        <v>476</v>
      </c>
      <c r="B181" s="458"/>
      <c r="C181" s="458"/>
      <c r="D181" s="458"/>
      <c r="E181" s="458"/>
      <c r="F181" s="458"/>
      <c r="G181" s="458"/>
      <c r="H181" s="458"/>
      <c r="I181" s="458"/>
      <c r="J181" s="8">
        <f>SUM(J176:J180)</f>
        <v>3714.6700416066869</v>
      </c>
    </row>
    <row r="182" spans="1:10" ht="24" customHeight="1" x14ac:dyDescent="0.2">
      <c r="A182" s="69" t="s">
        <v>389</v>
      </c>
      <c r="B182" s="457" t="s">
        <v>477</v>
      </c>
      <c r="C182" s="457"/>
      <c r="D182" s="457"/>
      <c r="E182" s="457"/>
      <c r="F182" s="457"/>
      <c r="G182" s="457"/>
      <c r="H182" s="457"/>
      <c r="I182" s="457"/>
      <c r="J182" s="64">
        <f>J168</f>
        <v>1077.26</v>
      </c>
    </row>
    <row r="183" spans="1:10" ht="24" customHeight="1" x14ac:dyDescent="0.2">
      <c r="A183" s="459" t="s">
        <v>478</v>
      </c>
      <c r="B183" s="459"/>
      <c r="C183" s="459"/>
      <c r="D183" s="459"/>
      <c r="E183" s="459"/>
      <c r="F183" s="459"/>
      <c r="G183" s="459"/>
      <c r="H183" s="72">
        <f>'1. SB ABA DE CARREGAMENTO'!C68</f>
        <v>44</v>
      </c>
      <c r="I183" s="73" t="s">
        <v>371</v>
      </c>
      <c r="J183" s="8">
        <f>SUM(J181:J182)</f>
        <v>4791.9300416066872</v>
      </c>
    </row>
    <row r="184" spans="1:10" ht="15" x14ac:dyDescent="0.2">
      <c r="A184" s="488"/>
      <c r="B184" s="489"/>
      <c r="C184" s="489"/>
      <c r="D184" s="489"/>
      <c r="E184" s="489"/>
      <c r="F184" s="489"/>
      <c r="G184" s="489"/>
      <c r="H184" s="489"/>
      <c r="I184" s="489"/>
      <c r="J184" s="490"/>
    </row>
    <row r="185" spans="1:10" ht="24" customHeight="1" x14ac:dyDescent="0.2">
      <c r="A185" s="385" t="s">
        <v>479</v>
      </c>
      <c r="B185" s="385"/>
      <c r="C185" s="385"/>
      <c r="D185" s="385"/>
      <c r="E185" s="385"/>
      <c r="F185" s="385"/>
      <c r="G185" s="385"/>
      <c r="H185" s="385"/>
      <c r="I185" s="385"/>
      <c r="J185" s="385"/>
    </row>
    <row r="186" spans="1:10" ht="24" customHeight="1" x14ac:dyDescent="0.2">
      <c r="A186" s="460" t="s">
        <v>671</v>
      </c>
      <c r="B186" s="460"/>
      <c r="C186" s="460"/>
      <c r="D186" s="460"/>
      <c r="E186" s="460"/>
      <c r="F186" s="460"/>
      <c r="G186" s="460"/>
      <c r="H186" s="460"/>
      <c r="I186" s="460"/>
      <c r="J186" s="460"/>
    </row>
    <row r="187" spans="1:10" ht="24" customHeight="1" x14ac:dyDescent="0.2">
      <c r="A187" s="431" t="s">
        <v>677</v>
      </c>
      <c r="B187" s="431"/>
      <c r="C187" s="431"/>
      <c r="D187" s="431"/>
      <c r="E187" s="431"/>
      <c r="F187" s="431"/>
      <c r="G187" s="431"/>
      <c r="H187" s="431"/>
      <c r="I187" s="431"/>
      <c r="J187" s="431"/>
    </row>
    <row r="188" spans="1:10" ht="49.5" customHeight="1" x14ac:dyDescent="0.2">
      <c r="A188" s="385" t="s">
        <v>672</v>
      </c>
      <c r="B188" s="385"/>
      <c r="C188" s="385"/>
      <c r="D188" s="385" t="s">
        <v>480</v>
      </c>
      <c r="E188" s="385"/>
      <c r="F188" s="385"/>
      <c r="G188" s="385" t="s">
        <v>481</v>
      </c>
      <c r="H188" s="385"/>
      <c r="I188" s="385" t="s">
        <v>482</v>
      </c>
      <c r="J188" s="385"/>
    </row>
    <row r="189" spans="1:10" ht="24" customHeight="1" x14ac:dyDescent="0.2">
      <c r="A189" s="404" t="s">
        <v>483</v>
      </c>
      <c r="B189" s="404"/>
      <c r="C189" s="404"/>
      <c r="D189" s="92">
        <v>1</v>
      </c>
      <c r="E189" s="92">
        <v>30</v>
      </c>
      <c r="F189" s="111">
        <f>E190</f>
        <v>1200</v>
      </c>
      <c r="G189" s="461">
        <v>0</v>
      </c>
      <c r="H189" s="461"/>
      <c r="I189" s="462">
        <f>G189/F189/E189</f>
        <v>0</v>
      </c>
      <c r="J189" s="462"/>
    </row>
    <row r="190" spans="1:10" ht="24" customHeight="1" x14ac:dyDescent="0.2">
      <c r="A190" s="404" t="s">
        <v>678</v>
      </c>
      <c r="B190" s="404"/>
      <c r="C190" s="404"/>
      <c r="D190" s="92">
        <v>1</v>
      </c>
      <c r="E190" s="463">
        <f>'4. SB Cálc DEMO Limpeza Geral'!C8</f>
        <v>1200</v>
      </c>
      <c r="F190" s="463"/>
      <c r="G190" s="461">
        <f>J183</f>
        <v>4791.9300416066872</v>
      </c>
      <c r="H190" s="461"/>
      <c r="I190" s="462">
        <f>ROUND((D190/E190)*G190,2)</f>
        <v>3.99</v>
      </c>
      <c r="J190" s="462"/>
    </row>
    <row r="191" spans="1:10" ht="24" customHeight="1" x14ac:dyDescent="0.2">
      <c r="A191" s="419" t="s">
        <v>484</v>
      </c>
      <c r="B191" s="419"/>
      <c r="C191" s="419"/>
      <c r="D191" s="419"/>
      <c r="E191" s="419"/>
      <c r="F191" s="419"/>
      <c r="G191" s="419"/>
      <c r="H191" s="419"/>
      <c r="I191" s="464">
        <f>SUM(I189+I190)</f>
        <v>3.99</v>
      </c>
      <c r="J191" s="464"/>
    </row>
    <row r="192" spans="1:10" ht="24" customHeight="1" x14ac:dyDescent="0.2">
      <c r="A192" s="404" t="s">
        <v>679</v>
      </c>
      <c r="B192" s="404"/>
      <c r="C192" s="404"/>
      <c r="D192" s="92">
        <v>1</v>
      </c>
      <c r="E192" s="92">
        <v>30</v>
      </c>
      <c r="F192" s="111">
        <f>E193</f>
        <v>1200</v>
      </c>
      <c r="G192" s="461">
        <f>G189</f>
        <v>0</v>
      </c>
      <c r="H192" s="461"/>
      <c r="I192" s="462">
        <f>G192/F192/E192</f>
        <v>0</v>
      </c>
      <c r="J192" s="462"/>
    </row>
    <row r="193" spans="1:10" ht="24" customHeight="1" x14ac:dyDescent="0.2">
      <c r="A193" s="404" t="s">
        <v>485</v>
      </c>
      <c r="B193" s="404"/>
      <c r="C193" s="404"/>
      <c r="D193" s="92">
        <v>1</v>
      </c>
      <c r="E193" s="463">
        <f>'4. SB Cálc DEMO Limpeza Geral'!C9</f>
        <v>1200</v>
      </c>
      <c r="F193" s="463"/>
      <c r="G193" s="461">
        <f>J183</f>
        <v>4791.9300416066872</v>
      </c>
      <c r="H193" s="461"/>
      <c r="I193" s="462">
        <f>ROUND((D193/E193)*G193,2)</f>
        <v>3.99</v>
      </c>
      <c r="J193" s="462"/>
    </row>
    <row r="194" spans="1:10" ht="24" customHeight="1" x14ac:dyDescent="0.2">
      <c r="A194" s="419" t="s">
        <v>484</v>
      </c>
      <c r="B194" s="419"/>
      <c r="C194" s="419"/>
      <c r="D194" s="419"/>
      <c r="E194" s="419"/>
      <c r="F194" s="419"/>
      <c r="G194" s="419"/>
      <c r="H194" s="419"/>
      <c r="I194" s="464">
        <f>SUM(I192+I193)</f>
        <v>3.99</v>
      </c>
      <c r="J194" s="464"/>
    </row>
    <row r="195" spans="1:10" ht="24" customHeight="1" x14ac:dyDescent="0.2">
      <c r="A195" s="404" t="s">
        <v>680</v>
      </c>
      <c r="B195" s="404"/>
      <c r="C195" s="404"/>
      <c r="D195" s="92">
        <v>1</v>
      </c>
      <c r="E195" s="92">
        <v>30</v>
      </c>
      <c r="F195" s="111">
        <f>E196</f>
        <v>450</v>
      </c>
      <c r="G195" s="461">
        <f>G189</f>
        <v>0</v>
      </c>
      <c r="H195" s="461"/>
      <c r="I195" s="462">
        <f>G195/F195/E195</f>
        <v>0</v>
      </c>
      <c r="J195" s="462"/>
    </row>
    <row r="196" spans="1:10" ht="24" customHeight="1" x14ac:dyDescent="0.2">
      <c r="A196" s="404" t="s">
        <v>681</v>
      </c>
      <c r="B196" s="404"/>
      <c r="C196" s="404"/>
      <c r="D196" s="92">
        <v>1</v>
      </c>
      <c r="E196" s="463">
        <f>'4. SB Cálc DEMO Limpeza Geral'!C10</f>
        <v>450</v>
      </c>
      <c r="F196" s="463"/>
      <c r="G196" s="461">
        <f>J183</f>
        <v>4791.9300416066872</v>
      </c>
      <c r="H196" s="461"/>
      <c r="I196" s="462">
        <f>ROUND((D196/E196)*G196,2)</f>
        <v>10.65</v>
      </c>
      <c r="J196" s="462"/>
    </row>
    <row r="197" spans="1:10" ht="24" customHeight="1" x14ac:dyDescent="0.2">
      <c r="A197" s="419" t="s">
        <v>484</v>
      </c>
      <c r="B197" s="419"/>
      <c r="C197" s="419"/>
      <c r="D197" s="419"/>
      <c r="E197" s="419"/>
      <c r="F197" s="419"/>
      <c r="G197" s="419"/>
      <c r="H197" s="419"/>
      <c r="I197" s="464">
        <f>SUM(I195+I196)</f>
        <v>10.65</v>
      </c>
      <c r="J197" s="464"/>
    </row>
    <row r="198" spans="1:10" ht="24" customHeight="1" x14ac:dyDescent="0.2">
      <c r="A198" s="404" t="s">
        <v>486</v>
      </c>
      <c r="B198" s="404"/>
      <c r="C198" s="404"/>
      <c r="D198" s="92">
        <v>1</v>
      </c>
      <c r="E198" s="92">
        <v>30</v>
      </c>
      <c r="F198" s="111">
        <f>E199</f>
        <v>2500</v>
      </c>
      <c r="G198" s="461">
        <f>G189</f>
        <v>0</v>
      </c>
      <c r="H198" s="461"/>
      <c r="I198" s="462">
        <f>G198/F198/E198</f>
        <v>0</v>
      </c>
      <c r="J198" s="462"/>
    </row>
    <row r="199" spans="1:10" ht="24" customHeight="1" x14ac:dyDescent="0.2">
      <c r="A199" s="404" t="s">
        <v>487</v>
      </c>
      <c r="B199" s="404"/>
      <c r="C199" s="404"/>
      <c r="D199" s="92">
        <v>1</v>
      </c>
      <c r="E199" s="463">
        <f>'4. SB Cálc DEMO Limpeza Geral'!C11</f>
        <v>2500</v>
      </c>
      <c r="F199" s="463"/>
      <c r="G199" s="461">
        <f>J183</f>
        <v>4791.9300416066872</v>
      </c>
      <c r="H199" s="461"/>
      <c r="I199" s="462">
        <f>ROUND((D199/E199)*G199,2)</f>
        <v>1.92</v>
      </c>
      <c r="J199" s="462"/>
    </row>
    <row r="200" spans="1:10" ht="24" customHeight="1" x14ac:dyDescent="0.2">
      <c r="A200" s="419" t="s">
        <v>484</v>
      </c>
      <c r="B200" s="419"/>
      <c r="C200" s="419"/>
      <c r="D200" s="419"/>
      <c r="E200" s="419"/>
      <c r="F200" s="419"/>
      <c r="G200" s="419"/>
      <c r="H200" s="419"/>
      <c r="I200" s="464">
        <f>SUM(I198+I199)</f>
        <v>1.92</v>
      </c>
      <c r="J200" s="464"/>
    </row>
    <row r="201" spans="1:10" ht="24" customHeight="1" x14ac:dyDescent="0.2">
      <c r="A201" s="404" t="s">
        <v>488</v>
      </c>
      <c r="B201" s="404"/>
      <c r="C201" s="404"/>
      <c r="D201" s="92">
        <v>1</v>
      </c>
      <c r="E201" s="92">
        <v>30</v>
      </c>
      <c r="F201" s="111">
        <f>E202</f>
        <v>1800</v>
      </c>
      <c r="G201" s="461">
        <f>G189</f>
        <v>0</v>
      </c>
      <c r="H201" s="461"/>
      <c r="I201" s="462">
        <f>G201/F201/E201</f>
        <v>0</v>
      </c>
      <c r="J201" s="462"/>
    </row>
    <row r="202" spans="1:10" ht="24" customHeight="1" x14ac:dyDescent="0.2">
      <c r="A202" s="404" t="s">
        <v>489</v>
      </c>
      <c r="B202" s="404"/>
      <c r="C202" s="404"/>
      <c r="D202" s="92">
        <v>1</v>
      </c>
      <c r="E202" s="463">
        <f>'4. SB Cálc DEMO Limpeza Geral'!C12</f>
        <v>1800</v>
      </c>
      <c r="F202" s="463"/>
      <c r="G202" s="461">
        <f>J183</f>
        <v>4791.9300416066872</v>
      </c>
      <c r="H202" s="461"/>
      <c r="I202" s="462">
        <f>ROUND((D202/E202)*G202,2)</f>
        <v>2.66</v>
      </c>
      <c r="J202" s="462"/>
    </row>
    <row r="203" spans="1:10" ht="24" customHeight="1" x14ac:dyDescent="0.2">
      <c r="A203" s="419" t="s">
        <v>484</v>
      </c>
      <c r="B203" s="419"/>
      <c r="C203" s="419"/>
      <c r="D203" s="419"/>
      <c r="E203" s="419"/>
      <c r="F203" s="419"/>
      <c r="G203" s="419"/>
      <c r="H203" s="419"/>
      <c r="I203" s="464">
        <f>SUM(I201+I202)</f>
        <v>2.66</v>
      </c>
      <c r="J203" s="464"/>
    </row>
    <row r="204" spans="1:10" ht="30.75" customHeight="1" x14ac:dyDescent="0.2">
      <c r="A204" s="404" t="s">
        <v>490</v>
      </c>
      <c r="B204" s="404"/>
      <c r="C204" s="404"/>
      <c r="D204" s="92">
        <v>1</v>
      </c>
      <c r="E204" s="92">
        <v>30</v>
      </c>
      <c r="F204" s="111">
        <f>E205</f>
        <v>1500</v>
      </c>
      <c r="G204" s="461">
        <f>G189</f>
        <v>0</v>
      </c>
      <c r="H204" s="461"/>
      <c r="I204" s="462">
        <f>G204/F204/E204</f>
        <v>0</v>
      </c>
      <c r="J204" s="462"/>
    </row>
    <row r="205" spans="1:10" ht="33.75" customHeight="1" x14ac:dyDescent="0.2">
      <c r="A205" s="404" t="s">
        <v>491</v>
      </c>
      <c r="B205" s="404"/>
      <c r="C205" s="404"/>
      <c r="D205" s="92">
        <v>1</v>
      </c>
      <c r="E205" s="463">
        <f>'4. SB Cálc DEMO Limpeza Geral'!C13</f>
        <v>1500</v>
      </c>
      <c r="F205" s="463"/>
      <c r="G205" s="461">
        <f>J183</f>
        <v>4791.9300416066872</v>
      </c>
      <c r="H205" s="461"/>
      <c r="I205" s="462">
        <f>ROUND((D205/E205)*G205,2)</f>
        <v>3.19</v>
      </c>
      <c r="J205" s="462"/>
    </row>
    <row r="206" spans="1:10" ht="24" customHeight="1" x14ac:dyDescent="0.2">
      <c r="A206" s="419" t="s">
        <v>484</v>
      </c>
      <c r="B206" s="419"/>
      <c r="C206" s="419"/>
      <c r="D206" s="419"/>
      <c r="E206" s="419"/>
      <c r="F206" s="419"/>
      <c r="G206" s="419"/>
      <c r="H206" s="419"/>
      <c r="I206" s="464">
        <f>SUM(I204+I205)</f>
        <v>3.19</v>
      </c>
      <c r="J206" s="464"/>
    </row>
    <row r="207" spans="1:10" ht="24" customHeight="1" x14ac:dyDescent="0.2">
      <c r="A207" s="404" t="s">
        <v>492</v>
      </c>
      <c r="B207" s="404"/>
      <c r="C207" s="404"/>
      <c r="D207" s="92">
        <v>1</v>
      </c>
      <c r="E207" s="92">
        <v>30</v>
      </c>
      <c r="F207" s="111">
        <f>E208</f>
        <v>800</v>
      </c>
      <c r="G207" s="461">
        <f>G189</f>
        <v>0</v>
      </c>
      <c r="H207" s="461"/>
      <c r="I207" s="462">
        <f>G207/F207/E207</f>
        <v>0</v>
      </c>
      <c r="J207" s="462"/>
    </row>
    <row r="208" spans="1:10" ht="24" customHeight="1" x14ac:dyDescent="0.2">
      <c r="A208" s="404" t="s">
        <v>493</v>
      </c>
      <c r="B208" s="404"/>
      <c r="C208" s="404"/>
      <c r="D208" s="92">
        <v>1</v>
      </c>
      <c r="E208" s="463">
        <f>'4. SB Cálc DEMO Limpeza Geral'!C14</f>
        <v>800</v>
      </c>
      <c r="F208" s="463"/>
      <c r="G208" s="465">
        <f>J183</f>
        <v>4791.9300416066872</v>
      </c>
      <c r="H208" s="465"/>
      <c r="I208" s="462">
        <f>ROUND((D208/E208)*G208,2)</f>
        <v>5.99</v>
      </c>
      <c r="J208" s="462"/>
    </row>
    <row r="209" spans="1:26" ht="24" customHeight="1" x14ac:dyDescent="0.2">
      <c r="A209" s="419" t="s">
        <v>494</v>
      </c>
      <c r="B209" s="419"/>
      <c r="C209" s="419"/>
      <c r="D209" s="419"/>
      <c r="E209" s="419"/>
      <c r="F209" s="419"/>
      <c r="G209" s="419"/>
      <c r="H209" s="419"/>
      <c r="I209" s="464">
        <f>SUM(I207:J208)</f>
        <v>5.99</v>
      </c>
      <c r="J209" s="464"/>
    </row>
    <row r="210" spans="1:26" ht="24" customHeight="1" x14ac:dyDescent="0.2">
      <c r="A210" s="404" t="s">
        <v>495</v>
      </c>
      <c r="B210" s="404"/>
      <c r="C210" s="404"/>
      <c r="D210" s="92">
        <v>1</v>
      </c>
      <c r="E210" s="92">
        <v>30</v>
      </c>
      <c r="F210" s="111">
        <f>E211</f>
        <v>450</v>
      </c>
      <c r="G210" s="461">
        <f>G189</f>
        <v>0</v>
      </c>
      <c r="H210" s="461"/>
      <c r="I210" s="462">
        <f>G210/F210/E210</f>
        <v>0</v>
      </c>
      <c r="J210" s="462"/>
    </row>
    <row r="211" spans="1:26" ht="24" customHeight="1" x14ac:dyDescent="0.2">
      <c r="A211" s="404" t="s">
        <v>496</v>
      </c>
      <c r="B211" s="404"/>
      <c r="C211" s="404"/>
      <c r="D211" s="92">
        <v>1</v>
      </c>
      <c r="E211" s="463">
        <f>'4. SB Cálc DEMO Limpeza Geral'!C15</f>
        <v>450</v>
      </c>
      <c r="F211" s="463"/>
      <c r="G211" s="465">
        <f>J183</f>
        <v>4791.9300416066872</v>
      </c>
      <c r="H211" s="465"/>
      <c r="I211" s="462">
        <f>ROUND((D211/E211)*G211,2)</f>
        <v>10.65</v>
      </c>
      <c r="J211" s="462"/>
    </row>
    <row r="212" spans="1:26" ht="24" customHeight="1" x14ac:dyDescent="0.2">
      <c r="A212" s="419" t="s">
        <v>497</v>
      </c>
      <c r="B212" s="419"/>
      <c r="C212" s="419"/>
      <c r="D212" s="419"/>
      <c r="E212" s="419"/>
      <c r="F212" s="419"/>
      <c r="G212" s="419"/>
      <c r="H212" s="419"/>
      <c r="I212" s="464">
        <f>SUM(I210:J211)</f>
        <v>10.65</v>
      </c>
      <c r="J212" s="464"/>
    </row>
    <row r="213" spans="1:26" ht="24" customHeight="1" x14ac:dyDescent="0.2">
      <c r="A213" s="466"/>
      <c r="B213" s="466"/>
      <c r="C213" s="466"/>
      <c r="D213" s="466"/>
      <c r="E213" s="466"/>
      <c r="F213" s="466"/>
      <c r="G213" s="466"/>
      <c r="H213" s="466"/>
      <c r="I213" s="466"/>
      <c r="J213" s="466"/>
      <c r="K213" s="100"/>
      <c r="L213" s="100"/>
      <c r="M213" s="100"/>
      <c r="N213" s="100"/>
      <c r="O213" s="100"/>
      <c r="P213" s="100"/>
      <c r="Q213" s="100"/>
      <c r="R213" s="100"/>
      <c r="S213" s="100"/>
      <c r="T213" s="100"/>
      <c r="U213" s="100"/>
      <c r="V213" s="100"/>
      <c r="W213" s="100"/>
      <c r="X213" s="100"/>
      <c r="Y213" s="100"/>
      <c r="Z213" s="100"/>
    </row>
    <row r="214" spans="1:26" ht="24" customHeight="1" x14ac:dyDescent="0.2">
      <c r="A214" s="431" t="s">
        <v>682</v>
      </c>
      <c r="B214" s="431"/>
      <c r="C214" s="431"/>
      <c r="D214" s="431"/>
      <c r="E214" s="431"/>
      <c r="F214" s="431"/>
      <c r="G214" s="431"/>
      <c r="H214" s="431"/>
      <c r="I214" s="431"/>
      <c r="J214" s="431"/>
    </row>
    <row r="215" spans="1:26" ht="48" customHeight="1" x14ac:dyDescent="0.2">
      <c r="A215" s="385" t="s">
        <v>701</v>
      </c>
      <c r="B215" s="385"/>
      <c r="C215" s="385"/>
      <c r="D215" s="385" t="s">
        <v>498</v>
      </c>
      <c r="E215" s="385"/>
      <c r="F215" s="385"/>
      <c r="G215" s="385" t="s">
        <v>499</v>
      </c>
      <c r="H215" s="385"/>
      <c r="I215" s="385" t="s">
        <v>482</v>
      </c>
      <c r="J215" s="385"/>
    </row>
    <row r="216" spans="1:26" ht="30.75" customHeight="1" x14ac:dyDescent="0.2">
      <c r="A216" s="404" t="s">
        <v>683</v>
      </c>
      <c r="B216" s="404"/>
      <c r="C216" s="404"/>
      <c r="D216" s="76">
        <v>1</v>
      </c>
      <c r="E216" s="92" t="s">
        <v>500</v>
      </c>
      <c r="F216" s="111">
        <f>E217</f>
        <v>2700</v>
      </c>
      <c r="G216" s="461">
        <f>G189</f>
        <v>0</v>
      </c>
      <c r="H216" s="461"/>
      <c r="I216" s="462">
        <f>G216/F216/E216</f>
        <v>0</v>
      </c>
      <c r="J216" s="462"/>
    </row>
    <row r="217" spans="1:26" ht="30.75" customHeight="1" x14ac:dyDescent="0.2">
      <c r="A217" s="404" t="s">
        <v>501</v>
      </c>
      <c r="B217" s="404"/>
      <c r="C217" s="404"/>
      <c r="D217" s="76">
        <v>1</v>
      </c>
      <c r="E217" s="463">
        <f>'4. SB Cálc DEMO Limpeza Geral'!C16</f>
        <v>2700</v>
      </c>
      <c r="F217" s="463"/>
      <c r="G217" s="461">
        <f>J183</f>
        <v>4791.9300416066872</v>
      </c>
      <c r="H217" s="461"/>
      <c r="I217" s="462">
        <f>ROUND((D217/E217)*G217,2)</f>
        <v>1.77</v>
      </c>
      <c r="J217" s="462"/>
    </row>
    <row r="218" spans="1:26" ht="24" customHeight="1" x14ac:dyDescent="0.2">
      <c r="A218" s="419" t="s">
        <v>484</v>
      </c>
      <c r="B218" s="419"/>
      <c r="C218" s="419"/>
      <c r="D218" s="419"/>
      <c r="E218" s="419"/>
      <c r="F218" s="419"/>
      <c r="G218" s="419"/>
      <c r="H218" s="419"/>
      <c r="I218" s="464">
        <f>SUM(I216+I217)</f>
        <v>1.77</v>
      </c>
      <c r="J218" s="464"/>
    </row>
    <row r="219" spans="1:26" ht="24" customHeight="1" x14ac:dyDescent="0.2">
      <c r="A219" s="467" t="s">
        <v>502</v>
      </c>
      <c r="B219" s="467"/>
      <c r="C219" s="467"/>
      <c r="D219" s="122">
        <v>1</v>
      </c>
      <c r="E219" s="122">
        <v>30</v>
      </c>
      <c r="F219" s="123">
        <f>E220</f>
        <v>800</v>
      </c>
      <c r="G219" s="468">
        <f>G216</f>
        <v>0</v>
      </c>
      <c r="H219" s="468"/>
      <c r="I219" s="469">
        <f>G219/F219/E219</f>
        <v>0</v>
      </c>
      <c r="J219" s="469"/>
      <c r="K219" s="100"/>
      <c r="L219" s="100"/>
      <c r="M219" s="100"/>
      <c r="N219" s="100"/>
      <c r="O219" s="100"/>
      <c r="P219" s="100"/>
      <c r="Q219" s="100"/>
      <c r="R219" s="100"/>
      <c r="S219" s="100"/>
      <c r="T219" s="100"/>
      <c r="U219" s="100"/>
      <c r="V219" s="100"/>
      <c r="W219" s="100"/>
      <c r="X219" s="100"/>
      <c r="Y219" s="100"/>
      <c r="Z219" s="100"/>
    </row>
    <row r="220" spans="1:26" ht="24" customHeight="1" x14ac:dyDescent="0.2">
      <c r="A220" s="467" t="s">
        <v>503</v>
      </c>
      <c r="B220" s="467"/>
      <c r="C220" s="467"/>
      <c r="D220" s="122">
        <v>1</v>
      </c>
      <c r="E220" s="470">
        <f>'4. SB Cálc DEMO Limpeza Geral'!C17</f>
        <v>800</v>
      </c>
      <c r="F220" s="470"/>
      <c r="G220" s="471">
        <f>J183</f>
        <v>4791.9300416066872</v>
      </c>
      <c r="H220" s="471"/>
      <c r="I220" s="469">
        <f>ROUND((D220/E220)*G220,2)</f>
        <v>5.99</v>
      </c>
      <c r="J220" s="469"/>
      <c r="K220" s="100"/>
      <c r="L220" s="100"/>
      <c r="M220" s="100"/>
      <c r="N220" s="100"/>
      <c r="O220" s="100"/>
      <c r="P220" s="100"/>
      <c r="Q220" s="100"/>
      <c r="R220" s="100"/>
      <c r="S220" s="100"/>
      <c r="T220" s="100"/>
      <c r="U220" s="100"/>
      <c r="V220" s="100"/>
      <c r="W220" s="100"/>
      <c r="X220" s="100"/>
      <c r="Y220" s="100"/>
      <c r="Z220" s="100"/>
    </row>
    <row r="221" spans="1:26" ht="24" customHeight="1" x14ac:dyDescent="0.2">
      <c r="A221" s="419" t="s">
        <v>484</v>
      </c>
      <c r="B221" s="419"/>
      <c r="C221" s="419"/>
      <c r="D221" s="419"/>
      <c r="E221" s="419"/>
      <c r="F221" s="419"/>
      <c r="G221" s="419"/>
      <c r="H221" s="419"/>
      <c r="I221" s="464">
        <f>SUM(I219:J220)</f>
        <v>5.99</v>
      </c>
      <c r="J221" s="464"/>
      <c r="K221" s="100"/>
      <c r="L221" s="100"/>
      <c r="M221" s="100"/>
      <c r="N221" s="100"/>
      <c r="O221" s="100"/>
      <c r="P221" s="100"/>
      <c r="Q221" s="100"/>
      <c r="R221" s="100"/>
      <c r="S221" s="100"/>
      <c r="T221" s="100"/>
      <c r="U221" s="100"/>
      <c r="V221" s="100"/>
      <c r="W221" s="100"/>
      <c r="X221" s="100"/>
      <c r="Y221" s="100"/>
      <c r="Z221" s="100"/>
    </row>
    <row r="222" spans="1:26" ht="24" customHeight="1" x14ac:dyDescent="0.2">
      <c r="A222" s="467" t="s">
        <v>504</v>
      </c>
      <c r="B222" s="467"/>
      <c r="C222" s="467"/>
      <c r="D222" s="122">
        <v>1</v>
      </c>
      <c r="E222" s="122">
        <v>30</v>
      </c>
      <c r="F222" s="123">
        <f>E223</f>
        <v>450</v>
      </c>
      <c r="G222" s="468">
        <f>G189</f>
        <v>0</v>
      </c>
      <c r="H222" s="468"/>
      <c r="I222" s="469">
        <f>G222/F222/E222</f>
        <v>0</v>
      </c>
      <c r="J222" s="469"/>
      <c r="K222" s="100"/>
      <c r="L222" s="100"/>
      <c r="M222" s="100"/>
      <c r="N222" s="100"/>
      <c r="O222" s="100"/>
      <c r="P222" s="100"/>
      <c r="Q222" s="100"/>
      <c r="R222" s="100"/>
      <c r="S222" s="100"/>
      <c r="T222" s="100"/>
      <c r="U222" s="100"/>
      <c r="V222" s="100"/>
      <c r="W222" s="100"/>
      <c r="X222" s="100"/>
      <c r="Y222" s="100"/>
      <c r="Z222" s="100"/>
    </row>
    <row r="223" spans="1:26" ht="24" customHeight="1" x14ac:dyDescent="0.2">
      <c r="A223" s="467" t="s">
        <v>505</v>
      </c>
      <c r="B223" s="467"/>
      <c r="C223" s="467"/>
      <c r="D223" s="122">
        <v>1</v>
      </c>
      <c r="E223" s="470">
        <f>'4. SB Cálc DEMO Limpeza Geral'!C18</f>
        <v>450</v>
      </c>
      <c r="F223" s="470"/>
      <c r="G223" s="471">
        <f>J183</f>
        <v>4791.9300416066872</v>
      </c>
      <c r="H223" s="471"/>
      <c r="I223" s="469">
        <f>ROUND((D223/E223)*G223,2)</f>
        <v>10.65</v>
      </c>
      <c r="J223" s="469"/>
      <c r="K223" s="100"/>
      <c r="L223" s="100"/>
      <c r="M223" s="100"/>
      <c r="N223" s="100"/>
      <c r="O223" s="100"/>
      <c r="P223" s="100"/>
      <c r="Q223" s="100"/>
      <c r="R223" s="100"/>
      <c r="S223" s="100"/>
      <c r="T223" s="100"/>
      <c r="U223" s="100"/>
      <c r="V223" s="100"/>
      <c r="W223" s="100"/>
      <c r="X223" s="100"/>
      <c r="Y223" s="100"/>
      <c r="Z223" s="100"/>
    </row>
    <row r="224" spans="1:26" ht="24" customHeight="1" x14ac:dyDescent="0.2">
      <c r="A224" s="419" t="s">
        <v>484</v>
      </c>
      <c r="B224" s="419"/>
      <c r="C224" s="419"/>
      <c r="D224" s="419"/>
      <c r="E224" s="419"/>
      <c r="F224" s="419"/>
      <c r="G224" s="419"/>
      <c r="H224" s="419"/>
      <c r="I224" s="464">
        <f>SUM(I222:J223)</f>
        <v>10.65</v>
      </c>
      <c r="J224" s="464"/>
      <c r="K224" s="100"/>
      <c r="L224" s="100"/>
      <c r="M224" s="100"/>
      <c r="N224" s="100"/>
      <c r="O224" s="100"/>
      <c r="P224" s="100"/>
      <c r="Q224" s="100"/>
      <c r="R224" s="100"/>
      <c r="S224" s="100"/>
      <c r="T224" s="100"/>
      <c r="U224" s="100"/>
      <c r="V224" s="100"/>
      <c r="W224" s="100"/>
      <c r="X224" s="100"/>
      <c r="Y224" s="100"/>
      <c r="Z224" s="100"/>
    </row>
    <row r="225" spans="1:26" ht="24" customHeight="1" x14ac:dyDescent="0.2">
      <c r="A225" s="404" t="s">
        <v>684</v>
      </c>
      <c r="B225" s="404"/>
      <c r="C225" s="404"/>
      <c r="D225" s="76">
        <v>1</v>
      </c>
      <c r="E225" s="92" t="s">
        <v>500</v>
      </c>
      <c r="F225" s="111">
        <f>E226</f>
        <v>9000</v>
      </c>
      <c r="G225" s="461">
        <f>G189</f>
        <v>0</v>
      </c>
      <c r="H225" s="461"/>
      <c r="I225" s="462">
        <f>G225/F225/E225</f>
        <v>0</v>
      </c>
      <c r="J225" s="462"/>
    </row>
    <row r="226" spans="1:26" ht="24" customHeight="1" x14ac:dyDescent="0.2">
      <c r="A226" s="404" t="s">
        <v>506</v>
      </c>
      <c r="B226" s="404"/>
      <c r="C226" s="404"/>
      <c r="D226" s="76">
        <v>1</v>
      </c>
      <c r="E226" s="463">
        <f>'4. SB Cálc DEMO Limpeza Geral'!C19</f>
        <v>9000</v>
      </c>
      <c r="F226" s="463"/>
      <c r="G226" s="461">
        <f>J183</f>
        <v>4791.9300416066872</v>
      </c>
      <c r="H226" s="461"/>
      <c r="I226" s="462">
        <f>ROUND((D226/E226)*G226,2)</f>
        <v>0.53</v>
      </c>
      <c r="J226" s="462"/>
    </row>
    <row r="227" spans="1:26" ht="24" customHeight="1" x14ac:dyDescent="0.2">
      <c r="A227" s="419" t="s">
        <v>484</v>
      </c>
      <c r="B227" s="419"/>
      <c r="C227" s="419"/>
      <c r="D227" s="419"/>
      <c r="E227" s="419"/>
      <c r="F227" s="419"/>
      <c r="G227" s="419"/>
      <c r="H227" s="419"/>
      <c r="I227" s="464">
        <f>SUM(I225+I226)</f>
        <v>0.53</v>
      </c>
      <c r="J227" s="464"/>
    </row>
    <row r="228" spans="1:26" ht="28.5" customHeight="1" x14ac:dyDescent="0.2">
      <c r="A228" s="404" t="s">
        <v>507</v>
      </c>
      <c r="B228" s="404"/>
      <c r="C228" s="404"/>
      <c r="D228" s="76">
        <v>1</v>
      </c>
      <c r="E228" s="92" t="s">
        <v>500</v>
      </c>
      <c r="F228" s="111">
        <f>E229</f>
        <v>2700</v>
      </c>
      <c r="G228" s="461">
        <f>G189</f>
        <v>0</v>
      </c>
      <c r="H228" s="461"/>
      <c r="I228" s="462">
        <f>G228/F228/E228</f>
        <v>0</v>
      </c>
      <c r="J228" s="462"/>
    </row>
    <row r="229" spans="1:26" ht="28.5" customHeight="1" x14ac:dyDescent="0.2">
      <c r="A229" s="404" t="s">
        <v>508</v>
      </c>
      <c r="B229" s="404"/>
      <c r="C229" s="404"/>
      <c r="D229" s="76">
        <v>1</v>
      </c>
      <c r="E229" s="463">
        <f>'4. SB Cálc DEMO Limpeza Geral'!C20</f>
        <v>2700</v>
      </c>
      <c r="F229" s="463"/>
      <c r="G229" s="461">
        <f>J183</f>
        <v>4791.9300416066872</v>
      </c>
      <c r="H229" s="461"/>
      <c r="I229" s="462">
        <f>ROUND((D229/E229)*G229,2)</f>
        <v>1.77</v>
      </c>
      <c r="J229" s="462"/>
    </row>
    <row r="230" spans="1:26" ht="24" customHeight="1" x14ac:dyDescent="0.2">
      <c r="A230" s="419" t="s">
        <v>484</v>
      </c>
      <c r="B230" s="419"/>
      <c r="C230" s="419"/>
      <c r="D230" s="419"/>
      <c r="E230" s="419"/>
      <c r="F230" s="419"/>
      <c r="G230" s="419"/>
      <c r="H230" s="419"/>
      <c r="I230" s="464">
        <f>SUM(I228+I229)</f>
        <v>1.77</v>
      </c>
      <c r="J230" s="464"/>
    </row>
    <row r="231" spans="1:26" ht="32.25" customHeight="1" x14ac:dyDescent="0.2">
      <c r="A231" s="404" t="s">
        <v>509</v>
      </c>
      <c r="B231" s="404"/>
      <c r="C231" s="404"/>
      <c r="D231" s="76">
        <v>1</v>
      </c>
      <c r="E231" s="92" t="s">
        <v>500</v>
      </c>
      <c r="F231" s="111">
        <f>E232</f>
        <v>2700</v>
      </c>
      <c r="G231" s="461">
        <f>G189</f>
        <v>0</v>
      </c>
      <c r="H231" s="461"/>
      <c r="I231" s="462">
        <f>G231/F231/E231</f>
        <v>0</v>
      </c>
      <c r="J231" s="462"/>
    </row>
    <row r="232" spans="1:26" ht="32.25" customHeight="1" x14ac:dyDescent="0.2">
      <c r="A232" s="404" t="s">
        <v>510</v>
      </c>
      <c r="B232" s="404"/>
      <c r="C232" s="404"/>
      <c r="D232" s="76">
        <v>1</v>
      </c>
      <c r="E232" s="463">
        <f>'4. SB Cálc DEMO Limpeza Geral'!C21</f>
        <v>2700</v>
      </c>
      <c r="F232" s="463"/>
      <c r="G232" s="461">
        <f>J183</f>
        <v>4791.9300416066872</v>
      </c>
      <c r="H232" s="461"/>
      <c r="I232" s="462">
        <f>ROUND((D232/E232)*G232,2)</f>
        <v>1.77</v>
      </c>
      <c r="J232" s="462"/>
    </row>
    <row r="233" spans="1:26" ht="24" customHeight="1" x14ac:dyDescent="0.2">
      <c r="A233" s="419" t="s">
        <v>484</v>
      </c>
      <c r="B233" s="419"/>
      <c r="C233" s="419"/>
      <c r="D233" s="419"/>
      <c r="E233" s="419"/>
      <c r="F233" s="419"/>
      <c r="G233" s="419"/>
      <c r="H233" s="419"/>
      <c r="I233" s="464">
        <f>SUM(I231+I232)</f>
        <v>1.77</v>
      </c>
      <c r="J233" s="464"/>
    </row>
    <row r="234" spans="1:26" ht="30" customHeight="1" x14ac:dyDescent="0.2">
      <c r="A234" s="404" t="s">
        <v>511</v>
      </c>
      <c r="B234" s="404"/>
      <c r="C234" s="404"/>
      <c r="D234" s="76" t="s">
        <v>512</v>
      </c>
      <c r="E234" s="92" t="s">
        <v>500</v>
      </c>
      <c r="F234" s="111">
        <f>E235</f>
        <v>2700</v>
      </c>
      <c r="G234" s="461">
        <f>G189</f>
        <v>0</v>
      </c>
      <c r="H234" s="461"/>
      <c r="I234" s="462">
        <f>G234/F234/E234</f>
        <v>0</v>
      </c>
      <c r="J234" s="462"/>
    </row>
    <row r="235" spans="1:26" ht="30" customHeight="1" x14ac:dyDescent="0.2">
      <c r="A235" s="404" t="s">
        <v>513</v>
      </c>
      <c r="B235" s="404"/>
      <c r="C235" s="404"/>
      <c r="D235" s="76">
        <v>1</v>
      </c>
      <c r="E235" s="463">
        <f>'4. SB Cálc DEMO Limpeza Geral'!C22</f>
        <v>2700</v>
      </c>
      <c r="F235" s="463"/>
      <c r="G235" s="461">
        <f>J183</f>
        <v>4791.9300416066872</v>
      </c>
      <c r="H235" s="461"/>
      <c r="I235" s="462">
        <f>ROUND((D235/E235)*G235,2)</f>
        <v>1.77</v>
      </c>
      <c r="J235" s="462"/>
    </row>
    <row r="236" spans="1:26" ht="24" customHeight="1" x14ac:dyDescent="0.2">
      <c r="A236" s="419" t="s">
        <v>484</v>
      </c>
      <c r="B236" s="419"/>
      <c r="C236" s="419"/>
      <c r="D236" s="419"/>
      <c r="E236" s="419"/>
      <c r="F236" s="419"/>
      <c r="G236" s="419"/>
      <c r="H236" s="419"/>
      <c r="I236" s="464">
        <f>SUM(I234+I235)</f>
        <v>1.77</v>
      </c>
      <c r="J236" s="464"/>
    </row>
    <row r="237" spans="1:26" ht="27.75" customHeight="1" x14ac:dyDescent="0.2">
      <c r="A237" s="404" t="s">
        <v>514</v>
      </c>
      <c r="B237" s="404"/>
      <c r="C237" s="404"/>
      <c r="D237" s="76" t="s">
        <v>512</v>
      </c>
      <c r="E237" s="92" t="s">
        <v>500</v>
      </c>
      <c r="F237" s="111">
        <f>E238</f>
        <v>100000</v>
      </c>
      <c r="G237" s="461">
        <f>G189</f>
        <v>0</v>
      </c>
      <c r="H237" s="461"/>
      <c r="I237" s="462">
        <f>G237/F237/E237</f>
        <v>0</v>
      </c>
      <c r="J237" s="462"/>
    </row>
    <row r="238" spans="1:26" ht="27.75" customHeight="1" x14ac:dyDescent="0.2">
      <c r="A238" s="472" t="s">
        <v>515</v>
      </c>
      <c r="B238" s="472"/>
      <c r="C238" s="472"/>
      <c r="D238" s="124" t="s">
        <v>512</v>
      </c>
      <c r="E238" s="473">
        <f>'4. SB Cálc DEMO Limpeza Geral'!C23</f>
        <v>100000</v>
      </c>
      <c r="F238" s="473"/>
      <c r="G238" s="474">
        <f>J183</f>
        <v>4791.9300416066872</v>
      </c>
      <c r="H238" s="474"/>
      <c r="I238" s="475">
        <f>ROUND((D238/E238)*G238,2)</f>
        <v>0.05</v>
      </c>
      <c r="J238" s="475"/>
    </row>
    <row r="239" spans="1:26" ht="24" customHeight="1" x14ac:dyDescent="0.2">
      <c r="A239" s="419" t="s">
        <v>484</v>
      </c>
      <c r="B239" s="419"/>
      <c r="C239" s="419"/>
      <c r="D239" s="419"/>
      <c r="E239" s="419"/>
      <c r="F239" s="419"/>
      <c r="G239" s="419"/>
      <c r="H239" s="419"/>
      <c r="I239" s="464">
        <f>SUM(I237+I238)</f>
        <v>0.05</v>
      </c>
      <c r="J239" s="464"/>
    </row>
    <row r="240" spans="1:26" ht="24" customHeight="1" x14ac:dyDescent="0.2">
      <c r="A240" s="125"/>
      <c r="B240" s="125"/>
      <c r="C240" s="125"/>
      <c r="D240" s="125"/>
      <c r="E240" s="125"/>
      <c r="F240" s="125"/>
      <c r="G240" s="125"/>
      <c r="H240" s="125"/>
      <c r="I240" s="126"/>
      <c r="J240" s="125"/>
      <c r="K240" s="100"/>
      <c r="L240" s="100"/>
      <c r="M240" s="100"/>
      <c r="N240" s="100"/>
      <c r="O240" s="100"/>
      <c r="P240" s="100"/>
      <c r="Q240" s="100"/>
      <c r="R240" s="100"/>
      <c r="S240" s="100"/>
      <c r="T240" s="100"/>
      <c r="U240" s="100"/>
      <c r="V240" s="100"/>
      <c r="W240" s="100"/>
      <c r="X240" s="100"/>
      <c r="Y240" s="100"/>
      <c r="Z240" s="100"/>
    </row>
    <row r="241" spans="1:10" ht="24" customHeight="1" x14ac:dyDescent="0.2">
      <c r="A241" s="431" t="s">
        <v>516</v>
      </c>
      <c r="B241" s="431"/>
      <c r="C241" s="431"/>
      <c r="D241" s="431"/>
      <c r="E241" s="431"/>
      <c r="F241" s="431"/>
      <c r="G241" s="431"/>
      <c r="H241" s="431"/>
      <c r="I241" s="431"/>
      <c r="J241" s="431"/>
    </row>
    <row r="242" spans="1:10" ht="24" customHeight="1" x14ac:dyDescent="0.2">
      <c r="A242" s="431"/>
      <c r="B242" s="431"/>
      <c r="C242" s="431"/>
      <c r="D242" s="431"/>
      <c r="E242" s="431"/>
      <c r="F242" s="431"/>
      <c r="G242" s="431"/>
      <c r="H242" s="431"/>
      <c r="I242" s="431"/>
      <c r="J242" s="431"/>
    </row>
    <row r="243" spans="1:10" ht="30" customHeight="1" x14ac:dyDescent="0.2">
      <c r="A243" s="385" t="s">
        <v>702</v>
      </c>
      <c r="B243" s="385"/>
      <c r="C243" s="385"/>
      <c r="D243" s="385" t="s">
        <v>480</v>
      </c>
      <c r="E243" s="385"/>
      <c r="F243" s="385"/>
      <c r="G243" s="385" t="s">
        <v>517</v>
      </c>
      <c r="H243" s="385"/>
      <c r="I243" s="385" t="s">
        <v>482</v>
      </c>
      <c r="J243" s="385"/>
    </row>
    <row r="244" spans="1:10" ht="24" customHeight="1" x14ac:dyDescent="0.2">
      <c r="A244" s="404" t="s">
        <v>518</v>
      </c>
      <c r="B244" s="404"/>
      <c r="C244" s="404"/>
      <c r="D244" s="92">
        <v>1</v>
      </c>
      <c r="E244" s="92">
        <v>30</v>
      </c>
      <c r="F244" s="111">
        <f>E245</f>
        <v>450</v>
      </c>
      <c r="G244" s="461">
        <f>G189</f>
        <v>0</v>
      </c>
      <c r="H244" s="461"/>
      <c r="I244" s="462">
        <f>G244/F244/E244</f>
        <v>0</v>
      </c>
      <c r="J244" s="462"/>
    </row>
    <row r="245" spans="1:10" ht="24" customHeight="1" x14ac:dyDescent="0.2">
      <c r="A245" s="404" t="s">
        <v>519</v>
      </c>
      <c r="B245" s="404"/>
      <c r="C245" s="404"/>
      <c r="D245" s="92">
        <v>1</v>
      </c>
      <c r="E245" s="463">
        <f>'4. SB Cálc DEMO Limpeza Geral'!C24</f>
        <v>450</v>
      </c>
      <c r="F245" s="463"/>
      <c r="G245" s="461">
        <f>J183</f>
        <v>4791.9300416066872</v>
      </c>
      <c r="H245" s="461"/>
      <c r="I245" s="462">
        <f>ROUND(D245/E245*G245,2)</f>
        <v>10.65</v>
      </c>
      <c r="J245" s="462"/>
    </row>
    <row r="246" spans="1:10" ht="24" customHeight="1" x14ac:dyDescent="0.2">
      <c r="A246" s="419" t="s">
        <v>484</v>
      </c>
      <c r="B246" s="419"/>
      <c r="C246" s="419"/>
      <c r="D246" s="419"/>
      <c r="E246" s="419"/>
      <c r="F246" s="419"/>
      <c r="G246" s="419"/>
      <c r="H246" s="419"/>
      <c r="I246" s="464">
        <f>SUM(I244+I245)</f>
        <v>10.65</v>
      </c>
      <c r="J246" s="464"/>
    </row>
    <row r="247" spans="1:10" ht="98.25" customHeight="1" x14ac:dyDescent="0.2">
      <c r="A247" s="476" t="s">
        <v>520</v>
      </c>
      <c r="B247" s="476"/>
      <c r="C247" s="476"/>
      <c r="D247" s="476"/>
      <c r="E247" s="476"/>
      <c r="F247" s="476"/>
      <c r="G247" s="476"/>
      <c r="H247" s="476"/>
      <c r="I247" s="476"/>
      <c r="J247" s="476"/>
    </row>
    <row r="248" spans="1:10" ht="24" customHeight="1" x14ac:dyDescent="0.2">
      <c r="A248" s="385" t="s">
        <v>521</v>
      </c>
      <c r="B248" s="385"/>
      <c r="C248" s="385"/>
      <c r="D248" s="385"/>
      <c r="E248" s="385"/>
      <c r="F248" s="385"/>
      <c r="G248" s="385"/>
      <c r="H248" s="385"/>
      <c r="I248" s="385"/>
      <c r="J248" s="385"/>
    </row>
    <row r="249" spans="1:10" ht="24" customHeight="1" x14ac:dyDescent="0.2">
      <c r="A249" s="385" t="s">
        <v>21</v>
      </c>
      <c r="B249" s="385"/>
      <c r="C249" s="385"/>
      <c r="D249" s="385"/>
      <c r="E249" s="385"/>
      <c r="F249" s="385" t="s">
        <v>522</v>
      </c>
      <c r="G249" s="385"/>
      <c r="H249" s="19" t="s">
        <v>523</v>
      </c>
      <c r="I249" s="385" t="s">
        <v>524</v>
      </c>
      <c r="J249" s="385"/>
    </row>
    <row r="250" spans="1:10" ht="24" customHeight="1" x14ac:dyDescent="0.2">
      <c r="A250" s="460" t="s">
        <v>338</v>
      </c>
      <c r="B250" s="460"/>
      <c r="C250" s="460"/>
      <c r="D250" s="460"/>
      <c r="E250" s="460"/>
      <c r="F250" s="477">
        <f>I191</f>
        <v>3.99</v>
      </c>
      <c r="G250" s="477"/>
      <c r="H250" s="107">
        <f t="shared" ref="H250:H267" si="0">I25</f>
        <v>608</v>
      </c>
      <c r="I250" s="478">
        <f t="shared" ref="I250:I257" si="1">ROUND(F250*H250,2)</f>
        <v>2425.92</v>
      </c>
      <c r="J250" s="478"/>
    </row>
    <row r="251" spans="1:10" ht="24" customHeight="1" x14ac:dyDescent="0.2">
      <c r="A251" s="460" t="s">
        <v>340</v>
      </c>
      <c r="B251" s="460"/>
      <c r="C251" s="460"/>
      <c r="D251" s="460"/>
      <c r="E251" s="460"/>
      <c r="F251" s="477">
        <f>I194</f>
        <v>3.99</v>
      </c>
      <c r="G251" s="477"/>
      <c r="H251" s="107">
        <f t="shared" si="0"/>
        <v>10285.355416666669</v>
      </c>
      <c r="I251" s="478">
        <f t="shared" si="1"/>
        <v>41038.57</v>
      </c>
      <c r="J251" s="478"/>
    </row>
    <row r="252" spans="1:10" ht="24" customHeight="1" x14ac:dyDescent="0.2">
      <c r="A252" s="460" t="s">
        <v>341</v>
      </c>
      <c r="B252" s="460"/>
      <c r="C252" s="460"/>
      <c r="D252" s="460"/>
      <c r="E252" s="460"/>
      <c r="F252" s="477">
        <f>I197</f>
        <v>10.65</v>
      </c>
      <c r="G252" s="477"/>
      <c r="H252" s="107">
        <f t="shared" si="0"/>
        <v>2187.9</v>
      </c>
      <c r="I252" s="478">
        <f t="shared" si="1"/>
        <v>23301.14</v>
      </c>
      <c r="J252" s="478"/>
    </row>
    <row r="253" spans="1:10" ht="24" customHeight="1" x14ac:dyDescent="0.2">
      <c r="A253" s="460" t="s">
        <v>342</v>
      </c>
      <c r="B253" s="460"/>
      <c r="C253" s="460"/>
      <c r="D253" s="460"/>
      <c r="E253" s="460"/>
      <c r="F253" s="477">
        <f>I200</f>
        <v>1.92</v>
      </c>
      <c r="G253" s="477"/>
      <c r="H253" s="107">
        <f t="shared" si="0"/>
        <v>85.719675000000009</v>
      </c>
      <c r="I253" s="478">
        <f t="shared" si="1"/>
        <v>164.58</v>
      </c>
      <c r="J253" s="478"/>
    </row>
    <row r="254" spans="1:10" ht="24" customHeight="1" x14ac:dyDescent="0.2">
      <c r="A254" s="460" t="s">
        <v>343</v>
      </c>
      <c r="B254" s="460"/>
      <c r="C254" s="460"/>
      <c r="D254" s="460"/>
      <c r="E254" s="460"/>
      <c r="F254" s="477">
        <f>I203</f>
        <v>2.66</v>
      </c>
      <c r="G254" s="477"/>
      <c r="H254" s="107">
        <f t="shared" si="0"/>
        <v>0</v>
      </c>
      <c r="I254" s="478">
        <f t="shared" si="1"/>
        <v>0</v>
      </c>
      <c r="J254" s="478"/>
    </row>
    <row r="255" spans="1:10" ht="24" customHeight="1" x14ac:dyDescent="0.2">
      <c r="A255" s="460" t="s">
        <v>344</v>
      </c>
      <c r="B255" s="460"/>
      <c r="C255" s="460"/>
      <c r="D255" s="460"/>
      <c r="E255" s="460"/>
      <c r="F255" s="477">
        <f>I206</f>
        <v>3.19</v>
      </c>
      <c r="G255" s="477"/>
      <c r="H255" s="107">
        <f t="shared" si="0"/>
        <v>6826.7999999999993</v>
      </c>
      <c r="I255" s="478">
        <f t="shared" si="1"/>
        <v>21777.49</v>
      </c>
      <c r="J255" s="478"/>
    </row>
    <row r="256" spans="1:10" ht="24" customHeight="1" x14ac:dyDescent="0.2">
      <c r="A256" s="460" t="s">
        <v>525</v>
      </c>
      <c r="B256" s="460"/>
      <c r="C256" s="460"/>
      <c r="D256" s="460"/>
      <c r="E256" s="460"/>
      <c r="F256" s="479">
        <f>I209</f>
        <v>5.99</v>
      </c>
      <c r="G256" s="479"/>
      <c r="H256" s="107">
        <f t="shared" si="0"/>
        <v>0</v>
      </c>
      <c r="I256" s="478">
        <f t="shared" si="1"/>
        <v>0</v>
      </c>
      <c r="J256" s="478"/>
    </row>
    <row r="257" spans="1:10" ht="24" customHeight="1" x14ac:dyDescent="0.2">
      <c r="A257" s="460" t="s">
        <v>526</v>
      </c>
      <c r="B257" s="460"/>
      <c r="C257" s="460"/>
      <c r="D257" s="460"/>
      <c r="E257" s="460"/>
      <c r="F257" s="479">
        <f>I212</f>
        <v>10.65</v>
      </c>
      <c r="G257" s="479"/>
      <c r="H257" s="107">
        <f t="shared" si="0"/>
        <v>0</v>
      </c>
      <c r="I257" s="478">
        <f t="shared" si="1"/>
        <v>0</v>
      </c>
      <c r="J257" s="478"/>
    </row>
    <row r="258" spans="1:10" ht="24" customHeight="1" x14ac:dyDescent="0.2">
      <c r="A258" s="419" t="s">
        <v>347</v>
      </c>
      <c r="B258" s="419"/>
      <c r="C258" s="419"/>
      <c r="D258" s="419"/>
      <c r="E258" s="419"/>
      <c r="F258" s="419"/>
      <c r="G258" s="419"/>
      <c r="H258" s="98">
        <f t="shared" si="0"/>
        <v>19993.77509166667</v>
      </c>
      <c r="I258" s="480">
        <f>SUM(I250:I257)</f>
        <v>88707.700000000012</v>
      </c>
      <c r="J258" s="480"/>
    </row>
    <row r="259" spans="1:10" ht="40.5" customHeight="1" x14ac:dyDescent="0.2">
      <c r="A259" s="460" t="s">
        <v>348</v>
      </c>
      <c r="B259" s="460"/>
      <c r="C259" s="460"/>
      <c r="D259" s="460"/>
      <c r="E259" s="460"/>
      <c r="F259" s="477">
        <f>I218</f>
        <v>1.77</v>
      </c>
      <c r="G259" s="477"/>
      <c r="H259" s="108">
        <f t="shared" si="0"/>
        <v>202.93080833333335</v>
      </c>
      <c r="I259" s="478">
        <f t="shared" ref="I259:I266" si="2">ROUND(F259*H259,2)</f>
        <v>359.19</v>
      </c>
      <c r="J259" s="478"/>
    </row>
    <row r="260" spans="1:10" ht="24" customHeight="1" x14ac:dyDescent="0.2">
      <c r="A260" s="460" t="s">
        <v>349</v>
      </c>
      <c r="B260" s="460"/>
      <c r="C260" s="460"/>
      <c r="D260" s="460"/>
      <c r="E260" s="460"/>
      <c r="F260" s="477">
        <f>I221</f>
        <v>5.99</v>
      </c>
      <c r="G260" s="477"/>
      <c r="H260" s="108">
        <f t="shared" si="0"/>
        <v>0</v>
      </c>
      <c r="I260" s="478">
        <f t="shared" si="2"/>
        <v>0</v>
      </c>
      <c r="J260" s="478"/>
    </row>
    <row r="261" spans="1:10" ht="24" customHeight="1" x14ac:dyDescent="0.2">
      <c r="A261" s="460" t="s">
        <v>350</v>
      </c>
      <c r="B261" s="460"/>
      <c r="C261" s="460"/>
      <c r="D261" s="460"/>
      <c r="E261" s="460"/>
      <c r="F261" s="477">
        <f>I224</f>
        <v>10.65</v>
      </c>
      <c r="G261" s="477"/>
      <c r="H261" s="108">
        <f t="shared" si="0"/>
        <v>0</v>
      </c>
      <c r="I261" s="478">
        <f t="shared" si="2"/>
        <v>0</v>
      </c>
      <c r="J261" s="478"/>
    </row>
    <row r="262" spans="1:10" ht="24" customHeight="1" x14ac:dyDescent="0.2">
      <c r="A262" s="460" t="s">
        <v>527</v>
      </c>
      <c r="B262" s="460"/>
      <c r="C262" s="460"/>
      <c r="D262" s="460"/>
      <c r="E262" s="460"/>
      <c r="F262" s="477">
        <f>I227</f>
        <v>0.53</v>
      </c>
      <c r="G262" s="477"/>
      <c r="H262" s="108">
        <f t="shared" si="0"/>
        <v>0</v>
      </c>
      <c r="I262" s="478">
        <f t="shared" si="2"/>
        <v>0</v>
      </c>
      <c r="J262" s="478"/>
    </row>
    <row r="263" spans="1:10" ht="24" customHeight="1" x14ac:dyDescent="0.2">
      <c r="A263" s="460" t="s">
        <v>528</v>
      </c>
      <c r="B263" s="460"/>
      <c r="C263" s="460"/>
      <c r="D263" s="460"/>
      <c r="E263" s="460"/>
      <c r="F263" s="477">
        <f>I230</f>
        <v>1.77</v>
      </c>
      <c r="G263" s="477"/>
      <c r="H263" s="108">
        <f t="shared" si="0"/>
        <v>0</v>
      </c>
      <c r="I263" s="478">
        <f t="shared" si="2"/>
        <v>0</v>
      </c>
      <c r="J263" s="478"/>
    </row>
    <row r="264" spans="1:10" ht="24" customHeight="1" x14ac:dyDescent="0.2">
      <c r="A264" s="460" t="s">
        <v>529</v>
      </c>
      <c r="B264" s="460"/>
      <c r="C264" s="460"/>
      <c r="D264" s="460"/>
      <c r="E264" s="460"/>
      <c r="F264" s="477">
        <f>I233</f>
        <v>1.77</v>
      </c>
      <c r="G264" s="477"/>
      <c r="H264" s="108">
        <f t="shared" si="0"/>
        <v>0</v>
      </c>
      <c r="I264" s="478">
        <f t="shared" si="2"/>
        <v>0</v>
      </c>
      <c r="J264" s="478"/>
    </row>
    <row r="265" spans="1:10" ht="24" customHeight="1" x14ac:dyDescent="0.2">
      <c r="A265" s="460" t="s">
        <v>530</v>
      </c>
      <c r="B265" s="460"/>
      <c r="C265" s="460"/>
      <c r="D265" s="460"/>
      <c r="E265" s="460"/>
      <c r="F265" s="477">
        <f>I236</f>
        <v>1.77</v>
      </c>
      <c r="G265" s="477"/>
      <c r="H265" s="108">
        <f t="shared" si="0"/>
        <v>0</v>
      </c>
      <c r="I265" s="478">
        <f t="shared" si="2"/>
        <v>0</v>
      </c>
      <c r="J265" s="478"/>
    </row>
    <row r="266" spans="1:10" ht="35.25" customHeight="1" x14ac:dyDescent="0.2">
      <c r="A266" s="460" t="s">
        <v>531</v>
      </c>
      <c r="B266" s="460"/>
      <c r="C266" s="460"/>
      <c r="D266" s="460"/>
      <c r="E266" s="460"/>
      <c r="F266" s="477">
        <f>I239</f>
        <v>0.05</v>
      </c>
      <c r="G266" s="477"/>
      <c r="H266" s="108">
        <f t="shared" si="0"/>
        <v>0</v>
      </c>
      <c r="I266" s="478">
        <f t="shared" si="2"/>
        <v>0</v>
      </c>
      <c r="J266" s="478"/>
    </row>
    <row r="267" spans="1:10" ht="24" customHeight="1" x14ac:dyDescent="0.2">
      <c r="A267" s="419" t="s">
        <v>356</v>
      </c>
      <c r="B267" s="419"/>
      <c r="C267" s="419"/>
      <c r="D267" s="419"/>
      <c r="E267" s="419"/>
      <c r="F267" s="419"/>
      <c r="G267" s="419"/>
      <c r="H267" s="98">
        <f t="shared" si="0"/>
        <v>202.93080833333335</v>
      </c>
      <c r="I267" s="480">
        <f>SUM(I259:I266)</f>
        <v>359.19</v>
      </c>
      <c r="J267" s="480"/>
    </row>
    <row r="268" spans="1:10" ht="24" customHeight="1" x14ac:dyDescent="0.2">
      <c r="A268" s="460" t="s">
        <v>357</v>
      </c>
      <c r="B268" s="460"/>
      <c r="C268" s="460"/>
      <c r="D268" s="460"/>
      <c r="E268" s="460"/>
      <c r="F268" s="477">
        <f>I246</f>
        <v>10.65</v>
      </c>
      <c r="G268" s="477"/>
      <c r="H268" s="107">
        <f>I44</f>
        <v>336.6</v>
      </c>
      <c r="I268" s="478">
        <f>ROUND(F268*H268,2)</f>
        <v>3584.79</v>
      </c>
      <c r="J268" s="478"/>
    </row>
    <row r="269" spans="1:10" ht="24" customHeight="1" x14ac:dyDescent="0.2">
      <c r="A269" s="419" t="s">
        <v>532</v>
      </c>
      <c r="B269" s="419"/>
      <c r="C269" s="419"/>
      <c r="D269" s="419"/>
      <c r="E269" s="419"/>
      <c r="F269" s="419"/>
      <c r="G269" s="419"/>
      <c r="H269" s="98">
        <f>H268</f>
        <v>336.6</v>
      </c>
      <c r="I269" s="480">
        <f>I268</f>
        <v>3584.79</v>
      </c>
      <c r="J269" s="480"/>
    </row>
    <row r="270" spans="1:10" ht="24" customHeight="1" x14ac:dyDescent="0.2">
      <c r="A270" s="460" t="s">
        <v>359</v>
      </c>
      <c r="B270" s="460"/>
      <c r="C270" s="460"/>
      <c r="D270" s="460"/>
      <c r="E270" s="460"/>
      <c r="F270" s="460"/>
      <c r="G270" s="460"/>
      <c r="H270" s="107">
        <f>I45</f>
        <v>0</v>
      </c>
      <c r="I270" s="493">
        <v>0</v>
      </c>
      <c r="J270" s="493"/>
    </row>
    <row r="271" spans="1:10" ht="24" customHeight="1" x14ac:dyDescent="0.2">
      <c r="A271" s="419" t="s">
        <v>360</v>
      </c>
      <c r="B271" s="419"/>
      <c r="C271" s="419"/>
      <c r="D271" s="419"/>
      <c r="E271" s="419"/>
      <c r="F271" s="419"/>
      <c r="G271" s="419"/>
      <c r="H271" s="98">
        <f>H270</f>
        <v>0</v>
      </c>
      <c r="I271" s="464">
        <v>0</v>
      </c>
      <c r="J271" s="464"/>
    </row>
    <row r="272" spans="1:10" ht="24" customHeight="1" x14ac:dyDescent="0.2">
      <c r="A272" s="419" t="s">
        <v>533</v>
      </c>
      <c r="B272" s="419"/>
      <c r="C272" s="419"/>
      <c r="D272" s="419"/>
      <c r="E272" s="419"/>
      <c r="F272" s="419"/>
      <c r="G272" s="419"/>
      <c r="H272" s="98">
        <f>ROUND(H258+H267+H269+H271,2)</f>
        <v>20533.310000000001</v>
      </c>
      <c r="I272" s="464">
        <f>SUM(I258+I267+I269+I271)</f>
        <v>92651.680000000008</v>
      </c>
      <c r="J272" s="464"/>
    </row>
    <row r="273" spans="1:26" ht="24" customHeight="1" x14ac:dyDescent="0.2">
      <c r="A273" s="482"/>
      <c r="B273" s="482"/>
      <c r="C273" s="482"/>
      <c r="D273" s="482"/>
      <c r="E273" s="482"/>
      <c r="F273" s="482"/>
      <c r="G273" s="482"/>
      <c r="H273" s="482"/>
      <c r="I273" s="482"/>
      <c r="J273" s="482"/>
      <c r="K273" s="100"/>
      <c r="L273" s="100"/>
      <c r="M273" s="100"/>
      <c r="N273" s="100"/>
      <c r="O273" s="100"/>
      <c r="P273" s="100"/>
      <c r="Q273" s="100"/>
      <c r="R273" s="100"/>
      <c r="S273" s="100"/>
      <c r="T273" s="100"/>
      <c r="U273" s="100"/>
      <c r="V273" s="100"/>
      <c r="W273" s="100"/>
      <c r="X273" s="100"/>
      <c r="Y273" s="100"/>
      <c r="Z273" s="100"/>
    </row>
    <row r="274" spans="1:26" ht="24" customHeight="1" x14ac:dyDescent="0.2">
      <c r="A274" s="431" t="s">
        <v>534</v>
      </c>
      <c r="B274" s="431"/>
      <c r="C274" s="431"/>
      <c r="D274" s="431"/>
      <c r="E274" s="431"/>
      <c r="F274" s="431"/>
      <c r="G274" s="431"/>
      <c r="H274" s="431"/>
      <c r="I274" s="483">
        <f>I272</f>
        <v>92651.680000000008</v>
      </c>
      <c r="J274" s="483"/>
    </row>
    <row r="275" spans="1:26" ht="24" customHeight="1" x14ac:dyDescent="0.2">
      <c r="A275" s="431" t="s">
        <v>535</v>
      </c>
      <c r="B275" s="431"/>
      <c r="C275" s="431"/>
      <c r="D275" s="431"/>
      <c r="E275" s="431"/>
      <c r="F275" s="431"/>
      <c r="G275" s="431"/>
      <c r="H275" s="431"/>
      <c r="I275" s="484">
        <f>H21</f>
        <v>20</v>
      </c>
      <c r="J275" s="484"/>
    </row>
    <row r="276" spans="1:26" ht="24" customHeight="1" x14ac:dyDescent="0.2">
      <c r="A276" s="431" t="s">
        <v>536</v>
      </c>
      <c r="B276" s="431"/>
      <c r="C276" s="431"/>
      <c r="D276" s="431"/>
      <c r="E276" s="431"/>
      <c r="F276" s="431"/>
      <c r="G276" s="431"/>
      <c r="H276" s="431"/>
      <c r="I276" s="483">
        <f>ROUND(I272*I275,2)</f>
        <v>1853033.6</v>
      </c>
      <c r="J276" s="483"/>
    </row>
    <row r="277" spans="1:26" ht="24" customHeight="1" x14ac:dyDescent="0.2">
      <c r="A277" s="385" t="s">
        <v>537</v>
      </c>
      <c r="B277" s="385"/>
      <c r="C277" s="385"/>
      <c r="D277" s="385"/>
      <c r="E277" s="385"/>
      <c r="F277" s="385"/>
      <c r="G277" s="385"/>
      <c r="H277" s="385"/>
      <c r="I277" s="385"/>
      <c r="J277" s="385"/>
    </row>
    <row r="278" spans="1:26" ht="24" customHeight="1" x14ac:dyDescent="0.2">
      <c r="A278" s="385" t="s">
        <v>538</v>
      </c>
      <c r="B278" s="385"/>
      <c r="C278" s="385"/>
      <c r="D278" s="385"/>
      <c r="E278" s="385"/>
      <c r="F278" s="385"/>
      <c r="G278" s="385" t="s">
        <v>539</v>
      </c>
      <c r="H278" s="385"/>
      <c r="I278" s="385"/>
      <c r="J278" s="385"/>
    </row>
    <row r="279" spans="1:26" ht="24" customHeight="1" x14ac:dyDescent="0.2">
      <c r="A279" s="491" t="s">
        <v>69</v>
      </c>
      <c r="B279" s="491"/>
      <c r="C279" s="491"/>
      <c r="D279" s="491"/>
      <c r="E279" s="491"/>
      <c r="F279" s="491"/>
      <c r="G279" s="492">
        <f>'4. SB Cálc DEMO Limpeza Geral'!$L$27</f>
        <v>19.348443609197531</v>
      </c>
      <c r="H279" s="492"/>
      <c r="I279" s="492"/>
      <c r="J279" s="492"/>
    </row>
    <row r="280" spans="1:26" ht="35.25" customHeight="1" x14ac:dyDescent="0.2">
      <c r="A280" s="481" t="s">
        <v>540</v>
      </c>
      <c r="B280" s="481"/>
      <c r="C280" s="481"/>
      <c r="D280" s="481"/>
      <c r="E280" s="481"/>
      <c r="F280" s="481"/>
      <c r="G280" s="481"/>
      <c r="H280" s="481"/>
      <c r="I280" s="481"/>
      <c r="J280" s="481"/>
    </row>
    <row r="281" spans="1:26" ht="12.75" customHeight="1" x14ac:dyDescent="0.2"/>
    <row r="282" spans="1:26" ht="12.75" customHeight="1" x14ac:dyDescent="0.2"/>
    <row r="283" spans="1:26" ht="12.75" customHeight="1" x14ac:dyDescent="0.2"/>
    <row r="284" spans="1:26" ht="12.75" customHeight="1" x14ac:dyDescent="0.2"/>
    <row r="285" spans="1:26" ht="12.75" customHeight="1" x14ac:dyDescent="0.2"/>
    <row r="286" spans="1:26" ht="12.75" customHeight="1" x14ac:dyDescent="0.2"/>
    <row r="287" spans="1:26" ht="12.75" customHeight="1" x14ac:dyDescent="0.2"/>
    <row r="288" spans="1:26"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sheetData>
  <sheetProtection selectLockedCells="1" selectUnlockedCells="1"/>
  <mergeCells count="504">
    <mergeCell ref="A173:J173"/>
    <mergeCell ref="A184:J184"/>
    <mergeCell ref="A276:H276"/>
    <mergeCell ref="I276:J276"/>
    <mergeCell ref="A277:J277"/>
    <mergeCell ref="A278:F278"/>
    <mergeCell ref="G278:J278"/>
    <mergeCell ref="A279:F279"/>
    <mergeCell ref="G279:J279"/>
    <mergeCell ref="A267:G267"/>
    <mergeCell ref="I267:J267"/>
    <mergeCell ref="A268:E268"/>
    <mergeCell ref="F268:G268"/>
    <mergeCell ref="I268:J268"/>
    <mergeCell ref="A269:G269"/>
    <mergeCell ref="I269:J269"/>
    <mergeCell ref="A270:G270"/>
    <mergeCell ref="I270:J270"/>
    <mergeCell ref="A264:E264"/>
    <mergeCell ref="F264:G264"/>
    <mergeCell ref="I264:J264"/>
    <mergeCell ref="A265:E265"/>
    <mergeCell ref="F265:G265"/>
    <mergeCell ref="I265:J265"/>
    <mergeCell ref="A280:J280"/>
    <mergeCell ref="A271:G271"/>
    <mergeCell ref="I271:J271"/>
    <mergeCell ref="A272:G272"/>
    <mergeCell ref="I272:J272"/>
    <mergeCell ref="A273:J273"/>
    <mergeCell ref="A274:H274"/>
    <mergeCell ref="I274:J274"/>
    <mergeCell ref="A275:H275"/>
    <mergeCell ref="I275:J275"/>
    <mergeCell ref="A266:E266"/>
    <mergeCell ref="F266:G266"/>
    <mergeCell ref="I266:J266"/>
    <mergeCell ref="A261:E261"/>
    <mergeCell ref="F261:G261"/>
    <mergeCell ref="I261:J261"/>
    <mergeCell ref="A262:E262"/>
    <mergeCell ref="F262:G262"/>
    <mergeCell ref="I262:J262"/>
    <mergeCell ref="A263:E263"/>
    <mergeCell ref="F263:G263"/>
    <mergeCell ref="I263:J263"/>
    <mergeCell ref="A257:E257"/>
    <mergeCell ref="F257:G257"/>
    <mergeCell ref="I257:J257"/>
    <mergeCell ref="A258:G258"/>
    <mergeCell ref="I258:J258"/>
    <mergeCell ref="A259:E259"/>
    <mergeCell ref="F259:G259"/>
    <mergeCell ref="I259:J259"/>
    <mergeCell ref="A260:E260"/>
    <mergeCell ref="F260:G260"/>
    <mergeCell ref="I260:J260"/>
    <mergeCell ref="A254:E254"/>
    <mergeCell ref="F254:G254"/>
    <mergeCell ref="I254:J254"/>
    <mergeCell ref="A255:E255"/>
    <mergeCell ref="F255:G255"/>
    <mergeCell ref="I255:J255"/>
    <mergeCell ref="A256:E256"/>
    <mergeCell ref="F256:G256"/>
    <mergeCell ref="I256:J256"/>
    <mergeCell ref="A251:E251"/>
    <mergeCell ref="F251:G251"/>
    <mergeCell ref="I251:J251"/>
    <mergeCell ref="A252:E252"/>
    <mergeCell ref="F252:G252"/>
    <mergeCell ref="I252:J252"/>
    <mergeCell ref="A253:E253"/>
    <mergeCell ref="F253:G253"/>
    <mergeCell ref="I253:J253"/>
    <mergeCell ref="A246:H246"/>
    <mergeCell ref="I246:J246"/>
    <mergeCell ref="A247:J247"/>
    <mergeCell ref="A248:J248"/>
    <mergeCell ref="A249:E249"/>
    <mergeCell ref="F249:G249"/>
    <mergeCell ref="I249:J249"/>
    <mergeCell ref="A250:E250"/>
    <mergeCell ref="F250:G250"/>
    <mergeCell ref="I250:J250"/>
    <mergeCell ref="A241:J242"/>
    <mergeCell ref="A243:C243"/>
    <mergeCell ref="D243:F243"/>
    <mergeCell ref="G243:H243"/>
    <mergeCell ref="I243:J243"/>
    <mergeCell ref="A244:C244"/>
    <mergeCell ref="G244:H244"/>
    <mergeCell ref="I244:J244"/>
    <mergeCell ref="A245:C245"/>
    <mergeCell ref="E245:F245"/>
    <mergeCell ref="G245:H245"/>
    <mergeCell ref="I245:J245"/>
    <mergeCell ref="A237:C237"/>
    <mergeCell ref="G237:H237"/>
    <mergeCell ref="I237:J237"/>
    <mergeCell ref="A238:C238"/>
    <mergeCell ref="E238:F238"/>
    <mergeCell ref="G238:H238"/>
    <mergeCell ref="I238:J238"/>
    <mergeCell ref="A239:H239"/>
    <mergeCell ref="I239:J239"/>
    <mergeCell ref="A234:C234"/>
    <mergeCell ref="G234:H234"/>
    <mergeCell ref="I234:J234"/>
    <mergeCell ref="A235:C235"/>
    <mergeCell ref="E235:F235"/>
    <mergeCell ref="G235:H235"/>
    <mergeCell ref="I235:J235"/>
    <mergeCell ref="A236:H236"/>
    <mergeCell ref="I236:J236"/>
    <mergeCell ref="A231:C231"/>
    <mergeCell ref="G231:H231"/>
    <mergeCell ref="I231:J231"/>
    <mergeCell ref="A232:C232"/>
    <mergeCell ref="E232:F232"/>
    <mergeCell ref="G232:H232"/>
    <mergeCell ref="I232:J232"/>
    <mergeCell ref="A233:H233"/>
    <mergeCell ref="I233:J233"/>
    <mergeCell ref="A228:C228"/>
    <mergeCell ref="G228:H228"/>
    <mergeCell ref="I228:J228"/>
    <mergeCell ref="A229:C229"/>
    <mergeCell ref="E229:F229"/>
    <mergeCell ref="G229:H229"/>
    <mergeCell ref="I229:J229"/>
    <mergeCell ref="A230:H230"/>
    <mergeCell ref="I230:J230"/>
    <mergeCell ref="A225:C225"/>
    <mergeCell ref="G225:H225"/>
    <mergeCell ref="I225:J225"/>
    <mergeCell ref="A226:C226"/>
    <mergeCell ref="E226:F226"/>
    <mergeCell ref="G226:H226"/>
    <mergeCell ref="I226:J226"/>
    <mergeCell ref="A227:H227"/>
    <mergeCell ref="I227:J227"/>
    <mergeCell ref="A222:C222"/>
    <mergeCell ref="G222:H222"/>
    <mergeCell ref="I222:J222"/>
    <mergeCell ref="A223:C223"/>
    <mergeCell ref="E223:F223"/>
    <mergeCell ref="G223:H223"/>
    <mergeCell ref="I223:J223"/>
    <mergeCell ref="A224:H224"/>
    <mergeCell ref="I224:J224"/>
    <mergeCell ref="A219:C219"/>
    <mergeCell ref="G219:H219"/>
    <mergeCell ref="I219:J219"/>
    <mergeCell ref="A220:C220"/>
    <mergeCell ref="E220:F220"/>
    <mergeCell ref="G220:H220"/>
    <mergeCell ref="I220:J220"/>
    <mergeCell ref="A221:H221"/>
    <mergeCell ref="I221:J221"/>
    <mergeCell ref="A216:C216"/>
    <mergeCell ref="G216:H216"/>
    <mergeCell ref="I216:J216"/>
    <mergeCell ref="A217:C217"/>
    <mergeCell ref="E217:F217"/>
    <mergeCell ref="G217:H217"/>
    <mergeCell ref="I217:J217"/>
    <mergeCell ref="A218:H218"/>
    <mergeCell ref="I218:J218"/>
    <mergeCell ref="A211:C211"/>
    <mergeCell ref="E211:F211"/>
    <mergeCell ref="G211:H211"/>
    <mergeCell ref="I211:J211"/>
    <mergeCell ref="A212:H212"/>
    <mergeCell ref="I212:J212"/>
    <mergeCell ref="A213:J213"/>
    <mergeCell ref="A214:J214"/>
    <mergeCell ref="A215:C215"/>
    <mergeCell ref="D215:F215"/>
    <mergeCell ref="G215:H215"/>
    <mergeCell ref="I215:J215"/>
    <mergeCell ref="A208:C208"/>
    <mergeCell ref="E208:F208"/>
    <mergeCell ref="G208:H208"/>
    <mergeCell ref="I208:J208"/>
    <mergeCell ref="A209:H209"/>
    <mergeCell ref="I209:J209"/>
    <mergeCell ref="A210:C210"/>
    <mergeCell ref="G210:H210"/>
    <mergeCell ref="I210:J210"/>
    <mergeCell ref="A205:C205"/>
    <mergeCell ref="E205:F205"/>
    <mergeCell ref="G205:H205"/>
    <mergeCell ref="I205:J205"/>
    <mergeCell ref="A206:H206"/>
    <mergeCell ref="I206:J206"/>
    <mergeCell ref="A207:C207"/>
    <mergeCell ref="G207:H207"/>
    <mergeCell ref="I207:J207"/>
    <mergeCell ref="A202:C202"/>
    <mergeCell ref="E202:F202"/>
    <mergeCell ref="G202:H202"/>
    <mergeCell ref="I202:J202"/>
    <mergeCell ref="A203:H203"/>
    <mergeCell ref="I203:J203"/>
    <mergeCell ref="A204:C204"/>
    <mergeCell ref="G204:H204"/>
    <mergeCell ref="I204:J204"/>
    <mergeCell ref="A199:C199"/>
    <mergeCell ref="E199:F199"/>
    <mergeCell ref="G199:H199"/>
    <mergeCell ref="I199:J199"/>
    <mergeCell ref="A200:H200"/>
    <mergeCell ref="I200:J200"/>
    <mergeCell ref="A201:C201"/>
    <mergeCell ref="G201:H201"/>
    <mergeCell ref="I201:J201"/>
    <mergeCell ref="A196:C196"/>
    <mergeCell ref="E196:F196"/>
    <mergeCell ref="G196:H196"/>
    <mergeCell ref="I196:J196"/>
    <mergeCell ref="A197:H197"/>
    <mergeCell ref="I197:J197"/>
    <mergeCell ref="A198:C198"/>
    <mergeCell ref="G198:H198"/>
    <mergeCell ref="I198:J198"/>
    <mergeCell ref="A193:C193"/>
    <mergeCell ref="E193:F193"/>
    <mergeCell ref="G193:H193"/>
    <mergeCell ref="I193:J193"/>
    <mergeCell ref="A194:H194"/>
    <mergeCell ref="I194:J194"/>
    <mergeCell ref="A195:C195"/>
    <mergeCell ref="G195:H195"/>
    <mergeCell ref="I195:J195"/>
    <mergeCell ref="A190:C190"/>
    <mergeCell ref="E190:F190"/>
    <mergeCell ref="G190:H190"/>
    <mergeCell ref="I190:J190"/>
    <mergeCell ref="A191:H191"/>
    <mergeCell ref="I191:J191"/>
    <mergeCell ref="A192:C192"/>
    <mergeCell ref="G192:H192"/>
    <mergeCell ref="I192:J192"/>
    <mergeCell ref="A183:G183"/>
    <mergeCell ref="A185:J185"/>
    <mergeCell ref="A186:J186"/>
    <mergeCell ref="A187:J187"/>
    <mergeCell ref="A188:C188"/>
    <mergeCell ref="D188:F188"/>
    <mergeCell ref="G188:H188"/>
    <mergeCell ref="I188:J188"/>
    <mergeCell ref="A189:C189"/>
    <mergeCell ref="G189:H189"/>
    <mergeCell ref="I189:J189"/>
    <mergeCell ref="A174:J174"/>
    <mergeCell ref="A175:I175"/>
    <mergeCell ref="B176:I176"/>
    <mergeCell ref="B177:I177"/>
    <mergeCell ref="B178:I178"/>
    <mergeCell ref="B179:I179"/>
    <mergeCell ref="B180:I180"/>
    <mergeCell ref="A181:I181"/>
    <mergeCell ref="B182:I182"/>
    <mergeCell ref="B166:E166"/>
    <mergeCell ref="F166:H166"/>
    <mergeCell ref="B167:E167"/>
    <mergeCell ref="F167:H167"/>
    <mergeCell ref="A168:I168"/>
    <mergeCell ref="B169:J169"/>
    <mergeCell ref="A170:A172"/>
    <mergeCell ref="B170:C172"/>
    <mergeCell ref="D170:F172"/>
    <mergeCell ref="G170:H172"/>
    <mergeCell ref="J170:J172"/>
    <mergeCell ref="A158:I158"/>
    <mergeCell ref="B159:H159"/>
    <mergeCell ref="A160:I160"/>
    <mergeCell ref="B161:H161"/>
    <mergeCell ref="A162:I162"/>
    <mergeCell ref="B163:H163"/>
    <mergeCell ref="K163:L163"/>
    <mergeCell ref="A164:A165"/>
    <mergeCell ref="B164:E165"/>
    <mergeCell ref="F164:H164"/>
    <mergeCell ref="F165:H165"/>
    <mergeCell ref="B149:I149"/>
    <mergeCell ref="B150:I150"/>
    <mergeCell ref="B151:I151"/>
    <mergeCell ref="B152:I152"/>
    <mergeCell ref="A153:I153"/>
    <mergeCell ref="B154:J154"/>
    <mergeCell ref="A155:J155"/>
    <mergeCell ref="A156:J156"/>
    <mergeCell ref="B157:H157"/>
    <mergeCell ref="A139:J139"/>
    <mergeCell ref="A140:J140"/>
    <mergeCell ref="B141:I141"/>
    <mergeCell ref="B142:I142"/>
    <mergeCell ref="B143:I143"/>
    <mergeCell ref="A144:I144"/>
    <mergeCell ref="B145:J145"/>
    <mergeCell ref="A147:J147"/>
    <mergeCell ref="B148:I148"/>
    <mergeCell ref="B130:I130"/>
    <mergeCell ref="B131:I131"/>
    <mergeCell ref="B132:I132"/>
    <mergeCell ref="B133:I133"/>
    <mergeCell ref="A134:I134"/>
    <mergeCell ref="A135:J135"/>
    <mergeCell ref="B136:I136"/>
    <mergeCell ref="B137:I137"/>
    <mergeCell ref="A138:I138"/>
    <mergeCell ref="A123:J123"/>
    <mergeCell ref="A124:B124"/>
    <mergeCell ref="D124:E124"/>
    <mergeCell ref="G124:H124"/>
    <mergeCell ref="A125:F125"/>
    <mergeCell ref="G125:I125"/>
    <mergeCell ref="B127:I127"/>
    <mergeCell ref="B128:I128"/>
    <mergeCell ref="B129:I129"/>
    <mergeCell ref="B113:I113"/>
    <mergeCell ref="B114:I114"/>
    <mergeCell ref="B115:I115"/>
    <mergeCell ref="B116:I116"/>
    <mergeCell ref="B117:I117"/>
    <mergeCell ref="B118:I118"/>
    <mergeCell ref="B119:I119"/>
    <mergeCell ref="A120:I120"/>
    <mergeCell ref="A122:J122"/>
    <mergeCell ref="A121:J121"/>
    <mergeCell ref="B102:J102"/>
    <mergeCell ref="B103:J103"/>
    <mergeCell ref="A105:J105"/>
    <mergeCell ref="B106:I106"/>
    <mergeCell ref="B107:I107"/>
    <mergeCell ref="B108:I108"/>
    <mergeCell ref="B109:I109"/>
    <mergeCell ref="A110:I110"/>
    <mergeCell ref="A112:J112"/>
    <mergeCell ref="A111:J111"/>
    <mergeCell ref="A95:A98"/>
    <mergeCell ref="B95:D95"/>
    <mergeCell ref="J95:J98"/>
    <mergeCell ref="B96:H96"/>
    <mergeCell ref="B97:H97"/>
    <mergeCell ref="B98:H98"/>
    <mergeCell ref="B99:D99"/>
    <mergeCell ref="B100:I100"/>
    <mergeCell ref="A101:I101"/>
    <mergeCell ref="E95:I95"/>
    <mergeCell ref="E99:I99"/>
    <mergeCell ref="B86:J86"/>
    <mergeCell ref="B88:J88"/>
    <mergeCell ref="B89:I89"/>
    <mergeCell ref="A90:A94"/>
    <mergeCell ref="B90:I90"/>
    <mergeCell ref="J90:J94"/>
    <mergeCell ref="B91:H91"/>
    <mergeCell ref="B92:H92"/>
    <mergeCell ref="B93:H93"/>
    <mergeCell ref="B94:H94"/>
    <mergeCell ref="B77:H77"/>
    <mergeCell ref="B78:D78"/>
    <mergeCell ref="B79:H79"/>
    <mergeCell ref="B80:H80"/>
    <mergeCell ref="B81:H81"/>
    <mergeCell ref="B82:H82"/>
    <mergeCell ref="B83:H83"/>
    <mergeCell ref="A84:H84"/>
    <mergeCell ref="B85:J85"/>
    <mergeCell ref="A67:J67"/>
    <mergeCell ref="B68:I68"/>
    <mergeCell ref="B69:I69"/>
    <mergeCell ref="B70:I70"/>
    <mergeCell ref="A71:I71"/>
    <mergeCell ref="B72:J72"/>
    <mergeCell ref="B74:J74"/>
    <mergeCell ref="B75:H75"/>
    <mergeCell ref="B76:H76"/>
    <mergeCell ref="A59:J59"/>
    <mergeCell ref="B60:H60"/>
    <mergeCell ref="B61:D61"/>
    <mergeCell ref="G61:I61"/>
    <mergeCell ref="B62:C62"/>
    <mergeCell ref="D62:H62"/>
    <mergeCell ref="B63:I63"/>
    <mergeCell ref="A64:I64"/>
    <mergeCell ref="B65:J65"/>
    <mergeCell ref="B53:G53"/>
    <mergeCell ref="H53:J53"/>
    <mergeCell ref="B54:G54"/>
    <mergeCell ref="H54:J54"/>
    <mergeCell ref="B55:G55"/>
    <mergeCell ref="H55:J55"/>
    <mergeCell ref="B56:G56"/>
    <mergeCell ref="H56:J56"/>
    <mergeCell ref="B57:J57"/>
    <mergeCell ref="A46:H46"/>
    <mergeCell ref="I46:J46"/>
    <mergeCell ref="A47:H47"/>
    <mergeCell ref="I47:J47"/>
    <mergeCell ref="A48:J48"/>
    <mergeCell ref="A49:J49"/>
    <mergeCell ref="A50:J50"/>
    <mergeCell ref="A51:J51"/>
    <mergeCell ref="B52:G52"/>
    <mergeCell ref="H52:J52"/>
    <mergeCell ref="A42:H42"/>
    <mergeCell ref="I42:J42"/>
    <mergeCell ref="A43:F43"/>
    <mergeCell ref="G43:H43"/>
    <mergeCell ref="I43:J43"/>
    <mergeCell ref="A44:H44"/>
    <mergeCell ref="I44:J44"/>
    <mergeCell ref="A45:F45"/>
    <mergeCell ref="G45:H45"/>
    <mergeCell ref="I45:J45"/>
    <mergeCell ref="A39:F39"/>
    <mergeCell ref="G39:H39"/>
    <mergeCell ref="I39:J39"/>
    <mergeCell ref="A40:F40"/>
    <mergeCell ref="G40:H40"/>
    <mergeCell ref="I40:J40"/>
    <mergeCell ref="A41:F41"/>
    <mergeCell ref="G41:H41"/>
    <mergeCell ref="I41:J41"/>
    <mergeCell ref="A36:F36"/>
    <mergeCell ref="G36:H36"/>
    <mergeCell ref="I36:J36"/>
    <mergeCell ref="A37:F37"/>
    <mergeCell ref="G37:H37"/>
    <mergeCell ref="I37:J37"/>
    <mergeCell ref="A38:F38"/>
    <mergeCell ref="G38:H38"/>
    <mergeCell ref="I38:J38"/>
    <mergeCell ref="A32:F32"/>
    <mergeCell ref="G32:H32"/>
    <mergeCell ref="I32:J32"/>
    <mergeCell ref="A33:H33"/>
    <mergeCell ref="I33:J33"/>
    <mergeCell ref="A34:F34"/>
    <mergeCell ref="G34:H34"/>
    <mergeCell ref="I34:J34"/>
    <mergeCell ref="A35:F35"/>
    <mergeCell ref="G35:H35"/>
    <mergeCell ref="I35:J35"/>
    <mergeCell ref="A29:F29"/>
    <mergeCell ref="G29:H29"/>
    <mergeCell ref="I29:J29"/>
    <mergeCell ref="A30:F30"/>
    <mergeCell ref="G30:H30"/>
    <mergeCell ref="I30:J30"/>
    <mergeCell ref="A31:F31"/>
    <mergeCell ref="G31:H31"/>
    <mergeCell ref="I31:J31"/>
    <mergeCell ref="A26:F26"/>
    <mergeCell ref="G26:H26"/>
    <mergeCell ref="I26:J26"/>
    <mergeCell ref="A27:F27"/>
    <mergeCell ref="G27:H27"/>
    <mergeCell ref="I27:J27"/>
    <mergeCell ref="A28:F28"/>
    <mergeCell ref="G28:H28"/>
    <mergeCell ref="I28:J28"/>
    <mergeCell ref="B21:G21"/>
    <mergeCell ref="H21:J21"/>
    <mergeCell ref="A23:J23"/>
    <mergeCell ref="A24:F24"/>
    <mergeCell ref="G24:H24"/>
    <mergeCell ref="I24:J24"/>
    <mergeCell ref="A25:F25"/>
    <mergeCell ref="G25:H25"/>
    <mergeCell ref="I25:J25"/>
    <mergeCell ref="I15:J15"/>
    <mergeCell ref="A17:J17"/>
    <mergeCell ref="B18:G18"/>
    <mergeCell ref="H18:J18"/>
    <mergeCell ref="B19:G19"/>
    <mergeCell ref="H19:J19"/>
    <mergeCell ref="B20:G20"/>
    <mergeCell ref="H20:J20"/>
    <mergeCell ref="A15:G15"/>
    <mergeCell ref="B11:C11"/>
    <mergeCell ref="E11:F11"/>
    <mergeCell ref="B12:G12"/>
    <mergeCell ref="I12:J12"/>
    <mergeCell ref="B13:D13"/>
    <mergeCell ref="F13:G13"/>
    <mergeCell ref="I13:J13"/>
    <mergeCell ref="A14:G14"/>
    <mergeCell ref="H14:J14"/>
    <mergeCell ref="A1:J1"/>
    <mergeCell ref="A2:J2"/>
    <mergeCell ref="A3:J3"/>
    <mergeCell ref="A4:J4"/>
    <mergeCell ref="A5:J5"/>
    <mergeCell ref="A7:J7"/>
    <mergeCell ref="A9:C10"/>
    <mergeCell ref="D9:H9"/>
    <mergeCell ref="I9:J9"/>
    <mergeCell ref="D10:F10"/>
    <mergeCell ref="I10:J10"/>
  </mergeCells>
  <conditionalFormatting sqref="A14:G14">
    <cfRule type="expression" dxfId="7" priority="2">
      <formula>LEN(TRIM(A14))&gt;0</formula>
    </cfRule>
  </conditionalFormatting>
  <conditionalFormatting sqref="H14:J14">
    <cfRule type="expression" dxfId="6" priority="3">
      <formula>LEN(TRIM(H14))&gt;0</formula>
    </cfRule>
  </conditionalFormatting>
  <printOptions horizontalCentered="1"/>
  <pageMargins left="0" right="0" top="0.39370078740157483" bottom="0" header="0" footer="0.51181102362204722"/>
  <pageSetup paperSize="9" scale="61" pageOrder="overThenDown" orientation="portrait" r:id="rId1"/>
  <headerFooter>
    <oddHeader>&amp;R&amp;P de &amp;N</oddHeader>
    <oddFooter>&amp;L&amp;F - &amp;A&amp;CPágina &amp;P de &amp;N</oddFooter>
  </headerFooter>
  <rowBreaks count="5" manualBreakCount="5">
    <brk id="47" max="16383" man="1"/>
    <brk id="98" max="9" man="1"/>
    <brk id="146" max="9" man="1"/>
    <brk id="183" max="16383" man="1"/>
    <brk id="233" max="9" man="1"/>
  </row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Z999"/>
  <sheetViews>
    <sheetView showGridLines="0" topLeftCell="A47" zoomScaleNormal="100" workbookViewId="0">
      <selection activeCell="C64" sqref="C64"/>
    </sheetView>
  </sheetViews>
  <sheetFormatPr defaultColWidth="14.42578125" defaultRowHeight="14.25" x14ac:dyDescent="0.2"/>
  <cols>
    <col min="1" max="1" width="21.5703125" style="99" customWidth="1"/>
    <col min="2" max="2" width="8" style="99" customWidth="1"/>
    <col min="3" max="3" width="17.28515625" style="99" customWidth="1"/>
    <col min="4" max="7" width="15.42578125" style="99" customWidth="1"/>
    <col min="8" max="8" width="12.28515625" style="99" customWidth="1"/>
    <col min="9" max="9" width="20.42578125" style="99" customWidth="1"/>
    <col min="10" max="10" width="31.85546875" style="99" customWidth="1"/>
    <col min="11" max="11" width="12.5703125" style="99" customWidth="1"/>
    <col min="12" max="12" width="12.7109375" style="99" customWidth="1"/>
    <col min="13" max="26" width="8" style="99" customWidth="1"/>
    <col min="27" max="16384" width="14.42578125" style="99"/>
  </cols>
  <sheetData>
    <row r="1" spans="1:26" ht="12.75" customHeight="1" x14ac:dyDescent="0.2">
      <c r="A1" s="291" t="s">
        <v>0</v>
      </c>
      <c r="B1" s="291"/>
      <c r="C1" s="291"/>
      <c r="D1" s="291"/>
      <c r="E1" s="291"/>
      <c r="F1" s="291"/>
      <c r="G1" s="291"/>
      <c r="H1" s="291"/>
      <c r="I1" s="291"/>
      <c r="J1" s="291"/>
    </row>
    <row r="2" spans="1:26" ht="12.75" customHeight="1" x14ac:dyDescent="0.2">
      <c r="A2" s="291" t="s">
        <v>1</v>
      </c>
      <c r="B2" s="291"/>
      <c r="C2" s="291"/>
      <c r="D2" s="291"/>
      <c r="E2" s="291"/>
      <c r="F2" s="291"/>
      <c r="G2" s="291"/>
      <c r="H2" s="291"/>
      <c r="I2" s="291"/>
      <c r="J2" s="291"/>
    </row>
    <row r="3" spans="1:26" ht="12.75" customHeight="1" x14ac:dyDescent="0.2">
      <c r="A3" s="291" t="s">
        <v>2</v>
      </c>
      <c r="B3" s="291"/>
      <c r="C3" s="291"/>
      <c r="D3" s="291"/>
      <c r="E3" s="291"/>
      <c r="F3" s="291"/>
      <c r="G3" s="291"/>
      <c r="H3" s="291"/>
      <c r="I3" s="291"/>
      <c r="J3" s="291"/>
    </row>
    <row r="4" spans="1:26" ht="12.75" customHeight="1" x14ac:dyDescent="0.2">
      <c r="A4" s="292" t="str">
        <f>'1. SB ABA DE CARREGAMENTO'!A4</f>
        <v>CAMPUS SÃO BORJA</v>
      </c>
      <c r="B4" s="292"/>
      <c r="C4" s="292"/>
      <c r="D4" s="292"/>
      <c r="E4" s="292"/>
      <c r="F4" s="292"/>
      <c r="G4" s="292"/>
      <c r="H4" s="292"/>
      <c r="I4" s="292"/>
      <c r="J4" s="292"/>
    </row>
    <row r="5" spans="1:26" ht="20.25" customHeight="1" x14ac:dyDescent="0.2">
      <c r="A5" s="362" t="s">
        <v>314</v>
      </c>
      <c r="B5" s="362"/>
      <c r="C5" s="362"/>
      <c r="D5" s="362"/>
      <c r="E5" s="362"/>
      <c r="F5" s="362"/>
      <c r="G5" s="362"/>
      <c r="H5" s="362"/>
      <c r="I5" s="362"/>
      <c r="J5" s="362"/>
    </row>
    <row r="6" spans="1:26" ht="9.75" customHeight="1" x14ac:dyDescent="0.2">
      <c r="A6" s="2"/>
      <c r="B6" s="2"/>
      <c r="C6" s="2"/>
      <c r="D6" s="2"/>
      <c r="E6" s="2"/>
      <c r="F6" s="2"/>
      <c r="G6" s="2"/>
      <c r="H6" s="2"/>
      <c r="I6" s="2"/>
      <c r="J6" s="2"/>
      <c r="K6" s="100"/>
      <c r="L6" s="100"/>
      <c r="M6" s="100"/>
      <c r="N6" s="100"/>
      <c r="O6" s="100"/>
      <c r="P6" s="100"/>
      <c r="Q6" s="100"/>
      <c r="R6" s="100"/>
      <c r="S6" s="100"/>
      <c r="T6" s="100"/>
      <c r="U6" s="100"/>
      <c r="V6" s="100"/>
      <c r="W6" s="100"/>
      <c r="X6" s="100"/>
      <c r="Y6" s="100"/>
      <c r="Z6" s="100"/>
    </row>
    <row r="7" spans="1:26" ht="20.25" customHeight="1" x14ac:dyDescent="0.2">
      <c r="A7" s="385" t="str">
        <f>'7. SB Planilha Área Geral'!A7:J7</f>
        <v>IN/MPDG Nº 05/2017 - Anexo VII-D</v>
      </c>
      <c r="B7" s="385"/>
      <c r="C7" s="385"/>
      <c r="D7" s="385"/>
      <c r="E7" s="385"/>
      <c r="F7" s="385"/>
      <c r="G7" s="385"/>
      <c r="H7" s="385"/>
      <c r="I7" s="385"/>
      <c r="J7" s="385"/>
    </row>
    <row r="8" spans="1:26" ht="9.75" customHeight="1" x14ac:dyDescent="0.2">
      <c r="A8" s="466"/>
      <c r="B8" s="466"/>
      <c r="C8" s="466"/>
      <c r="D8" s="466"/>
      <c r="E8" s="466"/>
      <c r="F8" s="466"/>
      <c r="G8" s="466"/>
      <c r="H8" s="466"/>
      <c r="I8" s="466"/>
      <c r="J8" s="466"/>
      <c r="K8" s="100"/>
      <c r="L8" s="100"/>
      <c r="M8" s="100"/>
      <c r="N8" s="100"/>
      <c r="O8" s="100"/>
      <c r="P8" s="100"/>
      <c r="Q8" s="100"/>
      <c r="R8" s="100"/>
      <c r="S8" s="100"/>
      <c r="T8" s="100"/>
      <c r="U8" s="100"/>
      <c r="V8" s="100"/>
      <c r="W8" s="100"/>
      <c r="X8" s="100"/>
      <c r="Y8" s="100"/>
      <c r="Z8" s="100"/>
    </row>
    <row r="9" spans="1:26" ht="20.25" customHeight="1" x14ac:dyDescent="0.2">
      <c r="A9" s="385" t="s">
        <v>541</v>
      </c>
      <c r="B9" s="385"/>
      <c r="C9" s="385"/>
      <c r="D9" s="386" t="s">
        <v>542</v>
      </c>
      <c r="E9" s="386"/>
      <c r="F9" s="386"/>
      <c r="G9" s="386"/>
      <c r="H9" s="386"/>
      <c r="I9" s="387" t="str">
        <f>'1. SB ABA DE CARREGAMENTO'!A4</f>
        <v>CAMPUS SÃO BORJA</v>
      </c>
      <c r="J9" s="387"/>
    </row>
    <row r="10" spans="1:26" ht="20.25" customHeight="1" x14ac:dyDescent="0.2">
      <c r="A10" s="385"/>
      <c r="B10" s="385"/>
      <c r="C10" s="385"/>
      <c r="D10" s="494" t="s">
        <v>317</v>
      </c>
      <c r="E10" s="494"/>
      <c r="F10" s="494"/>
      <c r="G10" s="101">
        <f>'5. SB Cálc. DEMO Banheiros'!D11</f>
        <v>3100.0742916666663</v>
      </c>
      <c r="H10" s="15" t="s">
        <v>318</v>
      </c>
      <c r="I10" s="495" t="s">
        <v>319</v>
      </c>
      <c r="J10" s="495"/>
    </row>
    <row r="11" spans="1:26" ht="26.25" customHeight="1" x14ac:dyDescent="0.2">
      <c r="A11" s="50" t="s">
        <v>320</v>
      </c>
      <c r="B11" s="390" t="str">
        <f>'1. SB ABA DE CARREGAMENTO'!B11</f>
        <v>23243.000810/2021-41</v>
      </c>
      <c r="C11" s="390"/>
      <c r="D11" s="50" t="s">
        <v>321</v>
      </c>
      <c r="E11" s="391" t="str">
        <f>'1. SB ABA DE CARREGAMENTO'!B12</f>
        <v>33 /2021</v>
      </c>
      <c r="F11" s="391"/>
      <c r="G11" s="50" t="s">
        <v>13</v>
      </c>
      <c r="H11" s="51">
        <f>'1. SB ABA DE CARREGAMENTO'!B13</f>
        <v>0</v>
      </c>
      <c r="I11" s="52" t="s">
        <v>14</v>
      </c>
      <c r="J11" s="53" t="str">
        <f>'1. SB ABA DE CARREGAMENTO'!B14</f>
        <v>09h (Horário de Brasília)</v>
      </c>
    </row>
    <row r="12" spans="1:26" ht="20.25" customHeight="1" x14ac:dyDescent="0.2">
      <c r="A12" s="54" t="s">
        <v>15</v>
      </c>
      <c r="B12" s="392" t="str">
        <f>'1. SB ABA DE CARREGAMENTO'!B15</f>
        <v>xxxx xxxx xxxx</v>
      </c>
      <c r="C12" s="392"/>
      <c r="D12" s="392"/>
      <c r="E12" s="392"/>
      <c r="F12" s="392"/>
      <c r="G12" s="392"/>
      <c r="H12" s="55" t="s">
        <v>322</v>
      </c>
      <c r="I12" s="393" t="str">
        <f>'1. SB ABA DE CARREGAMENTO'!B16</f>
        <v>zz.zzz.zzz/zzzz-zz</v>
      </c>
      <c r="J12" s="393"/>
    </row>
    <row r="13" spans="1:26" ht="20.25" customHeight="1" x14ac:dyDescent="0.2">
      <c r="A13" s="54" t="s">
        <v>323</v>
      </c>
      <c r="B13" s="392" t="str">
        <f>'1. SB ABA DE CARREGAMENTO'!B17</f>
        <v>Nome Completo</v>
      </c>
      <c r="C13" s="392"/>
      <c r="D13" s="392"/>
      <c r="E13" s="54" t="s">
        <v>324</v>
      </c>
      <c r="F13" s="394" t="str">
        <f>'1. SB ABA DE CARREGAMENTO'!B18</f>
        <v>yyy.yyy.yyy-yy</v>
      </c>
      <c r="G13" s="394"/>
      <c r="H13" s="54" t="s">
        <v>325</v>
      </c>
      <c r="I13" s="496" t="str">
        <f>'1. SB ABA DE CARREGAMENTO'!B19</f>
        <v>tttt ttt t ttt</v>
      </c>
      <c r="J13" s="496"/>
    </row>
    <row r="14" spans="1:26" ht="20.25" customHeight="1" x14ac:dyDescent="0.2">
      <c r="A14" s="396" t="str">
        <f>IF('1. SB ABA DE CARREGAMENTO'!B15="","PLANILHA CUSTOS E FORMAÇÃO DE PREÇOS DA ADMINISTRAÇÃO DO","")</f>
        <v/>
      </c>
      <c r="B14" s="396"/>
      <c r="C14" s="396"/>
      <c r="D14" s="396"/>
      <c r="E14" s="396"/>
      <c r="F14" s="396"/>
      <c r="G14" s="396"/>
      <c r="H14" s="397" t="str">
        <f>IF('1. SB ABA DE CARREGAMENTO'!B15="",'1. SB ABA DE CARREGAMENTO'!A4,"")</f>
        <v/>
      </c>
      <c r="I14" s="397"/>
      <c r="J14" s="397"/>
    </row>
    <row r="15" spans="1:26" ht="34.5" customHeight="1" x14ac:dyDescent="0.2">
      <c r="A15" s="401" t="s">
        <v>651</v>
      </c>
      <c r="B15" s="401"/>
      <c r="C15" s="401"/>
      <c r="D15" s="401"/>
      <c r="E15" s="401"/>
      <c r="F15" s="401"/>
      <c r="G15" s="401"/>
      <c r="H15" s="19">
        <f>'1. SB ABA DE CARREGAMENTO'!B51</f>
        <v>1</v>
      </c>
      <c r="I15" s="398" t="str">
        <f>IF(H15=1,"LUCRO REAL",IF(H15=2,"LUCRO PRESUMIDO",IF(H15=3,"SIMPLES-Anexo III",IF(H15=4,"SIMPLES-Anexo IV",IF(H15=5,"LUCRO REAL - PIS/COFINS Não Cumulativo","RT Inválido")))))</f>
        <v>LUCRO REAL</v>
      </c>
      <c r="J15" s="398"/>
    </row>
    <row r="16" spans="1:26" ht="20.25" customHeight="1" x14ac:dyDescent="0.2">
      <c r="A16" s="2"/>
      <c r="B16" s="2"/>
      <c r="C16" s="2"/>
      <c r="D16" s="2"/>
      <c r="E16" s="2"/>
      <c r="F16" s="2"/>
      <c r="G16" s="2"/>
      <c r="H16" s="2"/>
      <c r="I16" s="2"/>
      <c r="J16" s="2"/>
      <c r="K16" s="100"/>
      <c r="L16" s="100"/>
      <c r="M16" s="100"/>
      <c r="N16" s="100"/>
      <c r="O16" s="100"/>
      <c r="P16" s="100"/>
      <c r="Q16" s="100"/>
      <c r="R16" s="100"/>
      <c r="S16" s="100"/>
      <c r="T16" s="100"/>
      <c r="U16" s="100"/>
      <c r="V16" s="100"/>
      <c r="W16" s="100"/>
      <c r="X16" s="100"/>
      <c r="Y16" s="100"/>
      <c r="Z16" s="100"/>
    </row>
    <row r="17" spans="1:26" ht="20.25" customHeight="1" x14ac:dyDescent="0.2">
      <c r="A17" s="385" t="s">
        <v>326</v>
      </c>
      <c r="B17" s="385"/>
      <c r="C17" s="385"/>
      <c r="D17" s="385"/>
      <c r="E17" s="385"/>
      <c r="F17" s="385"/>
      <c r="G17" s="385"/>
      <c r="H17" s="385"/>
      <c r="I17" s="385"/>
      <c r="J17" s="385"/>
    </row>
    <row r="18" spans="1:26" ht="20.25" customHeight="1" x14ac:dyDescent="0.2">
      <c r="A18" s="20" t="s">
        <v>327</v>
      </c>
      <c r="B18" s="399" t="s">
        <v>328</v>
      </c>
      <c r="C18" s="399"/>
      <c r="D18" s="399"/>
      <c r="E18" s="399"/>
      <c r="F18" s="399"/>
      <c r="G18" s="399"/>
      <c r="H18" s="400">
        <f ca="1">'1. SB ABA DE CARREGAMENTO'!B54</f>
        <v>44609</v>
      </c>
      <c r="I18" s="400"/>
      <c r="J18" s="400"/>
    </row>
    <row r="19" spans="1:26" ht="20.25" customHeight="1" x14ac:dyDescent="0.2">
      <c r="A19" s="20" t="s">
        <v>329</v>
      </c>
      <c r="B19" s="399" t="s">
        <v>58</v>
      </c>
      <c r="C19" s="399"/>
      <c r="D19" s="399"/>
      <c r="E19" s="399"/>
      <c r="F19" s="399"/>
      <c r="G19" s="399"/>
      <c r="H19" s="400" t="str">
        <f>'1. SB ABA DE CARREGAMENTO'!B55</f>
        <v>São Borja/RS</v>
      </c>
      <c r="I19" s="400"/>
      <c r="J19" s="400"/>
    </row>
    <row r="20" spans="1:26" ht="38.25" customHeight="1" x14ac:dyDescent="0.2">
      <c r="A20" s="20" t="s">
        <v>330</v>
      </c>
      <c r="B20" s="399" t="s">
        <v>331</v>
      </c>
      <c r="C20" s="399"/>
      <c r="D20" s="399"/>
      <c r="E20" s="399"/>
      <c r="F20" s="399"/>
      <c r="G20" s="399"/>
      <c r="H20" s="400" t="str">
        <f>'1. SB ABA DE CARREGAMENTO'!B56</f>
        <v>CCT Sindasseio 2022/2022 - Registro MTE: RS005021/2021</v>
      </c>
      <c r="I20" s="400"/>
      <c r="J20" s="400"/>
    </row>
    <row r="21" spans="1:26" ht="20.25" customHeight="1" x14ac:dyDescent="0.2">
      <c r="A21" s="20" t="s">
        <v>332</v>
      </c>
      <c r="B21" s="399" t="s">
        <v>333</v>
      </c>
      <c r="C21" s="399"/>
      <c r="D21" s="399"/>
      <c r="E21" s="399"/>
      <c r="F21" s="399"/>
      <c r="G21" s="399"/>
      <c r="H21" s="402">
        <f>'1. SB ABA DE CARREGAMENTO'!B57</f>
        <v>20</v>
      </c>
      <c r="I21" s="402"/>
      <c r="J21" s="402"/>
    </row>
    <row r="22" spans="1:26" ht="20.25" customHeight="1" x14ac:dyDescent="0.2">
      <c r="A22" s="2"/>
      <c r="B22" s="2"/>
      <c r="C22" s="2"/>
      <c r="D22" s="2"/>
      <c r="E22" s="2"/>
      <c r="F22" s="2"/>
      <c r="G22" s="2"/>
      <c r="H22" s="2"/>
      <c r="I22" s="2"/>
      <c r="J22" s="2"/>
      <c r="K22" s="100"/>
      <c r="L22" s="100"/>
      <c r="M22" s="100"/>
      <c r="N22" s="100"/>
      <c r="O22" s="100"/>
      <c r="P22" s="100"/>
      <c r="Q22" s="100"/>
      <c r="R22" s="100"/>
      <c r="S22" s="100"/>
      <c r="T22" s="100"/>
      <c r="U22" s="100"/>
      <c r="V22" s="100"/>
      <c r="W22" s="100"/>
      <c r="X22" s="100"/>
      <c r="Y22" s="100"/>
      <c r="Z22" s="100"/>
    </row>
    <row r="23" spans="1:26" ht="20.25" customHeight="1" x14ac:dyDescent="0.2">
      <c r="A23" s="385" t="s">
        <v>334</v>
      </c>
      <c r="B23" s="385"/>
      <c r="C23" s="385"/>
      <c r="D23" s="385"/>
      <c r="E23" s="385"/>
      <c r="F23" s="385"/>
      <c r="G23" s="385"/>
      <c r="H23" s="385"/>
      <c r="I23" s="385"/>
      <c r="J23" s="385"/>
    </row>
    <row r="24" spans="1:26" ht="20.25" customHeight="1" x14ac:dyDescent="0.2">
      <c r="A24" s="403" t="s">
        <v>335</v>
      </c>
      <c r="B24" s="403"/>
      <c r="C24" s="403"/>
      <c r="D24" s="403"/>
      <c r="E24" s="403"/>
      <c r="F24" s="403"/>
      <c r="G24" s="403" t="s">
        <v>336</v>
      </c>
      <c r="H24" s="403"/>
      <c r="I24" s="403" t="s">
        <v>337</v>
      </c>
      <c r="J24" s="403"/>
    </row>
    <row r="25" spans="1:26" ht="20.25" customHeight="1" x14ac:dyDescent="0.2">
      <c r="A25" s="404" t="s">
        <v>543</v>
      </c>
      <c r="B25" s="404"/>
      <c r="C25" s="404"/>
      <c r="D25" s="404"/>
      <c r="E25" s="404"/>
      <c r="F25" s="404"/>
      <c r="G25" s="405" t="s">
        <v>339</v>
      </c>
      <c r="H25" s="405"/>
      <c r="I25" s="406">
        <f>'5. SB Cálc. DEMO Banheiros'!D8</f>
        <v>2824.56</v>
      </c>
      <c r="J25" s="406"/>
    </row>
    <row r="26" spans="1:26" ht="20.25" customHeight="1" x14ac:dyDescent="0.2">
      <c r="A26" s="404" t="s">
        <v>544</v>
      </c>
      <c r="B26" s="404"/>
      <c r="C26" s="404"/>
      <c r="D26" s="404"/>
      <c r="E26" s="404"/>
      <c r="F26" s="404"/>
      <c r="G26" s="405" t="s">
        <v>339</v>
      </c>
      <c r="H26" s="405"/>
      <c r="I26" s="406">
        <f>'5. SB Cálc. DEMO Banheiros'!D9</f>
        <v>190.5813416666667</v>
      </c>
      <c r="J26" s="406"/>
    </row>
    <row r="27" spans="1:26" ht="20.25" customHeight="1" x14ac:dyDescent="0.2">
      <c r="A27" s="404" t="s">
        <v>545</v>
      </c>
      <c r="B27" s="404"/>
      <c r="C27" s="404"/>
      <c r="D27" s="404"/>
      <c r="E27" s="404"/>
      <c r="F27" s="404"/>
      <c r="G27" s="405" t="s">
        <v>339</v>
      </c>
      <c r="H27" s="405"/>
      <c r="I27" s="406">
        <f>'5. SB Cálc. DEMO Banheiros'!D10</f>
        <v>84.932950000000005</v>
      </c>
      <c r="J27" s="406"/>
    </row>
    <row r="28" spans="1:26" ht="20.25" customHeight="1" x14ac:dyDescent="0.2">
      <c r="A28" s="408" t="s">
        <v>546</v>
      </c>
      <c r="B28" s="408"/>
      <c r="C28" s="408"/>
      <c r="D28" s="408"/>
      <c r="E28" s="408"/>
      <c r="F28" s="408"/>
      <c r="G28" s="408"/>
      <c r="H28" s="408"/>
      <c r="I28" s="409">
        <f>SUM(I25:J27)</f>
        <v>3100.0742916666663</v>
      </c>
      <c r="J28" s="409"/>
    </row>
    <row r="29" spans="1:26" ht="20.25" customHeight="1" x14ac:dyDescent="0.2">
      <c r="A29" s="404" t="s">
        <v>359</v>
      </c>
      <c r="B29" s="404"/>
      <c r="C29" s="404"/>
      <c r="D29" s="404"/>
      <c r="E29" s="404"/>
      <c r="F29" s="404"/>
      <c r="G29" s="405" t="s">
        <v>339</v>
      </c>
      <c r="H29" s="405"/>
      <c r="I29" s="410">
        <v>0</v>
      </c>
      <c r="J29" s="410"/>
    </row>
    <row r="30" spans="1:26" ht="20.25" customHeight="1" x14ac:dyDescent="0.2">
      <c r="A30" s="408" t="s">
        <v>360</v>
      </c>
      <c r="B30" s="408"/>
      <c r="C30" s="408"/>
      <c r="D30" s="408"/>
      <c r="E30" s="408"/>
      <c r="F30" s="408"/>
      <c r="G30" s="408"/>
      <c r="H30" s="408"/>
      <c r="I30" s="409">
        <v>0</v>
      </c>
      <c r="J30" s="409"/>
    </row>
    <row r="31" spans="1:26" ht="20.25" customHeight="1" x14ac:dyDescent="0.2">
      <c r="A31" s="408" t="s">
        <v>547</v>
      </c>
      <c r="B31" s="408"/>
      <c r="C31" s="408"/>
      <c r="D31" s="408"/>
      <c r="E31" s="408"/>
      <c r="F31" s="408"/>
      <c r="G31" s="408"/>
      <c r="H31" s="408"/>
      <c r="I31" s="409">
        <f>I28+I30</f>
        <v>3100.0742916666663</v>
      </c>
      <c r="J31" s="409"/>
    </row>
    <row r="32" spans="1:26" ht="20.25" customHeight="1" x14ac:dyDescent="0.2">
      <c r="A32" s="497"/>
      <c r="B32" s="497"/>
      <c r="C32" s="497"/>
      <c r="D32" s="497"/>
      <c r="E32" s="497"/>
      <c r="F32" s="497"/>
      <c r="G32" s="497"/>
      <c r="H32" s="497"/>
      <c r="I32" s="497"/>
      <c r="J32" s="497"/>
    </row>
    <row r="33" spans="1:10" ht="20.25" customHeight="1" x14ac:dyDescent="0.2">
      <c r="A33" s="385" t="s">
        <v>362</v>
      </c>
      <c r="B33" s="385"/>
      <c r="C33" s="385"/>
      <c r="D33" s="385"/>
      <c r="E33" s="385"/>
      <c r="F33" s="385"/>
      <c r="G33" s="385"/>
      <c r="H33" s="385"/>
      <c r="I33" s="385"/>
      <c r="J33" s="385"/>
    </row>
    <row r="34" spans="1:10" ht="20.25" customHeight="1" x14ac:dyDescent="0.2">
      <c r="A34" s="385" t="s">
        <v>363</v>
      </c>
      <c r="B34" s="385"/>
      <c r="C34" s="385"/>
      <c r="D34" s="385"/>
      <c r="E34" s="385"/>
      <c r="F34" s="385"/>
      <c r="G34" s="385"/>
      <c r="H34" s="385"/>
      <c r="I34" s="385"/>
      <c r="J34" s="385"/>
    </row>
    <row r="35" spans="1:10" ht="20.25" customHeight="1" x14ac:dyDescent="0.2">
      <c r="A35" s="385" t="s">
        <v>364</v>
      </c>
      <c r="B35" s="385"/>
      <c r="C35" s="385"/>
      <c r="D35" s="385"/>
      <c r="E35" s="385"/>
      <c r="F35" s="385"/>
      <c r="G35" s="385"/>
      <c r="H35" s="385"/>
      <c r="I35" s="385"/>
      <c r="J35" s="385"/>
    </row>
    <row r="36" spans="1:10" ht="20.25" customHeight="1" x14ac:dyDescent="0.2">
      <c r="A36" s="56">
        <v>1</v>
      </c>
      <c r="B36" s="412" t="s">
        <v>63</v>
      </c>
      <c r="C36" s="412"/>
      <c r="D36" s="412"/>
      <c r="E36" s="412"/>
      <c r="F36" s="412"/>
      <c r="G36" s="412"/>
      <c r="H36" s="413" t="str">
        <f>'1. SB ABA DE CARREGAMENTO'!B60</f>
        <v>Limpeza, Asseio e Conservação</v>
      </c>
      <c r="I36" s="413"/>
      <c r="J36" s="413"/>
    </row>
    <row r="37" spans="1:10" ht="20.25" customHeight="1" x14ac:dyDescent="0.2">
      <c r="A37" s="56">
        <v>2</v>
      </c>
      <c r="B37" s="412" t="s">
        <v>65</v>
      </c>
      <c r="C37" s="412"/>
      <c r="D37" s="412"/>
      <c r="E37" s="412"/>
      <c r="F37" s="412"/>
      <c r="G37" s="412"/>
      <c r="H37" s="413">
        <f>'1. SB ABA DE CARREGAMENTO'!C61</f>
        <v>5143</v>
      </c>
      <c r="I37" s="413"/>
      <c r="J37" s="413"/>
    </row>
    <row r="38" spans="1:10" ht="20.25" customHeight="1" x14ac:dyDescent="0.2">
      <c r="A38" s="56">
        <v>3</v>
      </c>
      <c r="B38" s="412" t="s">
        <v>67</v>
      </c>
      <c r="C38" s="412"/>
      <c r="D38" s="412"/>
      <c r="E38" s="412"/>
      <c r="F38" s="412"/>
      <c r="G38" s="412"/>
      <c r="H38" s="414">
        <f>'1. SB ABA DE CARREGAMENTO'!C63</f>
        <v>1314.09</v>
      </c>
      <c r="I38" s="414"/>
      <c r="J38" s="414"/>
    </row>
    <row r="39" spans="1:10" ht="20.25" customHeight="1" x14ac:dyDescent="0.2">
      <c r="A39" s="56">
        <v>4</v>
      </c>
      <c r="B39" s="412" t="s">
        <v>68</v>
      </c>
      <c r="C39" s="412"/>
      <c r="D39" s="412"/>
      <c r="E39" s="412"/>
      <c r="F39" s="412"/>
      <c r="G39" s="412"/>
      <c r="H39" s="413" t="str">
        <f>'1. SB ABA DE CARREGAMENTO'!C64</f>
        <v>Servente de Limpeza</v>
      </c>
      <c r="I39" s="413"/>
      <c r="J39" s="413"/>
    </row>
    <row r="40" spans="1:10" ht="20.25" customHeight="1" x14ac:dyDescent="0.2">
      <c r="A40" s="56">
        <v>5</v>
      </c>
      <c r="B40" s="412" t="s">
        <v>70</v>
      </c>
      <c r="C40" s="412"/>
      <c r="D40" s="412"/>
      <c r="E40" s="412"/>
      <c r="F40" s="412"/>
      <c r="G40" s="412"/>
      <c r="H40" s="415">
        <f>'1. SB ABA DE CARREGAMENTO'!C65</f>
        <v>44562</v>
      </c>
      <c r="I40" s="415"/>
      <c r="J40" s="415"/>
    </row>
    <row r="41" spans="1:10" ht="20.25" customHeight="1" x14ac:dyDescent="0.2">
      <c r="A41" s="57" t="s">
        <v>365</v>
      </c>
      <c r="B41" s="416" t="s">
        <v>366</v>
      </c>
      <c r="C41" s="416"/>
      <c r="D41" s="416"/>
      <c r="E41" s="416"/>
      <c r="F41" s="416"/>
      <c r="G41" s="416"/>
      <c r="H41" s="416"/>
      <c r="I41" s="416"/>
      <c r="J41" s="416"/>
    </row>
    <row r="42" spans="1:10" ht="20.25" customHeight="1" x14ac:dyDescent="0.2">
      <c r="A42" s="498"/>
      <c r="B42" s="498"/>
      <c r="C42" s="498"/>
      <c r="D42" s="498"/>
      <c r="E42" s="498"/>
      <c r="F42" s="498"/>
      <c r="G42" s="498"/>
      <c r="H42" s="498"/>
      <c r="I42" s="498"/>
      <c r="J42" s="498"/>
    </row>
    <row r="43" spans="1:10" ht="20.25" customHeight="1" x14ac:dyDescent="0.2">
      <c r="A43" s="385" t="s">
        <v>367</v>
      </c>
      <c r="B43" s="385"/>
      <c r="C43" s="385"/>
      <c r="D43" s="385"/>
      <c r="E43" s="385"/>
      <c r="F43" s="385"/>
      <c r="G43" s="385"/>
      <c r="H43" s="385"/>
      <c r="I43" s="385"/>
      <c r="J43" s="385"/>
    </row>
    <row r="44" spans="1:10" ht="20.25" customHeight="1" x14ac:dyDescent="0.2">
      <c r="A44" s="19">
        <v>1</v>
      </c>
      <c r="B44" s="385" t="s">
        <v>368</v>
      </c>
      <c r="C44" s="385"/>
      <c r="D44" s="385"/>
      <c r="E44" s="385"/>
      <c r="F44" s="385"/>
      <c r="G44" s="385"/>
      <c r="H44" s="385"/>
      <c r="I44" s="5" t="s">
        <v>369</v>
      </c>
      <c r="J44" s="19" t="s">
        <v>370</v>
      </c>
    </row>
    <row r="45" spans="1:10" ht="34.5" customHeight="1" x14ac:dyDescent="0.2">
      <c r="A45" s="20" t="s">
        <v>327</v>
      </c>
      <c r="B45" s="417" t="s">
        <v>653</v>
      </c>
      <c r="C45" s="417"/>
      <c r="D45" s="417"/>
      <c r="E45" s="58">
        <f>'1. SB ABA DE CARREGAMENTO'!C68</f>
        <v>44</v>
      </c>
      <c r="F45" s="59" t="s">
        <v>371</v>
      </c>
      <c r="G45" s="418" t="str">
        <f>'1. SB ABA DE CARREGAMENTO'!B62</f>
        <v>Cláusula Quarta da CCT 2022/2022</v>
      </c>
      <c r="H45" s="418"/>
      <c r="I45" s="418"/>
      <c r="J45" s="81">
        <f>H38/44*'1. SB ABA DE CARREGAMENTO'!C68</f>
        <v>1314.09</v>
      </c>
    </row>
    <row r="46" spans="1:10" ht="36.75" customHeight="1" x14ac:dyDescent="0.2">
      <c r="A46" s="20" t="s">
        <v>329</v>
      </c>
      <c r="B46" s="417" t="s">
        <v>372</v>
      </c>
      <c r="C46" s="417"/>
      <c r="D46" s="418" t="str">
        <f>'1. SB ABA DE CARREGAMENTO'!B69</f>
        <v>Cláusula Décima Sétima da CCT 2022/2022</v>
      </c>
      <c r="E46" s="418"/>
      <c r="F46" s="418"/>
      <c r="G46" s="418"/>
      <c r="H46" s="418"/>
      <c r="I46" s="82">
        <f>'1. SB ABA DE CARREGAMENTO'!C70</f>
        <v>0.4</v>
      </c>
      <c r="J46" s="81">
        <f>ROUND(I46*J45,2)</f>
        <v>525.64</v>
      </c>
    </row>
    <row r="47" spans="1:10" ht="20.25" customHeight="1" x14ac:dyDescent="0.2">
      <c r="A47" s="20" t="s">
        <v>330</v>
      </c>
      <c r="B47" s="399" t="s">
        <v>654</v>
      </c>
      <c r="C47" s="399"/>
      <c r="D47" s="399"/>
      <c r="E47" s="399"/>
      <c r="F47" s="399"/>
      <c r="G47" s="399"/>
      <c r="H47" s="399"/>
      <c r="I47" s="399"/>
      <c r="J47" s="81">
        <v>0</v>
      </c>
    </row>
    <row r="48" spans="1:10" ht="20.25" customHeight="1" x14ac:dyDescent="0.2">
      <c r="A48" s="419" t="s">
        <v>373</v>
      </c>
      <c r="B48" s="419"/>
      <c r="C48" s="419"/>
      <c r="D48" s="419"/>
      <c r="E48" s="419"/>
      <c r="F48" s="419"/>
      <c r="G48" s="419"/>
      <c r="H48" s="419"/>
      <c r="I48" s="419"/>
      <c r="J48" s="9">
        <f>SUM(J45:J47)</f>
        <v>1839.73</v>
      </c>
    </row>
    <row r="49" spans="1:10" ht="20.25" customHeight="1" x14ac:dyDescent="0.2">
      <c r="A49" s="60" t="s">
        <v>374</v>
      </c>
      <c r="B49" s="420" t="s">
        <v>548</v>
      </c>
      <c r="C49" s="420"/>
      <c r="D49" s="420"/>
      <c r="E49" s="420"/>
      <c r="F49" s="420"/>
      <c r="G49" s="420"/>
      <c r="H49" s="420"/>
      <c r="I49" s="420"/>
      <c r="J49" s="420"/>
    </row>
    <row r="50" spans="1:10" ht="20.25" customHeight="1" x14ac:dyDescent="0.2">
      <c r="A50" s="499"/>
      <c r="B50" s="499"/>
      <c r="C50" s="499"/>
      <c r="D50" s="499"/>
      <c r="E50" s="499"/>
      <c r="F50" s="499"/>
      <c r="G50" s="499"/>
      <c r="H50" s="499"/>
      <c r="I50" s="499"/>
      <c r="J50" s="499"/>
    </row>
    <row r="51" spans="1:10" ht="20.25" customHeight="1" x14ac:dyDescent="0.2">
      <c r="A51" s="385" t="s">
        <v>376</v>
      </c>
      <c r="B51" s="385"/>
      <c r="C51" s="385"/>
      <c r="D51" s="385"/>
      <c r="E51" s="385"/>
      <c r="F51" s="385"/>
      <c r="G51" s="385"/>
      <c r="H51" s="385"/>
      <c r="I51" s="385"/>
      <c r="J51" s="385"/>
    </row>
    <row r="52" spans="1:10" ht="20.25" customHeight="1" x14ac:dyDescent="0.2">
      <c r="A52" s="19" t="s">
        <v>377</v>
      </c>
      <c r="B52" s="385" t="s">
        <v>378</v>
      </c>
      <c r="C52" s="385"/>
      <c r="D52" s="385"/>
      <c r="E52" s="385"/>
      <c r="F52" s="385"/>
      <c r="G52" s="385"/>
      <c r="H52" s="385"/>
      <c r="I52" s="385"/>
      <c r="J52" s="19" t="s">
        <v>379</v>
      </c>
    </row>
    <row r="53" spans="1:10" ht="20.25" customHeight="1" x14ac:dyDescent="0.2">
      <c r="A53" s="20" t="s">
        <v>327</v>
      </c>
      <c r="B53" s="399" t="s">
        <v>655</v>
      </c>
      <c r="C53" s="399"/>
      <c r="D53" s="399"/>
      <c r="E53" s="399"/>
      <c r="F53" s="399"/>
      <c r="G53" s="399"/>
      <c r="H53" s="399"/>
      <c r="I53" s="399"/>
      <c r="J53" s="64">
        <f>ROUND(J48/12,2)</f>
        <v>153.31</v>
      </c>
    </row>
    <row r="54" spans="1:10" ht="20.25" customHeight="1" x14ac:dyDescent="0.2">
      <c r="A54" s="20" t="s">
        <v>329</v>
      </c>
      <c r="B54" s="421" t="s">
        <v>711</v>
      </c>
      <c r="C54" s="421"/>
      <c r="D54" s="421"/>
      <c r="E54" s="421"/>
      <c r="F54" s="421"/>
      <c r="G54" s="421"/>
      <c r="H54" s="421"/>
      <c r="I54" s="421"/>
      <c r="J54" s="64">
        <f>ROUND(J48*3.025%,2)</f>
        <v>55.65</v>
      </c>
    </row>
    <row r="55" spans="1:10" ht="20.25" customHeight="1" x14ac:dyDescent="0.2">
      <c r="A55" s="419" t="s">
        <v>380</v>
      </c>
      <c r="B55" s="419"/>
      <c r="C55" s="419"/>
      <c r="D55" s="419"/>
      <c r="E55" s="419"/>
      <c r="F55" s="419"/>
      <c r="G55" s="419"/>
      <c r="H55" s="419"/>
      <c r="I55" s="419"/>
      <c r="J55" s="8">
        <f>SUM(J53:J54)</f>
        <v>208.96</v>
      </c>
    </row>
    <row r="56" spans="1:10" ht="34.5" customHeight="1" x14ac:dyDescent="0.2">
      <c r="A56" s="60" t="s">
        <v>381</v>
      </c>
      <c r="B56" s="420" t="s">
        <v>382</v>
      </c>
      <c r="C56" s="420"/>
      <c r="D56" s="420"/>
      <c r="E56" s="420"/>
      <c r="F56" s="420"/>
      <c r="G56" s="420"/>
      <c r="H56" s="420"/>
      <c r="I56" s="420"/>
      <c r="J56" s="420"/>
    </row>
    <row r="57" spans="1:10" ht="20.25" customHeight="1" x14ac:dyDescent="0.2">
      <c r="A57" s="500"/>
      <c r="B57" s="500"/>
      <c r="C57" s="500"/>
      <c r="D57" s="500"/>
      <c r="E57" s="500"/>
      <c r="F57" s="500"/>
      <c r="G57" s="500"/>
      <c r="H57" s="500"/>
      <c r="I57" s="500"/>
      <c r="J57" s="83"/>
    </row>
    <row r="58" spans="1:10" ht="30" customHeight="1" x14ac:dyDescent="0.2">
      <c r="A58" s="19" t="s">
        <v>383</v>
      </c>
      <c r="B58" s="385" t="s">
        <v>713</v>
      </c>
      <c r="C58" s="385"/>
      <c r="D58" s="385"/>
      <c r="E58" s="385"/>
      <c r="F58" s="385"/>
      <c r="G58" s="385"/>
      <c r="H58" s="385"/>
      <c r="I58" s="385"/>
      <c r="J58" s="385"/>
    </row>
    <row r="59" spans="1:10" ht="20.25" customHeight="1" x14ac:dyDescent="0.2">
      <c r="A59" s="19"/>
      <c r="B59" s="385" t="s">
        <v>385</v>
      </c>
      <c r="C59" s="385"/>
      <c r="D59" s="385"/>
      <c r="E59" s="385"/>
      <c r="F59" s="385"/>
      <c r="G59" s="385"/>
      <c r="H59" s="385"/>
      <c r="I59" s="19" t="s">
        <v>369</v>
      </c>
      <c r="J59" s="19" t="s">
        <v>379</v>
      </c>
    </row>
    <row r="60" spans="1:10" ht="20.25" customHeight="1" x14ac:dyDescent="0.2">
      <c r="A60" s="20" t="s">
        <v>327</v>
      </c>
      <c r="B60" s="399" t="s">
        <v>80</v>
      </c>
      <c r="C60" s="399"/>
      <c r="D60" s="399"/>
      <c r="E60" s="399"/>
      <c r="F60" s="399"/>
      <c r="G60" s="399"/>
      <c r="H60" s="399"/>
      <c r="I60" s="62">
        <f>'1. SB ABA DE CARREGAMENTO'!C78</f>
        <v>0.2</v>
      </c>
      <c r="J60" s="64">
        <f>ROUND((J48+J55)*I60,2)</f>
        <v>409.74</v>
      </c>
    </row>
    <row r="61" spans="1:10" ht="20.25" customHeight="1" x14ac:dyDescent="0.2">
      <c r="A61" s="20" t="s">
        <v>329</v>
      </c>
      <c r="B61" s="399" t="s">
        <v>81</v>
      </c>
      <c r="C61" s="399"/>
      <c r="D61" s="399"/>
      <c r="E61" s="399"/>
      <c r="F61" s="399"/>
      <c r="G61" s="399"/>
      <c r="H61" s="399"/>
      <c r="I61" s="62">
        <f>IF($H$15=1,'1. SB ABA DE CARREGAMENTO'!C79,IF($H$15=2,'1. SB ABA DE CARREGAMENTO'!C79,0))</f>
        <v>2.5000000000000001E-2</v>
      </c>
      <c r="J61" s="64">
        <f>ROUND((J48+J55)*I61,2)</f>
        <v>51.22</v>
      </c>
    </row>
    <row r="62" spans="1:10" ht="33.75" customHeight="1" x14ac:dyDescent="0.2">
      <c r="A62" s="20" t="s">
        <v>330</v>
      </c>
      <c r="B62" s="399" t="s">
        <v>82</v>
      </c>
      <c r="C62" s="399"/>
      <c r="D62" s="399"/>
      <c r="E62" s="61" t="s">
        <v>386</v>
      </c>
      <c r="F62" s="62">
        <f>'1. SB ABA DE CARREGAMENTO'!$B$74</f>
        <v>0.03</v>
      </c>
      <c r="G62" s="61" t="s">
        <v>387</v>
      </c>
      <c r="H62" s="63">
        <f>'1. SB ABA DE CARREGAMENTO'!$B$75</f>
        <v>1</v>
      </c>
      <c r="I62" s="62">
        <f>'1. SB ABA DE CARREGAMENTO'!C80</f>
        <v>0.03</v>
      </c>
      <c r="J62" s="64">
        <f>ROUND((J48+J55)*I62,2)</f>
        <v>61.46</v>
      </c>
    </row>
    <row r="63" spans="1:10" ht="20.25" customHeight="1" x14ac:dyDescent="0.2">
      <c r="A63" s="20" t="s">
        <v>332</v>
      </c>
      <c r="B63" s="399" t="s">
        <v>83</v>
      </c>
      <c r="C63" s="399"/>
      <c r="D63" s="399"/>
      <c r="E63" s="399"/>
      <c r="F63" s="399"/>
      <c r="G63" s="399"/>
      <c r="H63" s="399"/>
      <c r="I63" s="62">
        <f>IF($H$15=1,'1. SB ABA DE CARREGAMENTO'!C81,IF($H$15=2,'1. SB ABA DE CARREGAMENTO'!C81,0))</f>
        <v>1.4999999999999999E-2</v>
      </c>
      <c r="J63" s="64">
        <f>ROUND((J48+J55)*I63,2)</f>
        <v>30.73</v>
      </c>
    </row>
    <row r="64" spans="1:10" ht="20.25" customHeight="1" x14ac:dyDescent="0.2">
      <c r="A64" s="20" t="s">
        <v>388</v>
      </c>
      <c r="B64" s="399" t="s">
        <v>84</v>
      </c>
      <c r="C64" s="399"/>
      <c r="D64" s="399"/>
      <c r="E64" s="399"/>
      <c r="F64" s="399"/>
      <c r="G64" s="399"/>
      <c r="H64" s="399"/>
      <c r="I64" s="62">
        <f>IF($H$15=1,'1. SB ABA DE CARREGAMENTO'!C82,IF($H$15=2,'1. SB ABA DE CARREGAMENTO'!C82,0))</f>
        <v>0.01</v>
      </c>
      <c r="J64" s="64">
        <f>ROUND((J48+J55)*I64,2)</f>
        <v>20.49</v>
      </c>
    </row>
    <row r="65" spans="1:10" ht="20.25" customHeight="1" x14ac:dyDescent="0.2">
      <c r="A65" s="20" t="s">
        <v>389</v>
      </c>
      <c r="B65" s="399" t="s">
        <v>85</v>
      </c>
      <c r="C65" s="399"/>
      <c r="D65" s="399"/>
      <c r="E65" s="399"/>
      <c r="F65" s="399"/>
      <c r="G65" s="399"/>
      <c r="H65" s="399"/>
      <c r="I65" s="62">
        <f>IF($H$15=1,'1. SB ABA DE CARREGAMENTO'!C83,IF($H$15=2,'1. SB ABA DE CARREGAMENTO'!C83,0))</f>
        <v>6.0000000000000001E-3</v>
      </c>
      <c r="J65" s="64">
        <f>ROUND((J48+J55)*I65,2)</f>
        <v>12.29</v>
      </c>
    </row>
    <row r="66" spans="1:10" ht="20.25" customHeight="1" x14ac:dyDescent="0.2">
      <c r="A66" s="20" t="s">
        <v>390</v>
      </c>
      <c r="B66" s="399" t="s">
        <v>86</v>
      </c>
      <c r="C66" s="399"/>
      <c r="D66" s="399"/>
      <c r="E66" s="399"/>
      <c r="F66" s="399"/>
      <c r="G66" s="399"/>
      <c r="H66" s="399"/>
      <c r="I66" s="62">
        <f>IF($H$15=1,'1. SB ABA DE CARREGAMENTO'!C84,IF($H$15=2,'1. SB ABA DE CARREGAMENTO'!C84,0))</f>
        <v>2E-3</v>
      </c>
      <c r="J66" s="64">
        <f>ROUND((J48+J55)*I66,2)</f>
        <v>4.0999999999999996</v>
      </c>
    </row>
    <row r="67" spans="1:10" ht="20.25" customHeight="1" x14ac:dyDescent="0.2">
      <c r="A67" s="20" t="s">
        <v>391</v>
      </c>
      <c r="B67" s="399" t="s">
        <v>87</v>
      </c>
      <c r="C67" s="399"/>
      <c r="D67" s="399"/>
      <c r="E67" s="399"/>
      <c r="F67" s="399"/>
      <c r="G67" s="399"/>
      <c r="H67" s="399"/>
      <c r="I67" s="62">
        <f>'1. SB ABA DE CARREGAMENTO'!C85</f>
        <v>0.08</v>
      </c>
      <c r="J67" s="64">
        <f>ROUND((J48+J55)*I67,2)</f>
        <v>163.9</v>
      </c>
    </row>
    <row r="68" spans="1:10" ht="20.25" customHeight="1" x14ac:dyDescent="0.2">
      <c r="A68" s="419" t="s">
        <v>392</v>
      </c>
      <c r="B68" s="419"/>
      <c r="C68" s="419"/>
      <c r="D68" s="419"/>
      <c r="E68" s="419"/>
      <c r="F68" s="419"/>
      <c r="G68" s="419"/>
      <c r="H68" s="419"/>
      <c r="I68" s="84">
        <f>SUM(I60:I67)</f>
        <v>0.36800000000000005</v>
      </c>
      <c r="J68" s="8">
        <f>SUM(J60:J67)</f>
        <v>753.93000000000006</v>
      </c>
    </row>
    <row r="69" spans="1:10" ht="20.25" customHeight="1" x14ac:dyDescent="0.2">
      <c r="A69" s="60" t="s">
        <v>393</v>
      </c>
      <c r="B69" s="420" t="s">
        <v>394</v>
      </c>
      <c r="C69" s="420"/>
      <c r="D69" s="420"/>
      <c r="E69" s="420"/>
      <c r="F69" s="420"/>
      <c r="G69" s="420"/>
      <c r="H69" s="420"/>
      <c r="I69" s="420"/>
      <c r="J69" s="420"/>
    </row>
    <row r="70" spans="1:10" ht="20.25" customHeight="1" x14ac:dyDescent="0.2">
      <c r="A70" s="60" t="s">
        <v>395</v>
      </c>
      <c r="B70" s="420" t="s">
        <v>396</v>
      </c>
      <c r="C70" s="420"/>
      <c r="D70" s="420"/>
      <c r="E70" s="420"/>
      <c r="F70" s="420"/>
      <c r="G70" s="420"/>
      <c r="H70" s="420"/>
      <c r="I70" s="420"/>
      <c r="J70" s="420"/>
    </row>
    <row r="71" spans="1:10" ht="20.25" customHeight="1" x14ac:dyDescent="0.2">
      <c r="A71" s="65"/>
      <c r="B71" s="66"/>
      <c r="C71" s="66"/>
      <c r="D71" s="66"/>
      <c r="E71" s="66"/>
      <c r="F71" s="66"/>
      <c r="G71" s="66"/>
      <c r="H71" s="66"/>
      <c r="I71" s="66"/>
      <c r="J71" s="66"/>
    </row>
    <row r="72" spans="1:10" ht="20.25" customHeight="1" x14ac:dyDescent="0.2">
      <c r="A72" s="6" t="s">
        <v>397</v>
      </c>
      <c r="B72" s="385" t="s">
        <v>398</v>
      </c>
      <c r="C72" s="385"/>
      <c r="D72" s="385"/>
      <c r="E72" s="385"/>
      <c r="F72" s="385"/>
      <c r="G72" s="385"/>
      <c r="H72" s="385"/>
      <c r="I72" s="385"/>
      <c r="J72" s="385"/>
    </row>
    <row r="73" spans="1:10" ht="20.25" customHeight="1" x14ac:dyDescent="0.2">
      <c r="A73" s="19"/>
      <c r="B73" s="385" t="s">
        <v>398</v>
      </c>
      <c r="C73" s="385"/>
      <c r="D73" s="385"/>
      <c r="E73" s="385"/>
      <c r="F73" s="385"/>
      <c r="G73" s="385"/>
      <c r="H73" s="385"/>
      <c r="I73" s="385"/>
      <c r="J73" s="19" t="s">
        <v>379</v>
      </c>
    </row>
    <row r="74" spans="1:10" ht="20.25" customHeight="1" x14ac:dyDescent="0.2">
      <c r="A74" s="403" t="s">
        <v>327</v>
      </c>
      <c r="B74" s="399" t="s">
        <v>656</v>
      </c>
      <c r="C74" s="399"/>
      <c r="D74" s="399"/>
      <c r="E74" s="399"/>
      <c r="F74" s="399"/>
      <c r="G74" s="399"/>
      <c r="H74" s="399"/>
      <c r="I74" s="399"/>
      <c r="J74" s="422">
        <f>IF(ROUND((I77*I75*I76)-(J45*0.06),2)&lt;0,0,ROUND((I77*I75*I76)-(J45*0.06),2))*1+(I75*I76*21.726-0.06*J45)*0</f>
        <v>91.55</v>
      </c>
    </row>
    <row r="75" spans="1:10" ht="20.25" customHeight="1" x14ac:dyDescent="0.2">
      <c r="A75" s="403"/>
      <c r="B75" s="423" t="s">
        <v>399</v>
      </c>
      <c r="C75" s="423"/>
      <c r="D75" s="423"/>
      <c r="E75" s="423"/>
      <c r="F75" s="423"/>
      <c r="G75" s="423"/>
      <c r="H75" s="423"/>
      <c r="I75" s="85">
        <f>'1. SB ABA DE CARREGAMENTO'!$B$88</f>
        <v>3.55</v>
      </c>
      <c r="J75" s="422"/>
    </row>
    <row r="76" spans="1:10" ht="20.25" customHeight="1" x14ac:dyDescent="0.2">
      <c r="A76" s="403"/>
      <c r="B76" s="423" t="s">
        <v>400</v>
      </c>
      <c r="C76" s="423"/>
      <c r="D76" s="423"/>
      <c r="E76" s="423"/>
      <c r="F76" s="423"/>
      <c r="G76" s="423"/>
      <c r="H76" s="423"/>
      <c r="I76" s="86">
        <f>'1. SB ABA DE CARREGAMENTO'!$B$89</f>
        <v>2</v>
      </c>
      <c r="J76" s="422"/>
    </row>
    <row r="77" spans="1:10" ht="20.25" customHeight="1" x14ac:dyDescent="0.2">
      <c r="A77" s="403"/>
      <c r="B77" s="423" t="s">
        <v>401</v>
      </c>
      <c r="C77" s="423"/>
      <c r="D77" s="423"/>
      <c r="E77" s="423"/>
      <c r="F77" s="423"/>
      <c r="G77" s="423"/>
      <c r="H77" s="423"/>
      <c r="I77" s="86">
        <f>'1. SB ABA DE CARREGAMENTO'!$B$90</f>
        <v>24</v>
      </c>
      <c r="J77" s="422"/>
    </row>
    <row r="78" spans="1:10" ht="20.25" customHeight="1" x14ac:dyDescent="0.2">
      <c r="A78" s="403"/>
      <c r="B78" s="423" t="s">
        <v>402</v>
      </c>
      <c r="C78" s="423"/>
      <c r="D78" s="423"/>
      <c r="E78" s="423"/>
      <c r="F78" s="423"/>
      <c r="G78" s="423"/>
      <c r="H78" s="423"/>
      <c r="I78" s="87">
        <f>'1. SB ABA DE CARREGAMENTO'!B91</f>
        <v>0.06</v>
      </c>
      <c r="J78" s="422"/>
    </row>
    <row r="79" spans="1:10" ht="20.25" customHeight="1" x14ac:dyDescent="0.2">
      <c r="A79" s="403" t="s">
        <v>329</v>
      </c>
      <c r="B79" s="417" t="s">
        <v>657</v>
      </c>
      <c r="C79" s="417"/>
      <c r="D79" s="417"/>
      <c r="E79" s="424" t="str">
        <f>'1. SB ABA DE CARREGAMENTO'!B94</f>
        <v>Cláusula Décima Oitava da CCT 2022/2022</v>
      </c>
      <c r="F79" s="424"/>
      <c r="G79" s="424"/>
      <c r="H79" s="424"/>
      <c r="I79" s="425"/>
      <c r="J79" s="422">
        <f>ROUND((I80*I81)-((I80*I81)*I82),2)</f>
        <v>392.3</v>
      </c>
    </row>
    <row r="80" spans="1:10" ht="20.25" customHeight="1" x14ac:dyDescent="0.2">
      <c r="A80" s="403"/>
      <c r="B80" s="423" t="s">
        <v>403</v>
      </c>
      <c r="C80" s="423"/>
      <c r="D80" s="423"/>
      <c r="E80" s="423"/>
      <c r="F80" s="423"/>
      <c r="G80" s="423"/>
      <c r="H80" s="423"/>
      <c r="I80" s="81">
        <f>'1. SB ABA DE CARREGAMENTO'!B95</f>
        <v>20.18</v>
      </c>
      <c r="J80" s="422"/>
    </row>
    <row r="81" spans="1:10" ht="20.25" customHeight="1" x14ac:dyDescent="0.2">
      <c r="A81" s="403"/>
      <c r="B81" s="423" t="s">
        <v>404</v>
      </c>
      <c r="C81" s="423"/>
      <c r="D81" s="423"/>
      <c r="E81" s="423"/>
      <c r="F81" s="423"/>
      <c r="G81" s="423"/>
      <c r="H81" s="423"/>
      <c r="I81" s="86">
        <f>'1. SB ABA DE CARREGAMENTO'!B97</f>
        <v>24</v>
      </c>
      <c r="J81" s="422"/>
    </row>
    <row r="82" spans="1:10" ht="20.25" customHeight="1" x14ac:dyDescent="0.2">
      <c r="A82" s="403"/>
      <c r="B82" s="423" t="s">
        <v>405</v>
      </c>
      <c r="C82" s="423"/>
      <c r="D82" s="423"/>
      <c r="E82" s="423"/>
      <c r="F82" s="423"/>
      <c r="G82" s="423"/>
      <c r="H82" s="423"/>
      <c r="I82" s="88">
        <f>'1. SB ABA DE CARREGAMENTO'!B96</f>
        <v>0.19</v>
      </c>
      <c r="J82" s="422"/>
    </row>
    <row r="83" spans="1:10" ht="20.25" customHeight="1" x14ac:dyDescent="0.2">
      <c r="A83" s="20" t="s">
        <v>330</v>
      </c>
      <c r="B83" s="417" t="s">
        <v>406</v>
      </c>
      <c r="C83" s="417"/>
      <c r="D83" s="417"/>
      <c r="E83" s="424" t="str">
        <f>'1. SB ABA DE CARREGAMENTO'!B100</f>
        <v>Cláusula Vigésima Nona da CCT 2022/2022</v>
      </c>
      <c r="F83" s="424"/>
      <c r="G83" s="424"/>
      <c r="H83" s="424"/>
      <c r="I83" s="425"/>
      <c r="J83" s="89">
        <f>'1. SB ABA DE CARREGAMENTO'!C100</f>
        <v>17.32</v>
      </c>
    </row>
    <row r="84" spans="1:10" ht="20.25" customHeight="1" x14ac:dyDescent="0.2">
      <c r="A84" s="20" t="s">
        <v>332</v>
      </c>
      <c r="B84" s="399" t="s">
        <v>658</v>
      </c>
      <c r="C84" s="399"/>
      <c r="D84" s="399"/>
      <c r="E84" s="399"/>
      <c r="F84" s="399"/>
      <c r="G84" s="399"/>
      <c r="H84" s="399"/>
      <c r="I84" s="399"/>
      <c r="J84" s="64">
        <v>0</v>
      </c>
    </row>
    <row r="85" spans="1:10" ht="20.25" customHeight="1" x14ac:dyDescent="0.2">
      <c r="A85" s="419" t="s">
        <v>407</v>
      </c>
      <c r="B85" s="419"/>
      <c r="C85" s="419"/>
      <c r="D85" s="419"/>
      <c r="E85" s="419"/>
      <c r="F85" s="419"/>
      <c r="G85" s="419"/>
      <c r="H85" s="419"/>
      <c r="I85" s="419"/>
      <c r="J85" s="8">
        <f>SUM(J74:J83)</f>
        <v>501.17</v>
      </c>
    </row>
    <row r="86" spans="1:10" ht="20.25" customHeight="1" x14ac:dyDescent="0.2">
      <c r="A86" s="60" t="s">
        <v>408</v>
      </c>
      <c r="B86" s="420" t="s">
        <v>409</v>
      </c>
      <c r="C86" s="420"/>
      <c r="D86" s="420"/>
      <c r="E86" s="420"/>
      <c r="F86" s="420"/>
      <c r="G86" s="420"/>
      <c r="H86" s="420"/>
      <c r="I86" s="420"/>
      <c r="J86" s="420"/>
    </row>
    <row r="87" spans="1:10" ht="29.25" customHeight="1" x14ac:dyDescent="0.2">
      <c r="A87" s="60" t="s">
        <v>410</v>
      </c>
      <c r="B87" s="420" t="s">
        <v>411</v>
      </c>
      <c r="C87" s="420"/>
      <c r="D87" s="420"/>
      <c r="E87" s="420"/>
      <c r="F87" s="420"/>
      <c r="G87" s="420"/>
      <c r="H87" s="420"/>
      <c r="I87" s="420"/>
      <c r="J87" s="420"/>
    </row>
    <row r="88" spans="1:10" ht="20.25" customHeight="1" x14ac:dyDescent="0.2">
      <c r="A88" s="65"/>
      <c r="B88" s="66"/>
      <c r="C88" s="66"/>
      <c r="D88" s="66"/>
      <c r="E88" s="66"/>
      <c r="F88" s="66"/>
      <c r="G88" s="66"/>
      <c r="H88" s="66"/>
      <c r="I88" s="66"/>
      <c r="J88" s="66"/>
    </row>
    <row r="89" spans="1:10" ht="20.25" customHeight="1" x14ac:dyDescent="0.2">
      <c r="A89" s="385" t="s">
        <v>412</v>
      </c>
      <c r="B89" s="385"/>
      <c r="C89" s="385"/>
      <c r="D89" s="385"/>
      <c r="E89" s="385"/>
      <c r="F89" s="385"/>
      <c r="G89" s="385"/>
      <c r="H89" s="385"/>
      <c r="I89" s="385"/>
      <c r="J89" s="385"/>
    </row>
    <row r="90" spans="1:10" ht="20.25" customHeight="1" x14ac:dyDescent="0.2">
      <c r="A90" s="19" t="s">
        <v>413</v>
      </c>
      <c r="B90" s="385" t="s">
        <v>414</v>
      </c>
      <c r="C90" s="385"/>
      <c r="D90" s="385"/>
      <c r="E90" s="385"/>
      <c r="F90" s="385"/>
      <c r="G90" s="385"/>
      <c r="H90" s="385"/>
      <c r="I90" s="385"/>
      <c r="J90" s="19" t="s">
        <v>379</v>
      </c>
    </row>
    <row r="91" spans="1:10" ht="20.25" customHeight="1" x14ac:dyDescent="0.2">
      <c r="A91" s="20" t="s">
        <v>415</v>
      </c>
      <c r="B91" s="423" t="s">
        <v>416</v>
      </c>
      <c r="C91" s="423"/>
      <c r="D91" s="423"/>
      <c r="E91" s="423"/>
      <c r="F91" s="423"/>
      <c r="G91" s="423"/>
      <c r="H91" s="423"/>
      <c r="I91" s="423"/>
      <c r="J91" s="64">
        <f>J55</f>
        <v>208.96</v>
      </c>
    </row>
    <row r="92" spans="1:10" ht="20.25" customHeight="1" x14ac:dyDescent="0.2">
      <c r="A92" s="20" t="s">
        <v>383</v>
      </c>
      <c r="B92" s="423" t="s">
        <v>417</v>
      </c>
      <c r="C92" s="423"/>
      <c r="D92" s="423"/>
      <c r="E92" s="423"/>
      <c r="F92" s="423"/>
      <c r="G92" s="423"/>
      <c r="H92" s="423"/>
      <c r="I92" s="423"/>
      <c r="J92" s="64">
        <f>J68</f>
        <v>753.93000000000006</v>
      </c>
    </row>
    <row r="93" spans="1:10" ht="20.25" customHeight="1" x14ac:dyDescent="0.2">
      <c r="A93" s="20" t="s">
        <v>418</v>
      </c>
      <c r="B93" s="423" t="s">
        <v>419</v>
      </c>
      <c r="C93" s="423"/>
      <c r="D93" s="423"/>
      <c r="E93" s="423"/>
      <c r="F93" s="423"/>
      <c r="G93" s="423"/>
      <c r="H93" s="423"/>
      <c r="I93" s="423"/>
      <c r="J93" s="64">
        <f>J85</f>
        <v>501.17</v>
      </c>
    </row>
    <row r="94" spans="1:10" ht="20.25" customHeight="1" x14ac:dyDescent="0.2">
      <c r="A94" s="419" t="s">
        <v>420</v>
      </c>
      <c r="B94" s="419"/>
      <c r="C94" s="419"/>
      <c r="D94" s="419"/>
      <c r="E94" s="419"/>
      <c r="F94" s="419"/>
      <c r="G94" s="419"/>
      <c r="H94" s="419"/>
      <c r="I94" s="419"/>
      <c r="J94" s="8">
        <f>SUM(J91+J92+J93)</f>
        <v>1464.0600000000002</v>
      </c>
    </row>
    <row r="95" spans="1:10" ht="20.25" customHeight="1" x14ac:dyDescent="0.2">
      <c r="A95" s="67"/>
      <c r="B95" s="67"/>
      <c r="C95" s="67"/>
      <c r="D95" s="67"/>
      <c r="E95" s="67"/>
      <c r="F95" s="67"/>
      <c r="G95" s="67"/>
      <c r="H95" s="67"/>
      <c r="I95" s="67"/>
      <c r="J95" s="68"/>
    </row>
    <row r="96" spans="1:10" ht="20.25" customHeight="1" x14ac:dyDescent="0.2">
      <c r="A96" s="385" t="s">
        <v>421</v>
      </c>
      <c r="B96" s="385"/>
      <c r="C96" s="385"/>
      <c r="D96" s="385"/>
      <c r="E96" s="385"/>
      <c r="F96" s="385"/>
      <c r="G96" s="385"/>
      <c r="H96" s="385"/>
      <c r="I96" s="385"/>
      <c r="J96" s="385"/>
    </row>
    <row r="97" spans="1:10" ht="20.25" customHeight="1" x14ac:dyDescent="0.2">
      <c r="A97" s="19"/>
      <c r="B97" s="385" t="s">
        <v>414</v>
      </c>
      <c r="C97" s="385"/>
      <c r="D97" s="385"/>
      <c r="E97" s="385"/>
      <c r="F97" s="385"/>
      <c r="G97" s="385"/>
      <c r="H97" s="385"/>
      <c r="I97" s="385"/>
      <c r="J97" s="19" t="s">
        <v>422</v>
      </c>
    </row>
    <row r="98" spans="1:10" ht="20.25" customHeight="1" x14ac:dyDescent="0.2">
      <c r="A98" s="20" t="s">
        <v>327</v>
      </c>
      <c r="B98" s="399" t="s">
        <v>659</v>
      </c>
      <c r="C98" s="399"/>
      <c r="D98" s="399"/>
      <c r="E98" s="399"/>
      <c r="F98" s="399"/>
      <c r="G98" s="399"/>
      <c r="H98" s="399"/>
      <c r="I98" s="399"/>
      <c r="J98" s="64">
        <f>ROUND((($J$48/12)+($J$53/12)+($J$48/12/12)+($J$54/12))*(30/30)*0.05,2)</f>
        <v>9.18</v>
      </c>
    </row>
    <row r="99" spans="1:10" ht="20.25" customHeight="1" x14ac:dyDescent="0.2">
      <c r="A99" s="20" t="s">
        <v>329</v>
      </c>
      <c r="B99" s="399" t="s">
        <v>423</v>
      </c>
      <c r="C99" s="399"/>
      <c r="D99" s="399"/>
      <c r="E99" s="399"/>
      <c r="F99" s="399"/>
      <c r="G99" s="399"/>
      <c r="H99" s="399"/>
      <c r="I99" s="399"/>
      <c r="J99" s="64">
        <f>ROUND($J$98*I67,2)</f>
        <v>0.73</v>
      </c>
    </row>
    <row r="100" spans="1:10" ht="20.25" customHeight="1" x14ac:dyDescent="0.2">
      <c r="A100" s="20" t="s">
        <v>330</v>
      </c>
      <c r="B100" s="399" t="s">
        <v>660</v>
      </c>
      <c r="C100" s="399"/>
      <c r="D100" s="399"/>
      <c r="E100" s="399"/>
      <c r="F100" s="399"/>
      <c r="G100" s="399"/>
      <c r="H100" s="399"/>
      <c r="I100" s="399"/>
      <c r="J100" s="64">
        <f>ROUND(0.08*0.4*($J$48+$J$53+$J$54)*0.05,2)</f>
        <v>3.28</v>
      </c>
    </row>
    <row r="101" spans="1:10" ht="20.25" customHeight="1" x14ac:dyDescent="0.2">
      <c r="A101" s="20" t="s">
        <v>332</v>
      </c>
      <c r="B101" s="399" t="s">
        <v>661</v>
      </c>
      <c r="C101" s="399"/>
      <c r="D101" s="399"/>
      <c r="E101" s="399"/>
      <c r="F101" s="399"/>
      <c r="G101" s="399"/>
      <c r="H101" s="399"/>
      <c r="I101" s="399"/>
      <c r="J101" s="64">
        <f>ROUND(((($J$48/30)*7)/$H$21)*1,2)</f>
        <v>21.46</v>
      </c>
    </row>
    <row r="102" spans="1:10" ht="20.25" customHeight="1" x14ac:dyDescent="0.2">
      <c r="A102" s="20" t="s">
        <v>388</v>
      </c>
      <c r="B102" s="399" t="s">
        <v>424</v>
      </c>
      <c r="C102" s="399"/>
      <c r="D102" s="399"/>
      <c r="E102" s="399"/>
      <c r="F102" s="399"/>
      <c r="G102" s="399"/>
      <c r="H102" s="399"/>
      <c r="I102" s="399"/>
      <c r="J102" s="64">
        <f>ROUND($I$68*J101,2)</f>
        <v>7.9</v>
      </c>
    </row>
    <row r="103" spans="1:10" ht="20.25" customHeight="1" x14ac:dyDescent="0.2">
      <c r="A103" s="20" t="s">
        <v>389</v>
      </c>
      <c r="B103" s="399" t="s">
        <v>662</v>
      </c>
      <c r="C103" s="399"/>
      <c r="D103" s="399"/>
      <c r="E103" s="399"/>
      <c r="F103" s="399"/>
      <c r="G103" s="399"/>
      <c r="H103" s="399"/>
      <c r="I103" s="399"/>
      <c r="J103" s="64">
        <f>ROUND(0.08*0.4*($J$48+$J$53+$J$54)*0.9,2)</f>
        <v>59</v>
      </c>
    </row>
    <row r="104" spans="1:10" ht="20.25" customHeight="1" x14ac:dyDescent="0.2">
      <c r="A104" s="419" t="s">
        <v>425</v>
      </c>
      <c r="B104" s="419"/>
      <c r="C104" s="419"/>
      <c r="D104" s="419"/>
      <c r="E104" s="419"/>
      <c r="F104" s="419"/>
      <c r="G104" s="419"/>
      <c r="H104" s="419"/>
      <c r="I104" s="419"/>
      <c r="J104" s="8">
        <f>SUM(J98:J103)</f>
        <v>101.55</v>
      </c>
    </row>
    <row r="105" spans="1:10" ht="20.25" customHeight="1" x14ac:dyDescent="0.2">
      <c r="A105" s="67"/>
      <c r="B105" s="67"/>
      <c r="C105" s="67"/>
      <c r="D105" s="67"/>
      <c r="E105" s="67"/>
      <c r="F105" s="67"/>
      <c r="G105" s="67"/>
      <c r="H105" s="67"/>
      <c r="I105" s="67"/>
      <c r="J105" s="68"/>
    </row>
    <row r="106" spans="1:10" ht="20.25" customHeight="1" x14ac:dyDescent="0.2">
      <c r="A106" s="385" t="s">
        <v>426</v>
      </c>
      <c r="B106" s="385"/>
      <c r="C106" s="385"/>
      <c r="D106" s="385"/>
      <c r="E106" s="385"/>
      <c r="F106" s="385"/>
      <c r="G106" s="385"/>
      <c r="H106" s="385"/>
      <c r="I106" s="385"/>
      <c r="J106" s="385"/>
    </row>
    <row r="107" spans="1:10" ht="35.25" customHeight="1" x14ac:dyDescent="0.2">
      <c r="A107" s="385" t="s">
        <v>696</v>
      </c>
      <c r="B107" s="385"/>
      <c r="C107" s="385"/>
      <c r="D107" s="385"/>
      <c r="E107" s="385"/>
      <c r="F107" s="385"/>
      <c r="G107" s="385"/>
      <c r="H107" s="385"/>
      <c r="I107" s="385"/>
      <c r="J107" s="385"/>
    </row>
    <row r="108" spans="1:10" ht="34.5" customHeight="1" x14ac:dyDescent="0.2">
      <c r="A108" s="385" t="s">
        <v>549</v>
      </c>
      <c r="B108" s="385"/>
      <c r="C108" s="7">
        <f>J48</f>
        <v>1839.73</v>
      </c>
      <c r="D108" s="385" t="s">
        <v>550</v>
      </c>
      <c r="E108" s="385"/>
      <c r="F108" s="7">
        <f>J94-J79-J74</f>
        <v>980.21000000000026</v>
      </c>
      <c r="G108" s="385" t="s">
        <v>429</v>
      </c>
      <c r="H108" s="385"/>
      <c r="I108" s="7">
        <f>J104</f>
        <v>101.55</v>
      </c>
      <c r="J108" s="8">
        <f>ROUND((J48+(J94-J79-J74)+J104),2)</f>
        <v>2921.49</v>
      </c>
    </row>
    <row r="109" spans="1:10" ht="20.25" customHeight="1" x14ac:dyDescent="0.2">
      <c r="A109" s="385" t="s">
        <v>430</v>
      </c>
      <c r="B109" s="385"/>
      <c r="C109" s="385"/>
      <c r="D109" s="385"/>
      <c r="E109" s="385"/>
      <c r="F109" s="385"/>
      <c r="G109" s="385" t="s">
        <v>431</v>
      </c>
      <c r="H109" s="385"/>
      <c r="I109" s="385"/>
      <c r="J109" s="9">
        <f>ROUND(J108/30,2)</f>
        <v>97.38</v>
      </c>
    </row>
    <row r="110" spans="1:10" ht="20.25" customHeight="1" x14ac:dyDescent="0.2">
      <c r="A110" s="109"/>
      <c r="B110" s="109"/>
      <c r="C110" s="109"/>
      <c r="D110" s="109"/>
      <c r="E110" s="109"/>
      <c r="F110" s="109"/>
      <c r="G110" s="109"/>
      <c r="H110" s="109"/>
      <c r="I110" s="109"/>
      <c r="J110" s="109"/>
    </row>
    <row r="111" spans="1:10" ht="20.25" customHeight="1" x14ac:dyDescent="0.2">
      <c r="A111" s="19" t="s">
        <v>432</v>
      </c>
      <c r="B111" s="385" t="s">
        <v>433</v>
      </c>
      <c r="C111" s="385"/>
      <c r="D111" s="385"/>
      <c r="E111" s="385"/>
      <c r="F111" s="385"/>
      <c r="G111" s="385"/>
      <c r="H111" s="385"/>
      <c r="I111" s="385"/>
      <c r="J111" s="19" t="s">
        <v>379</v>
      </c>
    </row>
    <row r="112" spans="1:10" ht="20.25" customHeight="1" x14ac:dyDescent="0.2">
      <c r="A112" s="20" t="s">
        <v>327</v>
      </c>
      <c r="B112" s="421" t="s">
        <v>712</v>
      </c>
      <c r="C112" s="421"/>
      <c r="D112" s="421"/>
      <c r="E112" s="421"/>
      <c r="F112" s="421"/>
      <c r="G112" s="421"/>
      <c r="H112" s="421"/>
      <c r="I112" s="421"/>
      <c r="J112" s="64">
        <f>ROUND(J48*9.075%,2)</f>
        <v>166.96</v>
      </c>
    </row>
    <row r="113" spans="1:10" ht="20.25" customHeight="1" x14ac:dyDescent="0.2">
      <c r="A113" s="20" t="s">
        <v>329</v>
      </c>
      <c r="B113" s="399" t="s">
        <v>663</v>
      </c>
      <c r="C113" s="399"/>
      <c r="D113" s="399"/>
      <c r="E113" s="399"/>
      <c r="F113" s="399"/>
      <c r="G113" s="399"/>
      <c r="H113" s="399"/>
      <c r="I113" s="399"/>
      <c r="J113" s="81">
        <f>ROUND((($J$108/30)*1)/12,2)</f>
        <v>8.1199999999999992</v>
      </c>
    </row>
    <row r="114" spans="1:10" ht="20.25" customHeight="1" x14ac:dyDescent="0.2">
      <c r="A114" s="20" t="s">
        <v>330</v>
      </c>
      <c r="B114" s="399" t="s">
        <v>664</v>
      </c>
      <c r="C114" s="399"/>
      <c r="D114" s="399"/>
      <c r="E114" s="399"/>
      <c r="F114" s="399"/>
      <c r="G114" s="399"/>
      <c r="H114" s="399"/>
      <c r="I114" s="399"/>
      <c r="J114" s="81">
        <f>ROUND((($J$108/30)*5)/12*0.015,2)</f>
        <v>0.61</v>
      </c>
    </row>
    <row r="115" spans="1:10" ht="20.25" customHeight="1" x14ac:dyDescent="0.2">
      <c r="A115" s="20" t="s">
        <v>332</v>
      </c>
      <c r="B115" s="399" t="s">
        <v>665</v>
      </c>
      <c r="C115" s="399"/>
      <c r="D115" s="399"/>
      <c r="E115" s="399"/>
      <c r="F115" s="399"/>
      <c r="G115" s="399"/>
      <c r="H115" s="399"/>
      <c r="I115" s="399"/>
      <c r="J115" s="64">
        <f>ROUND(((($J$108/30)*15)/12)*0.0078,2)</f>
        <v>0.95</v>
      </c>
    </row>
    <row r="116" spans="1:10" ht="20.25" customHeight="1" x14ac:dyDescent="0.2">
      <c r="A116" s="20" t="s">
        <v>388</v>
      </c>
      <c r="B116" s="399" t="s">
        <v>666</v>
      </c>
      <c r="C116" s="399"/>
      <c r="D116" s="399"/>
      <c r="E116" s="399"/>
      <c r="F116" s="399"/>
      <c r="G116" s="399"/>
      <c r="H116" s="399"/>
      <c r="I116" s="399"/>
      <c r="J116" s="64">
        <f>ROUND((((J48+J48/3)/12+(J68+J85-J79-J74+J104))*4/12)*0.02,2)</f>
        <v>7.18</v>
      </c>
    </row>
    <row r="117" spans="1:10" ht="20.25" customHeight="1" x14ac:dyDescent="0.2">
      <c r="A117" s="20" t="s">
        <v>389</v>
      </c>
      <c r="B117" s="399" t="s">
        <v>667</v>
      </c>
      <c r="C117" s="399"/>
      <c r="D117" s="399"/>
      <c r="E117" s="399"/>
      <c r="F117" s="399"/>
      <c r="G117" s="399"/>
      <c r="H117" s="399"/>
      <c r="I117" s="399"/>
      <c r="J117" s="64">
        <f>ROUND(((($J$108/30)*5)/12),2)</f>
        <v>40.58</v>
      </c>
    </row>
    <row r="118" spans="1:10" ht="20.25" customHeight="1" x14ac:dyDescent="0.2">
      <c r="A118" s="419" t="s">
        <v>434</v>
      </c>
      <c r="B118" s="419"/>
      <c r="C118" s="419"/>
      <c r="D118" s="419"/>
      <c r="E118" s="419"/>
      <c r="F118" s="419"/>
      <c r="G118" s="419"/>
      <c r="H118" s="419"/>
      <c r="I118" s="419"/>
      <c r="J118" s="8">
        <f>SUM(J112:J117)</f>
        <v>224.40000000000003</v>
      </c>
    </row>
    <row r="119" spans="1:10" ht="20.25" customHeight="1" x14ac:dyDescent="0.2">
      <c r="A119" s="110"/>
      <c r="B119" s="501"/>
      <c r="C119" s="501"/>
      <c r="D119" s="501"/>
      <c r="E119" s="501"/>
      <c r="F119" s="501"/>
      <c r="G119" s="501"/>
      <c r="H119" s="501"/>
      <c r="I119" s="501"/>
      <c r="J119" s="83"/>
    </row>
    <row r="120" spans="1:10" ht="20.25" customHeight="1" x14ac:dyDescent="0.2">
      <c r="A120" s="19" t="s">
        <v>435</v>
      </c>
      <c r="B120" s="385" t="s">
        <v>436</v>
      </c>
      <c r="C120" s="385"/>
      <c r="D120" s="385"/>
      <c r="E120" s="385"/>
      <c r="F120" s="385"/>
      <c r="G120" s="385"/>
      <c r="H120" s="385"/>
      <c r="I120" s="385"/>
      <c r="J120" s="19" t="s">
        <v>379</v>
      </c>
    </row>
    <row r="121" spans="1:10" ht="20.25" customHeight="1" x14ac:dyDescent="0.2">
      <c r="A121" s="20" t="s">
        <v>327</v>
      </c>
      <c r="B121" s="399" t="s">
        <v>437</v>
      </c>
      <c r="C121" s="399"/>
      <c r="D121" s="399"/>
      <c r="E121" s="399"/>
      <c r="F121" s="399"/>
      <c r="G121" s="399"/>
      <c r="H121" s="399"/>
      <c r="I121" s="399"/>
      <c r="J121" s="64">
        <v>0</v>
      </c>
    </row>
    <row r="122" spans="1:10" ht="20.25" customHeight="1" x14ac:dyDescent="0.2">
      <c r="A122" s="419" t="s">
        <v>438</v>
      </c>
      <c r="B122" s="419"/>
      <c r="C122" s="419"/>
      <c r="D122" s="419"/>
      <c r="E122" s="419"/>
      <c r="F122" s="419"/>
      <c r="G122" s="419"/>
      <c r="H122" s="419"/>
      <c r="I122" s="419"/>
      <c r="J122" s="8">
        <f>SUM(J121)</f>
        <v>0</v>
      </c>
    </row>
    <row r="123" spans="1:10" ht="20.25" customHeight="1" x14ac:dyDescent="0.2">
      <c r="A123" s="500"/>
      <c r="B123" s="500"/>
      <c r="C123" s="500"/>
      <c r="D123" s="500"/>
      <c r="E123" s="500"/>
      <c r="F123" s="500"/>
      <c r="G123" s="500"/>
      <c r="H123" s="500"/>
      <c r="I123" s="500"/>
      <c r="J123" s="83"/>
    </row>
    <row r="124" spans="1:10" ht="20.25" customHeight="1" x14ac:dyDescent="0.2">
      <c r="A124" s="385" t="s">
        <v>439</v>
      </c>
      <c r="B124" s="385"/>
      <c r="C124" s="385"/>
      <c r="D124" s="385"/>
      <c r="E124" s="385"/>
      <c r="F124" s="385"/>
      <c r="G124" s="385"/>
      <c r="H124" s="385"/>
      <c r="I124" s="385"/>
      <c r="J124" s="385"/>
    </row>
    <row r="125" spans="1:10" ht="20.25" customHeight="1" x14ac:dyDescent="0.2">
      <c r="A125" s="19" t="s">
        <v>440</v>
      </c>
      <c r="B125" s="385" t="s">
        <v>414</v>
      </c>
      <c r="C125" s="385"/>
      <c r="D125" s="385"/>
      <c r="E125" s="385"/>
      <c r="F125" s="385"/>
      <c r="G125" s="385"/>
      <c r="H125" s="385"/>
      <c r="I125" s="385"/>
      <c r="J125" s="14" t="s">
        <v>379</v>
      </c>
    </row>
    <row r="126" spans="1:10" ht="20.25" customHeight="1" x14ac:dyDescent="0.2">
      <c r="A126" s="20" t="s">
        <v>432</v>
      </c>
      <c r="B126" s="399" t="s">
        <v>433</v>
      </c>
      <c r="C126" s="399"/>
      <c r="D126" s="399"/>
      <c r="E126" s="399"/>
      <c r="F126" s="399"/>
      <c r="G126" s="399"/>
      <c r="H126" s="399"/>
      <c r="I126" s="399"/>
      <c r="J126" s="64">
        <f>J118</f>
        <v>224.40000000000003</v>
      </c>
    </row>
    <row r="127" spans="1:10" ht="20.25" customHeight="1" x14ac:dyDescent="0.2">
      <c r="A127" s="20" t="s">
        <v>441</v>
      </c>
      <c r="B127" s="399" t="s">
        <v>436</v>
      </c>
      <c r="C127" s="399"/>
      <c r="D127" s="399"/>
      <c r="E127" s="399"/>
      <c r="F127" s="399"/>
      <c r="G127" s="399"/>
      <c r="H127" s="399"/>
      <c r="I127" s="399"/>
      <c r="J127" s="64">
        <f>J122</f>
        <v>0</v>
      </c>
    </row>
    <row r="128" spans="1:10" ht="20.25" customHeight="1" x14ac:dyDescent="0.2">
      <c r="A128" s="419" t="s">
        <v>442</v>
      </c>
      <c r="B128" s="419"/>
      <c r="C128" s="419"/>
      <c r="D128" s="419"/>
      <c r="E128" s="419"/>
      <c r="F128" s="419"/>
      <c r="G128" s="419"/>
      <c r="H128" s="419"/>
      <c r="I128" s="419"/>
      <c r="J128" s="8">
        <f>SUM(J126+J127)</f>
        <v>224.40000000000003</v>
      </c>
    </row>
    <row r="129" spans="1:10" ht="36.75" customHeight="1" x14ac:dyDescent="0.2">
      <c r="A129" s="60" t="s">
        <v>443</v>
      </c>
      <c r="B129" s="420" t="s">
        <v>444</v>
      </c>
      <c r="C129" s="420"/>
      <c r="D129" s="420"/>
      <c r="E129" s="420"/>
      <c r="F129" s="420"/>
      <c r="G129" s="420"/>
      <c r="H129" s="420"/>
      <c r="I129" s="420"/>
      <c r="J129" s="420"/>
    </row>
    <row r="130" spans="1:10" ht="20.25" customHeight="1" x14ac:dyDescent="0.2">
      <c r="A130" s="65"/>
      <c r="B130" s="66"/>
      <c r="C130" s="66"/>
      <c r="D130" s="66"/>
      <c r="E130" s="66"/>
      <c r="F130" s="66"/>
      <c r="G130" s="66"/>
      <c r="H130" s="66"/>
      <c r="I130" s="66"/>
      <c r="J130" s="66"/>
    </row>
    <row r="131" spans="1:10" ht="20.25" customHeight="1" x14ac:dyDescent="0.2">
      <c r="A131" s="385" t="s">
        <v>445</v>
      </c>
      <c r="B131" s="385"/>
      <c r="C131" s="385"/>
      <c r="D131" s="385"/>
      <c r="E131" s="385"/>
      <c r="F131" s="385"/>
      <c r="G131" s="385"/>
      <c r="H131" s="385"/>
      <c r="I131" s="385"/>
      <c r="J131" s="385"/>
    </row>
    <row r="132" spans="1:10" ht="20.25" customHeight="1" x14ac:dyDescent="0.2">
      <c r="A132" s="19"/>
      <c r="B132" s="385" t="s">
        <v>414</v>
      </c>
      <c r="C132" s="385"/>
      <c r="D132" s="385"/>
      <c r="E132" s="385"/>
      <c r="F132" s="385"/>
      <c r="G132" s="385"/>
      <c r="H132" s="385"/>
      <c r="I132" s="385"/>
      <c r="J132" s="19" t="s">
        <v>379</v>
      </c>
    </row>
    <row r="133" spans="1:10" ht="20.25" customHeight="1" x14ac:dyDescent="0.2">
      <c r="A133" s="20" t="s">
        <v>327</v>
      </c>
      <c r="B133" s="399" t="s">
        <v>446</v>
      </c>
      <c r="C133" s="399"/>
      <c r="D133" s="399"/>
      <c r="E133" s="399"/>
      <c r="F133" s="399"/>
      <c r="G133" s="399"/>
      <c r="H133" s="399"/>
      <c r="I133" s="399"/>
      <c r="J133" s="70">
        <f>'2. SB INSUMOS'!F92</f>
        <v>104.81833333333334</v>
      </c>
    </row>
    <row r="134" spans="1:10" ht="20.25" customHeight="1" x14ac:dyDescent="0.2">
      <c r="A134" s="20" t="s">
        <v>329</v>
      </c>
      <c r="B134" s="399" t="s">
        <v>447</v>
      </c>
      <c r="C134" s="399"/>
      <c r="D134" s="399"/>
      <c r="E134" s="399"/>
      <c r="F134" s="399"/>
      <c r="G134" s="399"/>
      <c r="H134" s="399"/>
      <c r="I134" s="399"/>
      <c r="J134" s="70">
        <f>'2. SB INSUMOS'!F88</f>
        <v>412.16583455449819</v>
      </c>
    </row>
    <row r="135" spans="1:10" ht="20.25" customHeight="1" x14ac:dyDescent="0.2">
      <c r="A135" s="20" t="s">
        <v>330</v>
      </c>
      <c r="B135" s="399" t="s">
        <v>448</v>
      </c>
      <c r="C135" s="399"/>
      <c r="D135" s="399"/>
      <c r="E135" s="399"/>
      <c r="F135" s="399"/>
      <c r="G135" s="399"/>
      <c r="H135" s="399"/>
      <c r="I135" s="399"/>
      <c r="J135" s="70">
        <f>'2. SB INSUMOS'!F90</f>
        <v>14.875873718855836</v>
      </c>
    </row>
    <row r="136" spans="1:10" ht="20.25" customHeight="1" x14ac:dyDescent="0.2">
      <c r="A136" s="20" t="s">
        <v>332</v>
      </c>
      <c r="B136" s="399" t="s">
        <v>674</v>
      </c>
      <c r="C136" s="399"/>
      <c r="D136" s="399"/>
      <c r="E136" s="399"/>
      <c r="F136" s="399"/>
      <c r="G136" s="399"/>
      <c r="H136" s="399"/>
      <c r="I136" s="399"/>
      <c r="J136" s="70" t="s">
        <v>449</v>
      </c>
    </row>
    <row r="137" spans="1:10" ht="20.25" customHeight="1" x14ac:dyDescent="0.2">
      <c r="A137" s="419" t="s">
        <v>551</v>
      </c>
      <c r="B137" s="419"/>
      <c r="C137" s="419"/>
      <c r="D137" s="419"/>
      <c r="E137" s="419"/>
      <c r="F137" s="419"/>
      <c r="G137" s="419"/>
      <c r="H137" s="419"/>
      <c r="I137" s="419"/>
      <c r="J137" s="71">
        <f>SUM(J133:J136)</f>
        <v>531.86004160668733</v>
      </c>
    </row>
    <row r="138" spans="1:10" ht="20.25" customHeight="1" x14ac:dyDescent="0.2">
      <c r="A138" s="60" t="s">
        <v>451</v>
      </c>
      <c r="B138" s="420" t="s">
        <v>452</v>
      </c>
      <c r="C138" s="420"/>
      <c r="D138" s="420"/>
      <c r="E138" s="420"/>
      <c r="F138" s="420"/>
      <c r="G138" s="420"/>
      <c r="H138" s="420"/>
      <c r="I138" s="420"/>
      <c r="J138" s="420"/>
    </row>
    <row r="139" spans="1:10" ht="20.25" customHeight="1" x14ac:dyDescent="0.2">
      <c r="A139" s="498"/>
      <c r="B139" s="498"/>
      <c r="C139" s="498"/>
      <c r="D139" s="498"/>
      <c r="E139" s="498"/>
      <c r="F139" s="498"/>
      <c r="G139" s="498"/>
      <c r="H139" s="498"/>
      <c r="I139" s="498"/>
      <c r="J139" s="498"/>
    </row>
    <row r="140" spans="1:10" ht="20.25" customHeight="1" x14ac:dyDescent="0.2">
      <c r="A140" s="385" t="s">
        <v>453</v>
      </c>
      <c r="B140" s="385"/>
      <c r="C140" s="385"/>
      <c r="D140" s="385"/>
      <c r="E140" s="385"/>
      <c r="F140" s="385"/>
      <c r="G140" s="385"/>
      <c r="H140" s="385"/>
      <c r="I140" s="385"/>
      <c r="J140" s="385"/>
    </row>
    <row r="141" spans="1:10" ht="20.25" customHeight="1" x14ac:dyDescent="0.2">
      <c r="A141" s="19"/>
      <c r="B141" s="385" t="s">
        <v>454</v>
      </c>
      <c r="C141" s="385"/>
      <c r="D141" s="385"/>
      <c r="E141" s="385"/>
      <c r="F141" s="385"/>
      <c r="G141" s="385"/>
      <c r="H141" s="385"/>
      <c r="I141" s="19" t="s">
        <v>369</v>
      </c>
      <c r="J141" s="14" t="s">
        <v>379</v>
      </c>
    </row>
    <row r="142" spans="1:10" ht="54.75" customHeight="1" x14ac:dyDescent="0.2">
      <c r="A142" s="399" t="s">
        <v>668</v>
      </c>
      <c r="B142" s="399"/>
      <c r="C142" s="399"/>
      <c r="D142" s="399"/>
      <c r="E142" s="399"/>
      <c r="F142" s="399"/>
      <c r="G142" s="399"/>
      <c r="H142" s="399"/>
      <c r="I142" s="399"/>
      <c r="J142" s="89">
        <f>SUM(J48+J94+J104+J128+J137)</f>
        <v>4161.6000416066872</v>
      </c>
    </row>
    <row r="143" spans="1:10" ht="20.25" customHeight="1" x14ac:dyDescent="0.2">
      <c r="A143" s="19" t="s">
        <v>327</v>
      </c>
      <c r="B143" s="431" t="s">
        <v>455</v>
      </c>
      <c r="C143" s="431"/>
      <c r="D143" s="431"/>
      <c r="E143" s="431"/>
      <c r="F143" s="431"/>
      <c r="G143" s="431"/>
      <c r="H143" s="431"/>
      <c r="I143" s="91">
        <f>'1. SB ABA DE CARREGAMENTO'!$B$103</f>
        <v>0.06</v>
      </c>
      <c r="J143" s="8">
        <f>ROUND(I143*J142,2)</f>
        <v>249.7</v>
      </c>
    </row>
    <row r="144" spans="1:10" ht="48.75" customHeight="1" x14ac:dyDescent="0.2">
      <c r="A144" s="399" t="s">
        <v>669</v>
      </c>
      <c r="B144" s="399"/>
      <c r="C144" s="399"/>
      <c r="D144" s="399"/>
      <c r="E144" s="399"/>
      <c r="F144" s="399"/>
      <c r="G144" s="399"/>
      <c r="H144" s="399"/>
      <c r="I144" s="399"/>
      <c r="J144" s="89">
        <f>SUM(J48+J94+J104+J128+J137+J143)</f>
        <v>4411.300041606687</v>
      </c>
    </row>
    <row r="145" spans="1:12" ht="20.25" customHeight="1" x14ac:dyDescent="0.2">
      <c r="A145" s="19" t="s">
        <v>329</v>
      </c>
      <c r="B145" s="431" t="s">
        <v>100</v>
      </c>
      <c r="C145" s="431"/>
      <c r="D145" s="431"/>
      <c r="E145" s="431"/>
      <c r="F145" s="431"/>
      <c r="G145" s="431"/>
      <c r="H145" s="431"/>
      <c r="I145" s="91">
        <f>'1. SB ABA DE CARREGAMENTO'!$B$104</f>
        <v>6.7900000000000002E-2</v>
      </c>
      <c r="J145" s="8">
        <f>ROUND(I145*J144,2)</f>
        <v>299.52999999999997</v>
      </c>
    </row>
    <row r="146" spans="1:12" ht="47.25" customHeight="1" x14ac:dyDescent="0.2">
      <c r="A146" s="399" t="s">
        <v>670</v>
      </c>
      <c r="B146" s="399"/>
      <c r="C146" s="399"/>
      <c r="D146" s="399"/>
      <c r="E146" s="399"/>
      <c r="F146" s="399"/>
      <c r="G146" s="399"/>
      <c r="H146" s="399"/>
      <c r="I146" s="399"/>
      <c r="J146" s="89">
        <f>SUM(J48+J94+J104+J128+J137+J143+J145)</f>
        <v>4710.8300416066868</v>
      </c>
    </row>
    <row r="147" spans="1:12" ht="20.25" customHeight="1" x14ac:dyDescent="0.2">
      <c r="A147" s="19" t="s">
        <v>330</v>
      </c>
      <c r="B147" s="431" t="s">
        <v>456</v>
      </c>
      <c r="C147" s="431"/>
      <c r="D147" s="431"/>
      <c r="E147" s="431"/>
      <c r="F147" s="431"/>
      <c r="G147" s="431"/>
      <c r="H147" s="431"/>
      <c r="I147" s="91">
        <f>SUM(I148:I151)</f>
        <v>0.1225</v>
      </c>
      <c r="J147" s="8">
        <f>SUM(J148:J151)</f>
        <v>657.63</v>
      </c>
      <c r="K147" s="432"/>
      <c r="L147" s="432"/>
    </row>
    <row r="148" spans="1:12" ht="20.25" customHeight="1" x14ac:dyDescent="0.2">
      <c r="A148" s="403" t="s">
        <v>457</v>
      </c>
      <c r="B148" s="399" t="s">
        <v>458</v>
      </c>
      <c r="C148" s="399"/>
      <c r="D148" s="399"/>
      <c r="E148" s="399"/>
      <c r="F148" s="399" t="s">
        <v>102</v>
      </c>
      <c r="G148" s="399"/>
      <c r="H148" s="399"/>
      <c r="I148" s="62">
        <f>IF(H15=1,0.0165,IF(H15=2,0.0065,IF(H15=3,'1. SB ABA DE CARREGAMENTO'!B108,IF(H15=4,'1. SB ABA DE CARREGAMENTO'!B108,IF(H15=5,'1. SB ABA DE CARREGAMENTO'!B108,"RT Indefinido")))))</f>
        <v>1.6500000000000001E-2</v>
      </c>
      <c r="J148" s="89">
        <f>ROUND(($J$146/(1-$I$147))*I148,2)</f>
        <v>88.58</v>
      </c>
      <c r="K148" s="102"/>
      <c r="L148" s="103"/>
    </row>
    <row r="149" spans="1:12" ht="20.25" customHeight="1" x14ac:dyDescent="0.2">
      <c r="A149" s="403"/>
      <c r="B149" s="399"/>
      <c r="C149" s="399"/>
      <c r="D149" s="399"/>
      <c r="E149" s="399"/>
      <c r="F149" s="399" t="s">
        <v>103</v>
      </c>
      <c r="G149" s="399"/>
      <c r="H149" s="399"/>
      <c r="I149" s="62">
        <f>IF(H15=1,0.076,IF(H15=2,0.03,IF(H15=3,'1. SB ABA DE CARREGAMENTO'!B109,IF(H15=4,'1. SB ABA DE CARREGAMENTO'!B109,IF(H15=5,'1. SB ABA DE CARREGAMENTO'!B109,"RT Indefinido")))))</f>
        <v>7.5999999999999998E-2</v>
      </c>
      <c r="J149" s="89">
        <f>ROUND(($J$146/(1-$I$147))*I149,2)</f>
        <v>408</v>
      </c>
      <c r="K149" s="102"/>
      <c r="L149" s="103"/>
    </row>
    <row r="150" spans="1:12" ht="20.25" customHeight="1" x14ac:dyDescent="0.2">
      <c r="A150" s="20" t="s">
        <v>459</v>
      </c>
      <c r="B150" s="399" t="s">
        <v>460</v>
      </c>
      <c r="C150" s="399"/>
      <c r="D150" s="399"/>
      <c r="E150" s="399"/>
      <c r="F150" s="399" t="s">
        <v>461</v>
      </c>
      <c r="G150" s="399"/>
      <c r="H150" s="399"/>
      <c r="I150" s="62">
        <v>0</v>
      </c>
      <c r="J150" s="64">
        <v>0</v>
      </c>
      <c r="K150" s="102"/>
      <c r="L150" s="103"/>
    </row>
    <row r="151" spans="1:12" ht="20.25" customHeight="1" x14ac:dyDescent="0.2">
      <c r="A151" s="20" t="s">
        <v>462</v>
      </c>
      <c r="B151" s="399" t="s">
        <v>463</v>
      </c>
      <c r="C151" s="399"/>
      <c r="D151" s="399"/>
      <c r="E151" s="399"/>
      <c r="F151" s="399" t="s">
        <v>464</v>
      </c>
      <c r="G151" s="399"/>
      <c r="H151" s="399"/>
      <c r="I151" s="62">
        <f>'1. SB ABA DE CARREGAMENTO'!$B$105</f>
        <v>0.03</v>
      </c>
      <c r="J151" s="89">
        <f>ROUND(($J$146/(1-$I$147))*I151,2)</f>
        <v>161.05000000000001</v>
      </c>
    </row>
    <row r="152" spans="1:12" ht="20.25" customHeight="1" x14ac:dyDescent="0.2">
      <c r="A152" s="419" t="s">
        <v>465</v>
      </c>
      <c r="B152" s="419"/>
      <c r="C152" s="419"/>
      <c r="D152" s="419"/>
      <c r="E152" s="419"/>
      <c r="F152" s="419"/>
      <c r="G152" s="419"/>
      <c r="H152" s="419"/>
      <c r="I152" s="419"/>
      <c r="J152" s="8">
        <f>SUM(J143+J145+J147)</f>
        <v>1206.8600000000001</v>
      </c>
    </row>
    <row r="153" spans="1:12" ht="20.25" customHeight="1" x14ac:dyDescent="0.2">
      <c r="A153" s="60" t="s">
        <v>466</v>
      </c>
      <c r="B153" s="420" t="s">
        <v>467</v>
      </c>
      <c r="C153" s="420"/>
      <c r="D153" s="420"/>
      <c r="E153" s="420"/>
      <c r="F153" s="420"/>
      <c r="G153" s="420"/>
      <c r="H153" s="420"/>
      <c r="I153" s="420"/>
      <c r="J153" s="420"/>
    </row>
    <row r="154" spans="1:12" ht="20.25" customHeight="1" x14ac:dyDescent="0.2">
      <c r="A154" s="433" t="s">
        <v>468</v>
      </c>
      <c r="B154" s="434" t="s">
        <v>469</v>
      </c>
      <c r="C154" s="435"/>
      <c r="D154" s="440" t="s">
        <v>697</v>
      </c>
      <c r="E154" s="441"/>
      <c r="F154" s="441"/>
      <c r="G154" s="446" t="s">
        <v>698</v>
      </c>
      <c r="H154" s="447"/>
      <c r="I154" s="275"/>
      <c r="J154" s="452"/>
    </row>
    <row r="155" spans="1:12" ht="20.25" customHeight="1" x14ac:dyDescent="0.2">
      <c r="A155" s="433"/>
      <c r="B155" s="436"/>
      <c r="C155" s="437"/>
      <c r="D155" s="442"/>
      <c r="E155" s="443"/>
      <c r="F155" s="443"/>
      <c r="G155" s="448"/>
      <c r="H155" s="449"/>
      <c r="I155" s="207"/>
      <c r="J155" s="453"/>
    </row>
    <row r="156" spans="1:12" ht="20.25" customHeight="1" x14ac:dyDescent="0.2">
      <c r="A156" s="433"/>
      <c r="B156" s="438"/>
      <c r="C156" s="439"/>
      <c r="D156" s="444"/>
      <c r="E156" s="445"/>
      <c r="F156" s="445"/>
      <c r="G156" s="450"/>
      <c r="H156" s="451"/>
      <c r="I156" s="276"/>
      <c r="J156" s="454"/>
    </row>
    <row r="157" spans="1:12" ht="20.25" customHeight="1" x14ac:dyDescent="0.2">
      <c r="A157" s="502"/>
      <c r="B157" s="502"/>
      <c r="C157" s="502"/>
      <c r="D157" s="502"/>
      <c r="E157" s="502"/>
      <c r="F157" s="502"/>
      <c r="G157" s="502"/>
      <c r="H157" s="502"/>
      <c r="I157" s="502"/>
      <c r="J157" s="502"/>
    </row>
    <row r="158" spans="1:12" ht="20.25" customHeight="1" x14ac:dyDescent="0.2">
      <c r="A158" s="455" t="s">
        <v>699</v>
      </c>
      <c r="B158" s="455"/>
      <c r="C158" s="455"/>
      <c r="D158" s="455"/>
      <c r="E158" s="455"/>
      <c r="F158" s="455"/>
      <c r="G158" s="455"/>
      <c r="H158" s="455"/>
      <c r="I158" s="455"/>
      <c r="J158" s="455"/>
    </row>
    <row r="159" spans="1:12" ht="20.25" customHeight="1" x14ac:dyDescent="0.2">
      <c r="A159" s="456" t="s">
        <v>470</v>
      </c>
      <c r="B159" s="456"/>
      <c r="C159" s="456"/>
      <c r="D159" s="456"/>
      <c r="E159" s="456"/>
      <c r="F159" s="456"/>
      <c r="G159" s="456"/>
      <c r="H159" s="456"/>
      <c r="I159" s="456"/>
      <c r="J159" s="19" t="s">
        <v>379</v>
      </c>
    </row>
    <row r="160" spans="1:12" ht="20.25" customHeight="1" x14ac:dyDescent="0.2">
      <c r="A160" s="69" t="s">
        <v>327</v>
      </c>
      <c r="B160" s="457" t="s">
        <v>471</v>
      </c>
      <c r="C160" s="457"/>
      <c r="D160" s="457"/>
      <c r="E160" s="457"/>
      <c r="F160" s="457"/>
      <c r="G160" s="457"/>
      <c r="H160" s="457"/>
      <c r="I160" s="457"/>
      <c r="J160" s="64">
        <f>J48</f>
        <v>1839.73</v>
      </c>
    </row>
    <row r="161" spans="1:10" ht="20.25" customHeight="1" x14ac:dyDescent="0.2">
      <c r="A161" s="69" t="s">
        <v>329</v>
      </c>
      <c r="B161" s="457" t="s">
        <v>472</v>
      </c>
      <c r="C161" s="457"/>
      <c r="D161" s="457"/>
      <c r="E161" s="457"/>
      <c r="F161" s="457"/>
      <c r="G161" s="457"/>
      <c r="H161" s="457"/>
      <c r="I161" s="457"/>
      <c r="J161" s="64">
        <f>J94</f>
        <v>1464.0600000000002</v>
      </c>
    </row>
    <row r="162" spans="1:10" ht="20.25" customHeight="1" x14ac:dyDescent="0.2">
      <c r="A162" s="69" t="s">
        <v>330</v>
      </c>
      <c r="B162" s="457" t="s">
        <v>473</v>
      </c>
      <c r="C162" s="457"/>
      <c r="D162" s="457"/>
      <c r="E162" s="457"/>
      <c r="F162" s="457"/>
      <c r="G162" s="457"/>
      <c r="H162" s="457"/>
      <c r="I162" s="457"/>
      <c r="J162" s="64">
        <f>J104</f>
        <v>101.55</v>
      </c>
    </row>
    <row r="163" spans="1:10" ht="20.25" customHeight="1" x14ac:dyDescent="0.2">
      <c r="A163" s="69" t="s">
        <v>332</v>
      </c>
      <c r="B163" s="457" t="s">
        <v>474</v>
      </c>
      <c r="C163" s="457"/>
      <c r="D163" s="457"/>
      <c r="E163" s="457"/>
      <c r="F163" s="457"/>
      <c r="G163" s="457"/>
      <c r="H163" s="457"/>
      <c r="I163" s="457"/>
      <c r="J163" s="64">
        <f>J128</f>
        <v>224.40000000000003</v>
      </c>
    </row>
    <row r="164" spans="1:10" ht="20.25" customHeight="1" x14ac:dyDescent="0.2">
      <c r="A164" s="69" t="s">
        <v>388</v>
      </c>
      <c r="B164" s="457" t="s">
        <v>475</v>
      </c>
      <c r="C164" s="457"/>
      <c r="D164" s="457"/>
      <c r="E164" s="457"/>
      <c r="F164" s="457"/>
      <c r="G164" s="457"/>
      <c r="H164" s="457"/>
      <c r="I164" s="457"/>
      <c r="J164" s="64">
        <f>J137</f>
        <v>531.86004160668733</v>
      </c>
    </row>
    <row r="165" spans="1:10" ht="20.25" customHeight="1" x14ac:dyDescent="0.2">
      <c r="A165" s="458" t="s">
        <v>476</v>
      </c>
      <c r="B165" s="458"/>
      <c r="C165" s="458"/>
      <c r="D165" s="458"/>
      <c r="E165" s="458"/>
      <c r="F165" s="458"/>
      <c r="G165" s="458"/>
      <c r="H165" s="458"/>
      <c r="I165" s="458"/>
      <c r="J165" s="8">
        <f>SUM(J160:J164)</f>
        <v>4161.6000416066872</v>
      </c>
    </row>
    <row r="166" spans="1:10" ht="20.25" customHeight="1" x14ac:dyDescent="0.2">
      <c r="A166" s="69" t="s">
        <v>389</v>
      </c>
      <c r="B166" s="457" t="s">
        <v>477</v>
      </c>
      <c r="C166" s="457"/>
      <c r="D166" s="457"/>
      <c r="E166" s="457"/>
      <c r="F166" s="457"/>
      <c r="G166" s="457"/>
      <c r="H166" s="457"/>
      <c r="I166" s="457"/>
      <c r="J166" s="64">
        <f>J152</f>
        <v>1206.8600000000001</v>
      </c>
    </row>
    <row r="167" spans="1:10" ht="20.25" customHeight="1" x14ac:dyDescent="0.2">
      <c r="A167" s="459" t="s">
        <v>478</v>
      </c>
      <c r="B167" s="459"/>
      <c r="C167" s="459"/>
      <c r="D167" s="459"/>
      <c r="E167" s="459"/>
      <c r="F167" s="459"/>
      <c r="G167" s="459"/>
      <c r="H167" s="72">
        <f>'1. SB ABA DE CARREGAMENTO'!C68</f>
        <v>44</v>
      </c>
      <c r="I167" s="73" t="s">
        <v>371</v>
      </c>
      <c r="J167" s="8">
        <f>SUM(J165:J166)</f>
        <v>5368.4600416066878</v>
      </c>
    </row>
    <row r="168" spans="1:10" ht="20.25" customHeight="1" x14ac:dyDescent="0.2">
      <c r="A168" s="74"/>
      <c r="B168" s="74"/>
      <c r="C168" s="74"/>
      <c r="D168" s="74"/>
      <c r="E168" s="74"/>
      <c r="F168" s="74"/>
      <c r="G168" s="74"/>
      <c r="H168" s="74"/>
      <c r="I168" s="74"/>
      <c r="J168" s="68"/>
    </row>
    <row r="169" spans="1:10" ht="20.25" customHeight="1" x14ac:dyDescent="0.2">
      <c r="A169" s="385" t="s">
        <v>479</v>
      </c>
      <c r="B169" s="385"/>
      <c r="C169" s="385"/>
      <c r="D169" s="385"/>
      <c r="E169" s="385"/>
      <c r="F169" s="385"/>
      <c r="G169" s="385"/>
      <c r="H169" s="385"/>
      <c r="I169" s="385"/>
      <c r="J169" s="385"/>
    </row>
    <row r="170" spans="1:10" ht="20.25" customHeight="1" x14ac:dyDescent="0.2">
      <c r="A170" s="460" t="s">
        <v>671</v>
      </c>
      <c r="B170" s="460"/>
      <c r="C170" s="460"/>
      <c r="D170" s="460"/>
      <c r="E170" s="460"/>
      <c r="F170" s="460"/>
      <c r="G170" s="460"/>
      <c r="H170" s="460"/>
      <c r="I170" s="460"/>
      <c r="J170" s="460"/>
    </row>
    <row r="171" spans="1:10" ht="20.25" customHeight="1" x14ac:dyDescent="0.2">
      <c r="A171" s="431" t="s">
        <v>675</v>
      </c>
      <c r="B171" s="431"/>
      <c r="C171" s="431"/>
      <c r="D171" s="431"/>
      <c r="E171" s="431"/>
      <c r="F171" s="431"/>
      <c r="G171" s="431"/>
      <c r="H171" s="431"/>
      <c r="I171" s="431"/>
      <c r="J171" s="431"/>
    </row>
    <row r="172" spans="1:10" ht="43.5" customHeight="1" x14ac:dyDescent="0.2">
      <c r="A172" s="385" t="s">
        <v>672</v>
      </c>
      <c r="B172" s="385"/>
      <c r="C172" s="385"/>
      <c r="D172" s="385" t="s">
        <v>480</v>
      </c>
      <c r="E172" s="385"/>
      <c r="F172" s="385"/>
      <c r="G172" s="385" t="s">
        <v>481</v>
      </c>
      <c r="H172" s="385"/>
      <c r="I172" s="385" t="s">
        <v>482</v>
      </c>
      <c r="J172" s="385"/>
    </row>
    <row r="173" spans="1:10" ht="20.25" customHeight="1" x14ac:dyDescent="0.2">
      <c r="A173" s="404" t="s">
        <v>552</v>
      </c>
      <c r="B173" s="404"/>
      <c r="C173" s="404"/>
      <c r="D173" s="92">
        <v>1</v>
      </c>
      <c r="E173" s="92">
        <v>30</v>
      </c>
      <c r="F173" s="111">
        <f>E174</f>
        <v>300</v>
      </c>
      <c r="G173" s="461">
        <v>0</v>
      </c>
      <c r="H173" s="461"/>
      <c r="I173" s="462">
        <f>G173/F173/E173</f>
        <v>0</v>
      </c>
      <c r="J173" s="462"/>
    </row>
    <row r="174" spans="1:10" ht="20.25" customHeight="1" x14ac:dyDescent="0.2">
      <c r="A174" s="404" t="s">
        <v>553</v>
      </c>
      <c r="B174" s="404"/>
      <c r="C174" s="404"/>
      <c r="D174" s="92">
        <v>1</v>
      </c>
      <c r="E174" s="463">
        <f>'5. SB Cálc. DEMO Banheiros'!$C$8</f>
        <v>300</v>
      </c>
      <c r="F174" s="463"/>
      <c r="G174" s="461">
        <f>J167</f>
        <v>5368.4600416066878</v>
      </c>
      <c r="H174" s="461"/>
      <c r="I174" s="462">
        <f>ROUND((D174/E174)*G174,2)</f>
        <v>17.89</v>
      </c>
      <c r="J174" s="462"/>
    </row>
    <row r="175" spans="1:10" ht="20.25" customHeight="1" x14ac:dyDescent="0.2">
      <c r="A175" s="419" t="s">
        <v>484</v>
      </c>
      <c r="B175" s="419"/>
      <c r="C175" s="419"/>
      <c r="D175" s="419"/>
      <c r="E175" s="419"/>
      <c r="F175" s="419"/>
      <c r="G175" s="419"/>
      <c r="H175" s="419"/>
      <c r="I175" s="464">
        <f>SUM(I173+I174)</f>
        <v>17.89</v>
      </c>
      <c r="J175" s="464"/>
    </row>
    <row r="176" spans="1:10" ht="20.25" customHeight="1" x14ac:dyDescent="0.2">
      <c r="A176" s="67"/>
      <c r="B176" s="67"/>
      <c r="C176" s="67"/>
      <c r="D176" s="67"/>
      <c r="E176" s="67"/>
      <c r="F176" s="67"/>
      <c r="G176" s="67"/>
      <c r="H176" s="67"/>
      <c r="I176" s="112"/>
      <c r="J176" s="112"/>
    </row>
    <row r="177" spans="1:10" ht="20.25" customHeight="1" x14ac:dyDescent="0.2">
      <c r="A177" s="404" t="s">
        <v>554</v>
      </c>
      <c r="B177" s="404"/>
      <c r="C177" s="404"/>
      <c r="D177" s="92">
        <v>1</v>
      </c>
      <c r="E177" s="92">
        <v>30</v>
      </c>
      <c r="F177" s="111">
        <f>E178</f>
        <v>800</v>
      </c>
      <c r="G177" s="461">
        <f>G173</f>
        <v>0</v>
      </c>
      <c r="H177" s="461"/>
      <c r="I177" s="462">
        <f>G177/F177/E177</f>
        <v>0</v>
      </c>
      <c r="J177" s="462"/>
    </row>
    <row r="178" spans="1:10" ht="20.25" customHeight="1" x14ac:dyDescent="0.2">
      <c r="A178" s="404" t="s">
        <v>555</v>
      </c>
      <c r="B178" s="404"/>
      <c r="C178" s="404"/>
      <c r="D178" s="92">
        <v>1</v>
      </c>
      <c r="E178" s="463">
        <f>'5. SB Cálc. DEMO Banheiros'!C9</f>
        <v>800</v>
      </c>
      <c r="F178" s="463"/>
      <c r="G178" s="465">
        <f>J167</f>
        <v>5368.4600416066878</v>
      </c>
      <c r="H178" s="465"/>
      <c r="I178" s="462">
        <f>ROUND((D178/E178)*G178,2)</f>
        <v>6.71</v>
      </c>
      <c r="J178" s="462"/>
    </row>
    <row r="179" spans="1:10" ht="20.25" customHeight="1" x14ac:dyDescent="0.2">
      <c r="A179" s="419" t="s">
        <v>484</v>
      </c>
      <c r="B179" s="419"/>
      <c r="C179" s="419"/>
      <c r="D179" s="419"/>
      <c r="E179" s="419"/>
      <c r="F179" s="419"/>
      <c r="G179" s="419"/>
      <c r="H179" s="419"/>
      <c r="I179" s="464">
        <f>SUM(I177:J178)</f>
        <v>6.71</v>
      </c>
      <c r="J179" s="464"/>
    </row>
    <row r="180" spans="1:10" ht="20.25" customHeight="1" x14ac:dyDescent="0.2">
      <c r="A180" s="67"/>
      <c r="B180" s="67"/>
      <c r="C180" s="67"/>
      <c r="D180" s="67"/>
      <c r="E180" s="67"/>
      <c r="F180" s="67"/>
      <c r="G180" s="67"/>
      <c r="H180" s="67"/>
      <c r="I180" s="112"/>
      <c r="J180" s="112"/>
    </row>
    <row r="181" spans="1:10" ht="20.25" customHeight="1" x14ac:dyDescent="0.2">
      <c r="A181" s="404" t="s">
        <v>556</v>
      </c>
      <c r="B181" s="404"/>
      <c r="C181" s="404"/>
      <c r="D181" s="92">
        <v>1</v>
      </c>
      <c r="E181" s="92">
        <v>30</v>
      </c>
      <c r="F181" s="111">
        <f>E182</f>
        <v>450</v>
      </c>
      <c r="G181" s="461">
        <f>G173</f>
        <v>0</v>
      </c>
      <c r="H181" s="461"/>
      <c r="I181" s="462">
        <f>G181/F181/E181</f>
        <v>0</v>
      </c>
      <c r="J181" s="462"/>
    </row>
    <row r="182" spans="1:10" ht="20.25" customHeight="1" x14ac:dyDescent="0.2">
      <c r="A182" s="404" t="s">
        <v>557</v>
      </c>
      <c r="B182" s="404"/>
      <c r="C182" s="404"/>
      <c r="D182" s="92">
        <v>1</v>
      </c>
      <c r="E182" s="463">
        <f>'5. SB Cálc. DEMO Banheiros'!C10</f>
        <v>450</v>
      </c>
      <c r="F182" s="463"/>
      <c r="G182" s="465">
        <f>J167</f>
        <v>5368.4600416066878</v>
      </c>
      <c r="H182" s="465"/>
      <c r="I182" s="462">
        <f>ROUND((D182/E182)*G182,2)</f>
        <v>11.93</v>
      </c>
      <c r="J182" s="462"/>
    </row>
    <row r="183" spans="1:10" ht="20.25" customHeight="1" x14ac:dyDescent="0.2">
      <c r="A183" s="419" t="s">
        <v>484</v>
      </c>
      <c r="B183" s="419"/>
      <c r="C183" s="419"/>
      <c r="D183" s="419"/>
      <c r="E183" s="419"/>
      <c r="F183" s="419"/>
      <c r="G183" s="419"/>
      <c r="H183" s="419"/>
      <c r="I183" s="464">
        <f>SUM(I181:J182)</f>
        <v>11.93</v>
      </c>
      <c r="J183" s="464"/>
    </row>
    <row r="184" spans="1:10" ht="89.25" customHeight="1" x14ac:dyDescent="0.2">
      <c r="A184" s="476" t="s">
        <v>558</v>
      </c>
      <c r="B184" s="476"/>
      <c r="C184" s="476"/>
      <c r="D184" s="476"/>
      <c r="E184" s="476"/>
      <c r="F184" s="476"/>
      <c r="G184" s="476"/>
      <c r="H184" s="476"/>
      <c r="I184" s="476"/>
      <c r="J184" s="476"/>
    </row>
    <row r="185" spans="1:10" ht="20.25" customHeight="1" x14ac:dyDescent="0.2">
      <c r="A185" s="503"/>
      <c r="B185" s="503"/>
      <c r="C185" s="503"/>
      <c r="D185" s="503"/>
      <c r="E185" s="503"/>
      <c r="F185" s="503"/>
      <c r="G185" s="503"/>
      <c r="H185" s="503"/>
      <c r="I185" s="503"/>
      <c r="J185" s="503"/>
    </row>
    <row r="186" spans="1:10" ht="20.25" customHeight="1" x14ac:dyDescent="0.2">
      <c r="A186" s="385" t="s">
        <v>521</v>
      </c>
      <c r="B186" s="385"/>
      <c r="C186" s="385"/>
      <c r="D186" s="385"/>
      <c r="E186" s="385"/>
      <c r="F186" s="385"/>
      <c r="G186" s="385"/>
      <c r="H186" s="385"/>
      <c r="I186" s="385"/>
      <c r="J186" s="385"/>
    </row>
    <row r="187" spans="1:10" ht="42" customHeight="1" x14ac:dyDescent="0.2">
      <c r="A187" s="385" t="s">
        <v>21</v>
      </c>
      <c r="B187" s="385"/>
      <c r="C187" s="385"/>
      <c r="D187" s="385"/>
      <c r="E187" s="385"/>
      <c r="F187" s="385" t="s">
        <v>522</v>
      </c>
      <c r="G187" s="385"/>
      <c r="H187" s="19" t="s">
        <v>523</v>
      </c>
      <c r="I187" s="385" t="s">
        <v>524</v>
      </c>
      <c r="J187" s="385"/>
    </row>
    <row r="188" spans="1:10" ht="20.25" customHeight="1" x14ac:dyDescent="0.2">
      <c r="A188" s="460" t="s">
        <v>559</v>
      </c>
      <c r="B188" s="460"/>
      <c r="C188" s="460"/>
      <c r="D188" s="460"/>
      <c r="E188" s="460"/>
      <c r="F188" s="479">
        <f>I175</f>
        <v>17.89</v>
      </c>
      <c r="G188" s="479"/>
      <c r="H188" s="107">
        <f>I25</f>
        <v>2824.56</v>
      </c>
      <c r="I188" s="478">
        <f>ROUND(F188*H188,2)</f>
        <v>50531.38</v>
      </c>
      <c r="J188" s="478"/>
    </row>
    <row r="189" spans="1:10" ht="20.25" customHeight="1" x14ac:dyDescent="0.2">
      <c r="A189" s="460" t="s">
        <v>560</v>
      </c>
      <c r="B189" s="460"/>
      <c r="C189" s="460"/>
      <c r="D189" s="460"/>
      <c r="E189" s="460"/>
      <c r="F189" s="479">
        <f>I179</f>
        <v>6.71</v>
      </c>
      <c r="G189" s="479"/>
      <c r="H189" s="107">
        <f>I26</f>
        <v>190.5813416666667</v>
      </c>
      <c r="I189" s="478">
        <f>ROUND(F189*H189,2)</f>
        <v>1278.8</v>
      </c>
      <c r="J189" s="478"/>
    </row>
    <row r="190" spans="1:10" ht="20.25" customHeight="1" x14ac:dyDescent="0.2">
      <c r="A190" s="460" t="s">
        <v>561</v>
      </c>
      <c r="B190" s="460"/>
      <c r="C190" s="460"/>
      <c r="D190" s="460"/>
      <c r="E190" s="460"/>
      <c r="F190" s="479">
        <f>I183</f>
        <v>11.93</v>
      </c>
      <c r="G190" s="479"/>
      <c r="H190" s="107">
        <f>I27</f>
        <v>84.932950000000005</v>
      </c>
      <c r="I190" s="478">
        <f>ROUND(F190*H190,2)</f>
        <v>1013.25</v>
      </c>
      <c r="J190" s="478"/>
    </row>
    <row r="191" spans="1:10" ht="20.25" customHeight="1" x14ac:dyDescent="0.2">
      <c r="A191" s="419" t="s">
        <v>562</v>
      </c>
      <c r="B191" s="419"/>
      <c r="C191" s="419"/>
      <c r="D191" s="419"/>
      <c r="E191" s="419"/>
      <c r="F191" s="419"/>
      <c r="G191" s="419"/>
      <c r="H191" s="98">
        <f>SUM(H188:H190)</f>
        <v>3100.0742916666663</v>
      </c>
      <c r="I191" s="480">
        <f>SUM(I188:J190)</f>
        <v>52823.43</v>
      </c>
      <c r="J191" s="480"/>
    </row>
    <row r="192" spans="1:10" ht="20.25" customHeight="1" x14ac:dyDescent="0.2">
      <c r="A192" s="504" t="s">
        <v>676</v>
      </c>
      <c r="B192" s="504"/>
      <c r="C192" s="504"/>
      <c r="D192" s="504"/>
      <c r="E192" s="504"/>
      <c r="F192" s="479">
        <v>0</v>
      </c>
      <c r="G192" s="479"/>
      <c r="H192" s="107">
        <f>I29</f>
        <v>0</v>
      </c>
      <c r="I192" s="478">
        <v>0</v>
      </c>
      <c r="J192" s="478"/>
    </row>
    <row r="193" spans="1:26" ht="20.25" customHeight="1" x14ac:dyDescent="0.2">
      <c r="A193" s="419" t="s">
        <v>360</v>
      </c>
      <c r="B193" s="419"/>
      <c r="C193" s="419"/>
      <c r="D193" s="419"/>
      <c r="E193" s="419"/>
      <c r="F193" s="419"/>
      <c r="G193" s="419"/>
      <c r="H193" s="98">
        <f>H192</f>
        <v>0</v>
      </c>
      <c r="I193" s="480">
        <v>0</v>
      </c>
      <c r="J193" s="480"/>
    </row>
    <row r="194" spans="1:26" ht="20.25" customHeight="1" x14ac:dyDescent="0.2">
      <c r="A194" s="419" t="s">
        <v>563</v>
      </c>
      <c r="B194" s="419"/>
      <c r="C194" s="419"/>
      <c r="D194" s="419"/>
      <c r="E194" s="419"/>
      <c r="F194" s="419"/>
      <c r="G194" s="419"/>
      <c r="H194" s="98">
        <f>ROUND(H191+H193,2)</f>
        <v>3100.07</v>
      </c>
      <c r="I194" s="480">
        <f>SUM(I191+I193)</f>
        <v>52823.43</v>
      </c>
      <c r="J194" s="480"/>
    </row>
    <row r="195" spans="1:26" ht="20.25" customHeight="1" x14ac:dyDescent="0.2">
      <c r="A195" s="460" t="s">
        <v>534</v>
      </c>
      <c r="B195" s="460"/>
      <c r="C195" s="460"/>
      <c r="D195" s="460"/>
      <c r="E195" s="460"/>
      <c r="F195" s="460"/>
      <c r="G195" s="460"/>
      <c r="H195" s="460"/>
      <c r="I195" s="483">
        <f>I194</f>
        <v>52823.43</v>
      </c>
      <c r="J195" s="483"/>
    </row>
    <row r="196" spans="1:26" ht="20.25" customHeight="1" x14ac:dyDescent="0.2">
      <c r="A196" s="460" t="s">
        <v>535</v>
      </c>
      <c r="B196" s="460"/>
      <c r="C196" s="460"/>
      <c r="D196" s="460"/>
      <c r="E196" s="460"/>
      <c r="F196" s="460"/>
      <c r="G196" s="460"/>
      <c r="H196" s="460"/>
      <c r="I196" s="484">
        <f>H21</f>
        <v>20</v>
      </c>
      <c r="J196" s="484"/>
    </row>
    <row r="197" spans="1:26" ht="20.25" customHeight="1" x14ac:dyDescent="0.2">
      <c r="A197" s="460" t="s">
        <v>536</v>
      </c>
      <c r="B197" s="460"/>
      <c r="C197" s="460"/>
      <c r="D197" s="460"/>
      <c r="E197" s="460"/>
      <c r="F197" s="460"/>
      <c r="G197" s="460"/>
      <c r="H197" s="460"/>
      <c r="I197" s="483">
        <f>ROUND(I194*I196,2)</f>
        <v>1056468.6000000001</v>
      </c>
      <c r="J197" s="483"/>
    </row>
    <row r="198" spans="1:26" ht="20.25" customHeight="1" x14ac:dyDescent="0.2">
      <c r="A198" s="505"/>
      <c r="B198" s="505"/>
      <c r="C198" s="505"/>
      <c r="D198" s="505"/>
      <c r="E198" s="505"/>
      <c r="F198" s="505"/>
      <c r="G198" s="505"/>
      <c r="H198" s="505"/>
      <c r="I198" s="505"/>
      <c r="J198" s="505"/>
      <c r="K198" s="100"/>
      <c r="L198" s="100"/>
      <c r="M198" s="100"/>
      <c r="N198" s="100"/>
      <c r="O198" s="100"/>
      <c r="P198" s="100"/>
      <c r="Q198" s="100"/>
      <c r="R198" s="100"/>
      <c r="S198" s="100"/>
      <c r="T198" s="100"/>
      <c r="U198" s="100"/>
      <c r="V198" s="100"/>
      <c r="W198" s="100"/>
      <c r="X198" s="100"/>
      <c r="Y198" s="100"/>
      <c r="Z198" s="100"/>
    </row>
    <row r="199" spans="1:26" ht="20.25" customHeight="1" x14ac:dyDescent="0.2">
      <c r="A199" s="431" t="s">
        <v>537</v>
      </c>
      <c r="B199" s="431"/>
      <c r="C199" s="431"/>
      <c r="D199" s="431"/>
      <c r="E199" s="431"/>
      <c r="F199" s="431"/>
      <c r="G199" s="431"/>
      <c r="H199" s="431"/>
      <c r="I199" s="431"/>
      <c r="J199" s="431"/>
    </row>
    <row r="200" spans="1:26" ht="20.25" customHeight="1" x14ac:dyDescent="0.2">
      <c r="A200" s="385" t="s">
        <v>538</v>
      </c>
      <c r="B200" s="385"/>
      <c r="C200" s="385"/>
      <c r="D200" s="385"/>
      <c r="E200" s="385"/>
      <c r="F200" s="385"/>
      <c r="G200" s="385" t="s">
        <v>539</v>
      </c>
      <c r="H200" s="385"/>
      <c r="I200" s="385"/>
      <c r="J200" s="385"/>
    </row>
    <row r="201" spans="1:26" ht="20.25" customHeight="1" x14ac:dyDescent="0.2">
      <c r="A201" s="491" t="s">
        <v>69</v>
      </c>
      <c r="B201" s="491"/>
      <c r="C201" s="491"/>
      <c r="D201" s="491"/>
      <c r="E201" s="491"/>
      <c r="F201" s="491"/>
      <c r="G201" s="492">
        <f>'5. SB Cálc. DEMO Banheiros'!$L$13</f>
        <v>9.8421665659722226</v>
      </c>
      <c r="H201" s="492"/>
      <c r="I201" s="492"/>
      <c r="J201" s="492"/>
    </row>
    <row r="202" spans="1:26" ht="20.25" customHeight="1" x14ac:dyDescent="0.2">
      <c r="A202" s="482"/>
      <c r="B202" s="482"/>
      <c r="C202" s="482"/>
      <c r="D202" s="482"/>
      <c r="E202" s="482"/>
      <c r="F202" s="482"/>
      <c r="G202" s="482"/>
      <c r="H202" s="482"/>
      <c r="I202" s="482"/>
      <c r="J202" s="482"/>
      <c r="K202" s="100"/>
      <c r="L202" s="100"/>
      <c r="M202" s="100"/>
      <c r="N202" s="100"/>
      <c r="O202" s="100"/>
      <c r="P202" s="100"/>
      <c r="Q202" s="100"/>
      <c r="R202" s="100"/>
      <c r="S202" s="100"/>
      <c r="T202" s="100"/>
      <c r="U202" s="100"/>
      <c r="V202" s="100"/>
      <c r="W202" s="100"/>
      <c r="X202" s="100"/>
      <c r="Y202" s="100"/>
      <c r="Z202" s="100"/>
    </row>
    <row r="203" spans="1:26" ht="40.5" customHeight="1" x14ac:dyDescent="0.2">
      <c r="A203" s="481" t="s">
        <v>564</v>
      </c>
      <c r="B203" s="481"/>
      <c r="C203" s="481"/>
      <c r="D203" s="481"/>
      <c r="E203" s="481"/>
      <c r="F203" s="481"/>
      <c r="G203" s="481"/>
      <c r="H203" s="481"/>
      <c r="I203" s="481"/>
      <c r="J203" s="481"/>
    </row>
    <row r="204" spans="1:26" ht="12.75" customHeight="1" x14ac:dyDescent="0.2"/>
    <row r="205" spans="1:26" ht="12.75" customHeight="1" x14ac:dyDescent="0.2"/>
    <row r="206" spans="1:26" ht="12.75" customHeight="1" x14ac:dyDescent="0.2"/>
    <row r="207" spans="1:26" ht="12.75" customHeight="1" x14ac:dyDescent="0.2"/>
    <row r="208" spans="1:26"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sheetData>
  <sheetProtection selectLockedCells="1" selectUnlockedCells="1"/>
  <mergeCells count="279">
    <mergeCell ref="A198:J198"/>
    <mergeCell ref="A199:J199"/>
    <mergeCell ref="A200:F200"/>
    <mergeCell ref="G200:J200"/>
    <mergeCell ref="A201:F201"/>
    <mergeCell ref="G201:J201"/>
    <mergeCell ref="A202:J202"/>
    <mergeCell ref="A203:J203"/>
    <mergeCell ref="A193:G193"/>
    <mergeCell ref="I193:J193"/>
    <mergeCell ref="A194:G194"/>
    <mergeCell ref="I194:J194"/>
    <mergeCell ref="A195:H195"/>
    <mergeCell ref="I195:J195"/>
    <mergeCell ref="A196:H196"/>
    <mergeCell ref="I196:J196"/>
    <mergeCell ref="A197:H197"/>
    <mergeCell ref="I197:J197"/>
    <mergeCell ref="A189:E189"/>
    <mergeCell ref="F189:G189"/>
    <mergeCell ref="I189:J189"/>
    <mergeCell ref="A190:E190"/>
    <mergeCell ref="F190:G190"/>
    <mergeCell ref="I190:J190"/>
    <mergeCell ref="A191:G191"/>
    <mergeCell ref="I191:J191"/>
    <mergeCell ref="A192:E192"/>
    <mergeCell ref="F192:G192"/>
    <mergeCell ref="I192:J192"/>
    <mergeCell ref="A184:J184"/>
    <mergeCell ref="A185:J185"/>
    <mergeCell ref="A186:J186"/>
    <mergeCell ref="A187:E187"/>
    <mergeCell ref="F187:G187"/>
    <mergeCell ref="I187:J187"/>
    <mergeCell ref="A188:E188"/>
    <mergeCell ref="F188:G188"/>
    <mergeCell ref="I188:J188"/>
    <mergeCell ref="A181:C181"/>
    <mergeCell ref="G181:H181"/>
    <mergeCell ref="I181:J181"/>
    <mergeCell ref="A182:C182"/>
    <mergeCell ref="E182:F182"/>
    <mergeCell ref="G182:H182"/>
    <mergeCell ref="I182:J182"/>
    <mergeCell ref="A183:H183"/>
    <mergeCell ref="I183:J183"/>
    <mergeCell ref="A177:C177"/>
    <mergeCell ref="G177:H177"/>
    <mergeCell ref="I177:J177"/>
    <mergeCell ref="A178:C178"/>
    <mergeCell ref="E178:F178"/>
    <mergeCell ref="G178:H178"/>
    <mergeCell ref="I178:J178"/>
    <mergeCell ref="A179:H179"/>
    <mergeCell ref="I179:J179"/>
    <mergeCell ref="A173:C173"/>
    <mergeCell ref="G173:H173"/>
    <mergeCell ref="I173:J173"/>
    <mergeCell ref="A174:C174"/>
    <mergeCell ref="E174:F174"/>
    <mergeCell ref="G174:H174"/>
    <mergeCell ref="I174:J174"/>
    <mergeCell ref="A175:H175"/>
    <mergeCell ref="I175:J175"/>
    <mergeCell ref="B166:I166"/>
    <mergeCell ref="A167:G167"/>
    <mergeCell ref="A169:J169"/>
    <mergeCell ref="A170:J170"/>
    <mergeCell ref="A171:J171"/>
    <mergeCell ref="A172:C172"/>
    <mergeCell ref="D172:F172"/>
    <mergeCell ref="G172:H172"/>
    <mergeCell ref="I172:J172"/>
    <mergeCell ref="A157:J157"/>
    <mergeCell ref="A158:J158"/>
    <mergeCell ref="A159:I159"/>
    <mergeCell ref="B160:I160"/>
    <mergeCell ref="B161:I161"/>
    <mergeCell ref="B162:I162"/>
    <mergeCell ref="B163:I163"/>
    <mergeCell ref="B164:I164"/>
    <mergeCell ref="A165:I165"/>
    <mergeCell ref="B150:E150"/>
    <mergeCell ref="F150:H150"/>
    <mergeCell ref="B151:E151"/>
    <mergeCell ref="F151:H151"/>
    <mergeCell ref="A152:I152"/>
    <mergeCell ref="B153:J153"/>
    <mergeCell ref="A154:A156"/>
    <mergeCell ref="B154:C156"/>
    <mergeCell ref="D154:F156"/>
    <mergeCell ref="G154:H156"/>
    <mergeCell ref="J154:J156"/>
    <mergeCell ref="A142:I142"/>
    <mergeCell ref="B143:H143"/>
    <mergeCell ref="A144:I144"/>
    <mergeCell ref="B145:H145"/>
    <mergeCell ref="A146:I146"/>
    <mergeCell ref="B147:H147"/>
    <mergeCell ref="K147:L147"/>
    <mergeCell ref="A148:A149"/>
    <mergeCell ref="B148:E149"/>
    <mergeCell ref="F148:H148"/>
    <mergeCell ref="F149:H149"/>
    <mergeCell ref="B133:I133"/>
    <mergeCell ref="B134:I134"/>
    <mergeCell ref="B135:I135"/>
    <mergeCell ref="B136:I136"/>
    <mergeCell ref="A137:I137"/>
    <mergeCell ref="B138:J138"/>
    <mergeCell ref="A139:J139"/>
    <mergeCell ref="A140:J140"/>
    <mergeCell ref="B141:H141"/>
    <mergeCell ref="A123:I123"/>
    <mergeCell ref="A124:J124"/>
    <mergeCell ref="B125:I125"/>
    <mergeCell ref="B126:I126"/>
    <mergeCell ref="B127:I127"/>
    <mergeCell ref="A128:I128"/>
    <mergeCell ref="B129:J129"/>
    <mergeCell ref="A131:J131"/>
    <mergeCell ref="B132:I132"/>
    <mergeCell ref="B114:I114"/>
    <mergeCell ref="B115:I115"/>
    <mergeCell ref="B116:I116"/>
    <mergeCell ref="B117:I117"/>
    <mergeCell ref="A118:I118"/>
    <mergeCell ref="B119:I119"/>
    <mergeCell ref="B120:I120"/>
    <mergeCell ref="B121:I121"/>
    <mergeCell ref="A122:I122"/>
    <mergeCell ref="A107:J107"/>
    <mergeCell ref="A108:B108"/>
    <mergeCell ref="D108:E108"/>
    <mergeCell ref="G108:H108"/>
    <mergeCell ref="A109:F109"/>
    <mergeCell ref="G109:I109"/>
    <mergeCell ref="B111:I111"/>
    <mergeCell ref="B112:I112"/>
    <mergeCell ref="B113:I113"/>
    <mergeCell ref="B97:I97"/>
    <mergeCell ref="B98:I98"/>
    <mergeCell ref="B99:I99"/>
    <mergeCell ref="B100:I100"/>
    <mergeCell ref="B101:I101"/>
    <mergeCell ref="B102:I102"/>
    <mergeCell ref="B103:I103"/>
    <mergeCell ref="A104:I104"/>
    <mergeCell ref="A106:J106"/>
    <mergeCell ref="B86:J86"/>
    <mergeCell ref="B87:J87"/>
    <mergeCell ref="A89:J89"/>
    <mergeCell ref="B90:I90"/>
    <mergeCell ref="B91:I91"/>
    <mergeCell ref="B92:I92"/>
    <mergeCell ref="B93:I93"/>
    <mergeCell ref="A94:I94"/>
    <mergeCell ref="A96:J96"/>
    <mergeCell ref="A79:A82"/>
    <mergeCell ref="B79:D79"/>
    <mergeCell ref="J79:J82"/>
    <mergeCell ref="B80:H80"/>
    <mergeCell ref="B81:H81"/>
    <mergeCell ref="B82:H82"/>
    <mergeCell ref="B83:D83"/>
    <mergeCell ref="B84:I84"/>
    <mergeCell ref="A85:I85"/>
    <mergeCell ref="E79:I79"/>
    <mergeCell ref="E83:I83"/>
    <mergeCell ref="B67:H67"/>
    <mergeCell ref="A68:H68"/>
    <mergeCell ref="B69:J69"/>
    <mergeCell ref="B70:J70"/>
    <mergeCell ref="B72:J72"/>
    <mergeCell ref="B73:I73"/>
    <mergeCell ref="A74:A78"/>
    <mergeCell ref="B74:I74"/>
    <mergeCell ref="J74:J78"/>
    <mergeCell ref="B75:H75"/>
    <mergeCell ref="B76:H76"/>
    <mergeCell ref="B77:H77"/>
    <mergeCell ref="B78:H78"/>
    <mergeCell ref="B58:J58"/>
    <mergeCell ref="B59:H59"/>
    <mergeCell ref="B60:H60"/>
    <mergeCell ref="B61:H61"/>
    <mergeCell ref="B62:D62"/>
    <mergeCell ref="B63:H63"/>
    <mergeCell ref="B64:H64"/>
    <mergeCell ref="B65:H65"/>
    <mergeCell ref="B66:H66"/>
    <mergeCell ref="B49:J49"/>
    <mergeCell ref="A50:J50"/>
    <mergeCell ref="A51:J51"/>
    <mergeCell ref="B52:I52"/>
    <mergeCell ref="B53:I53"/>
    <mergeCell ref="B54:I54"/>
    <mergeCell ref="A55:I55"/>
    <mergeCell ref="B56:J56"/>
    <mergeCell ref="A57:I57"/>
    <mergeCell ref="A42:J42"/>
    <mergeCell ref="A43:J43"/>
    <mergeCell ref="B44:H44"/>
    <mergeCell ref="B45:D45"/>
    <mergeCell ref="G45:I45"/>
    <mergeCell ref="B46:C46"/>
    <mergeCell ref="D46:H46"/>
    <mergeCell ref="B47:I47"/>
    <mergeCell ref="A48:I48"/>
    <mergeCell ref="B37:G37"/>
    <mergeCell ref="H37:J37"/>
    <mergeCell ref="B38:G38"/>
    <mergeCell ref="H38:J38"/>
    <mergeCell ref="B39:G39"/>
    <mergeCell ref="H39:J39"/>
    <mergeCell ref="B40:G40"/>
    <mergeCell ref="H40:J40"/>
    <mergeCell ref="B41:J41"/>
    <mergeCell ref="A30:H30"/>
    <mergeCell ref="I30:J30"/>
    <mergeCell ref="A31:H31"/>
    <mergeCell ref="I31:J31"/>
    <mergeCell ref="A32:J32"/>
    <mergeCell ref="A33:J33"/>
    <mergeCell ref="A34:J34"/>
    <mergeCell ref="A35:J35"/>
    <mergeCell ref="B36:G36"/>
    <mergeCell ref="H36:J36"/>
    <mergeCell ref="A26:F26"/>
    <mergeCell ref="G26:H26"/>
    <mergeCell ref="I26:J26"/>
    <mergeCell ref="A27:F27"/>
    <mergeCell ref="G27:H27"/>
    <mergeCell ref="I27:J27"/>
    <mergeCell ref="A28:H28"/>
    <mergeCell ref="I28:J28"/>
    <mergeCell ref="A29:F29"/>
    <mergeCell ref="G29:H29"/>
    <mergeCell ref="I29:J29"/>
    <mergeCell ref="B21:G21"/>
    <mergeCell ref="H21:J21"/>
    <mergeCell ref="A23:J23"/>
    <mergeCell ref="A24:F24"/>
    <mergeCell ref="G24:H24"/>
    <mergeCell ref="I24:J24"/>
    <mergeCell ref="A25:F25"/>
    <mergeCell ref="G25:H25"/>
    <mergeCell ref="I25:J25"/>
    <mergeCell ref="I15:J15"/>
    <mergeCell ref="A17:J17"/>
    <mergeCell ref="B18:G18"/>
    <mergeCell ref="H18:J18"/>
    <mergeCell ref="B19:G19"/>
    <mergeCell ref="H19:J19"/>
    <mergeCell ref="B20:G20"/>
    <mergeCell ref="H20:J20"/>
    <mergeCell ref="A15:G15"/>
    <mergeCell ref="B11:C11"/>
    <mergeCell ref="E11:F11"/>
    <mergeCell ref="B12:G12"/>
    <mergeCell ref="I12:J12"/>
    <mergeCell ref="B13:D13"/>
    <mergeCell ref="F13:G13"/>
    <mergeCell ref="I13:J13"/>
    <mergeCell ref="A14:G14"/>
    <mergeCell ref="H14:J14"/>
    <mergeCell ref="A1:J1"/>
    <mergeCell ref="A2:J2"/>
    <mergeCell ref="A3:J3"/>
    <mergeCell ref="A4:J4"/>
    <mergeCell ref="A5:J5"/>
    <mergeCell ref="A7:J7"/>
    <mergeCell ref="A8:J8"/>
    <mergeCell ref="A9:C10"/>
    <mergeCell ref="D9:H9"/>
    <mergeCell ref="I9:J9"/>
    <mergeCell ref="D10:F10"/>
    <mergeCell ref="I10:J10"/>
  </mergeCells>
  <conditionalFormatting sqref="A14:G14">
    <cfRule type="expression" dxfId="5" priority="2">
      <formula>LEN(TRIM(A14))&gt;0</formula>
    </cfRule>
  </conditionalFormatting>
  <conditionalFormatting sqref="H14:J14">
    <cfRule type="expression" dxfId="4" priority="3">
      <formula>LEN(TRIM(H14))&gt;0</formula>
    </cfRule>
  </conditionalFormatting>
  <printOptions horizontalCentered="1"/>
  <pageMargins left="0" right="0" top="0.39370078740157483" bottom="0" header="0" footer="0.51181102362204722"/>
  <pageSetup paperSize="9" scale="45" pageOrder="overThenDown" orientation="portrait" r:id="rId1"/>
  <headerFooter>
    <oddHeader>&amp;R&amp;P de &amp;N</oddHeader>
    <oddFooter>&amp;L&amp;F - &amp;A&amp;CPágina &amp;P de &amp;N</oddFooter>
  </headerFooter>
  <rowBreaks count="2" manualBreakCount="2">
    <brk id="82" max="9" man="1"/>
    <brk id="156" max="16383" man="1"/>
  </rowBreaks>
  <colBreaks count="1" manualBreakCount="1">
    <brk id="10" max="202" man="1"/>
  </colBreak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Z999"/>
  <sheetViews>
    <sheetView showGridLines="0" topLeftCell="A190" zoomScaleNormal="100" workbookViewId="0">
      <selection activeCell="C64" sqref="C64"/>
    </sheetView>
  </sheetViews>
  <sheetFormatPr defaultColWidth="14.42578125" defaultRowHeight="14.25" x14ac:dyDescent="0.2"/>
  <cols>
    <col min="1" max="1" width="17.28515625" style="99" customWidth="1"/>
    <col min="2" max="2" width="8" style="99" customWidth="1"/>
    <col min="3" max="3" width="17.28515625" style="99" customWidth="1"/>
    <col min="4" max="7" width="15.42578125" style="99" customWidth="1"/>
    <col min="8" max="8" width="12.28515625" style="99" customWidth="1"/>
    <col min="9" max="9" width="20.42578125" style="99" customWidth="1"/>
    <col min="10" max="10" width="20.5703125" style="99" customWidth="1"/>
    <col min="11" max="11" width="13.28515625" style="99" customWidth="1"/>
    <col min="12" max="12" width="13.85546875" style="99" customWidth="1"/>
    <col min="13" max="26" width="8" style="99" customWidth="1"/>
    <col min="27" max="16384" width="14.42578125" style="99"/>
  </cols>
  <sheetData>
    <row r="1" spans="1:26" ht="12.75" customHeight="1" x14ac:dyDescent="0.2">
      <c r="A1" s="291" t="s">
        <v>0</v>
      </c>
      <c r="B1" s="291"/>
      <c r="C1" s="291"/>
      <c r="D1" s="291"/>
      <c r="E1" s="291"/>
      <c r="F1" s="291"/>
      <c r="G1" s="291"/>
      <c r="H1" s="291"/>
      <c r="I1" s="291"/>
      <c r="J1" s="291"/>
    </row>
    <row r="2" spans="1:26" ht="12.75" customHeight="1" x14ac:dyDescent="0.2">
      <c r="A2" s="291" t="s">
        <v>1</v>
      </c>
      <c r="B2" s="291"/>
      <c r="C2" s="291"/>
      <c r="D2" s="291"/>
      <c r="E2" s="291"/>
      <c r="F2" s="291"/>
      <c r="G2" s="291"/>
      <c r="H2" s="291"/>
      <c r="I2" s="291"/>
      <c r="J2" s="291"/>
    </row>
    <row r="3" spans="1:26" ht="12.75" customHeight="1" x14ac:dyDescent="0.2">
      <c r="A3" s="291" t="s">
        <v>2</v>
      </c>
      <c r="B3" s="291"/>
      <c r="C3" s="291"/>
      <c r="D3" s="291"/>
      <c r="E3" s="291"/>
      <c r="F3" s="291"/>
      <c r="G3" s="291"/>
      <c r="H3" s="291"/>
      <c r="I3" s="291"/>
      <c r="J3" s="291"/>
    </row>
    <row r="4" spans="1:26" ht="12.75" customHeight="1" x14ac:dyDescent="0.2">
      <c r="A4" s="292" t="str">
        <f>'1. SB ABA DE CARREGAMENTO'!A4</f>
        <v>CAMPUS SÃO BORJA</v>
      </c>
      <c r="B4" s="292"/>
      <c r="C4" s="292"/>
      <c r="D4" s="292"/>
      <c r="E4" s="292"/>
      <c r="F4" s="292"/>
      <c r="G4" s="292"/>
      <c r="H4" s="292"/>
      <c r="I4" s="292"/>
      <c r="J4" s="292"/>
    </row>
    <row r="5" spans="1:26" ht="20.25" customHeight="1" x14ac:dyDescent="0.2">
      <c r="A5" s="362" t="s">
        <v>314</v>
      </c>
      <c r="B5" s="362"/>
      <c r="C5" s="362"/>
      <c r="D5" s="362"/>
      <c r="E5" s="362"/>
      <c r="F5" s="362"/>
      <c r="G5" s="362"/>
      <c r="H5" s="362"/>
      <c r="I5" s="362"/>
      <c r="J5" s="362"/>
    </row>
    <row r="6" spans="1:26" ht="9.75" customHeight="1" x14ac:dyDescent="0.2">
      <c r="A6" s="2"/>
      <c r="B6" s="2"/>
      <c r="C6" s="2"/>
      <c r="D6" s="2"/>
      <c r="E6" s="2"/>
      <c r="F6" s="2"/>
      <c r="G6" s="2"/>
      <c r="H6" s="2"/>
      <c r="I6" s="2"/>
      <c r="J6" s="2"/>
      <c r="K6" s="100"/>
      <c r="L6" s="100"/>
      <c r="M6" s="100"/>
      <c r="N6" s="100"/>
      <c r="O6" s="100"/>
      <c r="P6" s="100"/>
      <c r="Q6" s="100"/>
      <c r="R6" s="100"/>
      <c r="S6" s="100"/>
      <c r="T6" s="100"/>
      <c r="U6" s="100"/>
      <c r="V6" s="100"/>
      <c r="W6" s="100"/>
      <c r="X6" s="100"/>
      <c r="Y6" s="100"/>
      <c r="Z6" s="100"/>
    </row>
    <row r="7" spans="1:26" ht="20.25" customHeight="1" x14ac:dyDescent="0.2">
      <c r="A7" s="385" t="str">
        <f>'7. SB Planilha Área Geral'!A7:J7</f>
        <v>IN/MPDG Nº 05/2017 - Anexo VII-D</v>
      </c>
      <c r="B7" s="385"/>
      <c r="C7" s="385"/>
      <c r="D7" s="385"/>
      <c r="E7" s="385"/>
      <c r="F7" s="385"/>
      <c r="G7" s="385"/>
      <c r="H7" s="385"/>
      <c r="I7" s="385"/>
      <c r="J7" s="385"/>
    </row>
    <row r="8" spans="1:26" ht="9.75" customHeight="1" x14ac:dyDescent="0.2">
      <c r="A8" s="466"/>
      <c r="B8" s="466"/>
      <c r="C8" s="466"/>
      <c r="D8" s="466"/>
      <c r="E8" s="466"/>
      <c r="F8" s="466"/>
      <c r="G8" s="466"/>
      <c r="H8" s="466"/>
      <c r="I8" s="466"/>
      <c r="J8" s="466"/>
      <c r="K8" s="100"/>
      <c r="L8" s="100"/>
      <c r="M8" s="100"/>
      <c r="N8" s="100"/>
      <c r="O8" s="100"/>
      <c r="P8" s="100"/>
      <c r="Q8" s="100"/>
      <c r="R8" s="100"/>
      <c r="S8" s="100"/>
      <c r="T8" s="100"/>
      <c r="U8" s="100"/>
      <c r="V8" s="100"/>
      <c r="W8" s="100"/>
      <c r="X8" s="100"/>
      <c r="Y8" s="100"/>
      <c r="Z8" s="100"/>
    </row>
    <row r="9" spans="1:26" ht="17.25" customHeight="1" x14ac:dyDescent="0.2">
      <c r="A9" s="385" t="s">
        <v>565</v>
      </c>
      <c r="B9" s="385"/>
      <c r="C9" s="385"/>
      <c r="D9" s="386" t="s">
        <v>566</v>
      </c>
      <c r="E9" s="386"/>
      <c r="F9" s="386"/>
      <c r="G9" s="386"/>
      <c r="H9" s="386"/>
      <c r="I9" s="387" t="str">
        <f>'1. SB ABA DE CARREGAMENTO'!A4</f>
        <v>CAMPUS SÃO BORJA</v>
      </c>
      <c r="J9" s="387"/>
    </row>
    <row r="10" spans="1:26" ht="17.25" customHeight="1" x14ac:dyDescent="0.2">
      <c r="A10" s="385"/>
      <c r="B10" s="385"/>
      <c r="C10" s="385"/>
      <c r="D10" s="494" t="s">
        <v>567</v>
      </c>
      <c r="E10" s="494"/>
      <c r="F10" s="494"/>
      <c r="G10" s="101">
        <f>'6. SB Cálc DEMO Esq e Fach'!D12</f>
        <v>924.91791666666677</v>
      </c>
      <c r="H10" s="15" t="s">
        <v>318</v>
      </c>
      <c r="I10" s="495" t="s">
        <v>319</v>
      </c>
      <c r="J10" s="495"/>
    </row>
    <row r="11" spans="1:26" ht="28.5" customHeight="1" x14ac:dyDescent="0.2">
      <c r="A11" s="50" t="s">
        <v>320</v>
      </c>
      <c r="B11" s="390" t="str">
        <f>'1. SB ABA DE CARREGAMENTO'!B11</f>
        <v>23243.000810/2021-41</v>
      </c>
      <c r="C11" s="390"/>
      <c r="D11" s="50" t="s">
        <v>321</v>
      </c>
      <c r="E11" s="391" t="str">
        <f>'1. SB ABA DE CARREGAMENTO'!B12</f>
        <v>33 /2021</v>
      </c>
      <c r="F11" s="391"/>
      <c r="G11" s="50" t="s">
        <v>13</v>
      </c>
      <c r="H11" s="51">
        <f>'1. SB ABA DE CARREGAMENTO'!B13</f>
        <v>0</v>
      </c>
      <c r="I11" s="52" t="s">
        <v>14</v>
      </c>
      <c r="J11" s="53" t="str">
        <f>'1. SB ABA DE CARREGAMENTO'!B14</f>
        <v>09h (Horário de Brasília)</v>
      </c>
    </row>
    <row r="12" spans="1:26" ht="17.25" customHeight="1" x14ac:dyDescent="0.2">
      <c r="A12" s="54" t="s">
        <v>15</v>
      </c>
      <c r="B12" s="392" t="str">
        <f>'1. SB ABA DE CARREGAMENTO'!B15</f>
        <v>xxxx xxxx xxxx</v>
      </c>
      <c r="C12" s="392"/>
      <c r="D12" s="392"/>
      <c r="E12" s="392"/>
      <c r="F12" s="392"/>
      <c r="G12" s="392"/>
      <c r="H12" s="55" t="s">
        <v>322</v>
      </c>
      <c r="I12" s="393" t="str">
        <f>'1. SB ABA DE CARREGAMENTO'!B16</f>
        <v>zz.zzz.zzz/zzzz-zz</v>
      </c>
      <c r="J12" s="393"/>
    </row>
    <row r="13" spans="1:26" ht="17.25" customHeight="1" x14ac:dyDescent="0.2">
      <c r="A13" s="54" t="s">
        <v>323</v>
      </c>
      <c r="B13" s="392" t="str">
        <f>'1. SB ABA DE CARREGAMENTO'!B17</f>
        <v>Nome Completo</v>
      </c>
      <c r="C13" s="392"/>
      <c r="D13" s="392"/>
      <c r="E13" s="54" t="s">
        <v>324</v>
      </c>
      <c r="F13" s="394" t="str">
        <f>'1. SB ABA DE CARREGAMENTO'!B18</f>
        <v>yyy.yyy.yyy-yy</v>
      </c>
      <c r="G13" s="394"/>
      <c r="H13" s="54" t="s">
        <v>325</v>
      </c>
      <c r="I13" s="496" t="str">
        <f>'1. SB ABA DE CARREGAMENTO'!B19</f>
        <v>tttt ttt t ttt</v>
      </c>
      <c r="J13" s="496"/>
    </row>
    <row r="14" spans="1:26" ht="17.25" customHeight="1" x14ac:dyDescent="0.2">
      <c r="A14" s="396" t="str">
        <f>IF('1. SB ABA DE CARREGAMENTO'!B15="","PLANILHA CUSTOS E FORMAÇÃO DE PREÇOS DA ADMINISTRAÇÃO DO","")</f>
        <v/>
      </c>
      <c r="B14" s="396"/>
      <c r="C14" s="396"/>
      <c r="D14" s="396"/>
      <c r="E14" s="396"/>
      <c r="F14" s="396"/>
      <c r="G14" s="396"/>
      <c r="H14" s="397" t="str">
        <f>IF('1. SB ABA DE CARREGAMENTO'!B15="",'1. SB ABA DE CARREGAMENTO'!A4,"")</f>
        <v/>
      </c>
      <c r="I14" s="397"/>
      <c r="J14" s="397"/>
    </row>
    <row r="15" spans="1:26" ht="30.75" customHeight="1" x14ac:dyDescent="0.2">
      <c r="A15" s="401" t="s">
        <v>651</v>
      </c>
      <c r="B15" s="401"/>
      <c r="C15" s="401"/>
      <c r="D15" s="401"/>
      <c r="E15" s="401"/>
      <c r="F15" s="401"/>
      <c r="G15" s="401"/>
      <c r="H15" s="19">
        <f>'1. SB ABA DE CARREGAMENTO'!B51</f>
        <v>1</v>
      </c>
      <c r="I15" s="398" t="str">
        <f>IF(H15=1,"LUCRO REAL",IF(H15=2,"LUCRO PRESUMIDO",IF(H15=3,"SIMPLES-Anexo III",IF(H15=4,"SIMPLES-Anexo IV",IF(H15=5,"LUCRO REAL - PIS/COFINS Não Cumulativo","RT Inválido")))))</f>
        <v>LUCRO REAL</v>
      </c>
      <c r="J15" s="398"/>
    </row>
    <row r="16" spans="1:26" ht="17.25" customHeight="1" x14ac:dyDescent="0.2">
      <c r="A16" s="2"/>
      <c r="B16" s="2"/>
      <c r="C16" s="2"/>
      <c r="D16" s="2"/>
      <c r="E16" s="2"/>
      <c r="F16" s="2"/>
      <c r="G16" s="2"/>
      <c r="H16" s="2"/>
      <c r="I16" s="2"/>
      <c r="J16" s="2"/>
      <c r="K16" s="100"/>
      <c r="L16" s="100"/>
      <c r="M16" s="100"/>
      <c r="N16" s="100"/>
      <c r="O16" s="100"/>
      <c r="P16" s="100"/>
      <c r="Q16" s="100"/>
      <c r="R16" s="100"/>
      <c r="S16" s="100"/>
      <c r="T16" s="100"/>
      <c r="U16" s="100"/>
      <c r="V16" s="100"/>
      <c r="W16" s="100"/>
      <c r="X16" s="100"/>
      <c r="Y16" s="100"/>
      <c r="Z16" s="100"/>
    </row>
    <row r="17" spans="1:26" ht="17.25" customHeight="1" x14ac:dyDescent="0.2">
      <c r="A17" s="385" t="s">
        <v>326</v>
      </c>
      <c r="B17" s="385"/>
      <c r="C17" s="385"/>
      <c r="D17" s="385"/>
      <c r="E17" s="385"/>
      <c r="F17" s="385"/>
      <c r="G17" s="385"/>
      <c r="H17" s="385"/>
      <c r="I17" s="385"/>
      <c r="J17" s="385"/>
    </row>
    <row r="18" spans="1:26" ht="17.25" customHeight="1" x14ac:dyDescent="0.2">
      <c r="A18" s="20" t="s">
        <v>327</v>
      </c>
      <c r="B18" s="399" t="s">
        <v>328</v>
      </c>
      <c r="C18" s="399"/>
      <c r="D18" s="399"/>
      <c r="E18" s="399"/>
      <c r="F18" s="399"/>
      <c r="G18" s="399"/>
      <c r="H18" s="400">
        <f ca="1">'1. SB ABA DE CARREGAMENTO'!B54</f>
        <v>44609</v>
      </c>
      <c r="I18" s="400"/>
      <c r="J18" s="400"/>
    </row>
    <row r="19" spans="1:26" ht="17.25" customHeight="1" x14ac:dyDescent="0.2">
      <c r="A19" s="20" t="s">
        <v>329</v>
      </c>
      <c r="B19" s="399" t="s">
        <v>58</v>
      </c>
      <c r="C19" s="399"/>
      <c r="D19" s="399"/>
      <c r="E19" s="399"/>
      <c r="F19" s="399"/>
      <c r="G19" s="399"/>
      <c r="H19" s="400" t="str">
        <f>'1. SB ABA DE CARREGAMENTO'!B55</f>
        <v>São Borja/RS</v>
      </c>
      <c r="I19" s="400"/>
      <c r="J19" s="400"/>
    </row>
    <row r="20" spans="1:26" ht="34.5" customHeight="1" x14ac:dyDescent="0.2">
      <c r="A20" s="20" t="s">
        <v>330</v>
      </c>
      <c r="B20" s="399" t="s">
        <v>331</v>
      </c>
      <c r="C20" s="399"/>
      <c r="D20" s="399"/>
      <c r="E20" s="399"/>
      <c r="F20" s="399"/>
      <c r="G20" s="399"/>
      <c r="H20" s="400" t="str">
        <f>'1. SB ABA DE CARREGAMENTO'!B56</f>
        <v>CCT Sindasseio 2022/2022 - Registro MTE: RS005021/2021</v>
      </c>
      <c r="I20" s="400"/>
      <c r="J20" s="400"/>
    </row>
    <row r="21" spans="1:26" ht="17.25" customHeight="1" x14ac:dyDescent="0.2">
      <c r="A21" s="20" t="s">
        <v>332</v>
      </c>
      <c r="B21" s="399" t="s">
        <v>333</v>
      </c>
      <c r="C21" s="399"/>
      <c r="D21" s="399"/>
      <c r="E21" s="399"/>
      <c r="F21" s="399"/>
      <c r="G21" s="399"/>
      <c r="H21" s="402">
        <f>'1. SB ABA DE CARREGAMENTO'!B57</f>
        <v>20</v>
      </c>
      <c r="I21" s="402"/>
      <c r="J21" s="402"/>
    </row>
    <row r="22" spans="1:26" ht="17.25" customHeight="1" x14ac:dyDescent="0.2">
      <c r="A22" s="2"/>
      <c r="B22" s="2"/>
      <c r="C22" s="2"/>
      <c r="D22" s="2"/>
      <c r="E22" s="2"/>
      <c r="F22" s="2"/>
      <c r="G22" s="2"/>
      <c r="H22" s="2"/>
      <c r="I22" s="2"/>
      <c r="J22" s="2"/>
      <c r="K22" s="100"/>
      <c r="L22" s="100"/>
      <c r="M22" s="100"/>
      <c r="N22" s="100"/>
      <c r="O22" s="100"/>
      <c r="P22" s="100"/>
      <c r="Q22" s="100"/>
      <c r="R22" s="100"/>
      <c r="S22" s="100"/>
      <c r="T22" s="100"/>
      <c r="U22" s="100"/>
      <c r="V22" s="100"/>
      <c r="W22" s="100"/>
      <c r="X22" s="100"/>
      <c r="Y22" s="100"/>
      <c r="Z22" s="100"/>
    </row>
    <row r="23" spans="1:26" ht="17.25" customHeight="1" x14ac:dyDescent="0.2">
      <c r="A23" s="385" t="s">
        <v>334</v>
      </c>
      <c r="B23" s="385"/>
      <c r="C23" s="385"/>
      <c r="D23" s="385"/>
      <c r="E23" s="385"/>
      <c r="F23" s="385"/>
      <c r="G23" s="385"/>
      <c r="H23" s="385"/>
      <c r="I23" s="385"/>
      <c r="J23" s="385"/>
    </row>
    <row r="24" spans="1:26" ht="17.25" customHeight="1" x14ac:dyDescent="0.2">
      <c r="A24" s="403" t="s">
        <v>335</v>
      </c>
      <c r="B24" s="403"/>
      <c r="C24" s="403"/>
      <c r="D24" s="403"/>
      <c r="E24" s="403"/>
      <c r="F24" s="403"/>
      <c r="G24" s="403" t="s">
        <v>336</v>
      </c>
      <c r="H24" s="403"/>
      <c r="I24" s="403" t="s">
        <v>337</v>
      </c>
      <c r="J24" s="403"/>
    </row>
    <row r="25" spans="1:26" ht="17.25" customHeight="1" x14ac:dyDescent="0.2">
      <c r="A25" s="404" t="s">
        <v>568</v>
      </c>
      <c r="B25" s="404"/>
      <c r="C25" s="404"/>
      <c r="D25" s="404"/>
      <c r="E25" s="404"/>
      <c r="F25" s="404"/>
      <c r="G25" s="405" t="s">
        <v>339</v>
      </c>
      <c r="H25" s="405"/>
      <c r="I25" s="406">
        <f>'6. SB Cálc DEMO Esq e Fach'!$D$8</f>
        <v>109.47458333333331</v>
      </c>
      <c r="J25" s="406"/>
    </row>
    <row r="26" spans="1:26" ht="17.25" customHeight="1" x14ac:dyDescent="0.2">
      <c r="A26" s="404" t="s">
        <v>569</v>
      </c>
      <c r="B26" s="404"/>
      <c r="C26" s="404"/>
      <c r="D26" s="404"/>
      <c r="E26" s="404"/>
      <c r="F26" s="404"/>
      <c r="G26" s="405" t="s">
        <v>339</v>
      </c>
      <c r="H26" s="405"/>
      <c r="I26" s="406">
        <f>'6. SB Cálc DEMO Esq e Fach'!$D$9</f>
        <v>38.932916666666671</v>
      </c>
      <c r="J26" s="406"/>
    </row>
    <row r="27" spans="1:26" ht="17.25" customHeight="1" x14ac:dyDescent="0.2">
      <c r="A27" s="404" t="s">
        <v>570</v>
      </c>
      <c r="B27" s="404"/>
      <c r="C27" s="404"/>
      <c r="D27" s="404"/>
      <c r="E27" s="404"/>
      <c r="F27" s="404"/>
      <c r="G27" s="405" t="s">
        <v>339</v>
      </c>
      <c r="H27" s="405"/>
      <c r="I27" s="406">
        <f>'6. SB Cálc DEMO Esq e Fach'!$D$10</f>
        <v>776.51041666666674</v>
      </c>
      <c r="J27" s="406"/>
    </row>
    <row r="28" spans="1:26" ht="17.25" customHeight="1" x14ac:dyDescent="0.2">
      <c r="A28" s="408" t="s">
        <v>571</v>
      </c>
      <c r="B28" s="408"/>
      <c r="C28" s="408"/>
      <c r="D28" s="408"/>
      <c r="E28" s="408"/>
      <c r="F28" s="408"/>
      <c r="G28" s="408"/>
      <c r="H28" s="408"/>
      <c r="I28" s="409">
        <f>SUM(I25:J27)</f>
        <v>924.91791666666677</v>
      </c>
      <c r="J28" s="409"/>
    </row>
    <row r="29" spans="1:26" ht="17.25" customHeight="1" x14ac:dyDescent="0.2">
      <c r="A29" s="404" t="s">
        <v>572</v>
      </c>
      <c r="B29" s="404"/>
      <c r="C29" s="404"/>
      <c r="D29" s="404"/>
      <c r="E29" s="404"/>
      <c r="F29" s="404"/>
      <c r="G29" s="405" t="s">
        <v>339</v>
      </c>
      <c r="H29" s="405"/>
      <c r="I29" s="407">
        <f>'6. SB Cálc DEMO Esq e Fach'!$D$11</f>
        <v>0</v>
      </c>
      <c r="J29" s="407"/>
    </row>
    <row r="30" spans="1:26" ht="17.25" customHeight="1" x14ac:dyDescent="0.2">
      <c r="A30" s="408" t="s">
        <v>573</v>
      </c>
      <c r="B30" s="408"/>
      <c r="C30" s="408"/>
      <c r="D30" s="408"/>
      <c r="E30" s="408"/>
      <c r="F30" s="408"/>
      <c r="G30" s="408"/>
      <c r="H30" s="408"/>
      <c r="I30" s="409">
        <f>I29</f>
        <v>0</v>
      </c>
      <c r="J30" s="409"/>
    </row>
    <row r="31" spans="1:26" ht="17.25" customHeight="1" x14ac:dyDescent="0.2">
      <c r="A31" s="404" t="s">
        <v>359</v>
      </c>
      <c r="B31" s="404"/>
      <c r="C31" s="404"/>
      <c r="D31" s="404"/>
      <c r="E31" s="404"/>
      <c r="F31" s="404"/>
      <c r="G31" s="405" t="s">
        <v>339</v>
      </c>
      <c r="H31" s="405"/>
      <c r="I31" s="410">
        <v>0</v>
      </c>
      <c r="J31" s="410"/>
    </row>
    <row r="32" spans="1:26" ht="17.25" customHeight="1" x14ac:dyDescent="0.2">
      <c r="A32" s="408" t="s">
        <v>360</v>
      </c>
      <c r="B32" s="408"/>
      <c r="C32" s="408"/>
      <c r="D32" s="408"/>
      <c r="E32" s="408"/>
      <c r="F32" s="408"/>
      <c r="G32" s="408"/>
      <c r="H32" s="408"/>
      <c r="I32" s="409">
        <f>I31</f>
        <v>0</v>
      </c>
      <c r="J32" s="409"/>
    </row>
    <row r="33" spans="1:10" ht="17.25" customHeight="1" x14ac:dyDescent="0.2">
      <c r="A33" s="408" t="s">
        <v>574</v>
      </c>
      <c r="B33" s="408"/>
      <c r="C33" s="408"/>
      <c r="D33" s="408"/>
      <c r="E33" s="408"/>
      <c r="F33" s="408"/>
      <c r="G33" s="408"/>
      <c r="H33" s="408"/>
      <c r="I33" s="409">
        <f>I32+I30+I28</f>
        <v>924.91791666666677</v>
      </c>
      <c r="J33" s="409"/>
    </row>
    <row r="34" spans="1:10" ht="17.25" customHeight="1" x14ac:dyDescent="0.2">
      <c r="A34" s="506"/>
      <c r="B34" s="506"/>
      <c r="C34" s="506"/>
      <c r="D34" s="506"/>
      <c r="E34" s="506"/>
      <c r="F34" s="506"/>
      <c r="G34" s="506"/>
      <c r="H34" s="506"/>
      <c r="I34" s="506"/>
      <c r="J34" s="506"/>
    </row>
    <row r="35" spans="1:10" ht="17.25" customHeight="1" x14ac:dyDescent="0.2">
      <c r="A35" s="385" t="s">
        <v>362</v>
      </c>
      <c r="B35" s="385"/>
      <c r="C35" s="385"/>
      <c r="D35" s="385"/>
      <c r="E35" s="385"/>
      <c r="F35" s="385"/>
      <c r="G35" s="385"/>
      <c r="H35" s="385"/>
      <c r="I35" s="385"/>
      <c r="J35" s="385"/>
    </row>
    <row r="36" spans="1:10" ht="17.25" customHeight="1" x14ac:dyDescent="0.2">
      <c r="A36" s="385" t="s">
        <v>363</v>
      </c>
      <c r="B36" s="385"/>
      <c r="C36" s="385"/>
      <c r="D36" s="385"/>
      <c r="E36" s="385"/>
      <c r="F36" s="385"/>
      <c r="G36" s="385"/>
      <c r="H36" s="385"/>
      <c r="I36" s="385"/>
      <c r="J36" s="385"/>
    </row>
    <row r="37" spans="1:10" ht="17.25" customHeight="1" x14ac:dyDescent="0.2">
      <c r="A37" s="385" t="s">
        <v>364</v>
      </c>
      <c r="B37" s="385"/>
      <c r="C37" s="385"/>
      <c r="D37" s="385"/>
      <c r="E37" s="385"/>
      <c r="F37" s="385"/>
      <c r="G37" s="385"/>
      <c r="H37" s="385"/>
      <c r="I37" s="385"/>
      <c r="J37" s="385"/>
    </row>
    <row r="38" spans="1:10" ht="17.25" customHeight="1" x14ac:dyDescent="0.2">
      <c r="A38" s="56">
        <v>1</v>
      </c>
      <c r="B38" s="412" t="s">
        <v>63</v>
      </c>
      <c r="C38" s="412"/>
      <c r="D38" s="412"/>
      <c r="E38" s="412"/>
      <c r="F38" s="412"/>
      <c r="G38" s="412"/>
      <c r="H38" s="413" t="str">
        <f>'1. SB ABA DE CARREGAMENTO'!B60</f>
        <v>Limpeza, Asseio e Conservação</v>
      </c>
      <c r="I38" s="413"/>
      <c r="J38" s="413"/>
    </row>
    <row r="39" spans="1:10" ht="17.25" customHeight="1" x14ac:dyDescent="0.2">
      <c r="A39" s="56">
        <v>2</v>
      </c>
      <c r="B39" s="412" t="s">
        <v>65</v>
      </c>
      <c r="C39" s="412"/>
      <c r="D39" s="412"/>
      <c r="E39" s="412"/>
      <c r="F39" s="412"/>
      <c r="G39" s="412"/>
      <c r="H39" s="413">
        <f>'1. SB ABA DE CARREGAMENTO'!C61</f>
        <v>5143</v>
      </c>
      <c r="I39" s="413"/>
      <c r="J39" s="413"/>
    </row>
    <row r="40" spans="1:10" ht="17.25" customHeight="1" x14ac:dyDescent="0.2">
      <c r="A40" s="56">
        <v>3</v>
      </c>
      <c r="B40" s="412" t="s">
        <v>67</v>
      </c>
      <c r="C40" s="412"/>
      <c r="D40" s="412"/>
      <c r="E40" s="412"/>
      <c r="F40" s="412"/>
      <c r="G40" s="412"/>
      <c r="H40" s="414">
        <f>'1. SB ABA DE CARREGAMENTO'!C63</f>
        <v>1314.09</v>
      </c>
      <c r="I40" s="414"/>
      <c r="J40" s="414"/>
    </row>
    <row r="41" spans="1:10" ht="17.25" customHeight="1" x14ac:dyDescent="0.2">
      <c r="A41" s="56">
        <v>4</v>
      </c>
      <c r="B41" s="412" t="s">
        <v>68</v>
      </c>
      <c r="C41" s="412"/>
      <c r="D41" s="412"/>
      <c r="E41" s="412"/>
      <c r="F41" s="412"/>
      <c r="G41" s="412"/>
      <c r="H41" s="413" t="str">
        <f>'1. SB ABA DE CARREGAMENTO'!C64</f>
        <v>Servente de Limpeza</v>
      </c>
      <c r="I41" s="413"/>
      <c r="J41" s="413"/>
    </row>
    <row r="42" spans="1:10" ht="17.25" customHeight="1" x14ac:dyDescent="0.2">
      <c r="A42" s="56">
        <v>5</v>
      </c>
      <c r="B42" s="412" t="s">
        <v>70</v>
      </c>
      <c r="C42" s="412"/>
      <c r="D42" s="412"/>
      <c r="E42" s="412"/>
      <c r="F42" s="412"/>
      <c r="G42" s="412"/>
      <c r="H42" s="415">
        <f>'1. SB ABA DE CARREGAMENTO'!C65</f>
        <v>44562</v>
      </c>
      <c r="I42" s="415"/>
      <c r="J42" s="415"/>
    </row>
    <row r="43" spans="1:10" ht="17.25" customHeight="1" x14ac:dyDescent="0.2">
      <c r="A43" s="57" t="s">
        <v>365</v>
      </c>
      <c r="B43" s="416" t="s">
        <v>366</v>
      </c>
      <c r="C43" s="416"/>
      <c r="D43" s="416"/>
      <c r="E43" s="416"/>
      <c r="F43" s="416"/>
      <c r="G43" s="416"/>
      <c r="H43" s="416"/>
      <c r="I43" s="416"/>
      <c r="J43" s="416"/>
    </row>
    <row r="44" spans="1:10" ht="17.25" customHeight="1" x14ac:dyDescent="0.2">
      <c r="A44" s="498"/>
      <c r="B44" s="498"/>
      <c r="C44" s="498"/>
      <c r="D44" s="498"/>
      <c r="E44" s="498"/>
      <c r="F44" s="498"/>
      <c r="G44" s="498"/>
      <c r="H44" s="498"/>
      <c r="I44" s="498"/>
      <c r="J44" s="498"/>
    </row>
    <row r="45" spans="1:10" ht="17.25" customHeight="1" x14ac:dyDescent="0.2">
      <c r="A45" s="385" t="s">
        <v>367</v>
      </c>
      <c r="B45" s="385"/>
      <c r="C45" s="385"/>
      <c r="D45" s="385"/>
      <c r="E45" s="385"/>
      <c r="F45" s="385"/>
      <c r="G45" s="385"/>
      <c r="H45" s="385"/>
      <c r="I45" s="385"/>
      <c r="J45" s="385"/>
    </row>
    <row r="46" spans="1:10" ht="17.25" customHeight="1" x14ac:dyDescent="0.2">
      <c r="A46" s="19">
        <v>1</v>
      </c>
      <c r="B46" s="385" t="s">
        <v>368</v>
      </c>
      <c r="C46" s="385"/>
      <c r="D46" s="385"/>
      <c r="E46" s="385"/>
      <c r="F46" s="385"/>
      <c r="G46" s="385"/>
      <c r="H46" s="385"/>
      <c r="I46" s="5" t="s">
        <v>369</v>
      </c>
      <c r="J46" s="19" t="s">
        <v>370</v>
      </c>
    </row>
    <row r="47" spans="1:10" ht="17.25" customHeight="1" x14ac:dyDescent="0.2">
      <c r="A47" s="20" t="s">
        <v>327</v>
      </c>
      <c r="B47" s="417" t="s">
        <v>653</v>
      </c>
      <c r="C47" s="417"/>
      <c r="D47" s="417"/>
      <c r="E47" s="58">
        <f>'1. SB ABA DE CARREGAMENTO'!C68</f>
        <v>44</v>
      </c>
      <c r="F47" s="59" t="s">
        <v>371</v>
      </c>
      <c r="G47" s="418" t="str">
        <f>'1. SB ABA DE CARREGAMENTO'!B62</f>
        <v>Cláusula Quarta da CCT 2022/2022</v>
      </c>
      <c r="H47" s="418"/>
      <c r="I47" s="418"/>
      <c r="J47" s="81">
        <f>H40/44*'1. SB ABA DE CARREGAMENTO'!C68</f>
        <v>1314.09</v>
      </c>
    </row>
    <row r="48" spans="1:10" ht="17.25" customHeight="1" x14ac:dyDescent="0.2">
      <c r="A48" s="20" t="s">
        <v>329</v>
      </c>
      <c r="B48" s="417" t="s">
        <v>372</v>
      </c>
      <c r="C48" s="417"/>
      <c r="D48" s="418" t="str">
        <f>'1. SB ABA DE CARREGAMENTO'!B69</f>
        <v>Cláusula Décima Sétima da CCT 2022/2022</v>
      </c>
      <c r="E48" s="418"/>
      <c r="F48" s="418"/>
      <c r="G48" s="418"/>
      <c r="H48" s="418"/>
      <c r="I48" s="82">
        <f>'1. SB ABA DE CARREGAMENTO'!C71</f>
        <v>0.2</v>
      </c>
      <c r="J48" s="81">
        <f>ROUND(I48*J47,2)</f>
        <v>262.82</v>
      </c>
    </row>
    <row r="49" spans="1:10" ht="17.25" customHeight="1" x14ac:dyDescent="0.2">
      <c r="A49" s="20" t="s">
        <v>330</v>
      </c>
      <c r="B49" s="399" t="s">
        <v>654</v>
      </c>
      <c r="C49" s="399"/>
      <c r="D49" s="399"/>
      <c r="E49" s="399"/>
      <c r="F49" s="399"/>
      <c r="G49" s="399"/>
      <c r="H49" s="399"/>
      <c r="I49" s="399"/>
      <c r="J49" s="81">
        <v>0</v>
      </c>
    </row>
    <row r="50" spans="1:10" ht="17.25" customHeight="1" x14ac:dyDescent="0.2">
      <c r="A50" s="419" t="s">
        <v>373</v>
      </c>
      <c r="B50" s="419"/>
      <c r="C50" s="419"/>
      <c r="D50" s="419"/>
      <c r="E50" s="419"/>
      <c r="F50" s="419"/>
      <c r="G50" s="419"/>
      <c r="H50" s="419"/>
      <c r="I50" s="419"/>
      <c r="J50" s="9">
        <f>SUM(J47:J49)</f>
        <v>1576.9099999999999</v>
      </c>
    </row>
    <row r="51" spans="1:10" ht="17.25" customHeight="1" x14ac:dyDescent="0.2">
      <c r="A51" s="60" t="s">
        <v>374</v>
      </c>
      <c r="B51" s="420" t="s">
        <v>548</v>
      </c>
      <c r="C51" s="420"/>
      <c r="D51" s="420"/>
      <c r="E51" s="420"/>
      <c r="F51" s="420"/>
      <c r="G51" s="420"/>
      <c r="H51" s="420"/>
      <c r="I51" s="420"/>
      <c r="J51" s="420"/>
    </row>
    <row r="52" spans="1:10" ht="17.25" customHeight="1" x14ac:dyDescent="0.2">
      <c r="A52" s="502"/>
      <c r="B52" s="502"/>
      <c r="C52" s="502"/>
      <c r="D52" s="502"/>
      <c r="E52" s="502"/>
      <c r="F52" s="502"/>
      <c r="G52" s="502"/>
      <c r="H52" s="502"/>
      <c r="I52" s="502"/>
      <c r="J52" s="502"/>
    </row>
    <row r="53" spans="1:10" ht="17.25" customHeight="1" x14ac:dyDescent="0.2">
      <c r="A53" s="385" t="s">
        <v>376</v>
      </c>
      <c r="B53" s="385"/>
      <c r="C53" s="385"/>
      <c r="D53" s="385"/>
      <c r="E53" s="385"/>
      <c r="F53" s="385"/>
      <c r="G53" s="385"/>
      <c r="H53" s="385"/>
      <c r="I53" s="385"/>
      <c r="J53" s="385"/>
    </row>
    <row r="54" spans="1:10" ht="17.25" customHeight="1" x14ac:dyDescent="0.2">
      <c r="A54" s="19" t="s">
        <v>377</v>
      </c>
      <c r="B54" s="385" t="s">
        <v>378</v>
      </c>
      <c r="C54" s="385"/>
      <c r="D54" s="385"/>
      <c r="E54" s="385"/>
      <c r="F54" s="385"/>
      <c r="G54" s="385"/>
      <c r="H54" s="385"/>
      <c r="I54" s="385"/>
      <c r="J54" s="19" t="s">
        <v>379</v>
      </c>
    </row>
    <row r="55" spans="1:10" ht="17.25" customHeight="1" x14ac:dyDescent="0.2">
      <c r="A55" s="20" t="s">
        <v>327</v>
      </c>
      <c r="B55" s="399" t="s">
        <v>655</v>
      </c>
      <c r="C55" s="399"/>
      <c r="D55" s="399"/>
      <c r="E55" s="399"/>
      <c r="F55" s="399"/>
      <c r="G55" s="399"/>
      <c r="H55" s="399"/>
      <c r="I55" s="399"/>
      <c r="J55" s="64">
        <f>ROUND(J50/12,2)</f>
        <v>131.41</v>
      </c>
    </row>
    <row r="56" spans="1:10" ht="17.25" customHeight="1" x14ac:dyDescent="0.2">
      <c r="A56" s="20" t="s">
        <v>329</v>
      </c>
      <c r="B56" s="421" t="s">
        <v>711</v>
      </c>
      <c r="C56" s="421"/>
      <c r="D56" s="421"/>
      <c r="E56" s="421"/>
      <c r="F56" s="421"/>
      <c r="G56" s="421"/>
      <c r="H56" s="421"/>
      <c r="I56" s="421"/>
      <c r="J56" s="64">
        <f>ROUND(J50*3.025%,2)</f>
        <v>47.7</v>
      </c>
    </row>
    <row r="57" spans="1:10" ht="17.25" customHeight="1" x14ac:dyDescent="0.2">
      <c r="A57" s="419" t="s">
        <v>380</v>
      </c>
      <c r="B57" s="419"/>
      <c r="C57" s="419"/>
      <c r="D57" s="419"/>
      <c r="E57" s="419"/>
      <c r="F57" s="419"/>
      <c r="G57" s="419"/>
      <c r="H57" s="419"/>
      <c r="I57" s="419"/>
      <c r="J57" s="8">
        <f>SUM(J55:J56)</f>
        <v>179.11</v>
      </c>
    </row>
    <row r="58" spans="1:10" ht="27.75" customHeight="1" x14ac:dyDescent="0.2">
      <c r="A58" s="60" t="s">
        <v>381</v>
      </c>
      <c r="B58" s="420" t="s">
        <v>382</v>
      </c>
      <c r="C58" s="420"/>
      <c r="D58" s="420"/>
      <c r="E58" s="420"/>
      <c r="F58" s="420"/>
      <c r="G58" s="420"/>
      <c r="H58" s="420"/>
      <c r="I58" s="420"/>
      <c r="J58" s="420"/>
    </row>
    <row r="59" spans="1:10" ht="17.25" customHeight="1" x14ac:dyDescent="0.2">
      <c r="A59" s="500"/>
      <c r="B59" s="500"/>
      <c r="C59" s="500"/>
      <c r="D59" s="500"/>
      <c r="E59" s="500"/>
      <c r="F59" s="500"/>
      <c r="G59" s="500"/>
      <c r="H59" s="500"/>
      <c r="I59" s="500"/>
      <c r="J59" s="83"/>
    </row>
    <row r="60" spans="1:10" ht="30.75" customHeight="1" x14ac:dyDescent="0.2">
      <c r="A60" s="19" t="s">
        <v>383</v>
      </c>
      <c r="B60" s="385" t="s">
        <v>575</v>
      </c>
      <c r="C60" s="385"/>
      <c r="D60" s="385"/>
      <c r="E60" s="385"/>
      <c r="F60" s="385"/>
      <c r="G60" s="385"/>
      <c r="H60" s="385"/>
      <c r="I60" s="385"/>
      <c r="J60" s="385"/>
    </row>
    <row r="61" spans="1:10" ht="17.25" customHeight="1" x14ac:dyDescent="0.2">
      <c r="A61" s="19"/>
      <c r="B61" s="385" t="s">
        <v>385</v>
      </c>
      <c r="C61" s="385"/>
      <c r="D61" s="385"/>
      <c r="E61" s="385"/>
      <c r="F61" s="385"/>
      <c r="G61" s="385"/>
      <c r="H61" s="385"/>
      <c r="I61" s="19" t="s">
        <v>369</v>
      </c>
      <c r="J61" s="19" t="s">
        <v>379</v>
      </c>
    </row>
    <row r="62" spans="1:10" ht="17.25" customHeight="1" x14ac:dyDescent="0.2">
      <c r="A62" s="20" t="s">
        <v>327</v>
      </c>
      <c r="B62" s="399" t="s">
        <v>80</v>
      </c>
      <c r="C62" s="399"/>
      <c r="D62" s="399"/>
      <c r="E62" s="399"/>
      <c r="F62" s="399"/>
      <c r="G62" s="399"/>
      <c r="H62" s="399"/>
      <c r="I62" s="62">
        <f>'1. SB ABA DE CARREGAMENTO'!C78</f>
        <v>0.2</v>
      </c>
      <c r="J62" s="64">
        <f>ROUND((J50+J57)*I62,2)</f>
        <v>351.2</v>
      </c>
    </row>
    <row r="63" spans="1:10" ht="17.25" customHeight="1" x14ac:dyDescent="0.2">
      <c r="A63" s="20" t="s">
        <v>329</v>
      </c>
      <c r="B63" s="399" t="s">
        <v>81</v>
      </c>
      <c r="C63" s="399"/>
      <c r="D63" s="399"/>
      <c r="E63" s="399"/>
      <c r="F63" s="399"/>
      <c r="G63" s="399"/>
      <c r="H63" s="399"/>
      <c r="I63" s="62">
        <f>IF($H$15=1,'1. SB ABA DE CARREGAMENTO'!C79,IF($H$15=2,'1. SB ABA DE CARREGAMENTO'!C79,0))</f>
        <v>2.5000000000000001E-2</v>
      </c>
      <c r="J63" s="64">
        <f>ROUND((J50+J57)*I63,2)</f>
        <v>43.9</v>
      </c>
    </row>
    <row r="64" spans="1:10" ht="36" customHeight="1" x14ac:dyDescent="0.2">
      <c r="A64" s="20" t="s">
        <v>330</v>
      </c>
      <c r="B64" s="399" t="s">
        <v>82</v>
      </c>
      <c r="C64" s="399"/>
      <c r="D64" s="399"/>
      <c r="E64" s="61" t="s">
        <v>386</v>
      </c>
      <c r="F64" s="62">
        <f>'1. SB ABA DE CARREGAMENTO'!$B$74</f>
        <v>0.03</v>
      </c>
      <c r="G64" s="61" t="s">
        <v>387</v>
      </c>
      <c r="H64" s="63">
        <f>'1. SB ABA DE CARREGAMENTO'!$B$75</f>
        <v>1</v>
      </c>
      <c r="I64" s="62">
        <f>'1. SB ABA DE CARREGAMENTO'!C80</f>
        <v>0.03</v>
      </c>
      <c r="J64" s="64">
        <f>ROUND((J50+J57)*I64,2)</f>
        <v>52.68</v>
      </c>
    </row>
    <row r="65" spans="1:10" ht="17.25" customHeight="1" x14ac:dyDescent="0.2">
      <c r="A65" s="20" t="s">
        <v>332</v>
      </c>
      <c r="B65" s="399" t="s">
        <v>83</v>
      </c>
      <c r="C65" s="399"/>
      <c r="D65" s="399"/>
      <c r="E65" s="399"/>
      <c r="F65" s="399"/>
      <c r="G65" s="399"/>
      <c r="H65" s="399"/>
      <c r="I65" s="62">
        <f>IF($H$15=1,'1. SB ABA DE CARREGAMENTO'!C81,IF($H$15=2,'1. SB ABA DE CARREGAMENTO'!C81,0))</f>
        <v>1.4999999999999999E-2</v>
      </c>
      <c r="J65" s="64">
        <f>ROUND((J50+J57)*I65,2)</f>
        <v>26.34</v>
      </c>
    </row>
    <row r="66" spans="1:10" ht="17.25" customHeight="1" x14ac:dyDescent="0.2">
      <c r="A66" s="20" t="s">
        <v>388</v>
      </c>
      <c r="B66" s="399" t="s">
        <v>84</v>
      </c>
      <c r="C66" s="399"/>
      <c r="D66" s="399"/>
      <c r="E66" s="399"/>
      <c r="F66" s="399"/>
      <c r="G66" s="399"/>
      <c r="H66" s="399"/>
      <c r="I66" s="62">
        <f>IF($H$15=1,'1. SB ABA DE CARREGAMENTO'!C82,IF($H$15=2,'1. SB ABA DE CARREGAMENTO'!C82,0))</f>
        <v>0.01</v>
      </c>
      <c r="J66" s="64">
        <f>ROUND((J50+J57)*I66,2)</f>
        <v>17.559999999999999</v>
      </c>
    </row>
    <row r="67" spans="1:10" ht="17.25" customHeight="1" x14ac:dyDescent="0.2">
      <c r="A67" s="20" t="s">
        <v>389</v>
      </c>
      <c r="B67" s="399" t="s">
        <v>85</v>
      </c>
      <c r="C67" s="399"/>
      <c r="D67" s="399"/>
      <c r="E67" s="399"/>
      <c r="F67" s="399"/>
      <c r="G67" s="399"/>
      <c r="H67" s="399"/>
      <c r="I67" s="62">
        <f>IF($H$15=1,'1. SB ABA DE CARREGAMENTO'!C83,IF($H$15=2,'1. SB ABA DE CARREGAMENTO'!C83,0))</f>
        <v>6.0000000000000001E-3</v>
      </c>
      <c r="J67" s="64">
        <f>ROUND((J50+J57)*I67,2)</f>
        <v>10.54</v>
      </c>
    </row>
    <row r="68" spans="1:10" ht="17.25" customHeight="1" x14ac:dyDescent="0.2">
      <c r="A68" s="20" t="s">
        <v>390</v>
      </c>
      <c r="B68" s="399" t="s">
        <v>86</v>
      </c>
      <c r="C68" s="399"/>
      <c r="D68" s="399"/>
      <c r="E68" s="399"/>
      <c r="F68" s="399"/>
      <c r="G68" s="399"/>
      <c r="H68" s="399"/>
      <c r="I68" s="62">
        <f>IF($H$15=1,'1. SB ABA DE CARREGAMENTO'!C84,IF($H$15=2,'1. SB ABA DE CARREGAMENTO'!C84,0))</f>
        <v>2E-3</v>
      </c>
      <c r="J68" s="64">
        <f>ROUND((J50+J57)*I68,2)</f>
        <v>3.51</v>
      </c>
    </row>
    <row r="69" spans="1:10" ht="17.25" customHeight="1" x14ac:dyDescent="0.2">
      <c r="A69" s="20" t="s">
        <v>391</v>
      </c>
      <c r="B69" s="399" t="s">
        <v>87</v>
      </c>
      <c r="C69" s="399"/>
      <c r="D69" s="399"/>
      <c r="E69" s="399"/>
      <c r="F69" s="399"/>
      <c r="G69" s="399"/>
      <c r="H69" s="399"/>
      <c r="I69" s="62">
        <f>'1. SB ABA DE CARREGAMENTO'!C85</f>
        <v>0.08</v>
      </c>
      <c r="J69" s="64">
        <f>ROUND((J50+J57)*I69,2)</f>
        <v>140.47999999999999</v>
      </c>
    </row>
    <row r="70" spans="1:10" ht="17.25" customHeight="1" x14ac:dyDescent="0.2">
      <c r="A70" s="419" t="s">
        <v>392</v>
      </c>
      <c r="B70" s="419"/>
      <c r="C70" s="419"/>
      <c r="D70" s="419"/>
      <c r="E70" s="419"/>
      <c r="F70" s="419"/>
      <c r="G70" s="419"/>
      <c r="H70" s="419"/>
      <c r="I70" s="84">
        <f>SUM(I62:I69)</f>
        <v>0.36800000000000005</v>
      </c>
      <c r="J70" s="8">
        <f>SUM(J62:J69)</f>
        <v>646.20999999999992</v>
      </c>
    </row>
    <row r="71" spans="1:10" ht="17.25" customHeight="1" x14ac:dyDescent="0.2">
      <c r="A71" s="60" t="s">
        <v>393</v>
      </c>
      <c r="B71" s="420" t="s">
        <v>394</v>
      </c>
      <c r="C71" s="420"/>
      <c r="D71" s="420"/>
      <c r="E71" s="420"/>
      <c r="F71" s="420"/>
      <c r="G71" s="420"/>
      <c r="H71" s="420"/>
      <c r="I71" s="420"/>
      <c r="J71" s="420"/>
    </row>
    <row r="72" spans="1:10" ht="17.25" customHeight="1" x14ac:dyDescent="0.2">
      <c r="A72" s="60" t="s">
        <v>395</v>
      </c>
      <c r="B72" s="420" t="s">
        <v>396</v>
      </c>
      <c r="C72" s="420"/>
      <c r="D72" s="420"/>
      <c r="E72" s="420"/>
      <c r="F72" s="420"/>
      <c r="G72" s="420"/>
      <c r="H72" s="420"/>
      <c r="I72" s="420"/>
      <c r="J72" s="420"/>
    </row>
    <row r="73" spans="1:10" ht="17.25" customHeight="1" x14ac:dyDescent="0.2">
      <c r="A73" s="65"/>
      <c r="B73" s="66"/>
      <c r="C73" s="66"/>
      <c r="D73" s="66"/>
      <c r="E73" s="66"/>
      <c r="F73" s="66"/>
      <c r="G73" s="66"/>
      <c r="H73" s="66"/>
      <c r="I73" s="66"/>
      <c r="J73" s="66"/>
    </row>
    <row r="74" spans="1:10" ht="17.25" customHeight="1" x14ac:dyDescent="0.2">
      <c r="A74" s="6" t="s">
        <v>397</v>
      </c>
      <c r="B74" s="385" t="s">
        <v>398</v>
      </c>
      <c r="C74" s="385"/>
      <c r="D74" s="385"/>
      <c r="E74" s="385"/>
      <c r="F74" s="385"/>
      <c r="G74" s="385"/>
      <c r="H74" s="385"/>
      <c r="I74" s="385"/>
      <c r="J74" s="385"/>
    </row>
    <row r="75" spans="1:10" ht="17.25" customHeight="1" x14ac:dyDescent="0.2">
      <c r="A75" s="19"/>
      <c r="B75" s="385" t="s">
        <v>398</v>
      </c>
      <c r="C75" s="385"/>
      <c r="D75" s="385"/>
      <c r="E75" s="385"/>
      <c r="F75" s="385"/>
      <c r="G75" s="385"/>
      <c r="H75" s="385"/>
      <c r="I75" s="385"/>
      <c r="J75" s="19" t="s">
        <v>379</v>
      </c>
    </row>
    <row r="76" spans="1:10" ht="17.25" customHeight="1" x14ac:dyDescent="0.2">
      <c r="A76" s="403" t="s">
        <v>327</v>
      </c>
      <c r="B76" s="399" t="s">
        <v>656</v>
      </c>
      <c r="C76" s="399"/>
      <c r="D76" s="399"/>
      <c r="E76" s="399"/>
      <c r="F76" s="399"/>
      <c r="G76" s="399"/>
      <c r="H76" s="399"/>
      <c r="I76" s="399"/>
      <c r="J76" s="422">
        <f>IF(ROUND((I79*I77*I78)-(J47*0.06),2)&lt;0,0,ROUND((I79*I77*I78)-(J47*0.06),2))*1+(I77*I78*21.726-0.06*J47)*0</f>
        <v>91.55</v>
      </c>
    </row>
    <row r="77" spans="1:10" ht="17.25" customHeight="1" x14ac:dyDescent="0.2">
      <c r="A77" s="403"/>
      <c r="B77" s="423" t="s">
        <v>399</v>
      </c>
      <c r="C77" s="423"/>
      <c r="D77" s="423"/>
      <c r="E77" s="423"/>
      <c r="F77" s="423"/>
      <c r="G77" s="423"/>
      <c r="H77" s="423"/>
      <c r="I77" s="85">
        <f>'1. SB ABA DE CARREGAMENTO'!$B$88</f>
        <v>3.55</v>
      </c>
      <c r="J77" s="422"/>
    </row>
    <row r="78" spans="1:10" ht="17.25" customHeight="1" x14ac:dyDescent="0.2">
      <c r="A78" s="403"/>
      <c r="B78" s="423" t="s">
        <v>400</v>
      </c>
      <c r="C78" s="423"/>
      <c r="D78" s="423"/>
      <c r="E78" s="423"/>
      <c r="F78" s="423"/>
      <c r="G78" s="423"/>
      <c r="H78" s="423"/>
      <c r="I78" s="86">
        <f>'1. SB ABA DE CARREGAMENTO'!$B$89</f>
        <v>2</v>
      </c>
      <c r="J78" s="422"/>
    </row>
    <row r="79" spans="1:10" ht="17.25" customHeight="1" x14ac:dyDescent="0.2">
      <c r="A79" s="403"/>
      <c r="B79" s="423" t="s">
        <v>401</v>
      </c>
      <c r="C79" s="423"/>
      <c r="D79" s="423"/>
      <c r="E79" s="423"/>
      <c r="F79" s="423"/>
      <c r="G79" s="423"/>
      <c r="H79" s="423"/>
      <c r="I79" s="86">
        <f>'1. SB ABA DE CARREGAMENTO'!$B$90</f>
        <v>24</v>
      </c>
      <c r="J79" s="422"/>
    </row>
    <row r="80" spans="1:10" ht="17.25" customHeight="1" x14ac:dyDescent="0.2">
      <c r="A80" s="403"/>
      <c r="B80" s="423" t="s">
        <v>402</v>
      </c>
      <c r="C80" s="423"/>
      <c r="D80" s="423"/>
      <c r="E80" s="423"/>
      <c r="F80" s="423"/>
      <c r="G80" s="423"/>
      <c r="H80" s="423"/>
      <c r="I80" s="87">
        <f>'1. SB ABA DE CARREGAMENTO'!B91</f>
        <v>0.06</v>
      </c>
      <c r="J80" s="422"/>
    </row>
    <row r="81" spans="1:10" ht="17.25" customHeight="1" x14ac:dyDescent="0.2">
      <c r="A81" s="403" t="s">
        <v>329</v>
      </c>
      <c r="B81" s="417" t="s">
        <v>657</v>
      </c>
      <c r="C81" s="417"/>
      <c r="D81" s="417"/>
      <c r="E81" s="424" t="str">
        <f>'1. SB ABA DE CARREGAMENTO'!B94</f>
        <v>Cláusula Décima Oitava da CCT 2022/2022</v>
      </c>
      <c r="F81" s="424"/>
      <c r="G81" s="424"/>
      <c r="H81" s="424"/>
      <c r="I81" s="425"/>
      <c r="J81" s="422">
        <f>ROUND((I82*I83)-((I82*I83)*I84),2)</f>
        <v>392.3</v>
      </c>
    </row>
    <row r="82" spans="1:10" ht="17.25" customHeight="1" x14ac:dyDescent="0.2">
      <c r="A82" s="403"/>
      <c r="B82" s="423" t="s">
        <v>403</v>
      </c>
      <c r="C82" s="423"/>
      <c r="D82" s="423"/>
      <c r="E82" s="423"/>
      <c r="F82" s="423"/>
      <c r="G82" s="423"/>
      <c r="H82" s="423"/>
      <c r="I82" s="81">
        <f>'1. SB ABA DE CARREGAMENTO'!B95</f>
        <v>20.18</v>
      </c>
      <c r="J82" s="422"/>
    </row>
    <row r="83" spans="1:10" ht="17.25" customHeight="1" x14ac:dyDescent="0.2">
      <c r="A83" s="403"/>
      <c r="B83" s="423" t="s">
        <v>404</v>
      </c>
      <c r="C83" s="423"/>
      <c r="D83" s="423"/>
      <c r="E83" s="423"/>
      <c r="F83" s="423"/>
      <c r="G83" s="423"/>
      <c r="H83" s="423"/>
      <c r="I83" s="86">
        <f>'1. SB ABA DE CARREGAMENTO'!B97</f>
        <v>24</v>
      </c>
      <c r="J83" s="422"/>
    </row>
    <row r="84" spans="1:10" ht="17.25" customHeight="1" x14ac:dyDescent="0.2">
      <c r="A84" s="403"/>
      <c r="B84" s="423" t="s">
        <v>405</v>
      </c>
      <c r="C84" s="423"/>
      <c r="D84" s="423"/>
      <c r="E84" s="423"/>
      <c r="F84" s="423"/>
      <c r="G84" s="423"/>
      <c r="H84" s="423"/>
      <c r="I84" s="88">
        <f>'1. SB ABA DE CARREGAMENTO'!B96</f>
        <v>0.19</v>
      </c>
      <c r="J84" s="422"/>
    </row>
    <row r="85" spans="1:10" ht="17.25" customHeight="1" x14ac:dyDescent="0.2">
      <c r="A85" s="20" t="s">
        <v>330</v>
      </c>
      <c r="B85" s="417" t="s">
        <v>406</v>
      </c>
      <c r="C85" s="417"/>
      <c r="D85" s="417"/>
      <c r="E85" s="424" t="str">
        <f>'1. SB ABA DE CARREGAMENTO'!B100</f>
        <v>Cláusula Vigésima Nona da CCT 2022/2022</v>
      </c>
      <c r="F85" s="424"/>
      <c r="G85" s="424"/>
      <c r="H85" s="424"/>
      <c r="I85" s="425"/>
      <c r="J85" s="89">
        <f>'1. SB ABA DE CARREGAMENTO'!C100</f>
        <v>17.32</v>
      </c>
    </row>
    <row r="86" spans="1:10" ht="17.25" customHeight="1" x14ac:dyDescent="0.2">
      <c r="A86" s="20" t="s">
        <v>332</v>
      </c>
      <c r="B86" s="399" t="s">
        <v>658</v>
      </c>
      <c r="C86" s="399"/>
      <c r="D86" s="399"/>
      <c r="E86" s="399"/>
      <c r="F86" s="399"/>
      <c r="G86" s="399"/>
      <c r="H86" s="399"/>
      <c r="I86" s="399"/>
      <c r="J86" s="64">
        <v>0</v>
      </c>
    </row>
    <row r="87" spans="1:10" ht="17.25" customHeight="1" x14ac:dyDescent="0.2">
      <c r="A87" s="419" t="s">
        <v>407</v>
      </c>
      <c r="B87" s="419"/>
      <c r="C87" s="419"/>
      <c r="D87" s="419"/>
      <c r="E87" s="419"/>
      <c r="F87" s="419"/>
      <c r="G87" s="419"/>
      <c r="H87" s="419"/>
      <c r="I87" s="419"/>
      <c r="J87" s="8">
        <f>SUM(J76:J85)</f>
        <v>501.17</v>
      </c>
    </row>
    <row r="88" spans="1:10" ht="17.25" customHeight="1" x14ac:dyDescent="0.2">
      <c r="A88" s="60" t="s">
        <v>408</v>
      </c>
      <c r="B88" s="420" t="s">
        <v>409</v>
      </c>
      <c r="C88" s="420"/>
      <c r="D88" s="420"/>
      <c r="E88" s="420"/>
      <c r="F88" s="420"/>
      <c r="G88" s="420"/>
      <c r="H88" s="420"/>
      <c r="I88" s="420"/>
      <c r="J88" s="420"/>
    </row>
    <row r="89" spans="1:10" ht="30.75" customHeight="1" x14ac:dyDescent="0.2">
      <c r="A89" s="60" t="s">
        <v>410</v>
      </c>
      <c r="B89" s="420" t="s">
        <v>411</v>
      </c>
      <c r="C89" s="420"/>
      <c r="D89" s="420"/>
      <c r="E89" s="420"/>
      <c r="F89" s="420"/>
      <c r="G89" s="420"/>
      <c r="H89" s="420"/>
      <c r="I89" s="420"/>
      <c r="J89" s="420"/>
    </row>
    <row r="90" spans="1:10" ht="17.25" customHeight="1" x14ac:dyDescent="0.2">
      <c r="A90" s="65"/>
      <c r="B90" s="66"/>
      <c r="C90" s="66"/>
      <c r="D90" s="66"/>
      <c r="E90" s="66"/>
      <c r="F90" s="66"/>
      <c r="G90" s="66"/>
      <c r="H90" s="66"/>
      <c r="I90" s="66"/>
      <c r="J90" s="66"/>
    </row>
    <row r="91" spans="1:10" ht="17.25" customHeight="1" x14ac:dyDescent="0.2">
      <c r="A91" s="385" t="s">
        <v>412</v>
      </c>
      <c r="B91" s="385"/>
      <c r="C91" s="385"/>
      <c r="D91" s="385"/>
      <c r="E91" s="385"/>
      <c r="F91" s="385"/>
      <c r="G91" s="385"/>
      <c r="H91" s="385"/>
      <c r="I91" s="385"/>
      <c r="J91" s="385"/>
    </row>
    <row r="92" spans="1:10" ht="17.25" customHeight="1" x14ac:dyDescent="0.2">
      <c r="A92" s="19" t="s">
        <v>413</v>
      </c>
      <c r="B92" s="385" t="s">
        <v>414</v>
      </c>
      <c r="C92" s="385"/>
      <c r="D92" s="385"/>
      <c r="E92" s="385"/>
      <c r="F92" s="385"/>
      <c r="G92" s="385"/>
      <c r="H92" s="385"/>
      <c r="I92" s="385"/>
      <c r="J92" s="19" t="s">
        <v>379</v>
      </c>
    </row>
    <row r="93" spans="1:10" ht="17.25" customHeight="1" x14ac:dyDescent="0.2">
      <c r="A93" s="20" t="s">
        <v>415</v>
      </c>
      <c r="B93" s="423" t="s">
        <v>416</v>
      </c>
      <c r="C93" s="423"/>
      <c r="D93" s="423"/>
      <c r="E93" s="423"/>
      <c r="F93" s="423"/>
      <c r="G93" s="423"/>
      <c r="H93" s="423"/>
      <c r="I93" s="423"/>
      <c r="J93" s="64">
        <f>J57</f>
        <v>179.11</v>
      </c>
    </row>
    <row r="94" spans="1:10" ht="17.25" customHeight="1" x14ac:dyDescent="0.2">
      <c r="A94" s="20" t="s">
        <v>383</v>
      </c>
      <c r="B94" s="423" t="s">
        <v>417</v>
      </c>
      <c r="C94" s="423"/>
      <c r="D94" s="423"/>
      <c r="E94" s="423"/>
      <c r="F94" s="423"/>
      <c r="G94" s="423"/>
      <c r="H94" s="423"/>
      <c r="I94" s="423"/>
      <c r="J94" s="64">
        <f>J70</f>
        <v>646.20999999999992</v>
      </c>
    </row>
    <row r="95" spans="1:10" ht="17.25" customHeight="1" x14ac:dyDescent="0.2">
      <c r="A95" s="20" t="s">
        <v>418</v>
      </c>
      <c r="B95" s="423" t="s">
        <v>419</v>
      </c>
      <c r="C95" s="423"/>
      <c r="D95" s="423"/>
      <c r="E95" s="423"/>
      <c r="F95" s="423"/>
      <c r="G95" s="423"/>
      <c r="H95" s="423"/>
      <c r="I95" s="423"/>
      <c r="J95" s="64">
        <f>J87</f>
        <v>501.17</v>
      </c>
    </row>
    <row r="96" spans="1:10" ht="17.25" customHeight="1" x14ac:dyDescent="0.2">
      <c r="A96" s="419" t="s">
        <v>420</v>
      </c>
      <c r="B96" s="419"/>
      <c r="C96" s="419"/>
      <c r="D96" s="419"/>
      <c r="E96" s="419"/>
      <c r="F96" s="419"/>
      <c r="G96" s="419"/>
      <c r="H96" s="419"/>
      <c r="I96" s="419"/>
      <c r="J96" s="8">
        <f>SUM(J93+J94+J95)</f>
        <v>1326.49</v>
      </c>
    </row>
    <row r="97" spans="1:10" ht="17.25" customHeight="1" x14ac:dyDescent="0.2">
      <c r="A97" s="67"/>
      <c r="B97" s="67"/>
      <c r="C97" s="67"/>
      <c r="D97" s="67"/>
      <c r="E97" s="67"/>
      <c r="F97" s="67"/>
      <c r="G97" s="67"/>
      <c r="H97" s="67"/>
      <c r="I97" s="67"/>
      <c r="J97" s="68"/>
    </row>
    <row r="98" spans="1:10" ht="17.25" customHeight="1" x14ac:dyDescent="0.2">
      <c r="A98" s="385" t="s">
        <v>421</v>
      </c>
      <c r="B98" s="385"/>
      <c r="C98" s="385"/>
      <c r="D98" s="385"/>
      <c r="E98" s="385"/>
      <c r="F98" s="385"/>
      <c r="G98" s="385"/>
      <c r="H98" s="385"/>
      <c r="I98" s="385"/>
      <c r="J98" s="385"/>
    </row>
    <row r="99" spans="1:10" ht="17.25" customHeight="1" x14ac:dyDescent="0.2">
      <c r="A99" s="19"/>
      <c r="B99" s="385" t="s">
        <v>414</v>
      </c>
      <c r="C99" s="385"/>
      <c r="D99" s="385"/>
      <c r="E99" s="385"/>
      <c r="F99" s="385"/>
      <c r="G99" s="385"/>
      <c r="H99" s="385"/>
      <c r="I99" s="385"/>
      <c r="J99" s="19" t="s">
        <v>422</v>
      </c>
    </row>
    <row r="100" spans="1:10" ht="17.25" customHeight="1" x14ac:dyDescent="0.2">
      <c r="A100" s="20" t="s">
        <v>327</v>
      </c>
      <c r="B100" s="399" t="s">
        <v>659</v>
      </c>
      <c r="C100" s="399"/>
      <c r="D100" s="399"/>
      <c r="E100" s="399"/>
      <c r="F100" s="399"/>
      <c r="G100" s="399"/>
      <c r="H100" s="399"/>
      <c r="I100" s="399"/>
      <c r="J100" s="64">
        <f>ROUND((($J$50/12)+($J$55/12)+($J$50/12/12)+($J$56/12))*(30/30)*0.05,2)</f>
        <v>7.86</v>
      </c>
    </row>
    <row r="101" spans="1:10" ht="17.25" customHeight="1" x14ac:dyDescent="0.2">
      <c r="A101" s="20" t="s">
        <v>329</v>
      </c>
      <c r="B101" s="399" t="s">
        <v>423</v>
      </c>
      <c r="C101" s="399"/>
      <c r="D101" s="399"/>
      <c r="E101" s="399"/>
      <c r="F101" s="399"/>
      <c r="G101" s="399"/>
      <c r="H101" s="399"/>
      <c r="I101" s="399"/>
      <c r="J101" s="64">
        <f>ROUND($J$100*I69,2)</f>
        <v>0.63</v>
      </c>
    </row>
    <row r="102" spans="1:10" ht="17.25" customHeight="1" x14ac:dyDescent="0.2">
      <c r="A102" s="20" t="s">
        <v>330</v>
      </c>
      <c r="B102" s="399" t="s">
        <v>660</v>
      </c>
      <c r="C102" s="399"/>
      <c r="D102" s="399"/>
      <c r="E102" s="399"/>
      <c r="F102" s="399"/>
      <c r="G102" s="399"/>
      <c r="H102" s="399"/>
      <c r="I102" s="399"/>
      <c r="J102" s="64">
        <f>ROUND(0.08*0.4*($J$50+$J$55+$J$56)*0.05,2)</f>
        <v>2.81</v>
      </c>
    </row>
    <row r="103" spans="1:10" ht="17.25" customHeight="1" x14ac:dyDescent="0.2">
      <c r="A103" s="20" t="s">
        <v>332</v>
      </c>
      <c r="B103" s="399" t="s">
        <v>661</v>
      </c>
      <c r="C103" s="399"/>
      <c r="D103" s="399"/>
      <c r="E103" s="399"/>
      <c r="F103" s="399"/>
      <c r="G103" s="399"/>
      <c r="H103" s="399"/>
      <c r="I103" s="399"/>
      <c r="J103" s="64">
        <f>ROUND(((($J$50/30)*7)/$H$21)*1,2)</f>
        <v>18.399999999999999</v>
      </c>
    </row>
    <row r="104" spans="1:10" ht="17.25" customHeight="1" x14ac:dyDescent="0.2">
      <c r="A104" s="20" t="s">
        <v>388</v>
      </c>
      <c r="B104" s="399" t="s">
        <v>424</v>
      </c>
      <c r="C104" s="399"/>
      <c r="D104" s="399"/>
      <c r="E104" s="399"/>
      <c r="F104" s="399"/>
      <c r="G104" s="399"/>
      <c r="H104" s="399"/>
      <c r="I104" s="399"/>
      <c r="J104" s="64">
        <f>ROUND($I$70*J103,2)</f>
        <v>6.77</v>
      </c>
    </row>
    <row r="105" spans="1:10" ht="17.25" customHeight="1" x14ac:dyDescent="0.2">
      <c r="A105" s="20" t="s">
        <v>389</v>
      </c>
      <c r="B105" s="399" t="s">
        <v>662</v>
      </c>
      <c r="C105" s="399"/>
      <c r="D105" s="399"/>
      <c r="E105" s="399"/>
      <c r="F105" s="399"/>
      <c r="G105" s="399"/>
      <c r="H105" s="399"/>
      <c r="I105" s="399"/>
      <c r="J105" s="64">
        <f>ROUND(0.08*0.4*($J$50+$J$55+$J$56)*0.9,2)</f>
        <v>50.57</v>
      </c>
    </row>
    <row r="106" spans="1:10" ht="17.25" customHeight="1" x14ac:dyDescent="0.2">
      <c r="A106" s="419" t="s">
        <v>425</v>
      </c>
      <c r="B106" s="419"/>
      <c r="C106" s="419"/>
      <c r="D106" s="419"/>
      <c r="E106" s="419"/>
      <c r="F106" s="419"/>
      <c r="G106" s="419"/>
      <c r="H106" s="419"/>
      <c r="I106" s="419"/>
      <c r="J106" s="8">
        <f>SUM(J100:J105)</f>
        <v>87.039999999999992</v>
      </c>
    </row>
    <row r="107" spans="1:10" ht="17.25" customHeight="1" x14ac:dyDescent="0.2">
      <c r="A107" s="67"/>
      <c r="B107" s="67"/>
      <c r="C107" s="67"/>
      <c r="D107" s="67"/>
      <c r="E107" s="67"/>
      <c r="F107" s="67"/>
      <c r="G107" s="67"/>
      <c r="H107" s="67"/>
      <c r="I107" s="67"/>
      <c r="J107" s="68"/>
    </row>
    <row r="108" spans="1:10" ht="17.25" customHeight="1" x14ac:dyDescent="0.2">
      <c r="A108" s="385" t="s">
        <v>426</v>
      </c>
      <c r="B108" s="385"/>
      <c r="C108" s="385"/>
      <c r="D108" s="385"/>
      <c r="E108" s="385"/>
      <c r="F108" s="385"/>
      <c r="G108" s="385"/>
      <c r="H108" s="385"/>
      <c r="I108" s="385"/>
      <c r="J108" s="385"/>
    </row>
    <row r="109" spans="1:10" ht="29.25" customHeight="1" x14ac:dyDescent="0.2">
      <c r="A109" s="385" t="s">
        <v>696</v>
      </c>
      <c r="B109" s="385"/>
      <c r="C109" s="385"/>
      <c r="D109" s="385"/>
      <c r="E109" s="385"/>
      <c r="F109" s="385"/>
      <c r="G109" s="385"/>
      <c r="H109" s="385"/>
      <c r="I109" s="385"/>
      <c r="J109" s="385"/>
    </row>
    <row r="110" spans="1:10" ht="33.75" customHeight="1" x14ac:dyDescent="0.2">
      <c r="A110" s="385" t="s">
        <v>549</v>
      </c>
      <c r="B110" s="385"/>
      <c r="C110" s="7">
        <f>J50</f>
        <v>1576.9099999999999</v>
      </c>
      <c r="D110" s="385" t="s">
        <v>576</v>
      </c>
      <c r="E110" s="385"/>
      <c r="F110" s="7">
        <f>J96-J81-J76</f>
        <v>842.6400000000001</v>
      </c>
      <c r="G110" s="385" t="s">
        <v>429</v>
      </c>
      <c r="H110" s="385"/>
      <c r="I110" s="7">
        <f>J106</f>
        <v>87.039999999999992</v>
      </c>
      <c r="J110" s="8">
        <f>ROUND((J50+(J96-J81-J76)+J106),2)</f>
        <v>2506.59</v>
      </c>
    </row>
    <row r="111" spans="1:10" ht="17.25" customHeight="1" x14ac:dyDescent="0.2">
      <c r="A111" s="385" t="s">
        <v>430</v>
      </c>
      <c r="B111" s="385"/>
      <c r="C111" s="385"/>
      <c r="D111" s="385"/>
      <c r="E111" s="385"/>
      <c r="F111" s="385"/>
      <c r="G111" s="385" t="s">
        <v>431</v>
      </c>
      <c r="H111" s="385"/>
      <c r="I111" s="385"/>
      <c r="J111" s="9">
        <f>ROUND(J110/30,2)</f>
        <v>83.55</v>
      </c>
    </row>
    <row r="112" spans="1:10" ht="17.25" customHeight="1" x14ac:dyDescent="0.2">
      <c r="A112" s="16"/>
      <c r="B112" s="16"/>
      <c r="C112" s="16"/>
      <c r="D112" s="16"/>
      <c r="E112" s="16"/>
      <c r="F112" s="16"/>
      <c r="G112" s="16"/>
      <c r="H112" s="16"/>
      <c r="I112" s="16"/>
      <c r="J112" s="17"/>
    </row>
    <row r="113" spans="1:10" ht="17.25" customHeight="1" x14ac:dyDescent="0.2">
      <c r="A113" s="19" t="s">
        <v>432</v>
      </c>
      <c r="B113" s="385" t="s">
        <v>433</v>
      </c>
      <c r="C113" s="385"/>
      <c r="D113" s="385"/>
      <c r="E113" s="385"/>
      <c r="F113" s="385"/>
      <c r="G113" s="385"/>
      <c r="H113" s="385"/>
      <c r="I113" s="385"/>
      <c r="J113" s="19" t="s">
        <v>379</v>
      </c>
    </row>
    <row r="114" spans="1:10" ht="17.25" customHeight="1" x14ac:dyDescent="0.2">
      <c r="A114" s="20" t="s">
        <v>327</v>
      </c>
      <c r="B114" s="421" t="s">
        <v>712</v>
      </c>
      <c r="C114" s="421"/>
      <c r="D114" s="421"/>
      <c r="E114" s="421"/>
      <c r="F114" s="421"/>
      <c r="G114" s="421"/>
      <c r="H114" s="421"/>
      <c r="I114" s="421"/>
      <c r="J114" s="64">
        <f>ROUND(J50*9.075%,2)</f>
        <v>143.1</v>
      </c>
    </row>
    <row r="115" spans="1:10" ht="17.25" customHeight="1" x14ac:dyDescent="0.2">
      <c r="A115" s="20" t="s">
        <v>329</v>
      </c>
      <c r="B115" s="399" t="s">
        <v>663</v>
      </c>
      <c r="C115" s="399"/>
      <c r="D115" s="399"/>
      <c r="E115" s="399"/>
      <c r="F115" s="399"/>
      <c r="G115" s="399"/>
      <c r="H115" s="399"/>
      <c r="I115" s="399"/>
      <c r="J115" s="81">
        <f>ROUND((($J$110/30)*1)/12,2)</f>
        <v>6.96</v>
      </c>
    </row>
    <row r="116" spans="1:10" ht="17.25" customHeight="1" x14ac:dyDescent="0.2">
      <c r="A116" s="20" t="s">
        <v>330</v>
      </c>
      <c r="B116" s="399" t="s">
        <v>664</v>
      </c>
      <c r="C116" s="399"/>
      <c r="D116" s="399"/>
      <c r="E116" s="399"/>
      <c r="F116" s="399"/>
      <c r="G116" s="399"/>
      <c r="H116" s="399"/>
      <c r="I116" s="399"/>
      <c r="J116" s="81">
        <f>ROUND((($J$110/30)*5)/12*0.015,2)</f>
        <v>0.52</v>
      </c>
    </row>
    <row r="117" spans="1:10" ht="17.25" customHeight="1" x14ac:dyDescent="0.2">
      <c r="A117" s="20" t="s">
        <v>332</v>
      </c>
      <c r="B117" s="399" t="s">
        <v>665</v>
      </c>
      <c r="C117" s="399"/>
      <c r="D117" s="399"/>
      <c r="E117" s="399"/>
      <c r="F117" s="399"/>
      <c r="G117" s="399"/>
      <c r="H117" s="399"/>
      <c r="I117" s="399"/>
      <c r="J117" s="64">
        <f>ROUND(((($J$110/30)*15)/12)*0.0078,2)</f>
        <v>0.81</v>
      </c>
    </row>
    <row r="118" spans="1:10" ht="17.25" customHeight="1" x14ac:dyDescent="0.2">
      <c r="A118" s="20" t="s">
        <v>388</v>
      </c>
      <c r="B118" s="399" t="s">
        <v>666</v>
      </c>
      <c r="C118" s="399"/>
      <c r="D118" s="399"/>
      <c r="E118" s="399"/>
      <c r="F118" s="399"/>
      <c r="G118" s="399"/>
      <c r="H118" s="399"/>
      <c r="I118" s="399"/>
      <c r="J118" s="64">
        <f>ROUND((((J50+J50/3)/12+(J70+J87-J81-J76+J106))*4/12)*0.02,2)</f>
        <v>6.17</v>
      </c>
    </row>
    <row r="119" spans="1:10" ht="17.25" customHeight="1" x14ac:dyDescent="0.2">
      <c r="A119" s="20" t="s">
        <v>389</v>
      </c>
      <c r="B119" s="399" t="s">
        <v>667</v>
      </c>
      <c r="C119" s="399"/>
      <c r="D119" s="399"/>
      <c r="E119" s="399"/>
      <c r="F119" s="399"/>
      <c r="G119" s="399"/>
      <c r="H119" s="399"/>
      <c r="I119" s="399"/>
      <c r="J119" s="64">
        <f>ROUND(((($J$110/30)*5)/12),2)</f>
        <v>34.81</v>
      </c>
    </row>
    <row r="120" spans="1:10" ht="17.25" customHeight="1" x14ac:dyDescent="0.2">
      <c r="A120" s="419" t="s">
        <v>434</v>
      </c>
      <c r="B120" s="419"/>
      <c r="C120" s="419"/>
      <c r="D120" s="419"/>
      <c r="E120" s="419"/>
      <c r="F120" s="419"/>
      <c r="G120" s="419"/>
      <c r="H120" s="419"/>
      <c r="I120" s="419"/>
      <c r="J120" s="8">
        <f>SUM(J114:J119)</f>
        <v>192.37</v>
      </c>
    </row>
    <row r="121" spans="1:10" ht="17.25" customHeight="1" x14ac:dyDescent="0.2">
      <c r="A121" s="500"/>
      <c r="B121" s="500"/>
      <c r="C121" s="500"/>
      <c r="D121" s="500"/>
      <c r="E121" s="500"/>
      <c r="F121" s="500"/>
      <c r="G121" s="500"/>
      <c r="H121" s="500"/>
      <c r="I121" s="500"/>
      <c r="J121" s="83"/>
    </row>
    <row r="122" spans="1:10" ht="17.25" customHeight="1" x14ac:dyDescent="0.2">
      <c r="A122" s="19" t="s">
        <v>435</v>
      </c>
      <c r="B122" s="385" t="s">
        <v>436</v>
      </c>
      <c r="C122" s="385"/>
      <c r="D122" s="385"/>
      <c r="E122" s="385"/>
      <c r="F122" s="385"/>
      <c r="G122" s="385"/>
      <c r="H122" s="385"/>
      <c r="I122" s="385"/>
      <c r="J122" s="19" t="s">
        <v>379</v>
      </c>
    </row>
    <row r="123" spans="1:10" ht="17.25" customHeight="1" x14ac:dyDescent="0.2">
      <c r="A123" s="20" t="s">
        <v>327</v>
      </c>
      <c r="B123" s="399" t="s">
        <v>437</v>
      </c>
      <c r="C123" s="399"/>
      <c r="D123" s="399"/>
      <c r="E123" s="399"/>
      <c r="F123" s="399"/>
      <c r="G123" s="399"/>
      <c r="H123" s="399"/>
      <c r="I123" s="399"/>
      <c r="J123" s="64">
        <v>0</v>
      </c>
    </row>
    <row r="124" spans="1:10" ht="17.25" customHeight="1" x14ac:dyDescent="0.2">
      <c r="A124" s="419" t="s">
        <v>438</v>
      </c>
      <c r="B124" s="419"/>
      <c r="C124" s="419"/>
      <c r="D124" s="419"/>
      <c r="E124" s="419"/>
      <c r="F124" s="419"/>
      <c r="G124" s="419"/>
      <c r="H124" s="419"/>
      <c r="I124" s="419"/>
      <c r="J124" s="8">
        <f>SUM(J123)</f>
        <v>0</v>
      </c>
    </row>
    <row r="125" spans="1:10" ht="17.25" customHeight="1" x14ac:dyDescent="0.2">
      <c r="A125" s="500"/>
      <c r="B125" s="500"/>
      <c r="C125" s="500"/>
      <c r="D125" s="500"/>
      <c r="E125" s="500"/>
      <c r="F125" s="500"/>
      <c r="G125" s="500"/>
      <c r="H125" s="500"/>
      <c r="I125" s="500"/>
      <c r="J125" s="83"/>
    </row>
    <row r="126" spans="1:10" ht="17.25" customHeight="1" x14ac:dyDescent="0.2">
      <c r="A126" s="385" t="s">
        <v>439</v>
      </c>
      <c r="B126" s="385"/>
      <c r="C126" s="385"/>
      <c r="D126" s="385"/>
      <c r="E126" s="385"/>
      <c r="F126" s="385"/>
      <c r="G126" s="385"/>
      <c r="H126" s="385"/>
      <c r="I126" s="385"/>
      <c r="J126" s="385"/>
    </row>
    <row r="127" spans="1:10" ht="17.25" customHeight="1" x14ac:dyDescent="0.2">
      <c r="A127" s="19" t="s">
        <v>440</v>
      </c>
      <c r="B127" s="385" t="s">
        <v>414</v>
      </c>
      <c r="C127" s="385"/>
      <c r="D127" s="385"/>
      <c r="E127" s="385"/>
      <c r="F127" s="385"/>
      <c r="G127" s="385"/>
      <c r="H127" s="385"/>
      <c r="I127" s="385"/>
      <c r="J127" s="14" t="s">
        <v>379</v>
      </c>
    </row>
    <row r="128" spans="1:10" ht="17.25" customHeight="1" x14ac:dyDescent="0.2">
      <c r="A128" s="20" t="s">
        <v>432</v>
      </c>
      <c r="B128" s="399" t="s">
        <v>433</v>
      </c>
      <c r="C128" s="399"/>
      <c r="D128" s="399"/>
      <c r="E128" s="399"/>
      <c r="F128" s="399"/>
      <c r="G128" s="399"/>
      <c r="H128" s="399"/>
      <c r="I128" s="399"/>
      <c r="J128" s="64">
        <f>J120</f>
        <v>192.37</v>
      </c>
    </row>
    <row r="129" spans="1:10" ht="17.25" customHeight="1" x14ac:dyDescent="0.2">
      <c r="A129" s="20" t="s">
        <v>441</v>
      </c>
      <c r="B129" s="399" t="s">
        <v>436</v>
      </c>
      <c r="C129" s="399"/>
      <c r="D129" s="399"/>
      <c r="E129" s="399"/>
      <c r="F129" s="399"/>
      <c r="G129" s="399"/>
      <c r="H129" s="399"/>
      <c r="I129" s="399"/>
      <c r="J129" s="64">
        <f>J124</f>
        <v>0</v>
      </c>
    </row>
    <row r="130" spans="1:10" ht="17.25" customHeight="1" x14ac:dyDescent="0.2">
      <c r="A130" s="419" t="s">
        <v>442</v>
      </c>
      <c r="B130" s="419"/>
      <c r="C130" s="419"/>
      <c r="D130" s="419"/>
      <c r="E130" s="419"/>
      <c r="F130" s="419"/>
      <c r="G130" s="419"/>
      <c r="H130" s="419"/>
      <c r="I130" s="419"/>
      <c r="J130" s="8">
        <f>SUM(J128+J129)</f>
        <v>192.37</v>
      </c>
    </row>
    <row r="131" spans="1:10" ht="28.5" customHeight="1" x14ac:dyDescent="0.2">
      <c r="A131" s="60" t="s">
        <v>443</v>
      </c>
      <c r="B131" s="420" t="s">
        <v>444</v>
      </c>
      <c r="C131" s="420"/>
      <c r="D131" s="420"/>
      <c r="E131" s="420"/>
      <c r="F131" s="420"/>
      <c r="G131" s="420"/>
      <c r="H131" s="420"/>
      <c r="I131" s="420"/>
      <c r="J131" s="420"/>
    </row>
    <row r="132" spans="1:10" ht="17.25" customHeight="1" x14ac:dyDescent="0.2">
      <c r="A132" s="65"/>
      <c r="B132" s="66"/>
      <c r="C132" s="66"/>
      <c r="D132" s="66"/>
      <c r="E132" s="66"/>
      <c r="F132" s="66"/>
      <c r="G132" s="66"/>
      <c r="H132" s="66"/>
      <c r="I132" s="66"/>
      <c r="J132" s="66"/>
    </row>
    <row r="133" spans="1:10" ht="17.25" customHeight="1" x14ac:dyDescent="0.2">
      <c r="A133" s="385" t="s">
        <v>445</v>
      </c>
      <c r="B133" s="385"/>
      <c r="C133" s="385"/>
      <c r="D133" s="385"/>
      <c r="E133" s="385"/>
      <c r="F133" s="385"/>
      <c r="G133" s="385"/>
      <c r="H133" s="385"/>
      <c r="I133" s="385"/>
      <c r="J133" s="385"/>
    </row>
    <row r="134" spans="1:10" ht="17.25" customHeight="1" x14ac:dyDescent="0.2">
      <c r="A134" s="19"/>
      <c r="B134" s="385" t="s">
        <v>414</v>
      </c>
      <c r="C134" s="385"/>
      <c r="D134" s="385"/>
      <c r="E134" s="385"/>
      <c r="F134" s="385"/>
      <c r="G134" s="385"/>
      <c r="H134" s="385"/>
      <c r="I134" s="385"/>
      <c r="J134" s="19" t="s">
        <v>379</v>
      </c>
    </row>
    <row r="135" spans="1:10" ht="17.25" customHeight="1" x14ac:dyDescent="0.2">
      <c r="A135" s="20" t="s">
        <v>327</v>
      </c>
      <c r="B135" s="399" t="s">
        <v>446</v>
      </c>
      <c r="C135" s="399"/>
      <c r="D135" s="399"/>
      <c r="E135" s="399"/>
      <c r="F135" s="399"/>
      <c r="G135" s="399"/>
      <c r="H135" s="399"/>
      <c r="I135" s="399"/>
      <c r="J135" s="64">
        <f>'2. SB INSUMOS'!F92</f>
        <v>104.81833333333334</v>
      </c>
    </row>
    <row r="136" spans="1:10" ht="17.25" customHeight="1" x14ac:dyDescent="0.2">
      <c r="A136" s="20" t="s">
        <v>329</v>
      </c>
      <c r="B136" s="399" t="s">
        <v>447</v>
      </c>
      <c r="C136" s="399"/>
      <c r="D136" s="399"/>
      <c r="E136" s="399"/>
      <c r="F136" s="399"/>
      <c r="G136" s="399"/>
      <c r="H136" s="399"/>
      <c r="I136" s="399"/>
      <c r="J136" s="64">
        <f>'2. SB INSUMOS'!F88</f>
        <v>412.16583455449819</v>
      </c>
    </row>
    <row r="137" spans="1:10" ht="17.25" customHeight="1" x14ac:dyDescent="0.2">
      <c r="A137" s="20" t="s">
        <v>330</v>
      </c>
      <c r="B137" s="399" t="s">
        <v>448</v>
      </c>
      <c r="C137" s="399"/>
      <c r="D137" s="399"/>
      <c r="E137" s="399"/>
      <c r="F137" s="399"/>
      <c r="G137" s="399"/>
      <c r="H137" s="399"/>
      <c r="I137" s="399"/>
      <c r="J137" s="64">
        <f>'2. SB INSUMOS'!F90</f>
        <v>14.875873718855836</v>
      </c>
    </row>
    <row r="138" spans="1:10" ht="17.25" customHeight="1" x14ac:dyDescent="0.2">
      <c r="A138" s="20" t="s">
        <v>332</v>
      </c>
      <c r="B138" s="399" t="s">
        <v>577</v>
      </c>
      <c r="C138" s="399"/>
      <c r="D138" s="399"/>
      <c r="E138" s="399"/>
      <c r="F138" s="399"/>
      <c r="G138" s="399"/>
      <c r="H138" s="399"/>
      <c r="I138" s="399"/>
      <c r="J138" s="64" t="s">
        <v>449</v>
      </c>
    </row>
    <row r="139" spans="1:10" ht="17.25" customHeight="1" x14ac:dyDescent="0.2">
      <c r="A139" s="419" t="s">
        <v>551</v>
      </c>
      <c r="B139" s="419"/>
      <c r="C139" s="419"/>
      <c r="D139" s="419"/>
      <c r="E139" s="419"/>
      <c r="F139" s="419"/>
      <c r="G139" s="419"/>
      <c r="H139" s="419"/>
      <c r="I139" s="419"/>
      <c r="J139" s="8">
        <f>SUM(J135:J138)</f>
        <v>531.86004160668733</v>
      </c>
    </row>
    <row r="140" spans="1:10" ht="17.25" customHeight="1" x14ac:dyDescent="0.2">
      <c r="A140" s="60" t="s">
        <v>451</v>
      </c>
      <c r="B140" s="420" t="s">
        <v>452</v>
      </c>
      <c r="C140" s="420"/>
      <c r="D140" s="420"/>
      <c r="E140" s="420"/>
      <c r="F140" s="420"/>
      <c r="G140" s="420"/>
      <c r="H140" s="420"/>
      <c r="I140" s="420"/>
      <c r="J140" s="420"/>
    </row>
    <row r="141" spans="1:10" ht="17.25" customHeight="1" x14ac:dyDescent="0.2">
      <c r="A141" s="498"/>
      <c r="B141" s="498"/>
      <c r="C141" s="498"/>
      <c r="D141" s="498"/>
      <c r="E141" s="498"/>
      <c r="F141" s="498"/>
      <c r="G141" s="498"/>
      <c r="H141" s="498"/>
      <c r="I141" s="498"/>
      <c r="J141" s="498"/>
    </row>
    <row r="142" spans="1:10" ht="17.25" customHeight="1" x14ac:dyDescent="0.2">
      <c r="A142" s="385" t="s">
        <v>453</v>
      </c>
      <c r="B142" s="385"/>
      <c r="C142" s="385"/>
      <c r="D142" s="385"/>
      <c r="E142" s="385"/>
      <c r="F142" s="385"/>
      <c r="G142" s="385"/>
      <c r="H142" s="385"/>
      <c r="I142" s="385"/>
      <c r="J142" s="385"/>
    </row>
    <row r="143" spans="1:10" ht="17.25" customHeight="1" x14ac:dyDescent="0.2">
      <c r="A143" s="19"/>
      <c r="B143" s="385" t="s">
        <v>454</v>
      </c>
      <c r="C143" s="385"/>
      <c r="D143" s="385"/>
      <c r="E143" s="385"/>
      <c r="F143" s="385"/>
      <c r="G143" s="385"/>
      <c r="H143" s="385"/>
      <c r="I143" s="19" t="s">
        <v>369</v>
      </c>
      <c r="J143" s="14" t="s">
        <v>379</v>
      </c>
    </row>
    <row r="144" spans="1:10" ht="49.5" customHeight="1" x14ac:dyDescent="0.2">
      <c r="A144" s="399" t="s">
        <v>668</v>
      </c>
      <c r="B144" s="399"/>
      <c r="C144" s="399"/>
      <c r="D144" s="399"/>
      <c r="E144" s="399"/>
      <c r="F144" s="399"/>
      <c r="G144" s="399"/>
      <c r="H144" s="399"/>
      <c r="I144" s="399"/>
      <c r="J144" s="90">
        <f>SUM(J50+J96+J106+J130+J139)</f>
        <v>3714.6700416066869</v>
      </c>
    </row>
    <row r="145" spans="1:12" ht="17.25" customHeight="1" x14ac:dyDescent="0.2">
      <c r="A145" s="19" t="s">
        <v>327</v>
      </c>
      <c r="B145" s="431" t="s">
        <v>455</v>
      </c>
      <c r="C145" s="431"/>
      <c r="D145" s="431"/>
      <c r="E145" s="431"/>
      <c r="F145" s="431"/>
      <c r="G145" s="431"/>
      <c r="H145" s="431"/>
      <c r="I145" s="91">
        <f>'1. SB ABA DE CARREGAMENTO'!$B$103</f>
        <v>0.06</v>
      </c>
      <c r="J145" s="8">
        <f>ROUND(I145*J144,2)</f>
        <v>222.88</v>
      </c>
    </row>
    <row r="146" spans="1:12" ht="41.25" customHeight="1" x14ac:dyDescent="0.2">
      <c r="A146" s="399" t="s">
        <v>669</v>
      </c>
      <c r="B146" s="399"/>
      <c r="C146" s="399"/>
      <c r="D146" s="399"/>
      <c r="E146" s="399"/>
      <c r="F146" s="399"/>
      <c r="G146" s="399"/>
      <c r="H146" s="399"/>
      <c r="I146" s="399"/>
      <c r="J146" s="89">
        <f>SUM(J50+J96+J106+J130+J139+J145)</f>
        <v>3937.550041606687</v>
      </c>
    </row>
    <row r="147" spans="1:12" ht="17.25" customHeight="1" x14ac:dyDescent="0.2">
      <c r="A147" s="19" t="s">
        <v>329</v>
      </c>
      <c r="B147" s="431" t="s">
        <v>100</v>
      </c>
      <c r="C147" s="431"/>
      <c r="D147" s="431"/>
      <c r="E147" s="431"/>
      <c r="F147" s="431"/>
      <c r="G147" s="431"/>
      <c r="H147" s="431"/>
      <c r="I147" s="91">
        <f>'1. SB ABA DE CARREGAMENTO'!$B$104</f>
        <v>6.7900000000000002E-2</v>
      </c>
      <c r="J147" s="8">
        <f>ROUND(I147*J146,2)</f>
        <v>267.36</v>
      </c>
    </row>
    <row r="148" spans="1:12" ht="42.75" customHeight="1" x14ac:dyDescent="0.2">
      <c r="A148" s="399" t="s">
        <v>670</v>
      </c>
      <c r="B148" s="399"/>
      <c r="C148" s="399"/>
      <c r="D148" s="399"/>
      <c r="E148" s="399"/>
      <c r="F148" s="399"/>
      <c r="G148" s="399"/>
      <c r="H148" s="399"/>
      <c r="I148" s="399"/>
      <c r="J148" s="89">
        <f>SUM(J50+J96+J106+J130+J139+J145+J147)</f>
        <v>4204.9100416066867</v>
      </c>
    </row>
    <row r="149" spans="1:12" ht="17.25" customHeight="1" x14ac:dyDescent="0.2">
      <c r="A149" s="19" t="s">
        <v>330</v>
      </c>
      <c r="B149" s="431" t="s">
        <v>456</v>
      </c>
      <c r="C149" s="431"/>
      <c r="D149" s="431"/>
      <c r="E149" s="431"/>
      <c r="F149" s="431"/>
      <c r="G149" s="431"/>
      <c r="H149" s="431"/>
      <c r="I149" s="91">
        <f>SUM(I150:I153)</f>
        <v>0.1225</v>
      </c>
      <c r="J149" s="8">
        <f>SUM(J150:J153)</f>
        <v>587.02</v>
      </c>
      <c r="K149" s="432"/>
      <c r="L149" s="432"/>
    </row>
    <row r="150" spans="1:12" ht="17.25" customHeight="1" x14ac:dyDescent="0.2">
      <c r="A150" s="403" t="s">
        <v>457</v>
      </c>
      <c r="B150" s="399" t="s">
        <v>458</v>
      </c>
      <c r="C150" s="399"/>
      <c r="D150" s="399"/>
      <c r="E150" s="399"/>
      <c r="F150" s="399" t="s">
        <v>102</v>
      </c>
      <c r="G150" s="399"/>
      <c r="H150" s="399"/>
      <c r="I150" s="62">
        <f>IF(H15=1,0.0165,IF(H15=2,0.0065,IF(H15=3,'1. SB ABA DE CARREGAMENTO'!B108,IF(H15=4,'1. SB ABA DE CARREGAMENTO'!B108,IF(H15=5,'1. SB ABA DE CARREGAMENTO'!B108,"RT Indefinido")))))</f>
        <v>1.6500000000000001E-2</v>
      </c>
      <c r="J150" s="89">
        <f>ROUND(($J$148/(1-$I$149))*I150,2)</f>
        <v>79.069999999999993</v>
      </c>
      <c r="K150" s="102"/>
      <c r="L150" s="103"/>
    </row>
    <row r="151" spans="1:12" ht="17.25" customHeight="1" x14ac:dyDescent="0.2">
      <c r="A151" s="403"/>
      <c r="B151" s="399"/>
      <c r="C151" s="399"/>
      <c r="D151" s="399"/>
      <c r="E151" s="399"/>
      <c r="F151" s="399" t="s">
        <v>103</v>
      </c>
      <c r="G151" s="399"/>
      <c r="H151" s="399"/>
      <c r="I151" s="62">
        <f>IF(H15=1,0.076,IF(H15=2,0.03,IF(H15=3,'1. SB ABA DE CARREGAMENTO'!B109,IF(H15=4,'1. SB ABA DE CARREGAMENTO'!B109,IF(H15=5,'1. SB ABA DE CARREGAMENTO'!B109,"RT Indefinido")))))</f>
        <v>7.5999999999999998E-2</v>
      </c>
      <c r="J151" s="89">
        <f>ROUND(($J$148/(1-$I$149))*I151,2)</f>
        <v>364.19</v>
      </c>
      <c r="K151" s="102"/>
      <c r="L151" s="103"/>
    </row>
    <row r="152" spans="1:12" ht="17.25" customHeight="1" x14ac:dyDescent="0.2">
      <c r="A152" s="20" t="s">
        <v>459</v>
      </c>
      <c r="B152" s="399" t="s">
        <v>460</v>
      </c>
      <c r="C152" s="399"/>
      <c r="D152" s="399"/>
      <c r="E152" s="399"/>
      <c r="F152" s="399" t="s">
        <v>461</v>
      </c>
      <c r="G152" s="399"/>
      <c r="H152" s="399"/>
      <c r="I152" s="62">
        <v>0</v>
      </c>
      <c r="J152" s="64">
        <v>0</v>
      </c>
      <c r="K152" s="102"/>
      <c r="L152" s="103"/>
    </row>
    <row r="153" spans="1:12" ht="17.25" customHeight="1" x14ac:dyDescent="0.2">
      <c r="A153" s="20" t="s">
        <v>462</v>
      </c>
      <c r="B153" s="399" t="s">
        <v>463</v>
      </c>
      <c r="C153" s="399"/>
      <c r="D153" s="399"/>
      <c r="E153" s="399"/>
      <c r="F153" s="399" t="s">
        <v>464</v>
      </c>
      <c r="G153" s="399"/>
      <c r="H153" s="399"/>
      <c r="I153" s="62">
        <f>'1. SB ABA DE CARREGAMENTO'!$B$105</f>
        <v>0.03</v>
      </c>
      <c r="J153" s="89">
        <f>ROUND(($J$148/(1-$I$149))*I153,2)</f>
        <v>143.76</v>
      </c>
    </row>
    <row r="154" spans="1:12" ht="17.25" customHeight="1" x14ac:dyDescent="0.2">
      <c r="A154" s="419" t="s">
        <v>465</v>
      </c>
      <c r="B154" s="419"/>
      <c r="C154" s="419"/>
      <c r="D154" s="419"/>
      <c r="E154" s="419"/>
      <c r="F154" s="419"/>
      <c r="G154" s="419"/>
      <c r="H154" s="419"/>
      <c r="I154" s="419"/>
      <c r="J154" s="8">
        <f>SUM(J145+J147+J149)</f>
        <v>1077.26</v>
      </c>
    </row>
    <row r="155" spans="1:12" ht="17.25" customHeight="1" x14ac:dyDescent="0.2">
      <c r="A155" s="60" t="s">
        <v>466</v>
      </c>
      <c r="B155" s="420" t="s">
        <v>467</v>
      </c>
      <c r="C155" s="420"/>
      <c r="D155" s="420"/>
      <c r="E155" s="420"/>
      <c r="F155" s="420"/>
      <c r="G155" s="420"/>
      <c r="H155" s="420"/>
      <c r="I155" s="420"/>
      <c r="J155" s="420"/>
    </row>
    <row r="156" spans="1:12" ht="17.25" customHeight="1" x14ac:dyDescent="0.2">
      <c r="A156" s="433" t="s">
        <v>468</v>
      </c>
      <c r="B156" s="434" t="s">
        <v>469</v>
      </c>
      <c r="C156" s="435"/>
      <c r="D156" s="440" t="s">
        <v>697</v>
      </c>
      <c r="E156" s="441"/>
      <c r="F156" s="441"/>
      <c r="G156" s="446" t="s">
        <v>698</v>
      </c>
      <c r="H156" s="447"/>
      <c r="I156" s="275"/>
      <c r="J156" s="452"/>
    </row>
    <row r="157" spans="1:12" ht="17.25" customHeight="1" x14ac:dyDescent="0.2">
      <c r="A157" s="433"/>
      <c r="B157" s="436"/>
      <c r="C157" s="437"/>
      <c r="D157" s="442"/>
      <c r="E157" s="443"/>
      <c r="F157" s="443"/>
      <c r="G157" s="448"/>
      <c r="H157" s="449"/>
      <c r="I157" s="207"/>
      <c r="J157" s="453"/>
    </row>
    <row r="158" spans="1:12" ht="17.25" customHeight="1" x14ac:dyDescent="0.2">
      <c r="A158" s="433"/>
      <c r="B158" s="438"/>
      <c r="C158" s="439"/>
      <c r="D158" s="444"/>
      <c r="E158" s="445"/>
      <c r="F158" s="445"/>
      <c r="G158" s="450"/>
      <c r="H158" s="451"/>
      <c r="I158" s="276"/>
      <c r="J158" s="454"/>
    </row>
    <row r="159" spans="1:12" ht="17.25" customHeight="1" x14ac:dyDescent="0.2">
      <c r="A159" s="498"/>
      <c r="B159" s="498"/>
      <c r="C159" s="498"/>
      <c r="D159" s="498"/>
      <c r="E159" s="498"/>
      <c r="F159" s="498"/>
      <c r="G159" s="498"/>
      <c r="H159" s="498"/>
      <c r="I159" s="498"/>
      <c r="J159" s="498"/>
    </row>
    <row r="160" spans="1:12" ht="17.25" customHeight="1" x14ac:dyDescent="0.2">
      <c r="A160" s="455" t="s">
        <v>699</v>
      </c>
      <c r="B160" s="455"/>
      <c r="C160" s="455"/>
      <c r="D160" s="455"/>
      <c r="E160" s="455"/>
      <c r="F160" s="455"/>
      <c r="G160" s="455"/>
      <c r="H160" s="455"/>
      <c r="I160" s="455"/>
      <c r="J160" s="455"/>
    </row>
    <row r="161" spans="1:10" ht="17.25" customHeight="1" x14ac:dyDescent="0.2">
      <c r="A161" s="456" t="s">
        <v>470</v>
      </c>
      <c r="B161" s="456"/>
      <c r="C161" s="456"/>
      <c r="D161" s="456"/>
      <c r="E161" s="456"/>
      <c r="F161" s="456"/>
      <c r="G161" s="456"/>
      <c r="H161" s="456"/>
      <c r="I161" s="456"/>
      <c r="J161" s="19" t="s">
        <v>379</v>
      </c>
    </row>
    <row r="162" spans="1:10" ht="17.25" customHeight="1" x14ac:dyDescent="0.2">
      <c r="A162" s="69" t="s">
        <v>327</v>
      </c>
      <c r="B162" s="457" t="s">
        <v>471</v>
      </c>
      <c r="C162" s="457"/>
      <c r="D162" s="457"/>
      <c r="E162" s="457"/>
      <c r="F162" s="457"/>
      <c r="G162" s="457"/>
      <c r="H162" s="457"/>
      <c r="I162" s="457"/>
      <c r="J162" s="70">
        <f>J50</f>
        <v>1576.9099999999999</v>
      </c>
    </row>
    <row r="163" spans="1:10" ht="17.25" customHeight="1" x14ac:dyDescent="0.2">
      <c r="A163" s="69" t="s">
        <v>329</v>
      </c>
      <c r="B163" s="457" t="s">
        <v>472</v>
      </c>
      <c r="C163" s="457"/>
      <c r="D163" s="457"/>
      <c r="E163" s="457"/>
      <c r="F163" s="457"/>
      <c r="G163" s="457"/>
      <c r="H163" s="457"/>
      <c r="I163" s="457"/>
      <c r="J163" s="70">
        <f>J96</f>
        <v>1326.49</v>
      </c>
    </row>
    <row r="164" spans="1:10" ht="17.25" customHeight="1" x14ac:dyDescent="0.2">
      <c r="A164" s="69" t="s">
        <v>330</v>
      </c>
      <c r="B164" s="457" t="s">
        <v>473</v>
      </c>
      <c r="C164" s="457"/>
      <c r="D164" s="457"/>
      <c r="E164" s="457"/>
      <c r="F164" s="457"/>
      <c r="G164" s="457"/>
      <c r="H164" s="457"/>
      <c r="I164" s="457"/>
      <c r="J164" s="70">
        <f>J106</f>
        <v>87.039999999999992</v>
      </c>
    </row>
    <row r="165" spans="1:10" ht="17.25" customHeight="1" x14ac:dyDescent="0.2">
      <c r="A165" s="69" t="s">
        <v>332</v>
      </c>
      <c r="B165" s="457" t="s">
        <v>474</v>
      </c>
      <c r="C165" s="457"/>
      <c r="D165" s="457"/>
      <c r="E165" s="457"/>
      <c r="F165" s="457"/>
      <c r="G165" s="457"/>
      <c r="H165" s="457"/>
      <c r="I165" s="457"/>
      <c r="J165" s="70">
        <f>J130</f>
        <v>192.37</v>
      </c>
    </row>
    <row r="166" spans="1:10" ht="17.25" customHeight="1" x14ac:dyDescent="0.2">
      <c r="A166" s="69" t="s">
        <v>388</v>
      </c>
      <c r="B166" s="457" t="s">
        <v>475</v>
      </c>
      <c r="C166" s="457"/>
      <c r="D166" s="457"/>
      <c r="E166" s="457"/>
      <c r="F166" s="457"/>
      <c r="G166" s="457"/>
      <c r="H166" s="457"/>
      <c r="I166" s="457"/>
      <c r="J166" s="70">
        <f>J139</f>
        <v>531.86004160668733</v>
      </c>
    </row>
    <row r="167" spans="1:10" ht="17.25" customHeight="1" x14ac:dyDescent="0.2">
      <c r="A167" s="458" t="s">
        <v>476</v>
      </c>
      <c r="B167" s="458"/>
      <c r="C167" s="458"/>
      <c r="D167" s="458"/>
      <c r="E167" s="458"/>
      <c r="F167" s="458"/>
      <c r="G167" s="458"/>
      <c r="H167" s="458"/>
      <c r="I167" s="458"/>
      <c r="J167" s="71">
        <f>SUM(J162:J166)</f>
        <v>3714.6700416066869</v>
      </c>
    </row>
    <row r="168" spans="1:10" ht="17.25" customHeight="1" x14ac:dyDescent="0.2">
      <c r="A168" s="69" t="s">
        <v>389</v>
      </c>
      <c r="B168" s="457" t="s">
        <v>477</v>
      </c>
      <c r="C168" s="457"/>
      <c r="D168" s="457"/>
      <c r="E168" s="457"/>
      <c r="F168" s="457"/>
      <c r="G168" s="457"/>
      <c r="H168" s="457"/>
      <c r="I168" s="457"/>
      <c r="J168" s="70">
        <f>J154</f>
        <v>1077.26</v>
      </c>
    </row>
    <row r="169" spans="1:10" ht="17.25" customHeight="1" x14ac:dyDescent="0.2">
      <c r="A169" s="459" t="s">
        <v>478</v>
      </c>
      <c r="B169" s="459"/>
      <c r="C169" s="459"/>
      <c r="D169" s="459"/>
      <c r="E169" s="459"/>
      <c r="F169" s="459"/>
      <c r="G169" s="459"/>
      <c r="H169" s="72">
        <f>'1. SB ABA DE CARREGAMENTO'!C68</f>
        <v>44</v>
      </c>
      <c r="I169" s="73" t="s">
        <v>371</v>
      </c>
      <c r="J169" s="71">
        <f>SUM(J167:J168)</f>
        <v>4791.9300416066872</v>
      </c>
    </row>
    <row r="170" spans="1:10" ht="17.25" customHeight="1" x14ac:dyDescent="0.2">
      <c r="A170" s="74"/>
      <c r="B170" s="74"/>
      <c r="C170" s="74"/>
      <c r="D170" s="74"/>
      <c r="E170" s="74"/>
      <c r="F170" s="74"/>
      <c r="G170" s="74"/>
      <c r="H170" s="74"/>
      <c r="I170" s="74"/>
      <c r="J170" s="75"/>
    </row>
    <row r="171" spans="1:10" ht="17.25" customHeight="1" x14ac:dyDescent="0.2">
      <c r="A171" s="385" t="s">
        <v>479</v>
      </c>
      <c r="B171" s="385"/>
      <c r="C171" s="385"/>
      <c r="D171" s="385"/>
      <c r="E171" s="385"/>
      <c r="F171" s="385"/>
      <c r="G171" s="385"/>
      <c r="H171" s="385"/>
      <c r="I171" s="385"/>
      <c r="J171" s="385"/>
    </row>
    <row r="172" spans="1:10" ht="17.25" customHeight="1" x14ac:dyDescent="0.2">
      <c r="A172" s="460" t="s">
        <v>671</v>
      </c>
      <c r="B172" s="460"/>
      <c r="C172" s="460"/>
      <c r="D172" s="460"/>
      <c r="E172" s="460"/>
      <c r="F172" s="460"/>
      <c r="G172" s="460"/>
      <c r="H172" s="460"/>
      <c r="I172" s="460"/>
      <c r="J172" s="460"/>
    </row>
    <row r="173" spans="1:10" ht="17.25" customHeight="1" x14ac:dyDescent="0.2">
      <c r="A173" s="431" t="s">
        <v>578</v>
      </c>
      <c r="B173" s="431"/>
      <c r="C173" s="431"/>
      <c r="D173" s="431"/>
      <c r="E173" s="431"/>
      <c r="F173" s="431"/>
      <c r="G173" s="431"/>
      <c r="H173" s="431"/>
      <c r="I173" s="431"/>
      <c r="J173" s="431"/>
    </row>
    <row r="174" spans="1:10" ht="52.5" customHeight="1" x14ac:dyDescent="0.2">
      <c r="A174" s="19" t="s">
        <v>700</v>
      </c>
      <c r="B174" s="385" t="s">
        <v>579</v>
      </c>
      <c r="C174" s="385"/>
      <c r="D174" s="385"/>
      <c r="E174" s="19" t="s">
        <v>580</v>
      </c>
      <c r="F174" s="385" t="s">
        <v>581</v>
      </c>
      <c r="G174" s="385"/>
      <c r="H174" s="19" t="s">
        <v>582</v>
      </c>
      <c r="I174" s="19" t="s">
        <v>583</v>
      </c>
      <c r="J174" s="19" t="s">
        <v>584</v>
      </c>
    </row>
    <row r="175" spans="1:10" ht="72.75" customHeight="1" x14ac:dyDescent="0.2">
      <c r="A175" s="104" t="s">
        <v>585</v>
      </c>
      <c r="B175" s="76" t="s">
        <v>512</v>
      </c>
      <c r="C175" s="92">
        <v>30</v>
      </c>
      <c r="D175" s="93">
        <f>C176</f>
        <v>160</v>
      </c>
      <c r="E175" s="94">
        <v>188.76</v>
      </c>
      <c r="F175" s="76" t="s">
        <v>512</v>
      </c>
      <c r="G175" s="76" t="s">
        <v>586</v>
      </c>
      <c r="H175" s="77">
        <f>ROUND((B175/(C175*D175))*E175*(F175/G175),7)</f>
        <v>2.0829999999999999E-4</v>
      </c>
      <c r="I175" s="78">
        <v>0</v>
      </c>
      <c r="J175" s="78">
        <f>ROUND(H175*I175,2)</f>
        <v>0</v>
      </c>
    </row>
    <row r="176" spans="1:10" ht="72.75" customHeight="1" x14ac:dyDescent="0.2">
      <c r="A176" s="104" t="s">
        <v>587</v>
      </c>
      <c r="B176" s="76">
        <v>1</v>
      </c>
      <c r="C176" s="507">
        <f>'6. SB Cálc DEMO Esq e Fach'!$C$8</f>
        <v>160</v>
      </c>
      <c r="D176" s="507"/>
      <c r="E176" s="92">
        <v>188.76</v>
      </c>
      <c r="F176" s="76" t="s">
        <v>512</v>
      </c>
      <c r="G176" s="76" t="s">
        <v>586</v>
      </c>
      <c r="H176" s="77">
        <f>ROUND((B176/C176)*E176*(F176/G176),7)</f>
        <v>6.2500000000000003E-3</v>
      </c>
      <c r="I176" s="78">
        <f>J169</f>
        <v>4791.9300416066872</v>
      </c>
      <c r="J176" s="78">
        <f>ROUND(H176*I176,2)</f>
        <v>29.95</v>
      </c>
    </row>
    <row r="177" spans="1:26" ht="17.25" customHeight="1" x14ac:dyDescent="0.2">
      <c r="A177" s="419" t="s">
        <v>484</v>
      </c>
      <c r="B177" s="419"/>
      <c r="C177" s="419"/>
      <c r="D177" s="419"/>
      <c r="E177" s="419"/>
      <c r="F177" s="419"/>
      <c r="G177" s="419"/>
      <c r="H177" s="419"/>
      <c r="I177" s="419"/>
      <c r="J177" s="79">
        <f>J176+J175</f>
        <v>29.95</v>
      </c>
    </row>
    <row r="178" spans="1:26" ht="17.25" customHeight="1" x14ac:dyDescent="0.2">
      <c r="A178" s="508"/>
      <c r="B178" s="508"/>
      <c r="C178" s="508"/>
      <c r="D178" s="508"/>
      <c r="E178" s="508"/>
      <c r="F178" s="508"/>
      <c r="G178" s="508"/>
      <c r="H178" s="508"/>
      <c r="I178" s="508"/>
      <c r="J178" s="508"/>
      <c r="K178" s="100"/>
      <c r="L178" s="100"/>
      <c r="M178" s="100"/>
      <c r="N178" s="100"/>
      <c r="O178" s="100"/>
      <c r="P178" s="100"/>
      <c r="Q178" s="100"/>
      <c r="R178" s="100"/>
      <c r="S178" s="100"/>
      <c r="T178" s="100"/>
      <c r="U178" s="100"/>
      <c r="V178" s="100"/>
      <c r="W178" s="100"/>
      <c r="X178" s="100"/>
      <c r="Y178" s="100"/>
      <c r="Z178" s="100"/>
    </row>
    <row r="179" spans="1:26" ht="66.75" customHeight="1" x14ac:dyDescent="0.2">
      <c r="A179" s="104" t="s">
        <v>588</v>
      </c>
      <c r="B179" s="76">
        <v>1</v>
      </c>
      <c r="C179" s="92">
        <v>30</v>
      </c>
      <c r="D179" s="93">
        <f>C180</f>
        <v>380</v>
      </c>
      <c r="E179" s="92">
        <v>188.76</v>
      </c>
      <c r="F179" s="76" t="s">
        <v>512</v>
      </c>
      <c r="G179" s="76" t="s">
        <v>586</v>
      </c>
      <c r="H179" s="77">
        <f>ROUND((B179/(C179*D179))*E179*(F179/G179),7)</f>
        <v>8.7700000000000004E-5</v>
      </c>
      <c r="I179" s="78">
        <v>0</v>
      </c>
      <c r="J179" s="78">
        <f>ROUND(H179*I179,2)</f>
        <v>0</v>
      </c>
    </row>
    <row r="180" spans="1:26" ht="66.75" customHeight="1" x14ac:dyDescent="0.2">
      <c r="A180" s="104" t="s">
        <v>589</v>
      </c>
      <c r="B180" s="76">
        <v>1</v>
      </c>
      <c r="C180" s="509">
        <f>'6. SB Cálc DEMO Esq e Fach'!$C$9</f>
        <v>380</v>
      </c>
      <c r="D180" s="509"/>
      <c r="E180" s="92">
        <v>188.76</v>
      </c>
      <c r="F180" s="76" t="s">
        <v>512</v>
      </c>
      <c r="G180" s="76" t="s">
        <v>586</v>
      </c>
      <c r="H180" s="77">
        <f>ROUND((B180/C180)*E180*(F180/G180),7)</f>
        <v>2.6316E-3</v>
      </c>
      <c r="I180" s="78">
        <f>J169</f>
        <v>4791.9300416066872</v>
      </c>
      <c r="J180" s="78">
        <f>ROUND(H180*I180,2)</f>
        <v>12.61</v>
      </c>
    </row>
    <row r="181" spans="1:26" ht="17.25" customHeight="1" x14ac:dyDescent="0.2">
      <c r="A181" s="419" t="s">
        <v>484</v>
      </c>
      <c r="B181" s="419"/>
      <c r="C181" s="419"/>
      <c r="D181" s="419"/>
      <c r="E181" s="419"/>
      <c r="F181" s="419"/>
      <c r="G181" s="419"/>
      <c r="H181" s="419"/>
      <c r="I181" s="419"/>
      <c r="J181" s="79">
        <f>J180+J179</f>
        <v>12.61</v>
      </c>
    </row>
    <row r="182" spans="1:26" ht="28.5" x14ac:dyDescent="0.2">
      <c r="A182" s="104" t="s">
        <v>590</v>
      </c>
      <c r="B182" s="76">
        <v>1</v>
      </c>
      <c r="C182" s="92">
        <v>30</v>
      </c>
      <c r="D182" s="93">
        <f>C183</f>
        <v>380</v>
      </c>
      <c r="E182" s="94">
        <v>188.76</v>
      </c>
      <c r="F182" s="76" t="s">
        <v>512</v>
      </c>
      <c r="G182" s="76" t="s">
        <v>586</v>
      </c>
      <c r="H182" s="77">
        <f>ROUND((B182/(C182*D182))*E182*(F182/G182),7)</f>
        <v>8.7700000000000004E-5</v>
      </c>
      <c r="I182" s="78">
        <v>0</v>
      </c>
      <c r="J182" s="78">
        <f>ROUND(H182*I182,2)</f>
        <v>0</v>
      </c>
    </row>
    <row r="183" spans="1:26" ht="28.5" x14ac:dyDescent="0.2">
      <c r="A183" s="104" t="s">
        <v>591</v>
      </c>
      <c r="B183" s="76">
        <v>1</v>
      </c>
      <c r="C183" s="509">
        <f>'6. SB Cálc DEMO Esq e Fach'!$C$10</f>
        <v>380</v>
      </c>
      <c r="D183" s="509"/>
      <c r="E183" s="94">
        <v>188.76</v>
      </c>
      <c r="F183" s="76" t="s">
        <v>512</v>
      </c>
      <c r="G183" s="76" t="s">
        <v>586</v>
      </c>
      <c r="H183" s="77">
        <f>ROUND((B183/C183)*E183*(F183/G183),7)</f>
        <v>2.6316E-3</v>
      </c>
      <c r="I183" s="78">
        <f>J169</f>
        <v>4791.9300416066872</v>
      </c>
      <c r="J183" s="78">
        <f>ROUND(H183*I183,2)</f>
        <v>12.61</v>
      </c>
    </row>
    <row r="184" spans="1:26" ht="17.25" customHeight="1" x14ac:dyDescent="0.2">
      <c r="A184" s="419" t="s">
        <v>592</v>
      </c>
      <c r="B184" s="419"/>
      <c r="C184" s="419"/>
      <c r="D184" s="419"/>
      <c r="E184" s="419"/>
      <c r="F184" s="419"/>
      <c r="G184" s="419"/>
      <c r="H184" s="419"/>
      <c r="I184" s="419"/>
      <c r="J184" s="80">
        <f>SUM(J182:J183)</f>
        <v>12.61</v>
      </c>
    </row>
    <row r="185" spans="1:26" ht="17.25" customHeight="1" x14ac:dyDescent="0.2">
      <c r="A185" s="510" t="s">
        <v>593</v>
      </c>
      <c r="B185" s="510"/>
      <c r="C185" s="510"/>
      <c r="D185" s="510"/>
      <c r="E185" s="510"/>
      <c r="F185" s="510"/>
      <c r="G185" s="510"/>
      <c r="H185" s="510"/>
      <c r="I185" s="510"/>
      <c r="J185" s="510"/>
    </row>
    <row r="186" spans="1:26" ht="52.5" customHeight="1" x14ac:dyDescent="0.2">
      <c r="A186" s="19" t="s">
        <v>700</v>
      </c>
      <c r="B186" s="385" t="s">
        <v>594</v>
      </c>
      <c r="C186" s="385"/>
      <c r="D186" s="385"/>
      <c r="E186" s="19" t="s">
        <v>595</v>
      </c>
      <c r="F186" s="385" t="s">
        <v>596</v>
      </c>
      <c r="G186" s="385"/>
      <c r="H186" s="19" t="s">
        <v>597</v>
      </c>
      <c r="I186" s="19" t="s">
        <v>598</v>
      </c>
      <c r="J186" s="19" t="s">
        <v>599</v>
      </c>
    </row>
    <row r="187" spans="1:26" ht="17.25" customHeight="1" x14ac:dyDescent="0.2">
      <c r="A187" s="105" t="s">
        <v>600</v>
      </c>
      <c r="B187" s="76">
        <v>1</v>
      </c>
      <c r="C187" s="92">
        <v>4</v>
      </c>
      <c r="D187" s="93">
        <f>C188</f>
        <v>160</v>
      </c>
      <c r="E187" s="92">
        <v>188.76</v>
      </c>
      <c r="F187" s="92">
        <v>1</v>
      </c>
      <c r="G187" s="95">
        <v>188.76</v>
      </c>
      <c r="H187" s="96">
        <f>ROUND((B187/(C187*D187))*E187*(F187/G187),7)</f>
        <v>1.5625000000000001E-3</v>
      </c>
      <c r="I187" s="97">
        <v>0</v>
      </c>
      <c r="J187" s="78">
        <f>ROUND(H187*I187,2)</f>
        <v>0</v>
      </c>
    </row>
    <row r="188" spans="1:26" ht="17.25" customHeight="1" x14ac:dyDescent="0.2">
      <c r="A188" s="105" t="s">
        <v>519</v>
      </c>
      <c r="B188" s="76">
        <v>1</v>
      </c>
      <c r="C188" s="509">
        <f>'6. SB Cálc DEMO Esq e Fach'!$C$11</f>
        <v>160</v>
      </c>
      <c r="D188" s="509"/>
      <c r="E188" s="92">
        <v>188.76</v>
      </c>
      <c r="F188" s="106">
        <v>1</v>
      </c>
      <c r="G188" s="95">
        <v>188.76</v>
      </c>
      <c r="H188" s="96">
        <f>ROUND((B188/C188)*E188*(F188/G188),7)</f>
        <v>6.2500000000000003E-3</v>
      </c>
      <c r="I188" s="97">
        <f>J169</f>
        <v>4791.9300416066872</v>
      </c>
      <c r="J188" s="78">
        <f>ROUND(H188*I188,2)</f>
        <v>29.95</v>
      </c>
    </row>
    <row r="189" spans="1:26" ht="17.25" customHeight="1" x14ac:dyDescent="0.2">
      <c r="A189" s="419" t="s">
        <v>601</v>
      </c>
      <c r="B189" s="419"/>
      <c r="C189" s="419"/>
      <c r="D189" s="419"/>
      <c r="E189" s="419"/>
      <c r="F189" s="419"/>
      <c r="G189" s="419"/>
      <c r="H189" s="419"/>
      <c r="I189" s="419"/>
      <c r="J189" s="80">
        <f>SUM(J187:J188)</f>
        <v>29.95</v>
      </c>
    </row>
    <row r="190" spans="1:26" ht="94.5" customHeight="1" x14ac:dyDescent="0.2">
      <c r="A190" s="404" t="s">
        <v>558</v>
      </c>
      <c r="B190" s="404"/>
      <c r="C190" s="404"/>
      <c r="D190" s="404"/>
      <c r="E190" s="404"/>
      <c r="F190" s="404"/>
      <c r="G190" s="404"/>
      <c r="H190" s="404"/>
      <c r="I190" s="404"/>
      <c r="J190" s="404"/>
    </row>
    <row r="191" spans="1:26" ht="17.25" customHeight="1" x14ac:dyDescent="0.2">
      <c r="A191" s="385" t="s">
        <v>521</v>
      </c>
      <c r="B191" s="385"/>
      <c r="C191" s="385"/>
      <c r="D191" s="385"/>
      <c r="E191" s="385"/>
      <c r="F191" s="385"/>
      <c r="G191" s="385"/>
      <c r="H191" s="385"/>
      <c r="I191" s="385"/>
      <c r="J191" s="385"/>
    </row>
    <row r="192" spans="1:26" ht="39.75" customHeight="1" x14ac:dyDescent="0.2">
      <c r="A192" s="385" t="s">
        <v>21</v>
      </c>
      <c r="B192" s="385"/>
      <c r="C192" s="385"/>
      <c r="D192" s="385"/>
      <c r="E192" s="385"/>
      <c r="F192" s="385" t="s">
        <v>522</v>
      </c>
      <c r="G192" s="385"/>
      <c r="H192" s="19" t="s">
        <v>523</v>
      </c>
      <c r="I192" s="385" t="s">
        <v>524</v>
      </c>
      <c r="J192" s="385"/>
    </row>
    <row r="193" spans="1:26" ht="17.25" customHeight="1" x14ac:dyDescent="0.2">
      <c r="A193" s="460" t="s">
        <v>568</v>
      </c>
      <c r="B193" s="460"/>
      <c r="C193" s="460"/>
      <c r="D193" s="460"/>
      <c r="E193" s="460"/>
      <c r="F193" s="477">
        <f>$J$177</f>
        <v>29.95</v>
      </c>
      <c r="G193" s="477"/>
      <c r="H193" s="107">
        <f>$I$25</f>
        <v>109.47458333333331</v>
      </c>
      <c r="I193" s="478">
        <f>ROUND(F193*H193,2)</f>
        <v>3278.76</v>
      </c>
      <c r="J193" s="478"/>
    </row>
    <row r="194" spans="1:26" ht="17.25" customHeight="1" x14ac:dyDescent="0.2">
      <c r="A194" s="460" t="s">
        <v>569</v>
      </c>
      <c r="B194" s="460"/>
      <c r="C194" s="460"/>
      <c r="D194" s="460"/>
      <c r="E194" s="460"/>
      <c r="F194" s="477">
        <f>$J$181</f>
        <v>12.61</v>
      </c>
      <c r="G194" s="477"/>
      <c r="H194" s="107">
        <f>$I$26</f>
        <v>38.932916666666671</v>
      </c>
      <c r="I194" s="478">
        <f>ROUND(F194*H194,2)</f>
        <v>490.94</v>
      </c>
      <c r="J194" s="478"/>
    </row>
    <row r="195" spans="1:26" ht="17.25" customHeight="1" x14ac:dyDescent="0.2">
      <c r="A195" s="460" t="s">
        <v>602</v>
      </c>
      <c r="B195" s="460"/>
      <c r="C195" s="460"/>
      <c r="D195" s="460"/>
      <c r="E195" s="460"/>
      <c r="F195" s="477">
        <f>J184</f>
        <v>12.61</v>
      </c>
      <c r="G195" s="477"/>
      <c r="H195" s="107">
        <f>$I$27</f>
        <v>776.51041666666674</v>
      </c>
      <c r="I195" s="478">
        <f>ROUND(F195*H195,2)</f>
        <v>9791.7999999999993</v>
      </c>
      <c r="J195" s="478"/>
    </row>
    <row r="196" spans="1:26" ht="17.25" customHeight="1" x14ac:dyDescent="0.2">
      <c r="A196" s="419" t="s">
        <v>603</v>
      </c>
      <c r="B196" s="419"/>
      <c r="C196" s="419"/>
      <c r="D196" s="419"/>
      <c r="E196" s="419"/>
      <c r="F196" s="419"/>
      <c r="G196" s="419"/>
      <c r="H196" s="98">
        <f>I28</f>
        <v>924.91791666666677</v>
      </c>
      <c r="I196" s="480">
        <f>SUM(I193:I195)</f>
        <v>13561.5</v>
      </c>
      <c r="J196" s="480"/>
    </row>
    <row r="197" spans="1:26" ht="17.25" customHeight="1" x14ac:dyDescent="0.2">
      <c r="A197" s="460" t="s">
        <v>572</v>
      </c>
      <c r="B197" s="460"/>
      <c r="C197" s="460"/>
      <c r="D197" s="460"/>
      <c r="E197" s="460"/>
      <c r="F197" s="477">
        <f>J189</f>
        <v>29.95</v>
      </c>
      <c r="G197" s="477"/>
      <c r="H197" s="108">
        <f>$I$30</f>
        <v>0</v>
      </c>
      <c r="I197" s="478">
        <f>ROUND(F197*H197,2)</f>
        <v>0</v>
      </c>
      <c r="J197" s="478"/>
    </row>
    <row r="198" spans="1:26" ht="17.25" customHeight="1" x14ac:dyDescent="0.2">
      <c r="A198" s="419" t="s">
        <v>604</v>
      </c>
      <c r="B198" s="419"/>
      <c r="C198" s="419"/>
      <c r="D198" s="419"/>
      <c r="E198" s="419"/>
      <c r="F198" s="419"/>
      <c r="G198" s="419"/>
      <c r="H198" s="98">
        <f>I30</f>
        <v>0</v>
      </c>
      <c r="I198" s="480">
        <f>SUM(I197)</f>
        <v>0</v>
      </c>
      <c r="J198" s="480"/>
    </row>
    <row r="199" spans="1:26" ht="17.25" customHeight="1" x14ac:dyDescent="0.2">
      <c r="A199" s="460" t="s">
        <v>359</v>
      </c>
      <c r="B199" s="460"/>
      <c r="C199" s="460"/>
      <c r="D199" s="460"/>
      <c r="E199" s="460"/>
      <c r="F199" s="477">
        <v>0</v>
      </c>
      <c r="G199" s="477"/>
      <c r="H199" s="107">
        <f>I31</f>
        <v>0</v>
      </c>
      <c r="I199" s="478">
        <v>0</v>
      </c>
      <c r="J199" s="478"/>
    </row>
    <row r="200" spans="1:26" ht="17.25" customHeight="1" x14ac:dyDescent="0.2">
      <c r="A200" s="419" t="s">
        <v>673</v>
      </c>
      <c r="B200" s="419"/>
      <c r="C200" s="419"/>
      <c r="D200" s="419"/>
      <c r="E200" s="419"/>
      <c r="F200" s="419"/>
      <c r="G200" s="419"/>
      <c r="H200" s="98">
        <f>H199</f>
        <v>0</v>
      </c>
      <c r="I200" s="480">
        <v>0</v>
      </c>
      <c r="J200" s="480"/>
    </row>
    <row r="201" spans="1:26" ht="17.25" customHeight="1" x14ac:dyDescent="0.2">
      <c r="A201" s="419" t="s">
        <v>605</v>
      </c>
      <c r="B201" s="419"/>
      <c r="C201" s="419"/>
      <c r="D201" s="419"/>
      <c r="E201" s="419"/>
      <c r="F201" s="419"/>
      <c r="G201" s="419"/>
      <c r="H201" s="98">
        <f>H200+H198+H196</f>
        <v>924.91791666666677</v>
      </c>
      <c r="I201" s="480">
        <f>I200+I198+I196</f>
        <v>13561.5</v>
      </c>
      <c r="J201" s="480"/>
    </row>
    <row r="202" spans="1:26" ht="17.25" customHeight="1" x14ac:dyDescent="0.2">
      <c r="A202" s="431" t="s">
        <v>534</v>
      </c>
      <c r="B202" s="431"/>
      <c r="C202" s="431"/>
      <c r="D202" s="431"/>
      <c r="E202" s="431"/>
      <c r="F202" s="431"/>
      <c r="G202" s="431"/>
      <c r="H202" s="431"/>
      <c r="I202" s="483">
        <f>I201</f>
        <v>13561.5</v>
      </c>
      <c r="J202" s="483"/>
      <c r="L202" s="99">
        <f>I202/I188</f>
        <v>2.8300705315499477</v>
      </c>
    </row>
    <row r="203" spans="1:26" ht="17.25" customHeight="1" x14ac:dyDescent="0.2">
      <c r="A203" s="431" t="s">
        <v>535</v>
      </c>
      <c r="B203" s="431"/>
      <c r="C203" s="431"/>
      <c r="D203" s="431"/>
      <c r="E203" s="431"/>
      <c r="F203" s="431"/>
      <c r="G203" s="431"/>
      <c r="H203" s="431"/>
      <c r="I203" s="484">
        <f>H21</f>
        <v>20</v>
      </c>
      <c r="J203" s="484"/>
    </row>
    <row r="204" spans="1:26" ht="17.25" customHeight="1" x14ac:dyDescent="0.2">
      <c r="A204" s="431" t="s">
        <v>536</v>
      </c>
      <c r="B204" s="431"/>
      <c r="C204" s="431"/>
      <c r="D204" s="431"/>
      <c r="E204" s="431"/>
      <c r="F204" s="431"/>
      <c r="G204" s="431"/>
      <c r="H204" s="431"/>
      <c r="I204" s="483">
        <f>ROUND(I201*I203,2)</f>
        <v>271230</v>
      </c>
      <c r="J204" s="483"/>
    </row>
    <row r="205" spans="1:26" ht="17.25" customHeight="1" x14ac:dyDescent="0.2">
      <c r="A205" s="505"/>
      <c r="B205" s="505"/>
      <c r="C205" s="505"/>
      <c r="D205" s="505"/>
      <c r="E205" s="505"/>
      <c r="F205" s="505"/>
      <c r="G205" s="505"/>
      <c r="H205" s="505"/>
      <c r="I205" s="505"/>
      <c r="J205" s="505"/>
      <c r="K205" s="100"/>
      <c r="L205" s="100"/>
      <c r="M205" s="100"/>
      <c r="N205" s="100"/>
      <c r="O205" s="100"/>
      <c r="P205" s="100"/>
      <c r="Q205" s="100"/>
      <c r="R205" s="100"/>
      <c r="S205" s="100"/>
      <c r="T205" s="100"/>
      <c r="U205" s="100"/>
      <c r="V205" s="100"/>
      <c r="W205" s="100"/>
      <c r="X205" s="100"/>
      <c r="Y205" s="100"/>
      <c r="Z205" s="100"/>
    </row>
    <row r="206" spans="1:26" ht="17.25" customHeight="1" x14ac:dyDescent="0.2">
      <c r="A206" s="431" t="s">
        <v>537</v>
      </c>
      <c r="B206" s="431"/>
      <c r="C206" s="431"/>
      <c r="D206" s="431"/>
      <c r="E206" s="431"/>
      <c r="F206" s="431"/>
      <c r="G206" s="431"/>
      <c r="H206" s="431"/>
      <c r="I206" s="431"/>
      <c r="J206" s="431"/>
    </row>
    <row r="207" spans="1:26" ht="17.25" customHeight="1" x14ac:dyDescent="0.2">
      <c r="A207" s="385" t="s">
        <v>538</v>
      </c>
      <c r="B207" s="385"/>
      <c r="C207" s="385"/>
      <c r="D207" s="385"/>
      <c r="E207" s="385"/>
      <c r="F207" s="385"/>
      <c r="G207" s="385" t="s">
        <v>539</v>
      </c>
      <c r="H207" s="385"/>
      <c r="I207" s="385"/>
      <c r="J207" s="385"/>
    </row>
    <row r="208" spans="1:26" ht="17.25" customHeight="1" x14ac:dyDescent="0.2">
      <c r="A208" s="491" t="s">
        <v>69</v>
      </c>
      <c r="B208" s="491"/>
      <c r="C208" s="491"/>
      <c r="D208" s="491"/>
      <c r="E208" s="491"/>
      <c r="F208" s="491"/>
      <c r="G208" s="492">
        <f>'6. SB Cálc DEMO Esq e Fach'!$L$14</f>
        <v>2.8301196546052632</v>
      </c>
      <c r="H208" s="492"/>
      <c r="I208" s="492"/>
      <c r="J208" s="492"/>
    </row>
    <row r="209" spans="1:10" ht="39" customHeight="1" x14ac:dyDescent="0.2">
      <c r="A209" s="511" t="s">
        <v>606</v>
      </c>
      <c r="B209" s="511"/>
      <c r="C209" s="511"/>
      <c r="D209" s="511"/>
      <c r="E209" s="511"/>
      <c r="F209" s="511"/>
      <c r="G209" s="511"/>
      <c r="H209" s="511"/>
      <c r="I209" s="511"/>
      <c r="J209" s="511"/>
    </row>
    <row r="210" spans="1:10" ht="12.75" customHeight="1" x14ac:dyDescent="0.2"/>
    <row r="211" spans="1:10" ht="12.75" customHeight="1" x14ac:dyDescent="0.2"/>
    <row r="212" spans="1:10" ht="12.75" customHeight="1" x14ac:dyDescent="0.2"/>
    <row r="213" spans="1:10" ht="12.75" customHeight="1" x14ac:dyDescent="0.2"/>
    <row r="214" spans="1:10" ht="12.75" customHeight="1" x14ac:dyDescent="0.2"/>
    <row r="215" spans="1:10" ht="12.75" customHeight="1" x14ac:dyDescent="0.2"/>
    <row r="216" spans="1:10" ht="12.75" customHeight="1" x14ac:dyDescent="0.2"/>
    <row r="217" spans="1:10" ht="12.75" customHeight="1" x14ac:dyDescent="0.2"/>
    <row r="218" spans="1:10" ht="12.75" customHeight="1" x14ac:dyDescent="0.2"/>
    <row r="219" spans="1:10" ht="12.75" customHeight="1" x14ac:dyDescent="0.2"/>
    <row r="220" spans="1:10" ht="12.75" customHeight="1" x14ac:dyDescent="0.2"/>
    <row r="221" spans="1:10" ht="12.75" customHeight="1" x14ac:dyDescent="0.2"/>
    <row r="222" spans="1:10" ht="12.75" customHeight="1" x14ac:dyDescent="0.2"/>
    <row r="223" spans="1:10" ht="12.75" customHeight="1" x14ac:dyDescent="0.2"/>
    <row r="224" spans="1:10"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sheetData>
  <sheetProtection selectLockedCells="1" selectUnlockedCells="1"/>
  <mergeCells count="270">
    <mergeCell ref="A209:J209"/>
    <mergeCell ref="A203:H203"/>
    <mergeCell ref="I203:J203"/>
    <mergeCell ref="A204:H204"/>
    <mergeCell ref="I204:J204"/>
    <mergeCell ref="A205:J205"/>
    <mergeCell ref="A206:J206"/>
    <mergeCell ref="A207:F207"/>
    <mergeCell ref="G207:J207"/>
    <mergeCell ref="A208:F208"/>
    <mergeCell ref="G208:J208"/>
    <mergeCell ref="A199:E199"/>
    <mergeCell ref="F199:G199"/>
    <mergeCell ref="I199:J199"/>
    <mergeCell ref="A200:G200"/>
    <mergeCell ref="I200:J200"/>
    <mergeCell ref="A201:G201"/>
    <mergeCell ref="I201:J201"/>
    <mergeCell ref="A202:H202"/>
    <mergeCell ref="I202:J202"/>
    <mergeCell ref="A195:E195"/>
    <mergeCell ref="F195:G195"/>
    <mergeCell ref="I195:J195"/>
    <mergeCell ref="A196:G196"/>
    <mergeCell ref="I196:J196"/>
    <mergeCell ref="A197:E197"/>
    <mergeCell ref="F197:G197"/>
    <mergeCell ref="I197:J197"/>
    <mergeCell ref="A198:G198"/>
    <mergeCell ref="I198:J198"/>
    <mergeCell ref="A191:J191"/>
    <mergeCell ref="A192:E192"/>
    <mergeCell ref="F192:G192"/>
    <mergeCell ref="I192:J192"/>
    <mergeCell ref="A193:E193"/>
    <mergeCell ref="F193:G193"/>
    <mergeCell ref="I193:J193"/>
    <mergeCell ref="A194:E194"/>
    <mergeCell ref="F194:G194"/>
    <mergeCell ref="I194:J194"/>
    <mergeCell ref="A181:I181"/>
    <mergeCell ref="C183:D183"/>
    <mergeCell ref="A184:I184"/>
    <mergeCell ref="A185:J185"/>
    <mergeCell ref="B186:D186"/>
    <mergeCell ref="F186:G186"/>
    <mergeCell ref="C188:D188"/>
    <mergeCell ref="A189:I189"/>
    <mergeCell ref="A190:J190"/>
    <mergeCell ref="A171:J171"/>
    <mergeCell ref="A172:J172"/>
    <mergeCell ref="A173:J173"/>
    <mergeCell ref="B174:D174"/>
    <mergeCell ref="F174:G174"/>
    <mergeCell ref="C176:D176"/>
    <mergeCell ref="A177:I177"/>
    <mergeCell ref="A178:J178"/>
    <mergeCell ref="C180:D180"/>
    <mergeCell ref="A161:I161"/>
    <mergeCell ref="B162:I162"/>
    <mergeCell ref="B163:I163"/>
    <mergeCell ref="B164:I164"/>
    <mergeCell ref="B165:I165"/>
    <mergeCell ref="B166:I166"/>
    <mergeCell ref="A167:I167"/>
    <mergeCell ref="B168:I168"/>
    <mergeCell ref="A169:G169"/>
    <mergeCell ref="A154:I154"/>
    <mergeCell ref="B155:J155"/>
    <mergeCell ref="A156:A158"/>
    <mergeCell ref="B156:C158"/>
    <mergeCell ref="A159:J159"/>
    <mergeCell ref="A160:J160"/>
    <mergeCell ref="D156:F158"/>
    <mergeCell ref="G156:H158"/>
    <mergeCell ref="J156:J158"/>
    <mergeCell ref="K149:L149"/>
    <mergeCell ref="A150:A151"/>
    <mergeCell ref="B150:E151"/>
    <mergeCell ref="F150:H150"/>
    <mergeCell ref="F151:H151"/>
    <mergeCell ref="B152:E152"/>
    <mergeCell ref="F152:H152"/>
    <mergeCell ref="B153:E153"/>
    <mergeCell ref="F153:H153"/>
    <mergeCell ref="A141:J141"/>
    <mergeCell ref="A142:J142"/>
    <mergeCell ref="B143:H143"/>
    <mergeCell ref="A144:I144"/>
    <mergeCell ref="B145:H145"/>
    <mergeCell ref="A146:I146"/>
    <mergeCell ref="B147:H147"/>
    <mergeCell ref="A148:I148"/>
    <mergeCell ref="B149:H149"/>
    <mergeCell ref="B131:J131"/>
    <mergeCell ref="A133:J133"/>
    <mergeCell ref="B134:I134"/>
    <mergeCell ref="B135:I135"/>
    <mergeCell ref="B136:I136"/>
    <mergeCell ref="B137:I137"/>
    <mergeCell ref="B138:I138"/>
    <mergeCell ref="A139:I139"/>
    <mergeCell ref="B140:J140"/>
    <mergeCell ref="B122:I122"/>
    <mergeCell ref="B123:I123"/>
    <mergeCell ref="A124:I124"/>
    <mergeCell ref="A125:I125"/>
    <mergeCell ref="A126:J126"/>
    <mergeCell ref="B127:I127"/>
    <mergeCell ref="B128:I128"/>
    <mergeCell ref="B129:I129"/>
    <mergeCell ref="A130:I130"/>
    <mergeCell ref="B113:I113"/>
    <mergeCell ref="B114:I114"/>
    <mergeCell ref="B115:I115"/>
    <mergeCell ref="B116:I116"/>
    <mergeCell ref="B117:I117"/>
    <mergeCell ref="B118:I118"/>
    <mergeCell ref="B119:I119"/>
    <mergeCell ref="A120:I120"/>
    <mergeCell ref="A121:I121"/>
    <mergeCell ref="B105:I105"/>
    <mergeCell ref="A106:I106"/>
    <mergeCell ref="A108:J108"/>
    <mergeCell ref="A109:J109"/>
    <mergeCell ref="A110:B110"/>
    <mergeCell ref="D110:E110"/>
    <mergeCell ref="G110:H110"/>
    <mergeCell ref="A111:F111"/>
    <mergeCell ref="G111:I111"/>
    <mergeCell ref="B95:I95"/>
    <mergeCell ref="A96:I96"/>
    <mergeCell ref="A98:J98"/>
    <mergeCell ref="B99:I99"/>
    <mergeCell ref="B100:I100"/>
    <mergeCell ref="B101:I101"/>
    <mergeCell ref="B102:I102"/>
    <mergeCell ref="B103:I103"/>
    <mergeCell ref="B104:I104"/>
    <mergeCell ref="B85:D85"/>
    <mergeCell ref="B86:I86"/>
    <mergeCell ref="A87:I87"/>
    <mergeCell ref="B88:J88"/>
    <mergeCell ref="B89:J89"/>
    <mergeCell ref="A91:J91"/>
    <mergeCell ref="B92:I92"/>
    <mergeCell ref="B93:I93"/>
    <mergeCell ref="B94:I94"/>
    <mergeCell ref="E85:I85"/>
    <mergeCell ref="B75:I75"/>
    <mergeCell ref="A76:A80"/>
    <mergeCell ref="B76:I76"/>
    <mergeCell ref="J76:J80"/>
    <mergeCell ref="B77:H77"/>
    <mergeCell ref="B78:H78"/>
    <mergeCell ref="B79:H79"/>
    <mergeCell ref="B80:H80"/>
    <mergeCell ref="A81:A84"/>
    <mergeCell ref="B81:D81"/>
    <mergeCell ref="J81:J84"/>
    <mergeCell ref="B82:H82"/>
    <mergeCell ref="B83:H83"/>
    <mergeCell ref="B84:H84"/>
    <mergeCell ref="E81:I81"/>
    <mergeCell ref="B65:H65"/>
    <mergeCell ref="B66:H66"/>
    <mergeCell ref="B67:H67"/>
    <mergeCell ref="B68:H68"/>
    <mergeCell ref="B69:H69"/>
    <mergeCell ref="A70:H70"/>
    <mergeCell ref="B71:J71"/>
    <mergeCell ref="B72:J72"/>
    <mergeCell ref="B74:J74"/>
    <mergeCell ref="B56:I56"/>
    <mergeCell ref="A57:I57"/>
    <mergeCell ref="B58:J58"/>
    <mergeCell ref="A59:I59"/>
    <mergeCell ref="B60:J60"/>
    <mergeCell ref="B61:H61"/>
    <mergeCell ref="B62:H62"/>
    <mergeCell ref="B63:H63"/>
    <mergeCell ref="B64:D64"/>
    <mergeCell ref="B48:C48"/>
    <mergeCell ref="D48:H48"/>
    <mergeCell ref="B49:I49"/>
    <mergeCell ref="A50:I50"/>
    <mergeCell ref="B51:J51"/>
    <mergeCell ref="A52:J52"/>
    <mergeCell ref="A53:J53"/>
    <mergeCell ref="B54:I54"/>
    <mergeCell ref="B55:I55"/>
    <mergeCell ref="B41:G41"/>
    <mergeCell ref="H41:J41"/>
    <mergeCell ref="B42:G42"/>
    <mergeCell ref="H42:J42"/>
    <mergeCell ref="B43:J43"/>
    <mergeCell ref="A44:J44"/>
    <mergeCell ref="A45:J45"/>
    <mergeCell ref="B46:H46"/>
    <mergeCell ref="B47:D47"/>
    <mergeCell ref="G47:I47"/>
    <mergeCell ref="A34:J34"/>
    <mergeCell ref="A35:J35"/>
    <mergeCell ref="A36:J36"/>
    <mergeCell ref="A37:J37"/>
    <mergeCell ref="B38:G38"/>
    <mergeCell ref="H38:J38"/>
    <mergeCell ref="B39:G39"/>
    <mergeCell ref="H39:J39"/>
    <mergeCell ref="B40:G40"/>
    <mergeCell ref="H40:J40"/>
    <mergeCell ref="A30:H30"/>
    <mergeCell ref="I30:J30"/>
    <mergeCell ref="A31:F31"/>
    <mergeCell ref="G31:H31"/>
    <mergeCell ref="I31:J31"/>
    <mergeCell ref="A32:H32"/>
    <mergeCell ref="I32:J32"/>
    <mergeCell ref="A33:H33"/>
    <mergeCell ref="I33:J33"/>
    <mergeCell ref="A26:F26"/>
    <mergeCell ref="G26:H26"/>
    <mergeCell ref="I26:J26"/>
    <mergeCell ref="A27:F27"/>
    <mergeCell ref="G27:H27"/>
    <mergeCell ref="I27:J27"/>
    <mergeCell ref="A28:H28"/>
    <mergeCell ref="I28:J28"/>
    <mergeCell ref="A29:F29"/>
    <mergeCell ref="G29:H29"/>
    <mergeCell ref="I29:J29"/>
    <mergeCell ref="B21:G21"/>
    <mergeCell ref="H21:J21"/>
    <mergeCell ref="A23:J23"/>
    <mergeCell ref="A24:F24"/>
    <mergeCell ref="G24:H24"/>
    <mergeCell ref="I24:J24"/>
    <mergeCell ref="A25:F25"/>
    <mergeCell ref="G25:H25"/>
    <mergeCell ref="I25:J25"/>
    <mergeCell ref="I15:J15"/>
    <mergeCell ref="A17:J17"/>
    <mergeCell ref="B18:G18"/>
    <mergeCell ref="H18:J18"/>
    <mergeCell ref="B19:G19"/>
    <mergeCell ref="H19:J19"/>
    <mergeCell ref="B20:G20"/>
    <mergeCell ref="H20:J20"/>
    <mergeCell ref="A15:G15"/>
    <mergeCell ref="B11:C11"/>
    <mergeCell ref="E11:F11"/>
    <mergeCell ref="B12:G12"/>
    <mergeCell ref="I12:J12"/>
    <mergeCell ref="B13:D13"/>
    <mergeCell ref="F13:G13"/>
    <mergeCell ref="I13:J13"/>
    <mergeCell ref="A14:G14"/>
    <mergeCell ref="H14:J14"/>
    <mergeCell ref="A1:J1"/>
    <mergeCell ref="A2:J2"/>
    <mergeCell ref="A3:J3"/>
    <mergeCell ref="A4:J4"/>
    <mergeCell ref="A5:J5"/>
    <mergeCell ref="A7:J7"/>
    <mergeCell ref="A8:J8"/>
    <mergeCell ref="A9:C10"/>
    <mergeCell ref="D9:H9"/>
    <mergeCell ref="I9:J9"/>
    <mergeCell ref="D10:F10"/>
    <mergeCell ref="I10:J10"/>
  </mergeCells>
  <conditionalFormatting sqref="A14:G14">
    <cfRule type="expression" dxfId="3" priority="2">
      <formula>LEN(TRIM(A14))&gt;0</formula>
    </cfRule>
  </conditionalFormatting>
  <conditionalFormatting sqref="H14:J14">
    <cfRule type="expression" dxfId="2" priority="3">
      <formula>LEN(TRIM(H14))&gt;0</formula>
    </cfRule>
  </conditionalFormatting>
  <printOptions horizontalCentered="1"/>
  <pageMargins left="0" right="0" top="0.39370078740157483" bottom="0" header="0" footer="0.51181102362204722"/>
  <pageSetup paperSize="9" scale="50" orientation="portrait" r:id="rId1"/>
  <headerFooter>
    <oddHeader>&amp;R&amp;P de &amp;N</oddHeader>
    <oddFooter>&amp;L&amp;F - &amp;A&amp;CPágina &amp;P de &amp;N</oddFooter>
  </headerFooter>
  <rowBreaks count="2" manualBreakCount="2">
    <brk id="84" max="9" man="1"/>
    <brk id="170" max="9" man="1"/>
  </rowBreaks>
  <drawing r:id="rId2"/>
  <legacyDrawing r:id="rId3"/>
</worksheet>
</file>

<file path=docProps/app.xml><?xml version="1.0" encoding="utf-8"?>
<Properties xmlns="http://schemas.openxmlformats.org/officeDocument/2006/extended-properties" xmlns:vt="http://schemas.openxmlformats.org/officeDocument/2006/docPropsVTypes">
  <Template/>
  <TotalTime>58</TotalTime>
  <Application>Microsoft Excel</Application>
  <DocSecurity>0</DocSecurity>
  <ScaleCrop>false</ScaleCrop>
  <HeadingPairs>
    <vt:vector size="4" baseType="variant">
      <vt:variant>
        <vt:lpstr>Planilhas</vt:lpstr>
      </vt:variant>
      <vt:variant>
        <vt:i4>12</vt:i4>
      </vt:variant>
      <vt:variant>
        <vt:lpstr>Intervalos nomeados</vt:lpstr>
      </vt:variant>
      <vt:variant>
        <vt:i4>10</vt:i4>
      </vt:variant>
    </vt:vector>
  </HeadingPairs>
  <TitlesOfParts>
    <vt:vector size="22" baseType="lpstr">
      <vt:lpstr>1. SB ABA DE CARREGAMENTO</vt:lpstr>
      <vt:lpstr>2. SB INSUMOS</vt:lpstr>
      <vt:lpstr>3. SB Área</vt:lpstr>
      <vt:lpstr>4. SB Cálc DEMO Limpeza Geral</vt:lpstr>
      <vt:lpstr>5. SB Cálc. DEMO Banheiros</vt:lpstr>
      <vt:lpstr>6. SB Cálc DEMO Esq e Fach</vt:lpstr>
      <vt:lpstr>7. SB Planilha Área Geral</vt:lpstr>
      <vt:lpstr>8. SB Planilha Área Banheiros</vt:lpstr>
      <vt:lpstr>9. SB Planilha Área Esq e Fach</vt:lpstr>
      <vt:lpstr>11. SB Planilha Encarregado</vt:lpstr>
      <vt:lpstr>11. SB Resumo da Proposta</vt:lpstr>
      <vt:lpstr>Plan1</vt:lpstr>
      <vt:lpstr>'1. SB ABA DE CARREGAMENTO'!Area_de_impressao</vt:lpstr>
      <vt:lpstr>'11. SB Planilha Encarregado'!Area_de_impressao</vt:lpstr>
      <vt:lpstr>'2. SB INSUMOS'!Area_de_impressao</vt:lpstr>
      <vt:lpstr>'4. SB Cálc DEMO Limpeza Geral'!Area_de_impressao</vt:lpstr>
      <vt:lpstr>'5. SB Cálc. DEMO Banheiros'!Area_de_impressao</vt:lpstr>
      <vt:lpstr>'6. SB Cálc DEMO Esq e Fach'!Area_de_impressao</vt:lpstr>
      <vt:lpstr>'7. SB Planilha Área Geral'!Area_de_impressao</vt:lpstr>
      <vt:lpstr>'8. SB Planilha Área Banheiros'!Area_de_impressao</vt:lpstr>
      <vt:lpstr>'9. SB Planilha Área Esq e Fach'!Area_de_impressao</vt:lpstr>
      <vt:lpstr>'7. SB Planilha Área Geral'!Print_Area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Servidor</dc:creator>
  <cp:lastModifiedBy>thome</cp:lastModifiedBy>
  <cp:revision>5</cp:revision>
  <cp:lastPrinted>2022-02-17T14:16:13Z</cp:lastPrinted>
  <dcterms:created xsi:type="dcterms:W3CDTF">2018-01-29T11:38:17Z</dcterms:created>
  <dcterms:modified xsi:type="dcterms:W3CDTF">2022-02-17T14:17:13Z</dcterms:modified>
  <dc:language>pt-BR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1046-10.2.0.6020</vt:lpwstr>
  </property>
</Properties>
</file>