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drawings/drawing7.xml" ContentType="application/vnd.openxmlformats-officedocument.drawing+xml"/>
  <Override PartName="/xl/comments2.xml" ContentType="application/vnd.openxmlformats-officedocument.spreadsheetml.comments+xml"/>
  <Override PartName="/xl/drawings/drawing8.xml" ContentType="application/vnd.openxmlformats-officedocument.drawing+xml"/>
  <Override PartName="/xl/comments3.xml" ContentType="application/vnd.openxmlformats-officedocument.spreadsheetml.comments+xml"/>
  <Override PartName="/xl/drawings/drawing9.xml" ContentType="application/vnd.openxmlformats-officedocument.drawing+xml"/>
  <Override PartName="/xl/comments4.xml" ContentType="application/vnd.openxmlformats-officedocument.spreadsheetml.comments+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0370" yWindow="-120" windowWidth="29040" windowHeight="15990" tabRatio="1000"/>
  </bookViews>
  <sheets>
    <sheet name="1. SA ABA DE CARREGAMENTO" sheetId="1" r:id="rId1"/>
    <sheet name="2. SA INSUMOS" sheetId="2" r:id="rId2"/>
    <sheet name="3. SA Área" sheetId="3" r:id="rId3"/>
    <sheet name="4. SA Cál DEMO Limpeza Geral" sheetId="4" r:id="rId4"/>
    <sheet name="5. SA Cál. DEMO Banheiros" sheetId="5" r:id="rId5"/>
    <sheet name="6. SA Cálc. DEMO Esq. e Fach" sheetId="6" r:id="rId6"/>
    <sheet name="7. SA Planilha área geral" sheetId="7" r:id="rId7"/>
    <sheet name="8. SA Planilha área Banheiros" sheetId="8" r:id="rId8"/>
    <sheet name="9. SA Planilha Área Esq e Fach" sheetId="9" r:id="rId9"/>
    <sheet name="10. SA Planilha Encarregado" sheetId="10" r:id="rId10"/>
    <sheet name="11. SA Resumo da Proposta" sheetId="11" r:id="rId11"/>
    <sheet name="Plan1" sheetId="12" r:id="rId12"/>
  </sheets>
  <definedNames>
    <definedName name="Anexo">#REF!</definedName>
    <definedName name="_xlnm.Print_Area" localSheetId="0">'1. SA ABA DE CARREGAMENTO'!$A$1:$C$113</definedName>
    <definedName name="_xlnm.Print_Area" localSheetId="9">'10. SA Planilha Encarregado'!$A$1:$J$172</definedName>
    <definedName name="_xlnm.Print_Area" localSheetId="10">'11. SA Resumo da Proposta'!$C$1:$G$38</definedName>
    <definedName name="_xlnm.Print_Area" localSheetId="1">'2. SA INSUMOS'!$A$1:$I$111</definedName>
    <definedName name="_xlnm.Print_Area" localSheetId="2">'3. SA Área'!$A$1:$BD$276</definedName>
    <definedName name="_xlnm.Print_Area" localSheetId="3">'4. SA Cál DEMO Limpeza Geral'!$A$1:$P$35</definedName>
    <definedName name="_xlnm.Print_Area" localSheetId="4">'5. SA Cál. DEMO Banheiros'!$A$1:$P$17</definedName>
    <definedName name="_xlnm.Print_Area" localSheetId="5">'6. SA Cálc. DEMO Esq. e Fach'!$A$1:$P$19</definedName>
    <definedName name="_xlnm.Print_Area" localSheetId="6">'7. SA Planilha área geral'!$A$1:$J$285</definedName>
    <definedName name="_xlnm.Print_Area" localSheetId="7">'8. SA Planilha área Banheiros'!$A$1:$J$203</definedName>
    <definedName name="_xlnm.Print_Area" localSheetId="8">'9. SA Planilha Área Esq e Fach'!$A$1:$J$209</definedName>
    <definedName name="Excel_BuiltIn_Print_Area" localSheetId="6">#REF!</definedName>
    <definedName name="Print_Area" localSheetId="6">'7. SA Planilha área geral'!$A$7:$J$285</definedName>
  </definedNames>
  <calcPr calcId="145621"/>
  <extLst>
    <ext xmlns:xcalcf="http://schemas.microsoft.com/office/spreadsheetml/2018/calcfeatures" uri="{B58B0392-4F1F-4190-BB64-5DF3571DCE5F}">
      <xcalcf:calcFeatures>
        <xcalcf:feature name="microsoft.com:RD"/>
        <xcalcf:feature name="microsoft.com:FV"/>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D38" i="11" l="1"/>
  <c r="D37" i="11"/>
  <c r="D36" i="11"/>
  <c r="D35" i="11"/>
  <c r="D34" i="11"/>
  <c r="D27" i="11"/>
  <c r="D26" i="11"/>
  <c r="D16" i="11"/>
  <c r="C15" i="11"/>
  <c r="C11" i="11"/>
  <c r="C10" i="11"/>
  <c r="C9" i="11"/>
  <c r="C8" i="11"/>
  <c r="C4" i="11"/>
  <c r="G171" i="10"/>
  <c r="D11" i="11" s="1"/>
  <c r="H161" i="10"/>
  <c r="I145" i="10"/>
  <c r="I139" i="10"/>
  <c r="I137" i="10"/>
  <c r="J116" i="10"/>
  <c r="J121" i="10" s="1"/>
  <c r="J77" i="10"/>
  <c r="E77" i="10"/>
  <c r="I76" i="10"/>
  <c r="I75" i="10"/>
  <c r="I74" i="10"/>
  <c r="E73" i="10"/>
  <c r="I72" i="10"/>
  <c r="I71" i="10"/>
  <c r="I70" i="10"/>
  <c r="I69" i="10"/>
  <c r="I61" i="10"/>
  <c r="H56" i="10"/>
  <c r="F56" i="10"/>
  <c r="I54" i="10"/>
  <c r="I40" i="10"/>
  <c r="D40" i="10"/>
  <c r="G39" i="10"/>
  <c r="E39" i="10"/>
  <c r="H34" i="10"/>
  <c r="H33" i="10"/>
  <c r="H32" i="10"/>
  <c r="J39" i="10" s="1"/>
  <c r="H31" i="10"/>
  <c r="H30" i="10"/>
  <c r="H21" i="10"/>
  <c r="I165" i="10" s="1"/>
  <c r="H20" i="10"/>
  <c r="H19" i="10"/>
  <c r="H15" i="10"/>
  <c r="H14" i="10"/>
  <c r="A14" i="10"/>
  <c r="I13" i="10"/>
  <c r="F13" i="10"/>
  <c r="B13" i="10"/>
  <c r="I12" i="10"/>
  <c r="B12" i="10"/>
  <c r="J11" i="10"/>
  <c r="H11" i="10"/>
  <c r="E11" i="10"/>
  <c r="B11" i="10"/>
  <c r="I9" i="10"/>
  <c r="A7" i="10"/>
  <c r="A4" i="10"/>
  <c r="H199" i="9"/>
  <c r="H200" i="9" s="1"/>
  <c r="C188" i="9"/>
  <c r="D187" i="9" s="1"/>
  <c r="H169" i="9"/>
  <c r="I153" i="9"/>
  <c r="I147" i="9"/>
  <c r="I145" i="9"/>
  <c r="J124" i="9"/>
  <c r="J129" i="9" s="1"/>
  <c r="J85" i="9"/>
  <c r="E85" i="9"/>
  <c r="I84" i="9"/>
  <c r="I83" i="9"/>
  <c r="I82" i="9"/>
  <c r="E81" i="9"/>
  <c r="I80" i="9"/>
  <c r="I79" i="9"/>
  <c r="I78" i="9"/>
  <c r="I77" i="9"/>
  <c r="I69" i="9"/>
  <c r="H64" i="9"/>
  <c r="F64" i="9"/>
  <c r="I62" i="9"/>
  <c r="I48" i="9"/>
  <c r="D48" i="9"/>
  <c r="G47" i="9"/>
  <c r="E47" i="9"/>
  <c r="H42" i="9"/>
  <c r="H41" i="9"/>
  <c r="H40" i="9"/>
  <c r="J47" i="9" s="1"/>
  <c r="H39" i="9"/>
  <c r="H38" i="9"/>
  <c r="I32" i="9"/>
  <c r="H21" i="9"/>
  <c r="I203" i="9" s="1"/>
  <c r="H20" i="9"/>
  <c r="H19" i="9"/>
  <c r="H15" i="9"/>
  <c r="I66" i="9" s="1"/>
  <c r="H14" i="9"/>
  <c r="A14" i="9"/>
  <c r="I13" i="9"/>
  <c r="F13" i="9"/>
  <c r="B13" i="9"/>
  <c r="I12" i="9"/>
  <c r="B12" i="9"/>
  <c r="J11" i="9"/>
  <c r="H11" i="9"/>
  <c r="E11" i="9"/>
  <c r="B11" i="9"/>
  <c r="I9" i="9"/>
  <c r="A7" i="9"/>
  <c r="A4" i="9"/>
  <c r="H193" i="8"/>
  <c r="H192" i="8"/>
  <c r="G181" i="8"/>
  <c r="G177" i="8"/>
  <c r="H167" i="8"/>
  <c r="I151" i="8"/>
  <c r="I145" i="8"/>
  <c r="I143" i="8"/>
  <c r="J122" i="8"/>
  <c r="J127" i="8" s="1"/>
  <c r="J83" i="8"/>
  <c r="E83" i="8"/>
  <c r="I82" i="8"/>
  <c r="I81" i="8"/>
  <c r="I80" i="8"/>
  <c r="E79" i="8"/>
  <c r="I78" i="8"/>
  <c r="I77" i="8"/>
  <c r="I76" i="8"/>
  <c r="I75" i="8"/>
  <c r="I67" i="8"/>
  <c r="H62" i="8"/>
  <c r="F62" i="8"/>
  <c r="I60" i="8"/>
  <c r="I46" i="8"/>
  <c r="D46" i="8"/>
  <c r="G45" i="8"/>
  <c r="E45" i="8"/>
  <c r="H40" i="8"/>
  <c r="H39" i="8"/>
  <c r="H38" i="8"/>
  <c r="J45" i="8" s="1"/>
  <c r="H37" i="8"/>
  <c r="H36" i="8"/>
  <c r="H21" i="8"/>
  <c r="I196" i="8" s="1"/>
  <c r="H20" i="8"/>
  <c r="H19" i="8"/>
  <c r="H15" i="8"/>
  <c r="I64" i="8" s="1"/>
  <c r="H14" i="8"/>
  <c r="A14" i="8"/>
  <c r="I13" i="8"/>
  <c r="F13" i="8"/>
  <c r="B13" i="8"/>
  <c r="I12" i="8"/>
  <c r="B12" i="8"/>
  <c r="J11" i="8"/>
  <c r="H11" i="8"/>
  <c r="E11" i="8"/>
  <c r="B11" i="8"/>
  <c r="I9" i="8"/>
  <c r="A7" i="8"/>
  <c r="A4" i="8"/>
  <c r="H275" i="7"/>
  <c r="H276" i="7" s="1"/>
  <c r="G248" i="7"/>
  <c r="E242" i="7"/>
  <c r="F241" i="7" s="1"/>
  <c r="G241" i="7"/>
  <c r="E239" i="7"/>
  <c r="F238" i="7" s="1"/>
  <c r="G238" i="7"/>
  <c r="E236" i="7"/>
  <c r="G235" i="7"/>
  <c r="E233" i="7"/>
  <c r="F232" i="7" s="1"/>
  <c r="G232" i="7"/>
  <c r="G229" i="7"/>
  <c r="G226" i="7"/>
  <c r="G220" i="7"/>
  <c r="G223" i="7" s="1"/>
  <c r="G214" i="7"/>
  <c r="G211" i="7"/>
  <c r="E209" i="7"/>
  <c r="G208" i="7"/>
  <c r="G205" i="7"/>
  <c r="G202" i="7"/>
  <c r="G199" i="7"/>
  <c r="G196" i="7"/>
  <c r="G193" i="7"/>
  <c r="H184" i="7"/>
  <c r="I168" i="7"/>
  <c r="I162" i="7"/>
  <c r="I160" i="7"/>
  <c r="J139" i="7"/>
  <c r="J144" i="7" s="1"/>
  <c r="J100" i="7"/>
  <c r="E100" i="7"/>
  <c r="I99" i="7"/>
  <c r="I98" i="7"/>
  <c r="I97" i="7"/>
  <c r="E96" i="7"/>
  <c r="I95" i="7"/>
  <c r="I94" i="7"/>
  <c r="I93" i="7"/>
  <c r="I92" i="7"/>
  <c r="I84" i="7"/>
  <c r="H79" i="7"/>
  <c r="F79" i="7"/>
  <c r="I77" i="7"/>
  <c r="I63" i="7"/>
  <c r="D63" i="7"/>
  <c r="G62" i="7"/>
  <c r="E62" i="7"/>
  <c r="H57" i="7"/>
  <c r="H56" i="7"/>
  <c r="H55" i="7"/>
  <c r="J62" i="7" s="1"/>
  <c r="H54" i="7"/>
  <c r="H53" i="7"/>
  <c r="H21" i="7"/>
  <c r="I280" i="7" s="1"/>
  <c r="H20" i="7"/>
  <c r="H19" i="7"/>
  <c r="H15" i="7"/>
  <c r="I165" i="7" s="1"/>
  <c r="H14" i="7"/>
  <c r="A14" i="7"/>
  <c r="I13" i="7"/>
  <c r="F13" i="7"/>
  <c r="B13" i="7"/>
  <c r="I12" i="7"/>
  <c r="B12" i="7"/>
  <c r="J11" i="7"/>
  <c r="H11" i="7"/>
  <c r="E11" i="7"/>
  <c r="B11" i="7"/>
  <c r="I9" i="7"/>
  <c r="A4" i="7"/>
  <c r="K12" i="6"/>
  <c r="C10" i="6"/>
  <c r="C183" i="9" s="1"/>
  <c r="C9" i="6"/>
  <c r="C180" i="9" s="1"/>
  <c r="C8" i="6"/>
  <c r="C176" i="9" s="1"/>
  <c r="A4" i="6"/>
  <c r="K11" i="5"/>
  <c r="C10" i="5"/>
  <c r="E182" i="8" s="1"/>
  <c r="C9" i="5"/>
  <c r="E178" i="8" s="1"/>
  <c r="C8" i="5"/>
  <c r="E174" i="8" s="1"/>
  <c r="A4" i="5"/>
  <c r="K26" i="4"/>
  <c r="K25" i="4"/>
  <c r="C25" i="4"/>
  <c r="E249" i="7" s="1"/>
  <c r="K24" i="4"/>
  <c r="K23" i="4"/>
  <c r="K22" i="4"/>
  <c r="K21" i="4"/>
  <c r="K20" i="4"/>
  <c r="C20" i="4"/>
  <c r="E230" i="7" s="1"/>
  <c r="K19" i="4"/>
  <c r="C19" i="4"/>
  <c r="E227" i="7" s="1"/>
  <c r="K18" i="4"/>
  <c r="C18" i="4"/>
  <c r="E224" i="7" s="1"/>
  <c r="F223" i="7" s="1"/>
  <c r="K17" i="4"/>
  <c r="C17" i="4"/>
  <c r="E221" i="7" s="1"/>
  <c r="K16" i="4"/>
  <c r="C16" i="4"/>
  <c r="E215" i="7" s="1"/>
  <c r="K15" i="4"/>
  <c r="C15" i="4"/>
  <c r="E212" i="7" s="1"/>
  <c r="K14" i="4"/>
  <c r="K13" i="4"/>
  <c r="C13" i="4"/>
  <c r="E206" i="7" s="1"/>
  <c r="F205" i="7" s="1"/>
  <c r="I205" i="7" s="1"/>
  <c r="K12" i="4"/>
  <c r="C12" i="4"/>
  <c r="E203" i="7" s="1"/>
  <c r="F202" i="7" s="1"/>
  <c r="K11" i="4"/>
  <c r="C11" i="4"/>
  <c r="E200" i="7" s="1"/>
  <c r="F199" i="7" s="1"/>
  <c r="K10" i="4"/>
  <c r="C10" i="4"/>
  <c r="E197" i="7" s="1"/>
  <c r="K9" i="4"/>
  <c r="C9" i="4"/>
  <c r="E194" i="7" s="1"/>
  <c r="F193" i="7" s="1"/>
  <c r="I193" i="7" s="1"/>
  <c r="K8" i="4"/>
  <c r="C8" i="4"/>
  <c r="E191" i="7" s="1"/>
  <c r="F190" i="7" s="1"/>
  <c r="I190" i="7" s="1"/>
  <c r="A4" i="4"/>
  <c r="AC276" i="3"/>
  <c r="AB276" i="3"/>
  <c r="AA276" i="3"/>
  <c r="Z276" i="3"/>
  <c r="X276" i="3"/>
  <c r="V276" i="3"/>
  <c r="U276" i="3"/>
  <c r="T276" i="3"/>
  <c r="S276" i="3"/>
  <c r="R276" i="3"/>
  <c r="Q276" i="3"/>
  <c r="P276" i="3"/>
  <c r="O276" i="3"/>
  <c r="N276" i="3"/>
  <c r="M276" i="3"/>
  <c r="K276" i="3"/>
  <c r="J276" i="3"/>
  <c r="I276" i="3"/>
  <c r="H276" i="3"/>
  <c r="G276" i="3"/>
  <c r="E276" i="3"/>
  <c r="AE275" i="3"/>
  <c r="AD275" i="3"/>
  <c r="AN275" i="3" s="1"/>
  <c r="D275" i="3"/>
  <c r="AE274" i="3"/>
  <c r="AD274" i="3"/>
  <c r="AZ274" i="3" s="1"/>
  <c r="AE273" i="3"/>
  <c r="AD273" i="3"/>
  <c r="AE272" i="3"/>
  <c r="AD272" i="3" s="1"/>
  <c r="AT272" i="3" s="1"/>
  <c r="AE271" i="3"/>
  <c r="BB271" i="3" s="1"/>
  <c r="AD271" i="3"/>
  <c r="AE270" i="3"/>
  <c r="AD270" i="3"/>
  <c r="BC270" i="3" s="1"/>
  <c r="AE269" i="3"/>
  <c r="AD269" i="3"/>
  <c r="AJ269" i="3" s="1"/>
  <c r="AE268" i="3"/>
  <c r="AD268" i="3"/>
  <c r="AE267" i="3"/>
  <c r="AD267" i="3"/>
  <c r="AY267" i="3" s="1"/>
  <c r="AE266" i="3"/>
  <c r="AD266" i="3"/>
  <c r="AZ266" i="3" s="1"/>
  <c r="AE265" i="3"/>
  <c r="AD265" i="3"/>
  <c r="AE264" i="3"/>
  <c r="AD264" i="3"/>
  <c r="AE263" i="3"/>
  <c r="AD263" i="3"/>
  <c r="AM263" i="3" s="1"/>
  <c r="AE262" i="3"/>
  <c r="AD262" i="3"/>
  <c r="D262" i="3"/>
  <c r="AE261" i="3"/>
  <c r="AD261" i="3"/>
  <c r="AE260" i="3"/>
  <c r="AD260" i="3"/>
  <c r="BB260" i="3" s="1"/>
  <c r="AE259" i="3"/>
  <c r="AD259" i="3"/>
  <c r="AE258" i="3"/>
  <c r="AD258" i="3"/>
  <c r="D258" i="3"/>
  <c r="AE257" i="3"/>
  <c r="AD257" i="3"/>
  <c r="AI257" i="3" s="1"/>
  <c r="AE256" i="3"/>
  <c r="AD256" i="3"/>
  <c r="BA256" i="3" s="1"/>
  <c r="AE255" i="3"/>
  <c r="AD255" i="3"/>
  <c r="AS255" i="3" s="1"/>
  <c r="AE254" i="3"/>
  <c r="AD254" i="3"/>
  <c r="D254" i="3"/>
  <c r="AE253" i="3"/>
  <c r="AD253" i="3"/>
  <c r="AE252" i="3"/>
  <c r="AD252" i="3"/>
  <c r="AE251" i="3"/>
  <c r="AD251" i="3" s="1"/>
  <c r="AM250" i="3"/>
  <c r="AE250" i="3"/>
  <c r="AD250" i="3"/>
  <c r="AR250" i="3" s="1"/>
  <c r="AE249" i="3"/>
  <c r="AO249" i="3" s="1"/>
  <c r="AD249" i="3"/>
  <c r="AE248" i="3"/>
  <c r="AP248" i="3" s="1"/>
  <c r="AD248" i="3"/>
  <c r="AE247" i="3"/>
  <c r="AD247" i="3"/>
  <c r="AL247" i="3" s="1"/>
  <c r="AE246" i="3"/>
  <c r="AO246" i="3" s="1"/>
  <c r="AD246" i="3"/>
  <c r="D246" i="3"/>
  <c r="AE245" i="3"/>
  <c r="AD245" i="3"/>
  <c r="AT245" i="3" s="1"/>
  <c r="AE244" i="3"/>
  <c r="AD244" i="3"/>
  <c r="AJ244" i="3" s="1"/>
  <c r="AE243" i="3"/>
  <c r="AD243" i="3"/>
  <c r="BB243" i="3" s="1"/>
  <c r="AE242" i="3"/>
  <c r="AD242" i="3"/>
  <c r="AT242" i="3" s="1"/>
  <c r="W242" i="3"/>
  <c r="AE241" i="3"/>
  <c r="AD241" i="3"/>
  <c r="AM241" i="3" s="1"/>
  <c r="AE240" i="3"/>
  <c r="AD240" i="3" s="1"/>
  <c r="AU240" i="3" s="1"/>
  <c r="AE239" i="3"/>
  <c r="AD239" i="3"/>
  <c r="AQ239" i="3" s="1"/>
  <c r="AE238" i="3"/>
  <c r="AD238" i="3" s="1"/>
  <c r="AE237" i="3"/>
  <c r="AD237" i="3" s="1"/>
  <c r="AT237" i="3" s="1"/>
  <c r="AE236" i="3"/>
  <c r="AD236" i="3" s="1"/>
  <c r="AE235" i="3"/>
  <c r="AD235" i="3" s="1"/>
  <c r="AR235" i="3" s="1"/>
  <c r="AE234" i="3"/>
  <c r="AD234" i="3" s="1"/>
  <c r="AH234" i="3" s="1"/>
  <c r="AE233" i="3"/>
  <c r="AD233" i="3" s="1"/>
  <c r="AY232" i="3"/>
  <c r="AE232" i="3"/>
  <c r="AD232" i="3" s="1"/>
  <c r="AS232" i="3" s="1"/>
  <c r="AE231" i="3"/>
  <c r="AD231" i="3" s="1"/>
  <c r="AE230" i="3"/>
  <c r="AD230" i="3" s="1"/>
  <c r="AE229" i="3"/>
  <c r="AD229" i="3" s="1"/>
  <c r="AE228" i="3"/>
  <c r="AD228" i="3" s="1"/>
  <c r="AT228" i="3" s="1"/>
  <c r="AE227" i="3"/>
  <c r="AD227" i="3"/>
  <c r="AQ227" i="3" s="1"/>
  <c r="AE226" i="3"/>
  <c r="AD226" i="3" s="1"/>
  <c r="AY226" i="3" s="1"/>
  <c r="AE225" i="3"/>
  <c r="AD225" i="3"/>
  <c r="AE224" i="3"/>
  <c r="AD224" i="3"/>
  <c r="AE223" i="3"/>
  <c r="AO223" i="3" s="1"/>
  <c r="AD223" i="3"/>
  <c r="AE222" i="3"/>
  <c r="AP222" i="3" s="1"/>
  <c r="AD222" i="3"/>
  <c r="D222" i="3"/>
  <c r="AE221" i="3"/>
  <c r="AD221" i="3"/>
  <c r="AZ221" i="3" s="1"/>
  <c r="AE220" i="3"/>
  <c r="AD220" i="3"/>
  <c r="AE219" i="3"/>
  <c r="AD219" i="3"/>
  <c r="AE218" i="3"/>
  <c r="AU218" i="3" s="1"/>
  <c r="AD218" i="3"/>
  <c r="AE217" i="3"/>
  <c r="BC217" i="3" s="1"/>
  <c r="AD217" i="3"/>
  <c r="AE216" i="3"/>
  <c r="AD216" i="3"/>
  <c r="BC216" i="3" s="1"/>
  <c r="AE215" i="3"/>
  <c r="AD215" i="3"/>
  <c r="AE214" i="3"/>
  <c r="AD214" i="3"/>
  <c r="D214" i="3"/>
  <c r="AE213" i="3"/>
  <c r="AI213" i="3" s="1"/>
  <c r="AD213" i="3"/>
  <c r="D213" i="3"/>
  <c r="AE212" i="3"/>
  <c r="AD212" i="3"/>
  <c r="AE211" i="3"/>
  <c r="AD211" i="3"/>
  <c r="AO211" i="3" s="1"/>
  <c r="AE210" i="3"/>
  <c r="AD210" i="3" s="1"/>
  <c r="BB210" i="3" s="1"/>
  <c r="AE209" i="3"/>
  <c r="AD209" i="3"/>
  <c r="W209" i="3"/>
  <c r="AE208" i="3"/>
  <c r="AP208" i="3" s="1"/>
  <c r="AD208" i="3"/>
  <c r="AE207" i="3"/>
  <c r="AD207" i="3" s="1"/>
  <c r="AS207" i="3" s="1"/>
  <c r="AE206" i="3"/>
  <c r="AD206" i="3" s="1"/>
  <c r="BD206" i="3" s="1"/>
  <c r="AE205" i="3"/>
  <c r="AD205" i="3" s="1"/>
  <c r="AS205" i="3" s="1"/>
  <c r="AE204" i="3"/>
  <c r="AD204" i="3" s="1"/>
  <c r="AE203" i="3"/>
  <c r="AD203" i="3" s="1"/>
  <c r="AE202" i="3"/>
  <c r="AD202" i="3" s="1"/>
  <c r="AE201" i="3"/>
  <c r="AD201" i="3" s="1"/>
  <c r="AE200" i="3"/>
  <c r="AD200" i="3" s="1"/>
  <c r="AE199" i="3"/>
  <c r="AD199" i="3" s="1"/>
  <c r="AS199" i="3" s="1"/>
  <c r="AO198" i="3"/>
  <c r="AE198" i="3"/>
  <c r="AD198" i="3" s="1"/>
  <c r="BB198" i="3" s="1"/>
  <c r="AE197" i="3"/>
  <c r="AD197" i="3" s="1"/>
  <c r="BD197" i="3" s="1"/>
  <c r="AE196" i="3"/>
  <c r="AD196" i="3" s="1"/>
  <c r="AG196" i="3" s="1"/>
  <c r="AE195" i="3"/>
  <c r="AD195" i="3" s="1"/>
  <c r="AE194" i="3"/>
  <c r="AD194" i="3" s="1"/>
  <c r="AQ194" i="3" s="1"/>
  <c r="AE193" i="3"/>
  <c r="AD193" i="3" s="1"/>
  <c r="AM193" i="3" s="1"/>
  <c r="D193" i="3"/>
  <c r="AE192" i="3"/>
  <c r="AD192" i="3"/>
  <c r="AN191" i="3"/>
  <c r="AE191" i="3"/>
  <c r="AD191" i="3"/>
  <c r="AO191" i="3" s="1"/>
  <c r="AE190" i="3"/>
  <c r="AD190" i="3" s="1"/>
  <c r="AU190" i="3" s="1"/>
  <c r="AE189" i="3"/>
  <c r="AD189" i="3" s="1"/>
  <c r="AR189" i="3" s="1"/>
  <c r="D189" i="3"/>
  <c r="AE188" i="3"/>
  <c r="AD188" i="3"/>
  <c r="AZ188" i="3" s="1"/>
  <c r="AE187" i="3"/>
  <c r="AD187" i="3"/>
  <c r="AE186" i="3"/>
  <c r="AD186" i="3" s="1"/>
  <c r="BA186" i="3" s="1"/>
  <c r="AE185" i="3"/>
  <c r="AD185" i="3"/>
  <c r="AI185" i="3" s="1"/>
  <c r="W185" i="3"/>
  <c r="AE184" i="3"/>
  <c r="AD184" i="3"/>
  <c r="AZ184" i="3" s="1"/>
  <c r="AE183" i="3"/>
  <c r="AD183" i="3" s="1"/>
  <c r="AE182" i="3"/>
  <c r="AD182" i="3" s="1"/>
  <c r="AZ181" i="3"/>
  <c r="AS181" i="3"/>
  <c r="AE181" i="3"/>
  <c r="AD181" i="3" s="1"/>
  <c r="AY181" i="3" s="1"/>
  <c r="AE180" i="3"/>
  <c r="AD180" i="3"/>
  <c r="AP180" i="3" s="1"/>
  <c r="AE179" i="3"/>
  <c r="AD179" i="3"/>
  <c r="AE178" i="3"/>
  <c r="AD178" i="3"/>
  <c r="AH178" i="3" s="1"/>
  <c r="AE177" i="3"/>
  <c r="AD177" i="3"/>
  <c r="AE176" i="3"/>
  <c r="AD176" i="3" s="1"/>
  <c r="AE175" i="3"/>
  <c r="AD175" i="3" s="1"/>
  <c r="AY175" i="3" s="1"/>
  <c r="AE174" i="3"/>
  <c r="AD174" i="3" s="1"/>
  <c r="AJ174" i="3" s="1"/>
  <c r="D174" i="3"/>
  <c r="AE173" i="3"/>
  <c r="AD173" i="3"/>
  <c r="AE172" i="3"/>
  <c r="AD172" i="3"/>
  <c r="AJ172" i="3" s="1"/>
  <c r="AE171" i="3"/>
  <c r="AD171" i="3" s="1"/>
  <c r="AE170" i="3"/>
  <c r="AZ170" i="3" s="1"/>
  <c r="AD170" i="3"/>
  <c r="AE169" i="3"/>
  <c r="AD169" i="3"/>
  <c r="AG169" i="3" s="1"/>
  <c r="AE168" i="3"/>
  <c r="AD168" i="3" s="1"/>
  <c r="AQ168" i="3" s="1"/>
  <c r="AE167" i="3"/>
  <c r="AD167" i="3"/>
  <c r="AM167" i="3" s="1"/>
  <c r="W167" i="3"/>
  <c r="AE166" i="3"/>
  <c r="AD166" i="3"/>
  <c r="AE165" i="3"/>
  <c r="AD165" i="3" s="1"/>
  <c r="AS165" i="3" s="1"/>
  <c r="AE164" i="3"/>
  <c r="AD164" i="3" s="1"/>
  <c r="AE163" i="3"/>
  <c r="AD163" i="3"/>
  <c r="AE162" i="3"/>
  <c r="AD162" i="3" s="1"/>
  <c r="AM162" i="3" s="1"/>
  <c r="AE161" i="3"/>
  <c r="AD161" i="3" s="1"/>
  <c r="AO161" i="3" s="1"/>
  <c r="AE160" i="3"/>
  <c r="AD160" i="3" s="1"/>
  <c r="AQ160" i="3" s="1"/>
  <c r="AE159" i="3"/>
  <c r="AD159" i="3" s="1"/>
  <c r="AS159" i="3" s="1"/>
  <c r="AE158" i="3"/>
  <c r="AD158" i="3" s="1"/>
  <c r="BA158" i="3" s="1"/>
  <c r="AE157" i="3"/>
  <c r="AD157" i="3"/>
  <c r="AK157" i="3" s="1"/>
  <c r="AE156" i="3"/>
  <c r="AD156" i="3" s="1"/>
  <c r="AP156" i="3" s="1"/>
  <c r="AE155" i="3"/>
  <c r="AD155" i="3" s="1"/>
  <c r="BA155" i="3" s="1"/>
  <c r="AE154" i="3"/>
  <c r="AD154" i="3" s="1"/>
  <c r="AQ154" i="3" s="1"/>
  <c r="AE153" i="3"/>
  <c r="AD153" i="3" s="1"/>
  <c r="AZ153" i="3" s="1"/>
  <c r="AE152" i="3"/>
  <c r="AD152" i="3" s="1"/>
  <c r="AE151" i="3"/>
  <c r="AD151" i="3" s="1"/>
  <c r="AN151" i="3" s="1"/>
  <c r="AE150" i="3"/>
  <c r="AD150" i="3" s="1"/>
  <c r="AM150" i="3" s="1"/>
  <c r="AU149" i="3"/>
  <c r="AE149" i="3"/>
  <c r="AD149" i="3" s="1"/>
  <c r="AV149" i="3" s="1"/>
  <c r="AE148" i="3"/>
  <c r="AD148" i="3"/>
  <c r="AT148" i="3" s="1"/>
  <c r="AE147" i="3"/>
  <c r="AD147" i="3" s="1"/>
  <c r="AS147" i="3" s="1"/>
  <c r="AE146" i="3"/>
  <c r="AD146" i="3" s="1"/>
  <c r="AL146" i="3" s="1"/>
  <c r="AE145" i="3"/>
  <c r="AD145" i="3"/>
  <c r="AY145" i="3" s="1"/>
  <c r="AE144" i="3"/>
  <c r="AD144" i="3" s="1"/>
  <c r="AE143" i="3"/>
  <c r="AD143" i="3" s="1"/>
  <c r="AR143" i="3" s="1"/>
  <c r="AE142" i="3"/>
  <c r="AD142" i="3" s="1"/>
  <c r="AE141" i="3"/>
  <c r="AD141" i="3" s="1"/>
  <c r="BB141" i="3" s="1"/>
  <c r="AE140" i="3"/>
  <c r="AD140" i="3" s="1"/>
  <c r="AE139" i="3"/>
  <c r="AD139" i="3" s="1"/>
  <c r="AV139" i="3" s="1"/>
  <c r="AE138" i="3"/>
  <c r="AD138" i="3" s="1"/>
  <c r="AP138" i="3" s="1"/>
  <c r="AE137" i="3"/>
  <c r="AD137" i="3" s="1"/>
  <c r="AL137" i="3" s="1"/>
  <c r="AE136" i="3"/>
  <c r="AD136" i="3" s="1"/>
  <c r="AU136" i="3" s="1"/>
  <c r="AE135" i="3"/>
  <c r="AD135" i="3" s="1"/>
  <c r="BA135" i="3" s="1"/>
  <c r="AE134" i="3"/>
  <c r="AD134" i="3" s="1"/>
  <c r="AE133" i="3"/>
  <c r="AD133" i="3" s="1"/>
  <c r="AO133" i="3" s="1"/>
  <c r="AE132" i="3"/>
  <c r="AD132" i="3"/>
  <c r="AV132" i="3" s="1"/>
  <c r="AE131" i="3"/>
  <c r="AD131" i="3" s="1"/>
  <c r="AE130" i="3"/>
  <c r="AD130" i="3"/>
  <c r="AY130" i="3" s="1"/>
  <c r="AV129" i="3"/>
  <c r="AE129" i="3"/>
  <c r="AD129" i="3" s="1"/>
  <c r="AE128" i="3"/>
  <c r="AD128" i="3"/>
  <c r="BC128" i="3" s="1"/>
  <c r="D128" i="3"/>
  <c r="AE127" i="3"/>
  <c r="AD127" i="3"/>
  <c r="AE126" i="3"/>
  <c r="AD126" i="3"/>
  <c r="BD126" i="3" s="1"/>
  <c r="AE125" i="3"/>
  <c r="AD125" i="3" s="1"/>
  <c r="AP125" i="3" s="1"/>
  <c r="AJ124" i="3"/>
  <c r="AE124" i="3"/>
  <c r="AD124" i="3"/>
  <c r="AP124" i="3" s="1"/>
  <c r="AE123" i="3"/>
  <c r="AD123" i="3" s="1"/>
  <c r="AE122" i="3"/>
  <c r="AD122" i="3" s="1"/>
  <c r="AE121" i="3"/>
  <c r="AD121" i="3" s="1"/>
  <c r="AR120" i="3"/>
  <c r="AE120" i="3"/>
  <c r="AD120" i="3" s="1"/>
  <c r="D120" i="3"/>
  <c r="AE119" i="3"/>
  <c r="AD119" i="3"/>
  <c r="AW119" i="3" s="1"/>
  <c r="AE118" i="3"/>
  <c r="AD118" i="3"/>
  <c r="AM118" i="3" s="1"/>
  <c r="AE117" i="3"/>
  <c r="AD117" i="3" s="1"/>
  <c r="AU117" i="3" s="1"/>
  <c r="AE116" i="3"/>
  <c r="AD116" i="3"/>
  <c r="W116" i="3"/>
  <c r="AE115" i="3"/>
  <c r="AD115" i="3"/>
  <c r="AE114" i="3"/>
  <c r="AD114" i="3"/>
  <c r="AE113" i="3"/>
  <c r="AD113" i="3"/>
  <c r="AE112" i="3"/>
  <c r="AD112" i="3"/>
  <c r="AE111" i="3"/>
  <c r="AD111" i="3"/>
  <c r="AE110" i="3"/>
  <c r="AD110" i="3" s="1"/>
  <c r="AE109" i="3"/>
  <c r="AD109" i="3"/>
  <c r="AS109" i="3" s="1"/>
  <c r="AE108" i="3"/>
  <c r="AD108" i="3" s="1"/>
  <c r="AV108" i="3" s="1"/>
  <c r="AE107" i="3"/>
  <c r="AD107" i="3" s="1"/>
  <c r="AE106" i="3"/>
  <c r="AD106" i="3" s="1"/>
  <c r="AE105" i="3"/>
  <c r="AD105" i="3" s="1"/>
  <c r="D105" i="3"/>
  <c r="AE104" i="3"/>
  <c r="AZ104" i="3" s="1"/>
  <c r="AD104" i="3"/>
  <c r="AE103" i="3"/>
  <c r="AD103" i="3"/>
  <c r="AE102" i="3"/>
  <c r="AD102" i="3" s="1"/>
  <c r="AE101" i="3"/>
  <c r="AD101" i="3"/>
  <c r="BD101" i="3" s="1"/>
  <c r="AE100" i="3"/>
  <c r="AD100" i="3"/>
  <c r="AE99" i="3"/>
  <c r="AD99" i="3" s="1"/>
  <c r="AQ99" i="3" s="1"/>
  <c r="AE98" i="3"/>
  <c r="AD98" i="3" s="1"/>
  <c r="AO98" i="3" s="1"/>
  <c r="D98" i="3"/>
  <c r="AE97" i="3"/>
  <c r="AX97" i="3" s="1"/>
  <c r="AD97" i="3"/>
  <c r="AE96" i="3"/>
  <c r="AD96" i="3"/>
  <c r="AV96" i="3" s="1"/>
  <c r="AE95" i="3"/>
  <c r="AD95" i="3" s="1"/>
  <c r="AE94" i="3"/>
  <c r="AD94" i="3"/>
  <c r="AE93" i="3"/>
  <c r="AD93" i="3"/>
  <c r="AI93" i="3" s="1"/>
  <c r="D93" i="3"/>
  <c r="AE92" i="3"/>
  <c r="AD92" i="3"/>
  <c r="AG92" i="3" s="1"/>
  <c r="AE91" i="3"/>
  <c r="AD91" i="3"/>
  <c r="AS91" i="3" s="1"/>
  <c r="AE90" i="3"/>
  <c r="AD90" i="3" s="1"/>
  <c r="AE89" i="3"/>
  <c r="AD89" i="3"/>
  <c r="BD89" i="3" s="1"/>
  <c r="W89" i="3"/>
  <c r="AE88" i="3"/>
  <c r="AD88" i="3"/>
  <c r="AP88" i="3" s="1"/>
  <c r="AE87" i="3"/>
  <c r="AD87" i="3"/>
  <c r="AE86" i="3"/>
  <c r="AD86" i="3"/>
  <c r="AE85" i="3"/>
  <c r="AD85" i="3"/>
  <c r="AE84" i="3"/>
  <c r="AD84" i="3"/>
  <c r="AE83" i="3"/>
  <c r="BD83" i="3" s="1"/>
  <c r="AD83" i="3"/>
  <c r="AE82" i="3"/>
  <c r="AD82" i="3"/>
  <c r="AJ82" i="3" s="1"/>
  <c r="AE81" i="3"/>
  <c r="AD81" i="3"/>
  <c r="AE80" i="3"/>
  <c r="AD80" i="3"/>
  <c r="AE79" i="3"/>
  <c r="AD79" i="3"/>
  <c r="AV79" i="3" s="1"/>
  <c r="AE78" i="3"/>
  <c r="AD78" i="3" s="1"/>
  <c r="AG78" i="3" s="1"/>
  <c r="AE77" i="3"/>
  <c r="AD77" i="3"/>
  <c r="AQ77" i="3" s="1"/>
  <c r="W77" i="3"/>
  <c r="AE76" i="3"/>
  <c r="AD76" i="3"/>
  <c r="AN76" i="3" s="1"/>
  <c r="AE75" i="3"/>
  <c r="AD75" i="3" s="1"/>
  <c r="AP75" i="3" s="1"/>
  <c r="AE74" i="3"/>
  <c r="AD74" i="3" s="1"/>
  <c r="AR74" i="3" s="1"/>
  <c r="AM73" i="3"/>
  <c r="AE73" i="3"/>
  <c r="AD73" i="3" s="1"/>
  <c r="AS73" i="3" s="1"/>
  <c r="AE72" i="3"/>
  <c r="AD72" i="3"/>
  <c r="AE71" i="3"/>
  <c r="AD71" i="3"/>
  <c r="AE70" i="3"/>
  <c r="AD70" i="3" s="1"/>
  <c r="AZ70" i="3" s="1"/>
  <c r="AE69" i="3"/>
  <c r="AX69" i="3" s="1"/>
  <c r="AD69" i="3"/>
  <c r="W69" i="3"/>
  <c r="AE68" i="3"/>
  <c r="AD68" i="3"/>
  <c r="AE67" i="3"/>
  <c r="AD67" i="3" s="1"/>
  <c r="AW67" i="3" s="1"/>
  <c r="AE66" i="3"/>
  <c r="AD66" i="3" s="1"/>
  <c r="AE65" i="3"/>
  <c r="AD65" i="3" s="1"/>
  <c r="AE64" i="3"/>
  <c r="AD64" i="3" s="1"/>
  <c r="AW64" i="3" s="1"/>
  <c r="F64" i="3"/>
  <c r="F276" i="3" s="1"/>
  <c r="AE63" i="3"/>
  <c r="AD63" i="3" s="1"/>
  <c r="BA63" i="3" s="1"/>
  <c r="AE62" i="3"/>
  <c r="AD62" i="3" s="1"/>
  <c r="BD62" i="3" s="1"/>
  <c r="AE61" i="3"/>
  <c r="AD61" i="3" s="1"/>
  <c r="L61" i="3"/>
  <c r="L276" i="3" s="1"/>
  <c r="AE60" i="3"/>
  <c r="AD60" i="3" s="1"/>
  <c r="AE59" i="3"/>
  <c r="AD59" i="3" s="1"/>
  <c r="AE58" i="3"/>
  <c r="AD58" i="3"/>
  <c r="AE57" i="3"/>
  <c r="AD57" i="3"/>
  <c r="AY57" i="3" s="1"/>
  <c r="AS56" i="3"/>
  <c r="AH56" i="3"/>
  <c r="AE56" i="3"/>
  <c r="AD56" i="3" s="1"/>
  <c r="BB56" i="3" s="1"/>
  <c r="AE55" i="3"/>
  <c r="AD55" i="3"/>
  <c r="W55" i="3"/>
  <c r="AJ54" i="3"/>
  <c r="AE54" i="3"/>
  <c r="AD54" i="3"/>
  <c r="AZ54" i="3" s="1"/>
  <c r="AE53" i="3"/>
  <c r="AD53" i="3"/>
  <c r="AE52" i="3"/>
  <c r="AD52" i="3" s="1"/>
  <c r="AE51" i="3"/>
  <c r="AD51" i="3" s="1"/>
  <c r="Y51" i="3"/>
  <c r="Y276" i="3" s="1"/>
  <c r="AE50" i="3"/>
  <c r="AD50" i="3" s="1"/>
  <c r="AE49" i="3"/>
  <c r="AD49" i="3" s="1"/>
  <c r="AE48" i="3"/>
  <c r="AD48" i="3" s="1"/>
  <c r="AE47" i="3"/>
  <c r="AD47" i="3" s="1"/>
  <c r="AE46" i="3"/>
  <c r="AD46" i="3" s="1"/>
  <c r="AE45" i="3"/>
  <c r="AD45" i="3" s="1"/>
  <c r="AE44" i="3"/>
  <c r="AD44" i="3" s="1"/>
  <c r="AE43" i="3"/>
  <c r="AD43" i="3" s="1"/>
  <c r="AE42" i="3"/>
  <c r="AD42" i="3" s="1"/>
  <c r="AE41" i="3"/>
  <c r="AD41" i="3"/>
  <c r="BC41" i="3" s="1"/>
  <c r="AE40" i="3"/>
  <c r="AD40" i="3"/>
  <c r="AJ40" i="3" s="1"/>
  <c r="AE39" i="3"/>
  <c r="AD39" i="3"/>
  <c r="BC39" i="3" s="1"/>
  <c r="AE38" i="3"/>
  <c r="AD38" i="3" s="1"/>
  <c r="AE37" i="3"/>
  <c r="AD37" i="3"/>
  <c r="W37" i="3"/>
  <c r="D25" i="3" s="1"/>
  <c r="AE36" i="3"/>
  <c r="AD36" i="3"/>
  <c r="BD36" i="3" s="1"/>
  <c r="AE35" i="3"/>
  <c r="AD35" i="3" s="1"/>
  <c r="AE34" i="3"/>
  <c r="AD34" i="3" s="1"/>
  <c r="BB34" i="3" s="1"/>
  <c r="AE33" i="3"/>
  <c r="AD33" i="3" s="1"/>
  <c r="AE32" i="3"/>
  <c r="AD32" i="3" s="1"/>
  <c r="AE31" i="3"/>
  <c r="AD31" i="3" s="1"/>
  <c r="BB31" i="3" s="1"/>
  <c r="AE30" i="3"/>
  <c r="AD30" i="3"/>
  <c r="BD30" i="3" s="1"/>
  <c r="AE29" i="3"/>
  <c r="AD29" i="3" s="1"/>
  <c r="AE28" i="3"/>
  <c r="AD28" i="3" s="1"/>
  <c r="BB28" i="3" s="1"/>
  <c r="AE27" i="3"/>
  <c r="AD27" i="3"/>
  <c r="AY27" i="3" s="1"/>
  <c r="AE26" i="3"/>
  <c r="AD26" i="3" s="1"/>
  <c r="AE25" i="3"/>
  <c r="AD25" i="3" s="1"/>
  <c r="AI24" i="3"/>
  <c r="AE24" i="3"/>
  <c r="AD24" i="3"/>
  <c r="AU24" i="3" s="1"/>
  <c r="AE23" i="3"/>
  <c r="AD23" i="3"/>
  <c r="BB23" i="3" s="1"/>
  <c r="AE22" i="3"/>
  <c r="AD22" i="3" s="1"/>
  <c r="D22" i="3"/>
  <c r="AE21" i="3"/>
  <c r="AD21" i="3"/>
  <c r="BB21" i="3" s="1"/>
  <c r="AE20" i="3"/>
  <c r="AD20" i="3"/>
  <c r="AG20" i="3" s="1"/>
  <c r="AE19" i="3"/>
  <c r="AD19" i="3"/>
  <c r="AZ19" i="3" s="1"/>
  <c r="AE18" i="3"/>
  <c r="AD18" i="3"/>
  <c r="AE17" i="3"/>
  <c r="AD17" i="3"/>
  <c r="BD17" i="3" s="1"/>
  <c r="AE16" i="3"/>
  <c r="AD16" i="3" s="1"/>
  <c r="D16" i="3"/>
  <c r="AE15" i="3"/>
  <c r="AD15" i="3"/>
  <c r="AY15" i="3" s="1"/>
  <c r="AE14" i="3"/>
  <c r="AD14" i="3"/>
  <c r="AU14" i="3" s="1"/>
  <c r="AE13" i="3"/>
  <c r="AD13" i="3" s="1"/>
  <c r="BB13" i="3" s="1"/>
  <c r="AE12" i="3"/>
  <c r="AO12" i="3" s="1"/>
  <c r="AD12" i="3"/>
  <c r="AU12" i="3" s="1"/>
  <c r="W12" i="3"/>
  <c r="AE11" i="3"/>
  <c r="AD11" i="3"/>
  <c r="AP11" i="3" s="1"/>
  <c r="AE10" i="3"/>
  <c r="AD10" i="3"/>
  <c r="BC10" i="3" s="1"/>
  <c r="AE9" i="3"/>
  <c r="AD9" i="3" s="1"/>
  <c r="AE8" i="3"/>
  <c r="AD8" i="3" s="1"/>
  <c r="D8" i="3"/>
  <c r="AN1" i="3"/>
  <c r="T1" i="3"/>
  <c r="F91" i="2"/>
  <c r="F90" i="2"/>
  <c r="F89" i="2"/>
  <c r="F88" i="2"/>
  <c r="F87" i="2"/>
  <c r="F86" i="2"/>
  <c r="F85" i="2"/>
  <c r="F84" i="2"/>
  <c r="F83" i="2"/>
  <c r="D82" i="2"/>
  <c r="F82" i="2" s="1"/>
  <c r="D81" i="2"/>
  <c r="F81" i="2" s="1"/>
  <c r="D80" i="2"/>
  <c r="F80" i="2" s="1"/>
  <c r="F79" i="2"/>
  <c r="F78" i="2"/>
  <c r="F77" i="2"/>
  <c r="F72" i="2"/>
  <c r="H72" i="2" s="1"/>
  <c r="F71" i="2"/>
  <c r="H71" i="2" s="1"/>
  <c r="F70" i="2"/>
  <c r="H70" i="2" s="1"/>
  <c r="F65" i="2"/>
  <c r="H65" i="2" s="1"/>
  <c r="F64" i="2"/>
  <c r="H64" i="2" s="1"/>
  <c r="H63" i="2"/>
  <c r="F63" i="2"/>
  <c r="F62" i="2"/>
  <c r="H62" i="2" s="1"/>
  <c r="F61" i="2"/>
  <c r="H61" i="2" s="1"/>
  <c r="F60" i="2"/>
  <c r="H60" i="2" s="1"/>
  <c r="H59" i="2"/>
  <c r="F59" i="2"/>
  <c r="F58" i="2"/>
  <c r="H58" i="2" s="1"/>
  <c r="F57" i="2"/>
  <c r="H57" i="2" s="1"/>
  <c r="F56" i="2"/>
  <c r="H56" i="2" s="1"/>
  <c r="F55" i="2"/>
  <c r="H55" i="2" s="1"/>
  <c r="F54" i="2"/>
  <c r="H54" i="2" s="1"/>
  <c r="F53" i="2"/>
  <c r="H53" i="2" s="1"/>
  <c r="F52" i="2"/>
  <c r="H52" i="2" s="1"/>
  <c r="H51" i="2"/>
  <c r="F51" i="2"/>
  <c r="F50" i="2"/>
  <c r="H50" i="2" s="1"/>
  <c r="F49" i="2"/>
  <c r="H49" i="2" s="1"/>
  <c r="F48" i="2"/>
  <c r="H48" i="2" s="1"/>
  <c r="H47" i="2"/>
  <c r="F47" i="2"/>
  <c r="F46" i="2"/>
  <c r="H46" i="2" s="1"/>
  <c r="F45" i="2"/>
  <c r="H45" i="2" s="1"/>
  <c r="F44" i="2"/>
  <c r="H44" i="2" s="1"/>
  <c r="F43" i="2"/>
  <c r="H43" i="2" s="1"/>
  <c r="F42" i="2"/>
  <c r="H42" i="2" s="1"/>
  <c r="E37" i="2"/>
  <c r="G37" i="2" s="1"/>
  <c r="E36" i="2"/>
  <c r="G36" i="2" s="1"/>
  <c r="E35" i="2"/>
  <c r="G35" i="2" s="1"/>
  <c r="E34" i="2"/>
  <c r="G34" i="2" s="1"/>
  <c r="E33" i="2"/>
  <c r="G33" i="2" s="1"/>
  <c r="E32" i="2"/>
  <c r="G32" i="2" s="1"/>
  <c r="E31" i="2"/>
  <c r="G31" i="2" s="1"/>
  <c r="E26" i="2"/>
  <c r="G26" i="2" s="1"/>
  <c r="E25" i="2"/>
  <c r="G25" i="2" s="1"/>
  <c r="E24" i="2"/>
  <c r="G24" i="2" s="1"/>
  <c r="E23" i="2"/>
  <c r="G23" i="2" s="1"/>
  <c r="E22" i="2"/>
  <c r="G22" i="2" s="1"/>
  <c r="E21" i="2"/>
  <c r="G21" i="2" s="1"/>
  <c r="E20" i="2"/>
  <c r="G20" i="2" s="1"/>
  <c r="E19" i="2"/>
  <c r="G19" i="2" s="1"/>
  <c r="E18" i="2"/>
  <c r="G18" i="2" s="1"/>
  <c r="G17" i="2"/>
  <c r="E17" i="2"/>
  <c r="E16" i="2"/>
  <c r="G16" i="2" s="1"/>
  <c r="E15" i="2"/>
  <c r="G15" i="2" s="1"/>
  <c r="E14" i="2"/>
  <c r="G14" i="2" s="1"/>
  <c r="E13" i="2"/>
  <c r="G13" i="2" s="1"/>
  <c r="E12" i="2"/>
  <c r="G12" i="2" s="1"/>
  <c r="E11" i="2"/>
  <c r="G11" i="2" s="1"/>
  <c r="E10" i="2"/>
  <c r="G10" i="2" s="1"/>
  <c r="E9" i="2"/>
  <c r="G9" i="2" s="1"/>
  <c r="E8" i="2"/>
  <c r="G8" i="2" s="1"/>
  <c r="B4" i="2"/>
  <c r="C80" i="1"/>
  <c r="B54" i="1"/>
  <c r="BD183" i="3" l="1"/>
  <c r="AS183" i="3"/>
  <c r="AG183" i="3"/>
  <c r="AU30" i="3"/>
  <c r="AP82" i="3"/>
  <c r="AV100" i="3"/>
  <c r="AT109" i="3"/>
  <c r="AR113" i="3"/>
  <c r="AY187" i="3"/>
  <c r="BD192" i="3"/>
  <c r="BB208" i="3"/>
  <c r="AY213" i="3"/>
  <c r="AZ215" i="3"/>
  <c r="AH218" i="3"/>
  <c r="AT223" i="3"/>
  <c r="AO237" i="3"/>
  <c r="AZ249" i="3"/>
  <c r="AS259" i="3"/>
  <c r="AY272" i="3"/>
  <c r="AY30" i="3"/>
  <c r="BA37" i="3"/>
  <c r="BB40" i="3"/>
  <c r="AU68" i="3"/>
  <c r="AZ71" i="3"/>
  <c r="AU80" i="3"/>
  <c r="AU86" i="3"/>
  <c r="AJ91" i="3"/>
  <c r="AN94" i="3"/>
  <c r="AH97" i="3"/>
  <c r="BC271" i="3"/>
  <c r="AS273" i="3"/>
  <c r="AJ111" i="3"/>
  <c r="AH145" i="3"/>
  <c r="AT161" i="3"/>
  <c r="AR165" i="3"/>
  <c r="AI190" i="3"/>
  <c r="AY196" i="3"/>
  <c r="AY199" i="3"/>
  <c r="AI218" i="3"/>
  <c r="AJ265" i="3"/>
  <c r="BB11" i="3"/>
  <c r="BB14" i="3"/>
  <c r="BA20" i="3"/>
  <c r="AH71" i="3"/>
  <c r="AM94" i="3"/>
  <c r="AV145" i="3"/>
  <c r="AH181" i="3"/>
  <c r="AS209" i="3"/>
  <c r="AS212" i="3"/>
  <c r="AP252" i="3"/>
  <c r="AG30" i="3"/>
  <c r="AH36" i="3"/>
  <c r="AL69" i="3"/>
  <c r="AJ75" i="3"/>
  <c r="AZ109" i="3"/>
  <c r="BD115" i="3"/>
  <c r="AZ154" i="3"/>
  <c r="AM172" i="3"/>
  <c r="AL181" i="3"/>
  <c r="AW185" i="3"/>
  <c r="AJ214" i="3"/>
  <c r="AJ227" i="3"/>
  <c r="AL232" i="3"/>
  <c r="AK242" i="3"/>
  <c r="BD258" i="3"/>
  <c r="AZ261" i="3"/>
  <c r="AH272" i="3"/>
  <c r="AH30" i="3"/>
  <c r="AY36" i="3"/>
  <c r="AH109" i="3"/>
  <c r="AM170" i="3"/>
  <c r="AZ173" i="3"/>
  <c r="AM272" i="3"/>
  <c r="BD52" i="3"/>
  <c r="AN52" i="3"/>
  <c r="AO52" i="3"/>
  <c r="AU52" i="3"/>
  <c r="AG52" i="3"/>
  <c r="AY52" i="3"/>
  <c r="AH52" i="3"/>
  <c r="BD106" i="3"/>
  <c r="AS106" i="3"/>
  <c r="AG106" i="3"/>
  <c r="AT106" i="3"/>
  <c r="AH106" i="3"/>
  <c r="AY106" i="3"/>
  <c r="AM106" i="3"/>
  <c r="AZ106" i="3"/>
  <c r="AN106" i="3"/>
  <c r="AQ200" i="3"/>
  <c r="AR200" i="3"/>
  <c r="AZ26" i="3"/>
  <c r="AU26" i="3"/>
  <c r="AV26" i="3"/>
  <c r="AI26" i="3"/>
  <c r="AJ26" i="3"/>
  <c r="AZ32" i="3"/>
  <c r="AU32" i="3"/>
  <c r="AV32" i="3"/>
  <c r="AI32" i="3"/>
  <c r="AJ32" i="3"/>
  <c r="AZ201" i="3"/>
  <c r="AU201" i="3"/>
  <c r="AV201" i="3"/>
  <c r="AI201" i="3"/>
  <c r="AJ201" i="3"/>
  <c r="AZ204" i="3"/>
  <c r="AJ204" i="3"/>
  <c r="AU204" i="3"/>
  <c r="AV204" i="3"/>
  <c r="AI204" i="3"/>
  <c r="AU61" i="3"/>
  <c r="AI61" i="3"/>
  <c r="AK61" i="3"/>
  <c r="AY142" i="3"/>
  <c r="AZ142" i="3"/>
  <c r="AI142" i="3"/>
  <c r="AO142" i="3"/>
  <c r="AP142" i="3"/>
  <c r="AV142" i="3"/>
  <c r="AH142" i="3"/>
  <c r="BA195" i="3"/>
  <c r="AP195" i="3"/>
  <c r="AQ236" i="3"/>
  <c r="AJ236" i="3"/>
  <c r="AK236" i="3"/>
  <c r="BB236" i="3"/>
  <c r="BC236" i="3"/>
  <c r="AY12" i="3"/>
  <c r="AH12" i="3"/>
  <c r="AJ14" i="3"/>
  <c r="AT15" i="3"/>
  <c r="AN20" i="3"/>
  <c r="BA27" i="3"/>
  <c r="AN30" i="3"/>
  <c r="AO36" i="3"/>
  <c r="AV54" i="3"/>
  <c r="AN56" i="3"/>
  <c r="AY56" i="3"/>
  <c r="BD58" i="3"/>
  <c r="BD69" i="3"/>
  <c r="AT71" i="3"/>
  <c r="AM76" i="3"/>
  <c r="AP79" i="3"/>
  <c r="AH80" i="3"/>
  <c r="BB88" i="3"/>
  <c r="AG89" i="3"/>
  <c r="AP96" i="3"/>
  <c r="AU100" i="3"/>
  <c r="AH101" i="3"/>
  <c r="AT101" i="3"/>
  <c r="AN104" i="3"/>
  <c r="AG115" i="3"/>
  <c r="AS115" i="3"/>
  <c r="AG128" i="3"/>
  <c r="AS128" i="3"/>
  <c r="AH130" i="3"/>
  <c r="AV130" i="3"/>
  <c r="AP135" i="3"/>
  <c r="BD137" i="3"/>
  <c r="AV138" i="3"/>
  <c r="AO139" i="3"/>
  <c r="AI145" i="3"/>
  <c r="AZ145" i="3"/>
  <c r="AJ147" i="3"/>
  <c r="AP153" i="3"/>
  <c r="BD153" i="3"/>
  <c r="AJ156" i="3"/>
  <c r="AN158" i="3"/>
  <c r="BB160" i="3"/>
  <c r="AZ167" i="3"/>
  <c r="AL168" i="3"/>
  <c r="AV169" i="3"/>
  <c r="AN170" i="3"/>
  <c r="AV172" i="3"/>
  <c r="AG178" i="3"/>
  <c r="AO180" i="3"/>
  <c r="AM183" i="3"/>
  <c r="AY183" i="3"/>
  <c r="AM184" i="3"/>
  <c r="AI188" i="3"/>
  <c r="AZ199" i="3"/>
  <c r="AO208" i="3"/>
  <c r="AM209" i="3"/>
  <c r="AT213" i="3"/>
  <c r="AR226" i="3"/>
  <c r="AN246" i="3"/>
  <c r="AG247" i="3"/>
  <c r="AH249" i="3"/>
  <c r="AY252" i="3"/>
  <c r="AO252" i="3"/>
  <c r="BC253" i="3"/>
  <c r="AR255" i="3"/>
  <c r="AJ256" i="3"/>
  <c r="AY256" i="3"/>
  <c r="BD257" i="3"/>
  <c r="AG258" i="3"/>
  <c r="AY258" i="3"/>
  <c r="AK259" i="3"/>
  <c r="AY261" i="3"/>
  <c r="BC264" i="3"/>
  <c r="AQ265" i="3"/>
  <c r="BC265" i="3"/>
  <c r="AY266" i="3"/>
  <c r="AS267" i="3"/>
  <c r="AU269" i="3"/>
  <c r="AS272" i="3"/>
  <c r="AY274" i="3"/>
  <c r="AM275" i="3"/>
  <c r="J63" i="7"/>
  <c r="J96" i="7"/>
  <c r="AJ11" i="3"/>
  <c r="AG12" i="3"/>
  <c r="AI14" i="3"/>
  <c r="AN36" i="3"/>
  <c r="AU54" i="3"/>
  <c r="AL56" i="3"/>
  <c r="AX56" i="3"/>
  <c r="BD61" i="3"/>
  <c r="AS71" i="3"/>
  <c r="AZ76" i="3"/>
  <c r="AX80" i="3"/>
  <c r="AR81" i="3"/>
  <c r="BC84" i="3"/>
  <c r="AT86" i="3"/>
  <c r="AJ88" i="3"/>
  <c r="AT89" i="3"/>
  <c r="AI91" i="3"/>
  <c r="BA91" i="3"/>
  <c r="AO93" i="3"/>
  <c r="AI96" i="3"/>
  <c r="AG101" i="3"/>
  <c r="AS101" i="3"/>
  <c r="BD104" i="3"/>
  <c r="AM104" i="3"/>
  <c r="AY104" i="3"/>
  <c r="AG109" i="3"/>
  <c r="AO111" i="3"/>
  <c r="AN115" i="3"/>
  <c r="AZ115" i="3"/>
  <c r="BD118" i="3"/>
  <c r="AQ119" i="3"/>
  <c r="AN128" i="3"/>
  <c r="AZ128" i="3"/>
  <c r="AP130" i="3"/>
  <c r="AV133" i="3"/>
  <c r="AJ135" i="3"/>
  <c r="AN139" i="3"/>
  <c r="AM153" i="3"/>
  <c r="BB153" i="3"/>
  <c r="AK160" i="3"/>
  <c r="AQ178" i="3"/>
  <c r="AY178" i="3"/>
  <c r="BB180" i="3"/>
  <c r="AH183" i="3"/>
  <c r="AT183" i="3"/>
  <c r="AT184" i="3"/>
  <c r="BA185" i="3"/>
  <c r="AZ186" i="3"/>
  <c r="AV188" i="3"/>
  <c r="BA193" i="3"/>
  <c r="AT211" i="3"/>
  <c r="AQ217" i="3"/>
  <c r="BB217" i="3"/>
  <c r="AH223" i="3"/>
  <c r="BC227" i="3"/>
  <c r="AM232" i="3"/>
  <c r="AZ234" i="3"/>
  <c r="AP239" i="3"/>
  <c r="BD242" i="3"/>
  <c r="AP243" i="3"/>
  <c r="AV244" i="3"/>
  <c r="AR247" i="3"/>
  <c r="AY247" i="3"/>
  <c r="BD249" i="3"/>
  <c r="AI252" i="3"/>
  <c r="AZ252" i="3"/>
  <c r="AK255" i="3"/>
  <c r="AG256" i="3"/>
  <c r="AV256" i="3"/>
  <c r="AS258" i="3"/>
  <c r="AL259" i="3"/>
  <c r="AH261" i="3"/>
  <c r="BA263" i="3"/>
  <c r="AX264" i="3"/>
  <c r="AK265" i="3"/>
  <c r="AH266" i="3"/>
  <c r="AG267" i="3"/>
  <c r="AV14" i="3"/>
  <c r="AT80" i="3"/>
  <c r="AO86" i="3"/>
  <c r="AS89" i="3"/>
  <c r="AY91" i="3"/>
  <c r="BC97" i="3"/>
  <c r="AZ97" i="3"/>
  <c r="AN101" i="3"/>
  <c r="AZ101" i="3"/>
  <c r="BA103" i="3"/>
  <c r="AH104" i="3"/>
  <c r="AT104" i="3"/>
  <c r="AN109" i="3"/>
  <c r="AM115" i="3"/>
  <c r="AY115" i="3"/>
  <c r="AP119" i="3"/>
  <c r="AX126" i="3"/>
  <c r="AM128" i="3"/>
  <c r="AY128" i="3"/>
  <c r="AO130" i="3"/>
  <c r="AH133" i="3"/>
  <c r="AH139" i="3"/>
  <c r="BB139" i="3"/>
  <c r="AP145" i="3"/>
  <c r="AT147" i="3"/>
  <c r="AV150" i="3"/>
  <c r="AW151" i="3"/>
  <c r="AH153" i="3"/>
  <c r="AV153" i="3"/>
  <c r="AH154" i="3"/>
  <c r="AN155" i="3"/>
  <c r="AV156" i="3"/>
  <c r="BC157" i="3"/>
  <c r="AJ160" i="3"/>
  <c r="AR162" i="3"/>
  <c r="AN167" i="3"/>
  <c r="AU169" i="3"/>
  <c r="AX178" i="3"/>
  <c r="AO185" i="3"/>
  <c r="AO186" i="3"/>
  <c r="AU188" i="3"/>
  <c r="AN193" i="3"/>
  <c r="AT196" i="3"/>
  <c r="AM199" i="3"/>
  <c r="AY205" i="3"/>
  <c r="AH213" i="3"/>
  <c r="AS216" i="3"/>
  <c r="AK217" i="3"/>
  <c r="BB227" i="3"/>
  <c r="AO234" i="3"/>
  <c r="AS235" i="3"/>
  <c r="AK239" i="3"/>
  <c r="BC242" i="3"/>
  <c r="AL243" i="3"/>
  <c r="AL245" i="3"/>
  <c r="AS247" i="3"/>
  <c r="AV249" i="3"/>
  <c r="AH252" i="3"/>
  <c r="AV252" i="3"/>
  <c r="BC256" i="3"/>
  <c r="AQ256" i="3"/>
  <c r="AO258" i="3"/>
  <c r="AS264" i="3"/>
  <c r="AX267" i="3"/>
  <c r="AV269" i="3"/>
  <c r="BD12" i="3"/>
  <c r="AN12" i="3"/>
  <c r="AY20" i="3"/>
  <c r="AU20" i="3"/>
  <c r="BB24" i="3"/>
  <c r="AO30" i="3"/>
  <c r="AG36" i="3"/>
  <c r="AU36" i="3"/>
  <c r="AP40" i="3"/>
  <c r="AI54" i="3"/>
  <c r="AG56" i="3"/>
  <c r="AR56" i="3"/>
  <c r="BD56" i="3"/>
  <c r="AR69" i="3"/>
  <c r="AG71" i="3"/>
  <c r="AN73" i="3"/>
  <c r="AO80" i="3"/>
  <c r="BA82" i="3"/>
  <c r="AO83" i="3"/>
  <c r="BD84" i="3"/>
  <c r="BD86" i="3"/>
  <c r="AH89" i="3"/>
  <c r="AZ92" i="3"/>
  <c r="BA93" i="3"/>
  <c r="AU96" i="3"/>
  <c r="AS97" i="3"/>
  <c r="AM101" i="3"/>
  <c r="AY101" i="3"/>
  <c r="AG104" i="3"/>
  <c r="AS104" i="3"/>
  <c r="BD109" i="3"/>
  <c r="AM109" i="3"/>
  <c r="AY109" i="3"/>
  <c r="BB114" i="3"/>
  <c r="AH115" i="3"/>
  <c r="AT115" i="3"/>
  <c r="BB124" i="3"/>
  <c r="AH128" i="3"/>
  <c r="AT128" i="3"/>
  <c r="AI130" i="3"/>
  <c r="AZ130" i="3"/>
  <c r="AO145" i="3"/>
  <c r="AL148" i="3"/>
  <c r="AG153" i="3"/>
  <c r="AT153" i="3"/>
  <c r="AL155" i="3"/>
  <c r="AJ157" i="3"/>
  <c r="AO158" i="3"/>
  <c r="BC160" i="3"/>
  <c r="AT177" i="3"/>
  <c r="AT181" i="3"/>
  <c r="AN183" i="3"/>
  <c r="AZ183" i="3"/>
  <c r="AN186" i="3"/>
  <c r="AJ188" i="3"/>
  <c r="AP190" i="3"/>
  <c r="AH199" i="3"/>
  <c r="AR209" i="3"/>
  <c r="AU213" i="3"/>
  <c r="AR216" i="3"/>
  <c r="AJ217" i="3"/>
  <c r="AY218" i="3"/>
  <c r="AT218" i="3"/>
  <c r="AK227" i="3"/>
  <c r="AO228" i="3"/>
  <c r="BD232" i="3"/>
  <c r="AL242" i="3"/>
  <c r="AU244" i="3"/>
  <c r="AM256" i="3"/>
  <c r="AK257" i="3"/>
  <c r="AI258" i="3"/>
  <c r="BA258" i="3"/>
  <c r="BD259" i="3"/>
  <c r="AZ263" i="3"/>
  <c r="AG272" i="3"/>
  <c r="AR273" i="3"/>
  <c r="J91" i="7"/>
  <c r="J102" i="7" s="1"/>
  <c r="J110" i="7" s="1"/>
  <c r="J76" i="9"/>
  <c r="AZ35" i="3"/>
  <c r="BA35" i="3"/>
  <c r="AO35" i="3"/>
  <c r="AP35" i="3"/>
  <c r="AV35" i="3"/>
  <c r="AJ35" i="3"/>
  <c r="AU35" i="3"/>
  <c r="AI35" i="3"/>
  <c r="BB35" i="3"/>
  <c r="AY38" i="3"/>
  <c r="BB38" i="3"/>
  <c r="AU38" i="3"/>
  <c r="AN38" i="3"/>
  <c r="AV38" i="3"/>
  <c r="AO38" i="3"/>
  <c r="BA38" i="3"/>
  <c r="AT38" i="3"/>
  <c r="AJ38" i="3"/>
  <c r="AH38" i="3"/>
  <c r="AZ38" i="3"/>
  <c r="AP38" i="3"/>
  <c r="AI38" i="3"/>
  <c r="BA42" i="3"/>
  <c r="BB42" i="3"/>
  <c r="AV42" i="3"/>
  <c r="AJ42" i="3"/>
  <c r="AP42" i="3"/>
  <c r="AX59" i="3"/>
  <c r="AW59" i="3"/>
  <c r="AN59" i="3"/>
  <c r="BD59" i="3"/>
  <c r="AV59" i="3"/>
  <c r="AM59" i="3"/>
  <c r="AG59" i="3"/>
  <c r="BC59" i="3"/>
  <c r="AT59" i="3"/>
  <c r="AH59" i="3"/>
  <c r="BB59" i="3"/>
  <c r="AP59" i="3"/>
  <c r="BA45" i="3"/>
  <c r="BB45" i="3"/>
  <c r="AV45" i="3"/>
  <c r="AP45" i="3"/>
  <c r="AJ45" i="3"/>
  <c r="AZ16" i="3"/>
  <c r="BA16" i="3"/>
  <c r="AU16" i="3"/>
  <c r="AI16" i="3"/>
  <c r="AO16" i="3"/>
  <c r="AZ29" i="3"/>
  <c r="BA29" i="3"/>
  <c r="AO29" i="3"/>
  <c r="AV29" i="3"/>
  <c r="AJ29" i="3"/>
  <c r="AP29" i="3"/>
  <c r="AU29" i="3"/>
  <c r="AI29" i="3"/>
  <c r="BB29" i="3"/>
  <c r="BD33" i="3"/>
  <c r="AZ33" i="3"/>
  <c r="AS33" i="3"/>
  <c r="AI33" i="3"/>
  <c r="BA33" i="3"/>
  <c r="AY33" i="3"/>
  <c r="AO33" i="3"/>
  <c r="AH33" i="3"/>
  <c r="AT33" i="3"/>
  <c r="AU33" i="3"/>
  <c r="AN33" i="3"/>
  <c r="AG33" i="3"/>
  <c r="AM33" i="3"/>
  <c r="BC65" i="3"/>
  <c r="AS65" i="3"/>
  <c r="AR65" i="3"/>
  <c r="AX65" i="3"/>
  <c r="AH65" i="3"/>
  <c r="AY65" i="3"/>
  <c r="AI65" i="3"/>
  <c r="BA48" i="3"/>
  <c r="BB48" i="3"/>
  <c r="AV48" i="3"/>
  <c r="AJ48" i="3"/>
  <c r="AP48" i="3"/>
  <c r="AZ51" i="3"/>
  <c r="BA51" i="3"/>
  <c r="AO51" i="3"/>
  <c r="AV51" i="3"/>
  <c r="AJ51" i="3"/>
  <c r="BB51" i="3"/>
  <c r="AU51" i="3"/>
  <c r="AI51" i="3"/>
  <c r="AP51" i="3"/>
  <c r="BC90" i="3"/>
  <c r="AQ90" i="3"/>
  <c r="AK90" i="3"/>
  <c r="AW90" i="3"/>
  <c r="G27" i="2"/>
  <c r="AM15" i="3"/>
  <c r="BA15" i="3"/>
  <c r="AT27" i="3"/>
  <c r="AO68" i="3"/>
  <c r="BA68" i="3"/>
  <c r="AJ70" i="3"/>
  <c r="BB70" i="3"/>
  <c r="BA85" i="3"/>
  <c r="AJ85" i="3"/>
  <c r="BB85" i="3"/>
  <c r="AY89" i="3"/>
  <c r="D78" i="3"/>
  <c r="AH112" i="3"/>
  <c r="AV112" i="3"/>
  <c r="AJ112" i="3"/>
  <c r="AS112" i="3"/>
  <c r="AG112" i="3"/>
  <c r="AY122" i="3"/>
  <c r="AZ122" i="3"/>
  <c r="AP122" i="3"/>
  <c r="AI122" i="3"/>
  <c r="AV122" i="3"/>
  <c r="AO122" i="3"/>
  <c r="AH122" i="3"/>
  <c r="AT122" i="3"/>
  <c r="BB122" i="3"/>
  <c r="AN122" i="3"/>
  <c r="BA122" i="3"/>
  <c r="AJ122" i="3"/>
  <c r="AQ220" i="3"/>
  <c r="BC220" i="3"/>
  <c r="AK220" i="3"/>
  <c r="BB220" i="3"/>
  <c r="AJ220" i="3"/>
  <c r="AW220" i="3"/>
  <c r="AP220" i="3"/>
  <c r="AX10" i="3"/>
  <c r="AI12" i="3"/>
  <c r="AS12" i="3"/>
  <c r="AZ12" i="3"/>
  <c r="AZ14" i="3"/>
  <c r="AO14" i="3"/>
  <c r="BA14" i="3"/>
  <c r="AG15" i="3"/>
  <c r="AN15" i="3"/>
  <c r="AU15" i="3"/>
  <c r="AM17" i="3"/>
  <c r="AT17" i="3"/>
  <c r="BA17" i="3"/>
  <c r="AP19" i="3"/>
  <c r="BB19" i="3"/>
  <c r="AH20" i="3"/>
  <c r="AO20" i="3"/>
  <c r="AJ24" i="3"/>
  <c r="AV24" i="3"/>
  <c r="AO26" i="3"/>
  <c r="BA26" i="3"/>
  <c r="AG27" i="3"/>
  <c r="AN27" i="3"/>
  <c r="AU27" i="3"/>
  <c r="AI30" i="3"/>
  <c r="AS30" i="3"/>
  <c r="AZ30" i="3"/>
  <c r="AO32" i="3"/>
  <c r="BA32" i="3"/>
  <c r="AI36" i="3"/>
  <c r="AS36" i="3"/>
  <c r="AZ36" i="3"/>
  <c r="BB37" i="3"/>
  <c r="AM39" i="3"/>
  <c r="AM41" i="3"/>
  <c r="AT41" i="3"/>
  <c r="BD41" i="3"/>
  <c r="AI52" i="3"/>
  <c r="AS52" i="3"/>
  <c r="AZ52" i="3"/>
  <c r="AO54" i="3"/>
  <c r="BA54" i="3"/>
  <c r="AL55" i="3"/>
  <c r="AI56" i="3"/>
  <c r="AO56" i="3"/>
  <c r="AU56" i="3"/>
  <c r="AZ56" i="3"/>
  <c r="AR57" i="3"/>
  <c r="AR61" i="3"/>
  <c r="AO62" i="3"/>
  <c r="AY62" i="3"/>
  <c r="AV67" i="3"/>
  <c r="AH68" i="3"/>
  <c r="AT68" i="3"/>
  <c r="AQ69" i="3"/>
  <c r="AM70" i="3"/>
  <c r="AU70" i="3"/>
  <c r="AM71" i="3"/>
  <c r="AY71" i="3"/>
  <c r="AZ73" i="3"/>
  <c r="BB75" i="3"/>
  <c r="AO75" i="3"/>
  <c r="BA75" i="3"/>
  <c r="AU75" i="3"/>
  <c r="BA79" i="3"/>
  <c r="AJ79" i="3"/>
  <c r="BB79" i="3"/>
  <c r="AX81" i="3"/>
  <c r="AN83" i="3"/>
  <c r="BA86" i="3"/>
  <c r="AN92" i="3"/>
  <c r="BD94" i="3"/>
  <c r="AY94" i="3"/>
  <c r="AT94" i="3"/>
  <c r="AH94" i="3"/>
  <c r="AS94" i="3"/>
  <c r="AG94" i="3"/>
  <c r="AZ94" i="3"/>
  <c r="BB96" i="3"/>
  <c r="BC102" i="3"/>
  <c r="AQ102" i="3"/>
  <c r="AW103" i="3"/>
  <c r="AM112" i="3"/>
  <c r="AQ116" i="3"/>
  <c r="AJ116" i="3"/>
  <c r="BC116" i="3"/>
  <c r="BB116" i="3"/>
  <c r="AK116" i="3"/>
  <c r="AU122" i="3"/>
  <c r="BD140" i="3"/>
  <c r="AX140" i="3"/>
  <c r="AQ163" i="3"/>
  <c r="AP163" i="3"/>
  <c r="AW163" i="3"/>
  <c r="AN173" i="3"/>
  <c r="AM27" i="3"/>
  <c r="AL41" i="3"/>
  <c r="AZ41" i="3"/>
  <c r="AQ57" i="3"/>
  <c r="AJ62" i="3"/>
  <c r="AS70" i="3"/>
  <c r="BD65" i="3"/>
  <c r="BC78" i="3"/>
  <c r="AY78" i="3"/>
  <c r="AM78" i="3"/>
  <c r="AX78" i="3"/>
  <c r="AL78" i="3"/>
  <c r="BD78" i="3"/>
  <c r="BA83" i="3"/>
  <c r="BB98" i="3"/>
  <c r="AZ98" i="3"/>
  <c r="AH98" i="3"/>
  <c r="AY98" i="3"/>
  <c r="AG98" i="3"/>
  <c r="AP98" i="3"/>
  <c r="AY107" i="3"/>
  <c r="AM107" i="3"/>
  <c r="BB112" i="3"/>
  <c r="H73" i="2"/>
  <c r="BA11" i="3"/>
  <c r="AV11" i="3"/>
  <c r="AM12" i="3"/>
  <c r="AT12" i="3"/>
  <c r="BA12" i="3"/>
  <c r="AP14" i="3"/>
  <c r="AH15" i="3"/>
  <c r="AO15" i="3"/>
  <c r="AG17" i="3"/>
  <c r="AN17" i="3"/>
  <c r="AU17" i="3"/>
  <c r="BB18" i="3"/>
  <c r="AI19" i="3"/>
  <c r="AU19" i="3"/>
  <c r="BD20" i="3"/>
  <c r="AI20" i="3"/>
  <c r="AS20" i="3"/>
  <c r="AZ20" i="3"/>
  <c r="AZ24" i="3"/>
  <c r="AO24" i="3"/>
  <c r="BA24" i="3"/>
  <c r="AP26" i="3"/>
  <c r="BB26" i="3"/>
  <c r="AH27" i="3"/>
  <c r="AO27" i="3"/>
  <c r="AM30" i="3"/>
  <c r="AT30" i="3"/>
  <c r="BA30" i="3"/>
  <c r="AP32" i="3"/>
  <c r="BB32" i="3"/>
  <c r="AM36" i="3"/>
  <c r="AT36" i="3"/>
  <c r="BA36" i="3"/>
  <c r="AJ37" i="3"/>
  <c r="BA40" i="3"/>
  <c r="AV40" i="3"/>
  <c r="AG41" i="3"/>
  <c r="AN41" i="3"/>
  <c r="AX41" i="3"/>
  <c r="AM52" i="3"/>
  <c r="AT52" i="3"/>
  <c r="BA52" i="3"/>
  <c r="AP54" i="3"/>
  <c r="BB54" i="3"/>
  <c r="AJ56" i="3"/>
  <c r="AP56" i="3"/>
  <c r="AV56" i="3"/>
  <c r="AJ57" i="3"/>
  <c r="AX57" i="3"/>
  <c r="AG62" i="3"/>
  <c r="AS62" i="3"/>
  <c r="AZ62" i="3"/>
  <c r="AS63" i="3"/>
  <c r="AI68" i="3"/>
  <c r="AG70" i="3"/>
  <c r="AO70" i="3"/>
  <c r="AV70" i="3"/>
  <c r="AN71" i="3"/>
  <c r="AH73" i="3"/>
  <c r="AI75" i="3"/>
  <c r="BD76" i="3"/>
  <c r="AT76" i="3"/>
  <c r="AH76" i="3"/>
  <c r="AS76" i="3"/>
  <c r="AG76" i="3"/>
  <c r="AY76" i="3"/>
  <c r="AR78" i="3"/>
  <c r="BA80" i="3"/>
  <c r="BD81" i="3"/>
  <c r="AP85" i="3"/>
  <c r="AH86" i="3"/>
  <c r="AZ91" i="3"/>
  <c r="AV91" i="3"/>
  <c r="AO91" i="3"/>
  <c r="AG91" i="3"/>
  <c r="BB91" i="3"/>
  <c r="AU91" i="3"/>
  <c r="AM91" i="3"/>
  <c r="AP91" i="3"/>
  <c r="AT92" i="3"/>
  <c r="AS92" i="3"/>
  <c r="AY95" i="3"/>
  <c r="AR95" i="3"/>
  <c r="BD99" i="3"/>
  <c r="AZ99" i="3"/>
  <c r="AH99" i="3"/>
  <c r="AY99" i="3"/>
  <c r="AG99" i="3"/>
  <c r="AR99" i="3"/>
  <c r="BA108" i="3"/>
  <c r="AK108" i="3"/>
  <c r="AJ108" i="3"/>
  <c r="AW108" i="3"/>
  <c r="AP112" i="3"/>
  <c r="BB127" i="3"/>
  <c r="AJ127" i="3"/>
  <c r="BA129" i="3"/>
  <c r="AP129" i="3"/>
  <c r="AJ129" i="3"/>
  <c r="BB129" i="3"/>
  <c r="BA141" i="3"/>
  <c r="AP141" i="3"/>
  <c r="AJ141" i="3"/>
  <c r="AV141" i="3"/>
  <c r="BA144" i="3"/>
  <c r="AP144" i="3"/>
  <c r="AJ144" i="3"/>
  <c r="BB144" i="3"/>
  <c r="AV144" i="3"/>
  <c r="AS202" i="3"/>
  <c r="AZ202" i="3"/>
  <c r="AM202" i="3"/>
  <c r="AH202" i="3"/>
  <c r="AI17" i="3"/>
  <c r="AS17" i="3"/>
  <c r="AZ17" i="3"/>
  <c r="AO19" i="3"/>
  <c r="BA19" i="3"/>
  <c r="AV37" i="3"/>
  <c r="AS41" i="3"/>
  <c r="AW62" i="3"/>
  <c r="BD15" i="3"/>
  <c r="AI15" i="3"/>
  <c r="AS15" i="3"/>
  <c r="AZ15" i="3"/>
  <c r="AH17" i="3"/>
  <c r="AO17" i="3"/>
  <c r="AY17" i="3"/>
  <c r="AJ19" i="3"/>
  <c r="AV19" i="3"/>
  <c r="AM20" i="3"/>
  <c r="AT20" i="3"/>
  <c r="AP24" i="3"/>
  <c r="BD27" i="3"/>
  <c r="AI27" i="3"/>
  <c r="AS27" i="3"/>
  <c r="AZ27" i="3"/>
  <c r="AP37" i="3"/>
  <c r="AH41" i="3"/>
  <c r="AR41" i="3"/>
  <c r="AY41" i="3"/>
  <c r="BB53" i="3"/>
  <c r="AK57" i="3"/>
  <c r="AI62" i="3"/>
  <c r="AT62" i="3"/>
  <c r="BC62" i="3"/>
  <c r="AY68" i="3"/>
  <c r="AN68" i="3"/>
  <c r="AZ68" i="3"/>
  <c r="AI70" i="3"/>
  <c r="AP70" i="3"/>
  <c r="BA70" i="3"/>
  <c r="AS78" i="3"/>
  <c r="AY83" i="3"/>
  <c r="AU83" i="3"/>
  <c r="AI83" i="3"/>
  <c r="AT83" i="3"/>
  <c r="AH83" i="3"/>
  <c r="AZ83" i="3"/>
  <c r="AV85" i="3"/>
  <c r="AZ112" i="3"/>
  <c r="AY112" i="3"/>
  <c r="AP114" i="3"/>
  <c r="AY117" i="3"/>
  <c r="BA117" i="3"/>
  <c r="AT117" i="3"/>
  <c r="AJ117" i="3"/>
  <c r="AZ117" i="3"/>
  <c r="AP117" i="3"/>
  <c r="AI117" i="3"/>
  <c r="AO117" i="3"/>
  <c r="BB117" i="3"/>
  <c r="AN117" i="3"/>
  <c r="AV117" i="3"/>
  <c r="AH117" i="3"/>
  <c r="BB121" i="3"/>
  <c r="AV121" i="3"/>
  <c r="AP121" i="3"/>
  <c r="AJ121" i="3"/>
  <c r="AY125" i="3"/>
  <c r="AV125" i="3"/>
  <c r="AO125" i="3"/>
  <c r="AH125" i="3"/>
  <c r="BB125" i="3"/>
  <c r="AU125" i="3"/>
  <c r="AN125" i="3"/>
  <c r="BA125" i="3"/>
  <c r="AJ125" i="3"/>
  <c r="AZ125" i="3"/>
  <c r="AI125" i="3"/>
  <c r="AT125" i="3"/>
  <c r="AY136" i="3"/>
  <c r="AZ136" i="3"/>
  <c r="AP136" i="3"/>
  <c r="AI136" i="3"/>
  <c r="AV136" i="3"/>
  <c r="AO136" i="3"/>
  <c r="AH136" i="3"/>
  <c r="AT136" i="3"/>
  <c r="BB136" i="3"/>
  <c r="AN136" i="3"/>
  <c r="BA136" i="3"/>
  <c r="AJ136" i="3"/>
  <c r="BD175" i="3"/>
  <c r="AT175" i="3"/>
  <c r="AH175" i="3"/>
  <c r="AS175" i="3"/>
  <c r="AG175" i="3"/>
  <c r="AN175" i="3"/>
  <c r="AM175" i="3"/>
  <c r="AZ175" i="3"/>
  <c r="AI80" i="3"/>
  <c r="AV82" i="3"/>
  <c r="AI86" i="3"/>
  <c r="AX87" i="3"/>
  <c r="AM89" i="3"/>
  <c r="AH92" i="3"/>
  <c r="AZ93" i="3"/>
  <c r="AU93" i="3"/>
  <c r="AJ96" i="3"/>
  <c r="AZ111" i="3"/>
  <c r="AU111" i="3"/>
  <c r="AI111" i="3"/>
  <c r="BB111" i="3"/>
  <c r="AP111" i="3"/>
  <c r="AV111" i="3"/>
  <c r="AO114" i="3"/>
  <c r="AL118" i="3"/>
  <c r="AP132" i="3"/>
  <c r="AN133" i="3"/>
  <c r="BB133" i="3"/>
  <c r="BA138" i="3"/>
  <c r="AJ138" i="3"/>
  <c r="BB138" i="3"/>
  <c r="AY139" i="3"/>
  <c r="BA139" i="3"/>
  <c r="AT139" i="3"/>
  <c r="AJ139" i="3"/>
  <c r="AZ139" i="3"/>
  <c r="AP139" i="3"/>
  <c r="AI139" i="3"/>
  <c r="AU139" i="3"/>
  <c r="BD143" i="3"/>
  <c r="AX143" i="3"/>
  <c r="BB147" i="3"/>
  <c r="AM147" i="3"/>
  <c r="AV147" i="3"/>
  <c r="AL147" i="3"/>
  <c r="BD147" i="3"/>
  <c r="AJ154" i="3"/>
  <c r="BB154" i="3"/>
  <c r="AY156" i="3"/>
  <c r="AM156" i="3"/>
  <c r="AX156" i="3"/>
  <c r="AL156" i="3"/>
  <c r="BB156" i="3"/>
  <c r="AS162" i="3"/>
  <c r="BD162" i="3"/>
  <c r="AL162" i="3"/>
  <c r="AY162" i="3"/>
  <c r="AG162" i="3"/>
  <c r="BD167" i="3"/>
  <c r="AT167" i="3"/>
  <c r="AH167" i="3"/>
  <c r="AS167" i="3"/>
  <c r="AG167" i="3"/>
  <c r="AY167" i="3"/>
  <c r="AM169" i="3"/>
  <c r="BD170" i="3"/>
  <c r="AT170" i="3"/>
  <c r="AH170" i="3"/>
  <c r="AS170" i="3"/>
  <c r="AG170" i="3"/>
  <c r="AY170" i="3"/>
  <c r="AZ172" i="3"/>
  <c r="BB172" i="3"/>
  <c r="AP172" i="3"/>
  <c r="AI172" i="3"/>
  <c r="BA172" i="3"/>
  <c r="AO172" i="3"/>
  <c r="AG172" i="3"/>
  <c r="AU172" i="3"/>
  <c r="AM173" i="3"/>
  <c r="AN184" i="3"/>
  <c r="AQ189" i="3"/>
  <c r="BD189" i="3"/>
  <c r="AL189" i="3"/>
  <c r="AX189" i="3"/>
  <c r="BD224" i="3"/>
  <c r="AL224" i="3"/>
  <c r="AG224" i="3"/>
  <c r="AY224" i="3"/>
  <c r="AR224" i="3"/>
  <c r="AM224" i="3"/>
  <c r="BB77" i="3"/>
  <c r="AY80" i="3"/>
  <c r="AN80" i="3"/>
  <c r="AZ80" i="3"/>
  <c r="BB82" i="3"/>
  <c r="AY86" i="3"/>
  <c r="AN86" i="3"/>
  <c r="AZ86" i="3"/>
  <c r="BA88" i="3"/>
  <c r="AV88" i="3"/>
  <c r="AN89" i="3"/>
  <c r="AZ89" i="3"/>
  <c r="BD92" i="3"/>
  <c r="AM92" i="3"/>
  <c r="AY92" i="3"/>
  <c r="AY96" i="3"/>
  <c r="AT96" i="3"/>
  <c r="AN96" i="3"/>
  <c r="AH96" i="3"/>
  <c r="BC96" i="3"/>
  <c r="AW96" i="3"/>
  <c r="AQ96" i="3"/>
  <c r="AM96" i="3"/>
  <c r="AG96" i="3"/>
  <c r="AO96" i="3"/>
  <c r="BA96" i="3"/>
  <c r="BA100" i="3"/>
  <c r="AJ100" i="3"/>
  <c r="AI100" i="3"/>
  <c r="AO103" i="3"/>
  <c r="AK103" i="3"/>
  <c r="BA111" i="3"/>
  <c r="BC148" i="3"/>
  <c r="AK148" i="3"/>
  <c r="AV148" i="3"/>
  <c r="BD148" i="3"/>
  <c r="AP157" i="3"/>
  <c r="AW157" i="3"/>
  <c r="AH157" i="3"/>
  <c r="AV157" i="3"/>
  <c r="BB157" i="3"/>
  <c r="BA169" i="3"/>
  <c r="AO169" i="3"/>
  <c r="AP174" i="3"/>
  <c r="BB174" i="3"/>
  <c r="AO174" i="3"/>
  <c r="BD180" i="3"/>
  <c r="AZ180" i="3"/>
  <c r="AT180" i="3"/>
  <c r="AN180" i="3"/>
  <c r="AH180" i="3"/>
  <c r="AY180" i="3"/>
  <c r="AS180" i="3"/>
  <c r="AM180" i="3"/>
  <c r="AG180" i="3"/>
  <c r="AV180" i="3"/>
  <c r="AJ180" i="3"/>
  <c r="AU180" i="3"/>
  <c r="AI180" i="3"/>
  <c r="BA180" i="3"/>
  <c r="BC191" i="3"/>
  <c r="AZ191" i="3"/>
  <c r="AS191" i="3"/>
  <c r="AM191" i="3"/>
  <c r="AG191" i="3"/>
  <c r="AY191" i="3"/>
  <c r="AP191" i="3"/>
  <c r="AJ191" i="3"/>
  <c r="AU191" i="3"/>
  <c r="AI191" i="3"/>
  <c r="AT191" i="3"/>
  <c r="AH191" i="3"/>
  <c r="BA191" i="3"/>
  <c r="AZ195" i="3"/>
  <c r="AV195" i="3"/>
  <c r="AJ195" i="3"/>
  <c r="AU195" i="3"/>
  <c r="AI195" i="3"/>
  <c r="AO195" i="3"/>
  <c r="BB195" i="3"/>
  <c r="AZ198" i="3"/>
  <c r="AV198" i="3"/>
  <c r="AJ198" i="3"/>
  <c r="AU198" i="3"/>
  <c r="AI198" i="3"/>
  <c r="BA198" i="3"/>
  <c r="AP198" i="3"/>
  <c r="BD207" i="3"/>
  <c r="AL207" i="3"/>
  <c r="BC207" i="3"/>
  <c r="AK207" i="3"/>
  <c r="AV207" i="3"/>
  <c r="AY221" i="3"/>
  <c r="AU221" i="3"/>
  <c r="AI221" i="3"/>
  <c r="AT221" i="3"/>
  <c r="AH221" i="3"/>
  <c r="AO221" i="3"/>
  <c r="AN221" i="3"/>
  <c r="BA221" i="3"/>
  <c r="AQ230" i="3"/>
  <c r="AP230" i="3"/>
  <c r="AK230" i="3"/>
  <c r="BC230" i="3"/>
  <c r="AZ114" i="3"/>
  <c r="AV114" i="3"/>
  <c r="AJ114" i="3"/>
  <c r="AU114" i="3"/>
  <c r="AI114" i="3"/>
  <c r="BA114" i="3"/>
  <c r="AY116" i="3"/>
  <c r="BC118" i="3"/>
  <c r="AS118" i="3"/>
  <c r="AG118" i="3"/>
  <c r="AR118" i="3"/>
  <c r="AY118" i="3"/>
  <c r="AP127" i="3"/>
  <c r="BA132" i="3"/>
  <c r="AJ132" i="3"/>
  <c r="BB132" i="3"/>
  <c r="AY133" i="3"/>
  <c r="BA133" i="3"/>
  <c r="AT133" i="3"/>
  <c r="AJ133" i="3"/>
  <c r="AZ133" i="3"/>
  <c r="AP133" i="3"/>
  <c r="AI133" i="3"/>
  <c r="AU133" i="3"/>
  <c r="BA146" i="3"/>
  <c r="AT146" i="3"/>
  <c r="AN149" i="3"/>
  <c r="BD149" i="3"/>
  <c r="AL149" i="3"/>
  <c r="AV154" i="3"/>
  <c r="AL154" i="3"/>
  <c r="BC154" i="3"/>
  <c r="AT154" i="3"/>
  <c r="AK154" i="3"/>
  <c r="AR154" i="3"/>
  <c r="AR168" i="3"/>
  <c r="BD168" i="3"/>
  <c r="BD173" i="3"/>
  <c r="AT173" i="3"/>
  <c r="AH173" i="3"/>
  <c r="AS173" i="3"/>
  <c r="AG173" i="3"/>
  <c r="AY173" i="3"/>
  <c r="AM187" i="3"/>
  <c r="AL187" i="3"/>
  <c r="AX187" i="3"/>
  <c r="AL192" i="3"/>
  <c r="AQ192" i="3"/>
  <c r="AR194" i="3"/>
  <c r="BD194" i="3"/>
  <c r="AK194" i="3"/>
  <c r="BC194" i="3"/>
  <c r="AL194" i="3"/>
  <c r="AY215" i="3"/>
  <c r="AU215" i="3"/>
  <c r="AI215" i="3"/>
  <c r="AT215" i="3"/>
  <c r="AH215" i="3"/>
  <c r="AO215" i="3"/>
  <c r="AN215" i="3"/>
  <c r="BA215" i="3"/>
  <c r="AQ210" i="3"/>
  <c r="AP210" i="3"/>
  <c r="BC210" i="3"/>
  <c r="AK210" i="3"/>
  <c r="AK97" i="3"/>
  <c r="AI101" i="3"/>
  <c r="AO101" i="3"/>
  <c r="AU101" i="3"/>
  <c r="BA101" i="3"/>
  <c r="AI104" i="3"/>
  <c r="AO104" i="3"/>
  <c r="AU104" i="3"/>
  <c r="BA104" i="3"/>
  <c r="AI106" i="3"/>
  <c r="AO106" i="3"/>
  <c r="AU106" i="3"/>
  <c r="BA106" i="3"/>
  <c r="AI109" i="3"/>
  <c r="AO109" i="3"/>
  <c r="AU109" i="3"/>
  <c r="BA109" i="3"/>
  <c r="AN112" i="3"/>
  <c r="AT112" i="3"/>
  <c r="AI115" i="3"/>
  <c r="AO115" i="3"/>
  <c r="AU115" i="3"/>
  <c r="BA115" i="3"/>
  <c r="AI128" i="3"/>
  <c r="AO128" i="3"/>
  <c r="AU128" i="3"/>
  <c r="BA128" i="3"/>
  <c r="AJ130" i="3"/>
  <c r="AT130" i="3"/>
  <c r="BA130" i="3"/>
  <c r="AV135" i="3"/>
  <c r="AJ142" i="3"/>
  <c r="AT142" i="3"/>
  <c r="BA142" i="3"/>
  <c r="AJ145" i="3"/>
  <c r="AT145" i="3"/>
  <c r="BA145" i="3"/>
  <c r="AJ153" i="3"/>
  <c r="AR153" i="3"/>
  <c r="AY153" i="3"/>
  <c r="AX155" i="3"/>
  <c r="AT158" i="3"/>
  <c r="AP160" i="3"/>
  <c r="AI169" i="3"/>
  <c r="AP169" i="3"/>
  <c r="BC178" i="3"/>
  <c r="AN178" i="3"/>
  <c r="AV185" i="3"/>
  <c r="AQ185" i="3"/>
  <c r="BD193" i="3"/>
  <c r="AZ193" i="3"/>
  <c r="AS193" i="3"/>
  <c r="AI193" i="3"/>
  <c r="AY193" i="3"/>
  <c r="AO193" i="3"/>
  <c r="AH193" i="3"/>
  <c r="AT193" i="3"/>
  <c r="AN205" i="3"/>
  <c r="AM205" i="3"/>
  <c r="AJ210" i="3"/>
  <c r="AU211" i="3"/>
  <c r="AI211" i="3"/>
  <c r="BA211" i="3"/>
  <c r="BC219" i="3"/>
  <c r="AS219" i="3"/>
  <c r="AR219" i="3"/>
  <c r="BC226" i="3"/>
  <c r="AX226" i="3"/>
  <c r="AL226" i="3"/>
  <c r="AS226" i="3"/>
  <c r="AG226" i="3"/>
  <c r="AM226" i="3"/>
  <c r="BD226" i="3"/>
  <c r="BC254" i="3"/>
  <c r="BD254" i="3"/>
  <c r="AO254" i="3"/>
  <c r="BA254" i="3"/>
  <c r="AM254" i="3"/>
  <c r="AW254" i="3"/>
  <c r="AH254" i="3"/>
  <c r="BD97" i="3"/>
  <c r="AR97" i="3"/>
  <c r="AJ101" i="3"/>
  <c r="AP101" i="3"/>
  <c r="AV101" i="3"/>
  <c r="BB101" i="3"/>
  <c r="AJ104" i="3"/>
  <c r="AP104" i="3"/>
  <c r="AV104" i="3"/>
  <c r="BB104" i="3"/>
  <c r="AJ106" i="3"/>
  <c r="AP106" i="3"/>
  <c r="AV106" i="3"/>
  <c r="BB106" i="3"/>
  <c r="AJ109" i="3"/>
  <c r="AP109" i="3"/>
  <c r="AV109" i="3"/>
  <c r="BB109" i="3"/>
  <c r="BD112" i="3"/>
  <c r="AI112" i="3"/>
  <c r="AO112" i="3"/>
  <c r="AU112" i="3"/>
  <c r="BA112" i="3"/>
  <c r="AJ115" i="3"/>
  <c r="AP115" i="3"/>
  <c r="AV115" i="3"/>
  <c r="BB115" i="3"/>
  <c r="BA124" i="3"/>
  <c r="AV124" i="3"/>
  <c r="BA127" i="3"/>
  <c r="AV127" i="3"/>
  <c r="AL128" i="3"/>
  <c r="AR128" i="3"/>
  <c r="AX128" i="3"/>
  <c r="BD128" i="3"/>
  <c r="AN130" i="3"/>
  <c r="AU130" i="3"/>
  <c r="BB130" i="3"/>
  <c r="BB135" i="3"/>
  <c r="AN142" i="3"/>
  <c r="AU142" i="3"/>
  <c r="BB142" i="3"/>
  <c r="AN145" i="3"/>
  <c r="AU145" i="3"/>
  <c r="BB145" i="3"/>
  <c r="AL153" i="3"/>
  <c r="AS153" i="3"/>
  <c r="AZ155" i="3"/>
  <c r="AI158" i="3"/>
  <c r="AM165" i="3"/>
  <c r="AZ169" i="3"/>
  <c r="AJ169" i="3"/>
  <c r="AS169" i="3"/>
  <c r="BB169" i="3"/>
  <c r="BC184" i="3"/>
  <c r="AX184" i="3"/>
  <c r="AL184" i="3"/>
  <c r="AS184" i="3"/>
  <c r="AG184" i="3"/>
  <c r="AY184" i="3"/>
  <c r="AZ190" i="3"/>
  <c r="BA190" i="3"/>
  <c r="AO190" i="3"/>
  <c r="AV190" i="3"/>
  <c r="AJ190" i="3"/>
  <c r="BB190" i="3"/>
  <c r="AG193" i="3"/>
  <c r="AU193" i="3"/>
  <c r="AG205" i="3"/>
  <c r="AZ208" i="3"/>
  <c r="AV208" i="3"/>
  <c r="AJ208" i="3"/>
  <c r="AU208" i="3"/>
  <c r="AI208" i="3"/>
  <c r="BA208" i="3"/>
  <c r="AW210" i="3"/>
  <c r="AH211" i="3"/>
  <c r="BC212" i="3"/>
  <c r="AR212" i="3"/>
  <c r="AQ222" i="3"/>
  <c r="AR223" i="3"/>
  <c r="AU223" i="3"/>
  <c r="AI223" i="3"/>
  <c r="BA223" i="3"/>
  <c r="AY241" i="3"/>
  <c r="AG241" i="3"/>
  <c r="AR241" i="3"/>
  <c r="AL241" i="3"/>
  <c r="BD241" i="3"/>
  <c r="BA246" i="3"/>
  <c r="AT254" i="3"/>
  <c r="AY244" i="3"/>
  <c r="BA244" i="3"/>
  <c r="AT244" i="3"/>
  <c r="AN244" i="3"/>
  <c r="AH244" i="3"/>
  <c r="AZ244" i="3"/>
  <c r="AS244" i="3"/>
  <c r="AM244" i="3"/>
  <c r="AG244" i="3"/>
  <c r="AO244" i="3"/>
  <c r="BB244" i="3"/>
  <c r="AN249" i="3"/>
  <c r="BB249" i="3"/>
  <c r="AP256" i="3"/>
  <c r="AU259" i="3"/>
  <c r="AI261" i="3"/>
  <c r="BD263" i="3"/>
  <c r="AY263" i="3"/>
  <c r="AO263" i="3"/>
  <c r="AH263" i="3"/>
  <c r="AU263" i="3"/>
  <c r="AN263" i="3"/>
  <c r="AG263" i="3"/>
  <c r="AS263" i="3"/>
  <c r="AI266" i="3"/>
  <c r="AR267" i="3"/>
  <c r="BD269" i="3"/>
  <c r="AZ269" i="3"/>
  <c r="AT269" i="3"/>
  <c r="AN269" i="3"/>
  <c r="AH269" i="3"/>
  <c r="AY269" i="3"/>
  <c r="AS269" i="3"/>
  <c r="AM269" i="3"/>
  <c r="AG269" i="3"/>
  <c r="AO269" i="3"/>
  <c r="BA269" i="3"/>
  <c r="AQ271" i="3"/>
  <c r="AK271" i="3"/>
  <c r="AJ271" i="3"/>
  <c r="BD272" i="3"/>
  <c r="BB272" i="3"/>
  <c r="AV272" i="3"/>
  <c r="AP272" i="3"/>
  <c r="AJ272" i="3"/>
  <c r="BA272" i="3"/>
  <c r="AU272" i="3"/>
  <c r="AO272" i="3"/>
  <c r="AI272" i="3"/>
  <c r="AN272" i="3"/>
  <c r="AZ272" i="3"/>
  <c r="AM181" i="3"/>
  <c r="AX181" i="3"/>
  <c r="AI183" i="3"/>
  <c r="AO183" i="3"/>
  <c r="AU183" i="3"/>
  <c r="BA183" i="3"/>
  <c r="AY185" i="3"/>
  <c r="AJ185" i="3"/>
  <c r="AU185" i="3"/>
  <c r="BC185" i="3"/>
  <c r="AO188" i="3"/>
  <c r="BA188" i="3"/>
  <c r="BD191" i="3"/>
  <c r="AX192" i="3"/>
  <c r="AN199" i="3"/>
  <c r="AO201" i="3"/>
  <c r="BA201" i="3"/>
  <c r="AO204" i="3"/>
  <c r="BA204" i="3"/>
  <c r="AM212" i="3"/>
  <c r="AN213" i="3"/>
  <c r="AZ213" i="3"/>
  <c r="AP217" i="3"/>
  <c r="AN218" i="3"/>
  <c r="AZ218" i="3"/>
  <c r="AS224" i="3"/>
  <c r="AP244" i="3"/>
  <c r="AH245" i="3"/>
  <c r="AX245" i="3"/>
  <c r="BC250" i="3"/>
  <c r="AY250" i="3"/>
  <c r="AG250" i="3"/>
  <c r="AS250" i="3"/>
  <c r="AY257" i="3"/>
  <c r="AQ257" i="3"/>
  <c r="AH257" i="3"/>
  <c r="AX257" i="3"/>
  <c r="AO257" i="3"/>
  <c r="AR257" i="3"/>
  <c r="BD261" i="3"/>
  <c r="AU261" i="3"/>
  <c r="AN261" i="3"/>
  <c r="AG261" i="3"/>
  <c r="BA261" i="3"/>
  <c r="AT261" i="3"/>
  <c r="AM261" i="3"/>
  <c r="AO261" i="3"/>
  <c r="AT263" i="3"/>
  <c r="BD266" i="3"/>
  <c r="AU266" i="3"/>
  <c r="AN266" i="3"/>
  <c r="AG266" i="3"/>
  <c r="BA266" i="3"/>
  <c r="AT266" i="3"/>
  <c r="AM266" i="3"/>
  <c r="AO266" i="3"/>
  <c r="AP269" i="3"/>
  <c r="BB269" i="3"/>
  <c r="BC273" i="3"/>
  <c r="AM273" i="3"/>
  <c r="AY273" i="3"/>
  <c r="AG273" i="3"/>
  <c r="BD275" i="3"/>
  <c r="AT275" i="3"/>
  <c r="AH275" i="3"/>
  <c r="AS275" i="3"/>
  <c r="AG275" i="3"/>
  <c r="AY275" i="3"/>
  <c r="AG181" i="3"/>
  <c r="AN181" i="3"/>
  <c r="AJ183" i="3"/>
  <c r="AP183" i="3"/>
  <c r="AV183" i="3"/>
  <c r="BB183" i="3"/>
  <c r="AK185" i="3"/>
  <c r="AP188" i="3"/>
  <c r="BB188" i="3"/>
  <c r="AG199" i="3"/>
  <c r="AP201" i="3"/>
  <c r="BB201" i="3"/>
  <c r="AP204" i="3"/>
  <c r="BB204" i="3"/>
  <c r="BC209" i="3"/>
  <c r="AY211" i="3"/>
  <c r="AN211" i="3"/>
  <c r="AZ211" i="3"/>
  <c r="AO213" i="3"/>
  <c r="BA213" i="3"/>
  <c r="AI216" i="3"/>
  <c r="AW217" i="3"/>
  <c r="AO218" i="3"/>
  <c r="BA218" i="3"/>
  <c r="AY223" i="3"/>
  <c r="AN223" i="3"/>
  <c r="AZ223" i="3"/>
  <c r="AQ225" i="3"/>
  <c r="AP225" i="3"/>
  <c r="AY229" i="3"/>
  <c r="AX229" i="3"/>
  <c r="AT234" i="3"/>
  <c r="AN234" i="3"/>
  <c r="BA234" i="3"/>
  <c r="AI234" i="3"/>
  <c r="AI244" i="3"/>
  <c r="AY246" i="3"/>
  <c r="AU246" i="3"/>
  <c r="AI246" i="3"/>
  <c r="AT246" i="3"/>
  <c r="AH246" i="3"/>
  <c r="AZ246" i="3"/>
  <c r="AQ248" i="3"/>
  <c r="AU249" i="3"/>
  <c r="AX254" i="3"/>
  <c r="AW257" i="3"/>
  <c r="AS261" i="3"/>
  <c r="AW262" i="3"/>
  <c r="AV262" i="3"/>
  <c r="AI263" i="3"/>
  <c r="AS266" i="3"/>
  <c r="AQ268" i="3"/>
  <c r="AP268" i="3"/>
  <c r="AI269" i="3"/>
  <c r="AZ275" i="3"/>
  <c r="I232" i="7"/>
  <c r="I238" i="7"/>
  <c r="J48" i="9"/>
  <c r="AP227" i="3"/>
  <c r="AR232" i="3"/>
  <c r="AP236" i="3"/>
  <c r="BC239" i="3"/>
  <c r="AS241" i="3"/>
  <c r="AS242" i="3"/>
  <c r="AX243" i="3"/>
  <c r="AS245" i="3"/>
  <c r="BC247" i="3"/>
  <c r="AM247" i="3"/>
  <c r="BD247" i="3"/>
  <c r="AI249" i="3"/>
  <c r="AP249" i="3"/>
  <c r="AJ252" i="3"/>
  <c r="AT252" i="3"/>
  <c r="BA252" i="3"/>
  <c r="AI254" i="3"/>
  <c r="AQ254" i="3"/>
  <c r="AH256" i="3"/>
  <c r="AN256" i="3"/>
  <c r="AT256" i="3"/>
  <c r="BA257" i="3"/>
  <c r="AK258" i="3"/>
  <c r="AT258" i="3"/>
  <c r="BC258" i="3"/>
  <c r="AP265" i="3"/>
  <c r="AL267" i="3"/>
  <c r="I199" i="7"/>
  <c r="J74" i="8"/>
  <c r="J73" i="10"/>
  <c r="AW227" i="3"/>
  <c r="AN228" i="3"/>
  <c r="AG232" i="3"/>
  <c r="AW236" i="3"/>
  <c r="AN237" i="3"/>
  <c r="AY249" i="3"/>
  <c r="AJ249" i="3"/>
  <c r="AT249" i="3"/>
  <c r="BA249" i="3"/>
  <c r="BD252" i="3"/>
  <c r="AN252" i="3"/>
  <c r="AU252" i="3"/>
  <c r="BB252" i="3"/>
  <c r="BB254" i="3"/>
  <c r="AK254" i="3"/>
  <c r="AR254" i="3"/>
  <c r="AY254" i="3"/>
  <c r="AW256" i="3"/>
  <c r="AI256" i="3"/>
  <c r="AO256" i="3"/>
  <c r="AU256" i="3"/>
  <c r="BB256" i="3"/>
  <c r="AZ258" i="3"/>
  <c r="AM258" i="3"/>
  <c r="AU258" i="3"/>
  <c r="BB265" i="3"/>
  <c r="BC267" i="3"/>
  <c r="AM267" i="3"/>
  <c r="BD267" i="3"/>
  <c r="J46" i="8"/>
  <c r="J48" i="8" s="1"/>
  <c r="J79" i="8"/>
  <c r="J81" i="9"/>
  <c r="I78" i="7"/>
  <c r="I166" i="7"/>
  <c r="I80" i="7"/>
  <c r="I67" i="9"/>
  <c r="I83" i="7"/>
  <c r="I223" i="7"/>
  <c r="G38" i="2"/>
  <c r="AY46" i="3"/>
  <c r="AS46" i="3"/>
  <c r="AM46" i="3"/>
  <c r="AG46" i="3"/>
  <c r="BA46" i="3"/>
  <c r="AI46" i="3"/>
  <c r="AZ46" i="3"/>
  <c r="AH46" i="3"/>
  <c r="BD46" i="3"/>
  <c r="AX46" i="3"/>
  <c r="AR46" i="3"/>
  <c r="AL46" i="3"/>
  <c r="AO46" i="3"/>
  <c r="BC46" i="3"/>
  <c r="AW46" i="3"/>
  <c r="AQ46" i="3"/>
  <c r="AK46" i="3"/>
  <c r="AN46" i="3"/>
  <c r="BB46" i="3"/>
  <c r="AV46" i="3"/>
  <c r="AP46" i="3"/>
  <c r="AJ46" i="3"/>
  <c r="AU46" i="3"/>
  <c r="AT46" i="3"/>
  <c r="H66" i="2"/>
  <c r="BC44" i="3"/>
  <c r="AW44" i="3"/>
  <c r="AQ44" i="3"/>
  <c r="AK44" i="3"/>
  <c r="AM44" i="3"/>
  <c r="BB44" i="3"/>
  <c r="AV44" i="3"/>
  <c r="AP44" i="3"/>
  <c r="AJ44" i="3"/>
  <c r="AY44" i="3"/>
  <c r="AG44" i="3"/>
  <c r="BD44" i="3"/>
  <c r="AR44" i="3"/>
  <c r="BA44" i="3"/>
  <c r="AU44" i="3"/>
  <c r="AO44" i="3"/>
  <c r="AI44" i="3"/>
  <c r="AZ44" i="3"/>
  <c r="AT44" i="3"/>
  <c r="AN44" i="3"/>
  <c r="AH44" i="3"/>
  <c r="AS44" i="3"/>
  <c r="AX44" i="3"/>
  <c r="AL44" i="3"/>
  <c r="F92" i="2"/>
  <c r="BD22" i="3"/>
  <c r="AX22" i="3"/>
  <c r="AR22" i="3"/>
  <c r="AL22" i="3"/>
  <c r="AH22" i="3"/>
  <c r="AS22" i="3"/>
  <c r="BC22" i="3"/>
  <c r="AW22" i="3"/>
  <c r="AQ22" i="3"/>
  <c r="AK22" i="3"/>
  <c r="AZ22" i="3"/>
  <c r="AY22" i="3"/>
  <c r="AG22" i="3"/>
  <c r="BB22" i="3"/>
  <c r="AV22" i="3"/>
  <c r="AP22" i="3"/>
  <c r="AJ22" i="3"/>
  <c r="AT22" i="3"/>
  <c r="AM22" i="3"/>
  <c r="BA22" i="3"/>
  <c r="AU22" i="3"/>
  <c r="AO22" i="3"/>
  <c r="AI22" i="3"/>
  <c r="AN22" i="3"/>
  <c r="BC47" i="3"/>
  <c r="AW47" i="3"/>
  <c r="AQ47" i="3"/>
  <c r="AK47" i="3"/>
  <c r="AY47" i="3"/>
  <c r="AM47" i="3"/>
  <c r="AR47" i="3"/>
  <c r="BB47" i="3"/>
  <c r="AV47" i="3"/>
  <c r="AP47" i="3"/>
  <c r="AJ47" i="3"/>
  <c r="AS47" i="3"/>
  <c r="AG47" i="3"/>
  <c r="AX47" i="3"/>
  <c r="BA47" i="3"/>
  <c r="AU47" i="3"/>
  <c r="AO47" i="3"/>
  <c r="AI47" i="3"/>
  <c r="BD47" i="3"/>
  <c r="AL47" i="3"/>
  <c r="AZ47" i="3"/>
  <c r="AT47" i="3"/>
  <c r="AN47" i="3"/>
  <c r="AH47" i="3"/>
  <c r="AY60" i="3"/>
  <c r="AS60" i="3"/>
  <c r="AM60" i="3"/>
  <c r="AG60" i="3"/>
  <c r="BC60" i="3"/>
  <c r="AV60" i="3"/>
  <c r="AO60" i="3"/>
  <c r="AH60" i="3"/>
  <c r="BD60" i="3"/>
  <c r="BB60" i="3"/>
  <c r="AU60" i="3"/>
  <c r="AN60" i="3"/>
  <c r="AX60" i="3"/>
  <c r="AP60" i="3"/>
  <c r="BA60" i="3"/>
  <c r="AT60" i="3"/>
  <c r="AL60" i="3"/>
  <c r="AQ60" i="3"/>
  <c r="AW60" i="3"/>
  <c r="AZ60" i="3"/>
  <c r="AR60" i="3"/>
  <c r="AK60" i="3"/>
  <c r="AJ60" i="3"/>
  <c r="AI60" i="3"/>
  <c r="AY43" i="3"/>
  <c r="AS43" i="3"/>
  <c r="AM43" i="3"/>
  <c r="AG43" i="3"/>
  <c r="AU43" i="3"/>
  <c r="AT43" i="3"/>
  <c r="BD43" i="3"/>
  <c r="AX43" i="3"/>
  <c r="AR43" i="3"/>
  <c r="AL43" i="3"/>
  <c r="AO43" i="3"/>
  <c r="AZ43" i="3"/>
  <c r="AH43" i="3"/>
  <c r="BC43" i="3"/>
  <c r="AW43" i="3"/>
  <c r="AQ43" i="3"/>
  <c r="AK43" i="3"/>
  <c r="BB43" i="3"/>
  <c r="AV43" i="3"/>
  <c r="AP43" i="3"/>
  <c r="AJ43" i="3"/>
  <c r="BA43" i="3"/>
  <c r="AI43" i="3"/>
  <c r="AN43" i="3"/>
  <c r="C101" i="2"/>
  <c r="E101" i="2" s="1"/>
  <c r="H74" i="2"/>
  <c r="BB25" i="3"/>
  <c r="AV25" i="3"/>
  <c r="AP25" i="3"/>
  <c r="AJ25" i="3"/>
  <c r="BD25" i="3"/>
  <c r="BA25" i="3"/>
  <c r="AU25" i="3"/>
  <c r="AO25" i="3"/>
  <c r="AI25" i="3"/>
  <c r="AL25" i="3"/>
  <c r="AQ25" i="3"/>
  <c r="AZ25" i="3"/>
  <c r="AT25" i="3"/>
  <c r="AN25" i="3"/>
  <c r="AH25" i="3"/>
  <c r="AX25" i="3"/>
  <c r="BC25" i="3"/>
  <c r="AK25" i="3"/>
  <c r="AY25" i="3"/>
  <c r="AS25" i="3"/>
  <c r="AM25" i="3"/>
  <c r="AG25" i="3"/>
  <c r="AR25" i="3"/>
  <c r="AW25" i="3"/>
  <c r="AY49" i="3"/>
  <c r="AS49" i="3"/>
  <c r="AM49" i="3"/>
  <c r="AG49" i="3"/>
  <c r="AO49" i="3"/>
  <c r="AN49" i="3"/>
  <c r="BD49" i="3"/>
  <c r="AX49" i="3"/>
  <c r="AR49" i="3"/>
  <c r="AL49" i="3"/>
  <c r="AU49" i="3"/>
  <c r="AT49" i="3"/>
  <c r="BC49" i="3"/>
  <c r="AW49" i="3"/>
  <c r="AQ49" i="3"/>
  <c r="AK49" i="3"/>
  <c r="BB49" i="3"/>
  <c r="AV49" i="3"/>
  <c r="AP49" i="3"/>
  <c r="AJ49" i="3"/>
  <c r="BA49" i="3"/>
  <c r="AI49" i="3"/>
  <c r="AZ49" i="3"/>
  <c r="AH49" i="3"/>
  <c r="C96" i="2"/>
  <c r="G28" i="2"/>
  <c r="AY9" i="3"/>
  <c r="AS9" i="3"/>
  <c r="AM9" i="3"/>
  <c r="AG9" i="3"/>
  <c r="AT9" i="3"/>
  <c r="BD9" i="3"/>
  <c r="AX9" i="3"/>
  <c r="AR9" i="3"/>
  <c r="AL9" i="3"/>
  <c r="AI9" i="3"/>
  <c r="AZ9" i="3"/>
  <c r="BC9" i="3"/>
  <c r="AW9" i="3"/>
  <c r="AQ9" i="3"/>
  <c r="AK9" i="3"/>
  <c r="AV9" i="3"/>
  <c r="BA9" i="3"/>
  <c r="AO9" i="3"/>
  <c r="AH9" i="3"/>
  <c r="BB9" i="3"/>
  <c r="AP9" i="3"/>
  <c r="AJ9" i="3"/>
  <c r="AU9" i="3"/>
  <c r="AN9" i="3"/>
  <c r="BC50" i="3"/>
  <c r="AW50" i="3"/>
  <c r="AQ50" i="3"/>
  <c r="AK50" i="3"/>
  <c r="AS50" i="3"/>
  <c r="AL50" i="3"/>
  <c r="BB50" i="3"/>
  <c r="AV50" i="3"/>
  <c r="AP50" i="3"/>
  <c r="AJ50" i="3"/>
  <c r="AM50" i="3"/>
  <c r="AX50" i="3"/>
  <c r="BA50" i="3"/>
  <c r="AU50" i="3"/>
  <c r="AO50" i="3"/>
  <c r="AI50" i="3"/>
  <c r="AR50" i="3"/>
  <c r="AZ50" i="3"/>
  <c r="AT50" i="3"/>
  <c r="AN50" i="3"/>
  <c r="AH50" i="3"/>
  <c r="AY50" i="3"/>
  <c r="AG50" i="3"/>
  <c r="BD50" i="3"/>
  <c r="H18" i="9"/>
  <c r="H18" i="10"/>
  <c r="H18" i="8"/>
  <c r="H18" i="7"/>
  <c r="AD276" i="3"/>
  <c r="BB8" i="3"/>
  <c r="AL10" i="3"/>
  <c r="BD10" i="3"/>
  <c r="AK28" i="3"/>
  <c r="AQ31" i="3"/>
  <c r="AK34" i="3"/>
  <c r="AX39" i="3"/>
  <c r="AW53" i="3"/>
  <c r="AR55" i="3"/>
  <c r="BA58" i="3"/>
  <c r="AY66" i="3"/>
  <c r="AS66" i="3"/>
  <c r="AI66" i="3"/>
  <c r="BD66" i="3"/>
  <c r="AX66" i="3"/>
  <c r="AR66" i="3"/>
  <c r="AH66" i="3"/>
  <c r="BC66" i="3"/>
  <c r="AW66" i="3"/>
  <c r="AO66" i="3"/>
  <c r="AG66" i="3"/>
  <c r="BB66" i="3"/>
  <c r="AV66" i="3"/>
  <c r="AN66" i="3"/>
  <c r="BB72" i="3"/>
  <c r="AV72" i="3"/>
  <c r="AP72" i="3"/>
  <c r="AJ72" i="3"/>
  <c r="BA72" i="3"/>
  <c r="AU72" i="3"/>
  <c r="AO72" i="3"/>
  <c r="AI72" i="3"/>
  <c r="AZ72" i="3"/>
  <c r="AT72" i="3"/>
  <c r="AN72" i="3"/>
  <c r="AH72" i="3"/>
  <c r="AY72" i="3"/>
  <c r="AS72" i="3"/>
  <c r="AM72" i="3"/>
  <c r="AG72" i="3"/>
  <c r="AK8" i="3"/>
  <c r="BC8" i="3"/>
  <c r="AM10" i="3"/>
  <c r="AK11" i="3"/>
  <c r="AL13" i="3"/>
  <c r="BD13" i="3"/>
  <c r="AJ16" i="3"/>
  <c r="AX21" i="3"/>
  <c r="AX23" i="3"/>
  <c r="AX31" i="3"/>
  <c r="AL34" i="3"/>
  <c r="AQ37" i="3"/>
  <c r="AW40" i="3"/>
  <c r="BC40" i="3"/>
  <c r="AK42" i="3"/>
  <c r="AQ42" i="3"/>
  <c r="AQ45" i="3"/>
  <c r="BC45" i="3"/>
  <c r="AQ48" i="3"/>
  <c r="AL53" i="3"/>
  <c r="AX53" i="3"/>
  <c r="AG55" i="3"/>
  <c r="AT55" i="3"/>
  <c r="AN58" i="3"/>
  <c r="AU58" i="3"/>
  <c r="BA64" i="3"/>
  <c r="AU64" i="3"/>
  <c r="AK64" i="3"/>
  <c r="AZ64" i="3"/>
  <c r="AT64" i="3"/>
  <c r="AJ64" i="3"/>
  <c r="AY64" i="3"/>
  <c r="AS64" i="3"/>
  <c r="AI64" i="3"/>
  <c r="BD64" i="3"/>
  <c r="AX64" i="3"/>
  <c r="AR64" i="3"/>
  <c r="BB74" i="3"/>
  <c r="AV74" i="3"/>
  <c r="AP74" i="3"/>
  <c r="AJ74" i="3"/>
  <c r="BA74" i="3"/>
  <c r="AU74" i="3"/>
  <c r="AO74" i="3"/>
  <c r="AI74" i="3"/>
  <c r="AZ74" i="3"/>
  <c r="AT74" i="3"/>
  <c r="AN74" i="3"/>
  <c r="AH74" i="3"/>
  <c r="AY74" i="3"/>
  <c r="AS74" i="3"/>
  <c r="AM74" i="3"/>
  <c r="AG74" i="3"/>
  <c r="AV77" i="3"/>
  <c r="BC131" i="3"/>
  <c r="AW131" i="3"/>
  <c r="AQ131" i="3"/>
  <c r="AK131" i="3"/>
  <c r="BB131" i="3"/>
  <c r="AV131" i="3"/>
  <c r="AP131" i="3"/>
  <c r="AJ131" i="3"/>
  <c r="BA131" i="3"/>
  <c r="AU131" i="3"/>
  <c r="AO131" i="3"/>
  <c r="AI131" i="3"/>
  <c r="AZ131" i="3"/>
  <c r="AT131" i="3"/>
  <c r="AN131" i="3"/>
  <c r="AH131" i="3"/>
  <c r="AY131" i="3"/>
  <c r="AS131" i="3"/>
  <c r="AM131" i="3"/>
  <c r="AG131" i="3"/>
  <c r="BD131" i="3"/>
  <c r="AX131" i="3"/>
  <c r="AR131" i="3"/>
  <c r="AL131" i="3"/>
  <c r="AL8" i="3"/>
  <c r="AR8" i="3"/>
  <c r="AX8" i="3"/>
  <c r="BD8" i="3"/>
  <c r="AH10" i="3"/>
  <c r="AN10" i="3"/>
  <c r="AT10" i="3"/>
  <c r="AZ10" i="3"/>
  <c r="AL11" i="3"/>
  <c r="AR11" i="3"/>
  <c r="AX11" i="3"/>
  <c r="BD11" i="3"/>
  <c r="AG13" i="3"/>
  <c r="AM13" i="3"/>
  <c r="AS13" i="3"/>
  <c r="AY13" i="3"/>
  <c r="AK14" i="3"/>
  <c r="AQ14" i="3"/>
  <c r="AW14" i="3"/>
  <c r="BC14" i="3"/>
  <c r="AK16" i="3"/>
  <c r="AQ16" i="3"/>
  <c r="AW16" i="3"/>
  <c r="BC16" i="3"/>
  <c r="AG18" i="3"/>
  <c r="AM18" i="3"/>
  <c r="AS18" i="3"/>
  <c r="AY18" i="3"/>
  <c r="AK19" i="3"/>
  <c r="AQ19" i="3"/>
  <c r="AW19" i="3"/>
  <c r="BC19" i="3"/>
  <c r="AG21" i="3"/>
  <c r="AM21" i="3"/>
  <c r="AS21" i="3"/>
  <c r="AY21" i="3"/>
  <c r="AG23" i="3"/>
  <c r="AM23" i="3"/>
  <c r="AS23" i="3"/>
  <c r="AY23" i="3"/>
  <c r="AK24" i="3"/>
  <c r="AQ24" i="3"/>
  <c r="AW24" i="3"/>
  <c r="BC24" i="3"/>
  <c r="AK26" i="3"/>
  <c r="AQ26" i="3"/>
  <c r="AW26" i="3"/>
  <c r="BC26" i="3"/>
  <c r="AG28" i="3"/>
  <c r="AM28" i="3"/>
  <c r="AS28" i="3"/>
  <c r="AY28" i="3"/>
  <c r="AK29" i="3"/>
  <c r="AQ29" i="3"/>
  <c r="AW29" i="3"/>
  <c r="BC29" i="3"/>
  <c r="AG31" i="3"/>
  <c r="AM31" i="3"/>
  <c r="AS31" i="3"/>
  <c r="AY31" i="3"/>
  <c r="AK32" i="3"/>
  <c r="AQ32" i="3"/>
  <c r="AW32" i="3"/>
  <c r="BC32" i="3"/>
  <c r="AG34" i="3"/>
  <c r="AM34" i="3"/>
  <c r="AS34" i="3"/>
  <c r="AY34" i="3"/>
  <c r="AK35" i="3"/>
  <c r="AQ35" i="3"/>
  <c r="AW35" i="3"/>
  <c r="BC35" i="3"/>
  <c r="AL37" i="3"/>
  <c r="AR37" i="3"/>
  <c r="AX37" i="3"/>
  <c r="BD37" i="3"/>
  <c r="AH39" i="3"/>
  <c r="AN39" i="3"/>
  <c r="AT39" i="3"/>
  <c r="AZ39" i="3"/>
  <c r="AL40" i="3"/>
  <c r="AR40" i="3"/>
  <c r="AX40" i="3"/>
  <c r="BD40" i="3"/>
  <c r="AL42" i="3"/>
  <c r="AR42" i="3"/>
  <c r="AX42" i="3"/>
  <c r="BD42" i="3"/>
  <c r="AL45" i="3"/>
  <c r="AR45" i="3"/>
  <c r="AX45" i="3"/>
  <c r="BD45" i="3"/>
  <c r="AL48" i="3"/>
  <c r="AR48" i="3"/>
  <c r="AX48" i="3"/>
  <c r="BD48" i="3"/>
  <c r="AK51" i="3"/>
  <c r="AQ51" i="3"/>
  <c r="AW51" i="3"/>
  <c r="BC51" i="3"/>
  <c r="AG53" i="3"/>
  <c r="AM53" i="3"/>
  <c r="AS53" i="3"/>
  <c r="AY53" i="3"/>
  <c r="AK54" i="3"/>
  <c r="AQ54" i="3"/>
  <c r="AW54" i="3"/>
  <c r="BC54" i="3"/>
  <c r="AH55" i="3"/>
  <c r="AN55" i="3"/>
  <c r="AU55" i="3"/>
  <c r="BB55" i="3"/>
  <c r="BA57" i="3"/>
  <c r="AU57" i="3"/>
  <c r="AO57" i="3"/>
  <c r="AI57" i="3"/>
  <c r="AL57" i="3"/>
  <c r="AS57" i="3"/>
  <c r="AZ57" i="3"/>
  <c r="AH58" i="3"/>
  <c r="AO58" i="3"/>
  <c r="AV58" i="3"/>
  <c r="BC58" i="3"/>
  <c r="BB61" i="3"/>
  <c r="AV61" i="3"/>
  <c r="AP61" i="3"/>
  <c r="AJ61" i="3"/>
  <c r="AZ61" i="3"/>
  <c r="AT61" i="3"/>
  <c r="AN61" i="3"/>
  <c r="AY61" i="3"/>
  <c r="AS61" i="3"/>
  <c r="AL61" i="3"/>
  <c r="AW61" i="3"/>
  <c r="AV63" i="3"/>
  <c r="AG64" i="3"/>
  <c r="BC64" i="3"/>
  <c r="AJ66" i="3"/>
  <c r="BA67" i="3"/>
  <c r="AU67" i="3"/>
  <c r="AK67" i="3"/>
  <c r="AZ67" i="3"/>
  <c r="AT67" i="3"/>
  <c r="AJ67" i="3"/>
  <c r="AY67" i="3"/>
  <c r="AS67" i="3"/>
  <c r="AI67" i="3"/>
  <c r="BD67" i="3"/>
  <c r="AX67" i="3"/>
  <c r="AR67" i="3"/>
  <c r="AH67" i="3"/>
  <c r="BB67" i="3"/>
  <c r="BD71" i="3"/>
  <c r="AK72" i="3"/>
  <c r="BC72" i="3"/>
  <c r="AX74" i="3"/>
  <c r="AW77" i="3"/>
  <c r="BB84" i="3"/>
  <c r="AV84" i="3"/>
  <c r="AP84" i="3"/>
  <c r="AJ84" i="3"/>
  <c r="BA84" i="3"/>
  <c r="AU84" i="3"/>
  <c r="AO84" i="3"/>
  <c r="AI84" i="3"/>
  <c r="AZ84" i="3"/>
  <c r="AT84" i="3"/>
  <c r="AN84" i="3"/>
  <c r="AH84" i="3"/>
  <c r="AY84" i="3"/>
  <c r="AS84" i="3"/>
  <c r="AM84" i="3"/>
  <c r="AG84" i="3"/>
  <c r="AR87" i="3"/>
  <c r="AJ8" i="3"/>
  <c r="AQ13" i="3"/>
  <c r="BC13" i="3"/>
  <c r="AQ18" i="3"/>
  <c r="AW18" i="3"/>
  <c r="AQ21" i="3"/>
  <c r="AK23" i="3"/>
  <c r="BC28" i="3"/>
  <c r="AK31" i="3"/>
  <c r="AW34" i="3"/>
  <c r="BC34" i="3"/>
  <c r="AL39" i="3"/>
  <c r="BD39" i="3"/>
  <c r="AQ53" i="3"/>
  <c r="BC53" i="3"/>
  <c r="AZ55" i="3"/>
  <c r="AW72" i="3"/>
  <c r="AE276" i="3"/>
  <c r="AW8" i="3"/>
  <c r="AS10" i="3"/>
  <c r="AQ11" i="3"/>
  <c r="AV16" i="3"/>
  <c r="AX18" i="3"/>
  <c r="AR21" i="3"/>
  <c r="AR23" i="3"/>
  <c r="AX28" i="3"/>
  <c r="AR31" i="3"/>
  <c r="AX34" i="3"/>
  <c r="AW37" i="3"/>
  <c r="AG39" i="3"/>
  <c r="AY39" i="3"/>
  <c r="BD53" i="3"/>
  <c r="AM55" i="3"/>
  <c r="BB58" i="3"/>
  <c r="AU63" i="3"/>
  <c r="BA66" i="3"/>
  <c r="AX72" i="3"/>
  <c r="AW74" i="3"/>
  <c r="AG8" i="3"/>
  <c r="AM8" i="3"/>
  <c r="AS8" i="3"/>
  <c r="AY8" i="3"/>
  <c r="AI10" i="3"/>
  <c r="AO10" i="3"/>
  <c r="AU10" i="3"/>
  <c r="BA10" i="3"/>
  <c r="AG11" i="3"/>
  <c r="AM11" i="3"/>
  <c r="AS11" i="3"/>
  <c r="AY11" i="3"/>
  <c r="W276" i="3"/>
  <c r="AJ12" i="3"/>
  <c r="AP12" i="3"/>
  <c r="AV12" i="3"/>
  <c r="BB12" i="3"/>
  <c r="AH13" i="3"/>
  <c r="AN13" i="3"/>
  <c r="AT13" i="3"/>
  <c r="AZ13" i="3"/>
  <c r="AL14" i="3"/>
  <c r="AR14" i="3"/>
  <c r="AX14" i="3"/>
  <c r="BD14" i="3"/>
  <c r="AJ15" i="3"/>
  <c r="AP15" i="3"/>
  <c r="AV15" i="3"/>
  <c r="BB15" i="3"/>
  <c r="AL16" i="3"/>
  <c r="AR16" i="3"/>
  <c r="AX16" i="3"/>
  <c r="BD16" i="3"/>
  <c r="AJ17" i="3"/>
  <c r="AP17" i="3"/>
  <c r="AV17" i="3"/>
  <c r="BB17" i="3"/>
  <c r="AH18" i="3"/>
  <c r="AN18" i="3"/>
  <c r="AT18" i="3"/>
  <c r="AZ18" i="3"/>
  <c r="AL19" i="3"/>
  <c r="AR19" i="3"/>
  <c r="AX19" i="3"/>
  <c r="BD19" i="3"/>
  <c r="AJ20" i="3"/>
  <c r="AP20" i="3"/>
  <c r="AV20" i="3"/>
  <c r="BB20" i="3"/>
  <c r="AH21" i="3"/>
  <c r="AN21" i="3"/>
  <c r="AT21" i="3"/>
  <c r="AZ21" i="3"/>
  <c r="AH23" i="3"/>
  <c r="AN23" i="3"/>
  <c r="AT23" i="3"/>
  <c r="AZ23" i="3"/>
  <c r="AL24" i="3"/>
  <c r="AR24" i="3"/>
  <c r="AX24" i="3"/>
  <c r="BD24" i="3"/>
  <c r="AL26" i="3"/>
  <c r="AR26" i="3"/>
  <c r="AX26" i="3"/>
  <c r="BD26" i="3"/>
  <c r="AJ27" i="3"/>
  <c r="AP27" i="3"/>
  <c r="AV27" i="3"/>
  <c r="BB27" i="3"/>
  <c r="AH28" i="3"/>
  <c r="AN28" i="3"/>
  <c r="AT28" i="3"/>
  <c r="AZ28" i="3"/>
  <c r="AL29" i="3"/>
  <c r="AR29" i="3"/>
  <c r="AX29" i="3"/>
  <c r="BD29" i="3"/>
  <c r="AJ30" i="3"/>
  <c r="AP30" i="3"/>
  <c r="AV30" i="3"/>
  <c r="BB30" i="3"/>
  <c r="AH31" i="3"/>
  <c r="AN31" i="3"/>
  <c r="AT31" i="3"/>
  <c r="AZ31" i="3"/>
  <c r="AL32" i="3"/>
  <c r="AR32" i="3"/>
  <c r="AX32" i="3"/>
  <c r="BD32" i="3"/>
  <c r="AJ33" i="3"/>
  <c r="AP33" i="3"/>
  <c r="AV33" i="3"/>
  <c r="BB33" i="3"/>
  <c r="AH34" i="3"/>
  <c r="AN34" i="3"/>
  <c r="AT34" i="3"/>
  <c r="AZ34" i="3"/>
  <c r="AL35" i="3"/>
  <c r="AR35" i="3"/>
  <c r="AX35" i="3"/>
  <c r="BD35" i="3"/>
  <c r="AJ36" i="3"/>
  <c r="AP36" i="3"/>
  <c r="AV36" i="3"/>
  <c r="BB36" i="3"/>
  <c r="AG37" i="3"/>
  <c r="AM37" i="3"/>
  <c r="AS37" i="3"/>
  <c r="AY37" i="3"/>
  <c r="AK38" i="3"/>
  <c r="AQ38" i="3"/>
  <c r="AW38" i="3"/>
  <c r="BC38" i="3"/>
  <c r="AI39" i="3"/>
  <c r="AO39" i="3"/>
  <c r="AU39" i="3"/>
  <c r="BA39" i="3"/>
  <c r="AG40" i="3"/>
  <c r="AM40" i="3"/>
  <c r="AS40" i="3"/>
  <c r="AY40" i="3"/>
  <c r="D41" i="3"/>
  <c r="AI41" i="3"/>
  <c r="AO41" i="3"/>
  <c r="AU41" i="3"/>
  <c r="BA41" i="3"/>
  <c r="AG42" i="3"/>
  <c r="AM42" i="3"/>
  <c r="AS42" i="3"/>
  <c r="AY42" i="3"/>
  <c r="AG45" i="3"/>
  <c r="AM45" i="3"/>
  <c r="AS45" i="3"/>
  <c r="AY45" i="3"/>
  <c r="AG48" i="3"/>
  <c r="AM48" i="3"/>
  <c r="AS48" i="3"/>
  <c r="AY48" i="3"/>
  <c r="AL51" i="3"/>
  <c r="AR51" i="3"/>
  <c r="AX51" i="3"/>
  <c r="BD51" i="3"/>
  <c r="AJ52" i="3"/>
  <c r="AP52" i="3"/>
  <c r="AV52" i="3"/>
  <c r="BB52" i="3"/>
  <c r="AH53" i="3"/>
  <c r="AN53" i="3"/>
  <c r="AT53" i="3"/>
  <c r="AZ53" i="3"/>
  <c r="AL54" i="3"/>
  <c r="AR54" i="3"/>
  <c r="AX54" i="3"/>
  <c r="BD54" i="3"/>
  <c r="AI55" i="3"/>
  <c r="AO55" i="3"/>
  <c r="AV55" i="3"/>
  <c r="BC55" i="3"/>
  <c r="AM57" i="3"/>
  <c r="AT57" i="3"/>
  <c r="BB57" i="3"/>
  <c r="AI58" i="3"/>
  <c r="AP58" i="3"/>
  <c r="AW58" i="3"/>
  <c r="AJ59" i="3"/>
  <c r="AQ59" i="3"/>
  <c r="AM61" i="3"/>
  <c r="AX61" i="3"/>
  <c r="AI63" i="3"/>
  <c r="AY63" i="3"/>
  <c r="AN64" i="3"/>
  <c r="AK66" i="3"/>
  <c r="AG67" i="3"/>
  <c r="BC67" i="3"/>
  <c r="BB69" i="3"/>
  <c r="AV69" i="3"/>
  <c r="AP69" i="3"/>
  <c r="AJ69" i="3"/>
  <c r="BA69" i="3"/>
  <c r="AU69" i="3"/>
  <c r="AO69" i="3"/>
  <c r="AI69" i="3"/>
  <c r="AZ69" i="3"/>
  <c r="AT69" i="3"/>
  <c r="AN69" i="3"/>
  <c r="AH69" i="3"/>
  <c r="AY69" i="3"/>
  <c r="AS69" i="3"/>
  <c r="AM69" i="3"/>
  <c r="AG69" i="3"/>
  <c r="AW69" i="3"/>
  <c r="AL72" i="3"/>
  <c r="BD72" i="3"/>
  <c r="AK74" i="3"/>
  <c r="BC74" i="3"/>
  <c r="AJ77" i="3"/>
  <c r="BC81" i="3"/>
  <c r="AL84" i="3"/>
  <c r="AZ95" i="3"/>
  <c r="AT95" i="3"/>
  <c r="AN95" i="3"/>
  <c r="AX95" i="3"/>
  <c r="AQ95" i="3"/>
  <c r="AJ95" i="3"/>
  <c r="BD95" i="3"/>
  <c r="AW95" i="3"/>
  <c r="AP95" i="3"/>
  <c r="AI95" i="3"/>
  <c r="BC95" i="3"/>
  <c r="AV95" i="3"/>
  <c r="AO95" i="3"/>
  <c r="AH95" i="3"/>
  <c r="BB95" i="3"/>
  <c r="AU95" i="3"/>
  <c r="AM95" i="3"/>
  <c r="AG95" i="3"/>
  <c r="BA95" i="3"/>
  <c r="AS95" i="3"/>
  <c r="AL95" i="3"/>
  <c r="AZ105" i="3"/>
  <c r="AT105" i="3"/>
  <c r="AN105" i="3"/>
  <c r="AH105" i="3"/>
  <c r="AY105" i="3"/>
  <c r="AS105" i="3"/>
  <c r="AM105" i="3"/>
  <c r="AG105" i="3"/>
  <c r="BD105" i="3"/>
  <c r="AX105" i="3"/>
  <c r="AR105" i="3"/>
  <c r="AL105" i="3"/>
  <c r="BB105" i="3"/>
  <c r="AP105" i="3"/>
  <c r="BA105" i="3"/>
  <c r="AO105" i="3"/>
  <c r="AW105" i="3"/>
  <c r="AK105" i="3"/>
  <c r="AV105" i="3"/>
  <c r="AJ105" i="3"/>
  <c r="AU105" i="3"/>
  <c r="AI105" i="3"/>
  <c r="AV8" i="3"/>
  <c r="AW13" i="3"/>
  <c r="AW21" i="3"/>
  <c r="AW23" i="3"/>
  <c r="AQ28" i="3"/>
  <c r="AW31" i="3"/>
  <c r="AQ34" i="3"/>
  <c r="AY58" i="3"/>
  <c r="AS58" i="3"/>
  <c r="AM58" i="3"/>
  <c r="AG58" i="3"/>
  <c r="AL58" i="3"/>
  <c r="AT58" i="3"/>
  <c r="BB87" i="3"/>
  <c r="AV87" i="3"/>
  <c r="AP87" i="3"/>
  <c r="AJ87" i="3"/>
  <c r="BA87" i="3"/>
  <c r="AU87" i="3"/>
  <c r="AO87" i="3"/>
  <c r="AI87" i="3"/>
  <c r="AZ87" i="3"/>
  <c r="AT87" i="3"/>
  <c r="AN87" i="3"/>
  <c r="AH87" i="3"/>
  <c r="AY87" i="3"/>
  <c r="AS87" i="3"/>
  <c r="AM87" i="3"/>
  <c r="AG87" i="3"/>
  <c r="I56" i="10"/>
  <c r="I62" i="8"/>
  <c r="I64" i="9"/>
  <c r="I79" i="7"/>
  <c r="AQ8" i="3"/>
  <c r="AG10" i="3"/>
  <c r="AY10" i="3"/>
  <c r="BC11" i="3"/>
  <c r="AX13" i="3"/>
  <c r="AP16" i="3"/>
  <c r="AR18" i="3"/>
  <c r="BD21" i="3"/>
  <c r="BD23" i="3"/>
  <c r="AL28" i="3"/>
  <c r="BD34" i="3"/>
  <c r="AK37" i="3"/>
  <c r="BC37" i="3"/>
  <c r="AS39" i="3"/>
  <c r="AQ40" i="3"/>
  <c r="AW42" i="3"/>
  <c r="AW45" i="3"/>
  <c r="AK48" i="3"/>
  <c r="BC48" i="3"/>
  <c r="AR53" i="3"/>
  <c r="BA55" i="3"/>
  <c r="BB64" i="3"/>
  <c r="BA77" i="3"/>
  <c r="AU77" i="3"/>
  <c r="AO77" i="3"/>
  <c r="AI77" i="3"/>
  <c r="AZ77" i="3"/>
  <c r="AT77" i="3"/>
  <c r="AN77" i="3"/>
  <c r="AH77" i="3"/>
  <c r="AS77" i="3"/>
  <c r="AM77" i="3"/>
  <c r="AG77" i="3"/>
  <c r="BD77" i="3"/>
  <c r="AX77" i="3"/>
  <c r="AR77" i="3"/>
  <c r="AL77" i="3"/>
  <c r="AH8" i="3"/>
  <c r="AN8" i="3"/>
  <c r="AT8" i="3"/>
  <c r="AZ8" i="3"/>
  <c r="AJ10" i="3"/>
  <c r="AP10" i="3"/>
  <c r="AV10" i="3"/>
  <c r="BB10" i="3"/>
  <c r="AH11" i="3"/>
  <c r="AN11" i="3"/>
  <c r="AT11" i="3"/>
  <c r="AZ11" i="3"/>
  <c r="AK12" i="3"/>
  <c r="AQ12" i="3"/>
  <c r="AW12" i="3"/>
  <c r="BC12" i="3"/>
  <c r="AI13" i="3"/>
  <c r="AO13" i="3"/>
  <c r="AU13" i="3"/>
  <c r="BA13" i="3"/>
  <c r="AG14" i="3"/>
  <c r="AM14" i="3"/>
  <c r="AS14" i="3"/>
  <c r="AY14" i="3"/>
  <c r="AK15" i="3"/>
  <c r="AQ15" i="3"/>
  <c r="AW15" i="3"/>
  <c r="BC15" i="3"/>
  <c r="AG16" i="3"/>
  <c r="AM16" i="3"/>
  <c r="AS16" i="3"/>
  <c r="AY16" i="3"/>
  <c r="AK17" i="3"/>
  <c r="AQ17" i="3"/>
  <c r="AW17" i="3"/>
  <c r="BC17" i="3"/>
  <c r="AI18" i="3"/>
  <c r="AO18" i="3"/>
  <c r="AU18" i="3"/>
  <c r="BA18" i="3"/>
  <c r="AG19" i="3"/>
  <c r="AM19" i="3"/>
  <c r="AS19" i="3"/>
  <c r="AY19" i="3"/>
  <c r="AK20" i="3"/>
  <c r="AQ20" i="3"/>
  <c r="AW20" i="3"/>
  <c r="BC20" i="3"/>
  <c r="AI21" i="3"/>
  <c r="AO21" i="3"/>
  <c r="AU21" i="3"/>
  <c r="BA21" i="3"/>
  <c r="AI23" i="3"/>
  <c r="AO23" i="3"/>
  <c r="AU23" i="3"/>
  <c r="BA23" i="3"/>
  <c r="AG24" i="3"/>
  <c r="AM24" i="3"/>
  <c r="AS24" i="3"/>
  <c r="AY24" i="3"/>
  <c r="AG26" i="3"/>
  <c r="AM26" i="3"/>
  <c r="AS26" i="3"/>
  <c r="AY26" i="3"/>
  <c r="AK27" i="3"/>
  <c r="AQ27" i="3"/>
  <c r="AW27" i="3"/>
  <c r="BC27" i="3"/>
  <c r="AI28" i="3"/>
  <c r="AO28" i="3"/>
  <c r="AU28" i="3"/>
  <c r="BA28" i="3"/>
  <c r="AG29" i="3"/>
  <c r="AM29" i="3"/>
  <c r="AS29" i="3"/>
  <c r="AY29" i="3"/>
  <c r="AK30" i="3"/>
  <c r="AQ30" i="3"/>
  <c r="AW30" i="3"/>
  <c r="BC30" i="3"/>
  <c r="AI31" i="3"/>
  <c r="AO31" i="3"/>
  <c r="AU31" i="3"/>
  <c r="BA31" i="3"/>
  <c r="AG32" i="3"/>
  <c r="AM32" i="3"/>
  <c r="AS32" i="3"/>
  <c r="AY32" i="3"/>
  <c r="AK33" i="3"/>
  <c r="AQ33" i="3"/>
  <c r="AW33" i="3"/>
  <c r="BC33" i="3"/>
  <c r="AI34" i="3"/>
  <c r="AO34" i="3"/>
  <c r="AU34" i="3"/>
  <c r="BA34" i="3"/>
  <c r="AG35" i="3"/>
  <c r="AM35" i="3"/>
  <c r="AS35" i="3"/>
  <c r="AY35" i="3"/>
  <c r="AK36" i="3"/>
  <c r="AQ36" i="3"/>
  <c r="AW36" i="3"/>
  <c r="BC36" i="3"/>
  <c r="AH37" i="3"/>
  <c r="AN37" i="3"/>
  <c r="AT37" i="3"/>
  <c r="AZ37" i="3"/>
  <c r="AL38" i="3"/>
  <c r="AR38" i="3"/>
  <c r="AX38" i="3"/>
  <c r="BD38" i="3"/>
  <c r="AJ39" i="3"/>
  <c r="AP39" i="3"/>
  <c r="AV39" i="3"/>
  <c r="BB39" i="3"/>
  <c r="AH40" i="3"/>
  <c r="AN40" i="3"/>
  <c r="AT40" i="3"/>
  <c r="AZ40" i="3"/>
  <c r="AJ41" i="3"/>
  <c r="AP41" i="3"/>
  <c r="AV41" i="3"/>
  <c r="BB41" i="3"/>
  <c r="AH42" i="3"/>
  <c r="AN42" i="3"/>
  <c r="AT42" i="3"/>
  <c r="AZ42" i="3"/>
  <c r="AH45" i="3"/>
  <c r="AN45" i="3"/>
  <c r="AT45" i="3"/>
  <c r="AZ45" i="3"/>
  <c r="AH48" i="3"/>
  <c r="AN48" i="3"/>
  <c r="AT48" i="3"/>
  <c r="AZ48" i="3"/>
  <c r="AG51" i="3"/>
  <c r="AM51" i="3"/>
  <c r="AS51" i="3"/>
  <c r="AY51" i="3"/>
  <c r="AK52" i="3"/>
  <c r="AQ52" i="3"/>
  <c r="AW52" i="3"/>
  <c r="BC52" i="3"/>
  <c r="AI53" i="3"/>
  <c r="AO53" i="3"/>
  <c r="AU53" i="3"/>
  <c r="BA53" i="3"/>
  <c r="AG54" i="3"/>
  <c r="AM54" i="3"/>
  <c r="AS54" i="3"/>
  <c r="AY54" i="3"/>
  <c r="AY55" i="3"/>
  <c r="AJ55" i="3"/>
  <c r="AP55" i="3"/>
  <c r="AW55" i="3"/>
  <c r="BD55" i="3"/>
  <c r="AG57" i="3"/>
  <c r="AN57" i="3"/>
  <c r="AV57" i="3"/>
  <c r="BC57" i="3"/>
  <c r="AJ58" i="3"/>
  <c r="AQ58" i="3"/>
  <c r="AX58" i="3"/>
  <c r="BA59" i="3"/>
  <c r="AU59" i="3"/>
  <c r="AO59" i="3"/>
  <c r="AI59" i="3"/>
  <c r="AK59" i="3"/>
  <c r="AR59" i="3"/>
  <c r="AY59" i="3"/>
  <c r="AG61" i="3"/>
  <c r="AO61" i="3"/>
  <c r="BA61" i="3"/>
  <c r="AK63" i="3"/>
  <c r="AO64" i="3"/>
  <c r="AT66" i="3"/>
  <c r="AN67" i="3"/>
  <c r="AQ72" i="3"/>
  <c r="BD73" i="3"/>
  <c r="AX73" i="3"/>
  <c r="AR73" i="3"/>
  <c r="AL73" i="3"/>
  <c r="BC73" i="3"/>
  <c r="AW73" i="3"/>
  <c r="AQ73" i="3"/>
  <c r="AK73" i="3"/>
  <c r="BB73" i="3"/>
  <c r="AV73" i="3"/>
  <c r="AP73" i="3"/>
  <c r="AJ73" i="3"/>
  <c r="BA73" i="3"/>
  <c r="AU73" i="3"/>
  <c r="AO73" i="3"/>
  <c r="AI73" i="3"/>
  <c r="AT73" i="3"/>
  <c r="AL74" i="3"/>
  <c r="BD74" i="3"/>
  <c r="AK77" i="3"/>
  <c r="BC77" i="3"/>
  <c r="BB81" i="3"/>
  <c r="AV81" i="3"/>
  <c r="AP81" i="3"/>
  <c r="AJ81" i="3"/>
  <c r="BA81" i="3"/>
  <c r="AU81" i="3"/>
  <c r="AO81" i="3"/>
  <c r="AI81" i="3"/>
  <c r="AZ81" i="3"/>
  <c r="AT81" i="3"/>
  <c r="AN81" i="3"/>
  <c r="AH81" i="3"/>
  <c r="AY81" i="3"/>
  <c r="AS81" i="3"/>
  <c r="AM81" i="3"/>
  <c r="AG81" i="3"/>
  <c r="AR84" i="3"/>
  <c r="BD87" i="3"/>
  <c r="BB90" i="3"/>
  <c r="AV90" i="3"/>
  <c r="AP90" i="3"/>
  <c r="AJ90" i="3"/>
  <c r="BA90" i="3"/>
  <c r="AU90" i="3"/>
  <c r="AO90" i="3"/>
  <c r="AI90" i="3"/>
  <c r="AZ90" i="3"/>
  <c r="AT90" i="3"/>
  <c r="AN90" i="3"/>
  <c r="AH90" i="3"/>
  <c r="AY90" i="3"/>
  <c r="AS90" i="3"/>
  <c r="AM90" i="3"/>
  <c r="AG90" i="3"/>
  <c r="BD90" i="3"/>
  <c r="AX90" i="3"/>
  <c r="AR90" i="3"/>
  <c r="AL90" i="3"/>
  <c r="BB102" i="3"/>
  <c r="AV102" i="3"/>
  <c r="AP102" i="3"/>
  <c r="AJ102" i="3"/>
  <c r="BA102" i="3"/>
  <c r="AU102" i="3"/>
  <c r="AO102" i="3"/>
  <c r="AI102" i="3"/>
  <c r="AZ102" i="3"/>
  <c r="AT102" i="3"/>
  <c r="AN102" i="3"/>
  <c r="AH102" i="3"/>
  <c r="AY102" i="3"/>
  <c r="AM102" i="3"/>
  <c r="AX102" i="3"/>
  <c r="AL102" i="3"/>
  <c r="AW102" i="3"/>
  <c r="AK102" i="3"/>
  <c r="AS102" i="3"/>
  <c r="AG102" i="3"/>
  <c r="BD102" i="3"/>
  <c r="AR102" i="3"/>
  <c r="AQ105" i="3"/>
  <c r="BB110" i="3"/>
  <c r="AV110" i="3"/>
  <c r="AP110" i="3"/>
  <c r="AJ110" i="3"/>
  <c r="BA110" i="3"/>
  <c r="AU110" i="3"/>
  <c r="AO110" i="3"/>
  <c r="AI110" i="3"/>
  <c r="AZ110" i="3"/>
  <c r="AT110" i="3"/>
  <c r="AN110" i="3"/>
  <c r="AH110" i="3"/>
  <c r="AY110" i="3"/>
  <c r="AS110" i="3"/>
  <c r="AM110" i="3"/>
  <c r="AG110" i="3"/>
  <c r="AW110" i="3"/>
  <c r="AR110" i="3"/>
  <c r="AQ110" i="3"/>
  <c r="BD110" i="3"/>
  <c r="AL110" i="3"/>
  <c r="BC110" i="3"/>
  <c r="AK110" i="3"/>
  <c r="AP8" i="3"/>
  <c r="AR10" i="3"/>
  <c r="AK13" i="3"/>
  <c r="AK18" i="3"/>
  <c r="BC18" i="3"/>
  <c r="AK21" i="3"/>
  <c r="BC21" i="3"/>
  <c r="AQ23" i="3"/>
  <c r="BC23" i="3"/>
  <c r="AW28" i="3"/>
  <c r="BC31" i="3"/>
  <c r="AR39" i="3"/>
  <c r="AK53" i="3"/>
  <c r="AZ66" i="3"/>
  <c r="AY77" i="3"/>
  <c r="D73" i="3"/>
  <c r="BA233" i="3"/>
  <c r="AU233" i="3"/>
  <c r="AO233" i="3"/>
  <c r="AI233" i="3"/>
  <c r="AZ233" i="3"/>
  <c r="AT233" i="3"/>
  <c r="AN233" i="3"/>
  <c r="AH233" i="3"/>
  <c r="AY233" i="3"/>
  <c r="AS233" i="3"/>
  <c r="AM233" i="3"/>
  <c r="AG233" i="3"/>
  <c r="BD233" i="3"/>
  <c r="AX233" i="3"/>
  <c r="AR233" i="3"/>
  <c r="AL233" i="3"/>
  <c r="AP233" i="3"/>
  <c r="BC233" i="3"/>
  <c r="AK233" i="3"/>
  <c r="BB233" i="3"/>
  <c r="AJ233" i="3"/>
  <c r="AW233" i="3"/>
  <c r="AV233" i="3"/>
  <c r="AQ233" i="3"/>
  <c r="AW11" i="3"/>
  <c r="AR13" i="3"/>
  <c r="BB16" i="3"/>
  <c r="AL18" i="3"/>
  <c r="BD18" i="3"/>
  <c r="AL21" i="3"/>
  <c r="AL23" i="3"/>
  <c r="AR28" i="3"/>
  <c r="BD28" i="3"/>
  <c r="AL31" i="3"/>
  <c r="BD31" i="3"/>
  <c r="AR34" i="3"/>
  <c r="AK40" i="3"/>
  <c r="BC42" i="3"/>
  <c r="AK45" i="3"/>
  <c r="AW48" i="3"/>
  <c r="AZ63" i="3"/>
  <c r="AT63" i="3"/>
  <c r="AJ63" i="3"/>
  <c r="BD63" i="3"/>
  <c r="AX63" i="3"/>
  <c r="AR63" i="3"/>
  <c r="AH63" i="3"/>
  <c r="BC63" i="3"/>
  <c r="AW63" i="3"/>
  <c r="AO63" i="3"/>
  <c r="AG63" i="3"/>
  <c r="AL87" i="3"/>
  <c r="AI8" i="3"/>
  <c r="AO8" i="3"/>
  <c r="AU8" i="3"/>
  <c r="BA8" i="3"/>
  <c r="AK10" i="3"/>
  <c r="AQ10" i="3"/>
  <c r="AW10" i="3"/>
  <c r="AI11" i="3"/>
  <c r="AO11" i="3"/>
  <c r="AU11" i="3"/>
  <c r="AL12" i="3"/>
  <c r="AR12" i="3"/>
  <c r="AX12" i="3"/>
  <c r="AJ13" i="3"/>
  <c r="AP13" i="3"/>
  <c r="AV13" i="3"/>
  <c r="AH14" i="3"/>
  <c r="AN14" i="3"/>
  <c r="AT14" i="3"/>
  <c r="AL15" i="3"/>
  <c r="AR15" i="3"/>
  <c r="AX15" i="3"/>
  <c r="AH16" i="3"/>
  <c r="AN16" i="3"/>
  <c r="AT16" i="3"/>
  <c r="AL17" i="3"/>
  <c r="AR17" i="3"/>
  <c r="AX17" i="3"/>
  <c r="AJ18" i="3"/>
  <c r="AP18" i="3"/>
  <c r="AV18" i="3"/>
  <c r="AH19" i="3"/>
  <c r="AN19" i="3"/>
  <c r="AT19" i="3"/>
  <c r="AL20" i="3"/>
  <c r="AR20" i="3"/>
  <c r="AX20" i="3"/>
  <c r="AJ21" i="3"/>
  <c r="AP21" i="3"/>
  <c r="AV21" i="3"/>
  <c r="AJ23" i="3"/>
  <c r="AP23" i="3"/>
  <c r="AV23" i="3"/>
  <c r="AH24" i="3"/>
  <c r="AN24" i="3"/>
  <c r="AT24" i="3"/>
  <c r="AH26" i="3"/>
  <c r="AN26" i="3"/>
  <c r="AT26" i="3"/>
  <c r="AL27" i="3"/>
  <c r="AR27" i="3"/>
  <c r="AX27" i="3"/>
  <c r="AJ28" i="3"/>
  <c r="AP28" i="3"/>
  <c r="AV28" i="3"/>
  <c r="AH29" i="3"/>
  <c r="AN29" i="3"/>
  <c r="AT29" i="3"/>
  <c r="AL30" i="3"/>
  <c r="AR30" i="3"/>
  <c r="AX30" i="3"/>
  <c r="AJ31" i="3"/>
  <c r="AP31" i="3"/>
  <c r="AV31" i="3"/>
  <c r="AH32" i="3"/>
  <c r="AN32" i="3"/>
  <c r="AT32" i="3"/>
  <c r="AL33" i="3"/>
  <c r="AR33" i="3"/>
  <c r="AX33" i="3"/>
  <c r="AJ34" i="3"/>
  <c r="AP34" i="3"/>
  <c r="AV34" i="3"/>
  <c r="AH35" i="3"/>
  <c r="AN35" i="3"/>
  <c r="AT35" i="3"/>
  <c r="AL36" i="3"/>
  <c r="AR36" i="3"/>
  <c r="AX36" i="3"/>
  <c r="AI37" i="3"/>
  <c r="AO37" i="3"/>
  <c r="AU37" i="3"/>
  <c r="AG38" i="3"/>
  <c r="AM38" i="3"/>
  <c r="AS38" i="3"/>
  <c r="AK39" i="3"/>
  <c r="AQ39" i="3"/>
  <c r="AW39" i="3"/>
  <c r="AI40" i="3"/>
  <c r="AO40" i="3"/>
  <c r="AU40" i="3"/>
  <c r="AK41" i="3"/>
  <c r="AQ41" i="3"/>
  <c r="AW41" i="3"/>
  <c r="AI42" i="3"/>
  <c r="AO42" i="3"/>
  <c r="AU42" i="3"/>
  <c r="AI45" i="3"/>
  <c r="AO45" i="3"/>
  <c r="AU45" i="3"/>
  <c r="AI48" i="3"/>
  <c r="AO48" i="3"/>
  <c r="AU48" i="3"/>
  <c r="AH51" i="3"/>
  <c r="AN51" i="3"/>
  <c r="AT51" i="3"/>
  <c r="AL52" i="3"/>
  <c r="AR52" i="3"/>
  <c r="AX52" i="3"/>
  <c r="AJ53" i="3"/>
  <c r="AP53" i="3"/>
  <c r="AV53" i="3"/>
  <c r="AH54" i="3"/>
  <c r="AN54" i="3"/>
  <c r="AT54" i="3"/>
  <c r="AS55" i="3"/>
  <c r="AK55" i="3"/>
  <c r="AQ55" i="3"/>
  <c r="AX55" i="3"/>
  <c r="BC56" i="3"/>
  <c r="AW56" i="3"/>
  <c r="AQ56" i="3"/>
  <c r="AK56" i="3"/>
  <c r="AM56" i="3"/>
  <c r="AT56" i="3"/>
  <c r="BA56" i="3"/>
  <c r="AH57" i="3"/>
  <c r="AP57" i="3"/>
  <c r="AW57" i="3"/>
  <c r="BD57" i="3"/>
  <c r="AK58" i="3"/>
  <c r="AR58" i="3"/>
  <c r="AZ58" i="3"/>
  <c r="AL59" i="3"/>
  <c r="AS59" i="3"/>
  <c r="AZ59" i="3"/>
  <c r="AH61" i="3"/>
  <c r="AQ61" i="3"/>
  <c r="BC61" i="3"/>
  <c r="AN63" i="3"/>
  <c r="BB63" i="3"/>
  <c r="AV64" i="3"/>
  <c r="AU66" i="3"/>
  <c r="AO67" i="3"/>
  <c r="AK69" i="3"/>
  <c r="BC69" i="3"/>
  <c r="AR72" i="3"/>
  <c r="AG73" i="3"/>
  <c r="AY73" i="3"/>
  <c r="AQ74" i="3"/>
  <c r="AZ75" i="3"/>
  <c r="AT75" i="3"/>
  <c r="AN75" i="3"/>
  <c r="AH75" i="3"/>
  <c r="AY75" i="3"/>
  <c r="AS75" i="3"/>
  <c r="AM75" i="3"/>
  <c r="AG75" i="3"/>
  <c r="BD75" i="3"/>
  <c r="AX75" i="3"/>
  <c r="AR75" i="3"/>
  <c r="AL75" i="3"/>
  <c r="BC75" i="3"/>
  <c r="AW75" i="3"/>
  <c r="AQ75" i="3"/>
  <c r="AK75" i="3"/>
  <c r="AV75" i="3"/>
  <c r="AP77" i="3"/>
  <c r="AL81" i="3"/>
  <c r="AX84" i="3"/>
  <c r="BC87" i="3"/>
  <c r="AK95" i="3"/>
  <c r="BC105" i="3"/>
  <c r="AX110" i="3"/>
  <c r="AK79" i="3"/>
  <c r="AQ79" i="3"/>
  <c r="AW79" i="3"/>
  <c r="BC79" i="3"/>
  <c r="AK82" i="3"/>
  <c r="AQ82" i="3"/>
  <c r="AW82" i="3"/>
  <c r="BC82" i="3"/>
  <c r="AK85" i="3"/>
  <c r="AQ85" i="3"/>
  <c r="AW85" i="3"/>
  <c r="BC85" i="3"/>
  <c r="AK88" i="3"/>
  <c r="AQ88" i="3"/>
  <c r="AW88" i="3"/>
  <c r="BC88" i="3"/>
  <c r="AJ93" i="3"/>
  <c r="AP93" i="3"/>
  <c r="AV93" i="3"/>
  <c r="BB93" i="3"/>
  <c r="BB107" i="3"/>
  <c r="AV107" i="3"/>
  <c r="AP107" i="3"/>
  <c r="AJ107" i="3"/>
  <c r="BA107" i="3"/>
  <c r="AU107" i="3"/>
  <c r="AO107" i="3"/>
  <c r="AI107" i="3"/>
  <c r="AZ107" i="3"/>
  <c r="AT107" i="3"/>
  <c r="AN107" i="3"/>
  <c r="AH107" i="3"/>
  <c r="AQ107" i="3"/>
  <c r="BC107" i="3"/>
  <c r="BB113" i="3"/>
  <c r="AV113" i="3"/>
  <c r="AP113" i="3"/>
  <c r="AJ113" i="3"/>
  <c r="BA113" i="3"/>
  <c r="AU113" i="3"/>
  <c r="AO113" i="3"/>
  <c r="AI113" i="3"/>
  <c r="AZ113" i="3"/>
  <c r="AT113" i="3"/>
  <c r="AN113" i="3"/>
  <c r="AH113" i="3"/>
  <c r="AY113" i="3"/>
  <c r="AS113" i="3"/>
  <c r="AM113" i="3"/>
  <c r="AG113" i="3"/>
  <c r="AW113" i="3"/>
  <c r="BC120" i="3"/>
  <c r="AW120" i="3"/>
  <c r="AQ120" i="3"/>
  <c r="AK120" i="3"/>
  <c r="BB120" i="3"/>
  <c r="AV120" i="3"/>
  <c r="AP120" i="3"/>
  <c r="AJ120" i="3"/>
  <c r="BA120" i="3"/>
  <c r="AU120" i="3"/>
  <c r="AO120" i="3"/>
  <c r="AI120" i="3"/>
  <c r="AZ120" i="3"/>
  <c r="AT120" i="3"/>
  <c r="AN120" i="3"/>
  <c r="AH120" i="3"/>
  <c r="AS120" i="3"/>
  <c r="BC123" i="3"/>
  <c r="AW123" i="3"/>
  <c r="AQ123" i="3"/>
  <c r="AK123" i="3"/>
  <c r="BB123" i="3"/>
  <c r="AV123" i="3"/>
  <c r="AP123" i="3"/>
  <c r="AJ123" i="3"/>
  <c r="BA123" i="3"/>
  <c r="AU123" i="3"/>
  <c r="AO123" i="3"/>
  <c r="AI123" i="3"/>
  <c r="AZ123" i="3"/>
  <c r="AT123" i="3"/>
  <c r="AN123" i="3"/>
  <c r="AH123" i="3"/>
  <c r="AY123" i="3"/>
  <c r="AS123" i="3"/>
  <c r="AM123" i="3"/>
  <c r="AG123" i="3"/>
  <c r="BC134" i="3"/>
  <c r="AW134" i="3"/>
  <c r="AQ134" i="3"/>
  <c r="AK134" i="3"/>
  <c r="BB134" i="3"/>
  <c r="AV134" i="3"/>
  <c r="AP134" i="3"/>
  <c r="AJ134" i="3"/>
  <c r="BA134" i="3"/>
  <c r="AU134" i="3"/>
  <c r="AO134" i="3"/>
  <c r="AI134" i="3"/>
  <c r="AZ134" i="3"/>
  <c r="AT134" i="3"/>
  <c r="AN134" i="3"/>
  <c r="AH134" i="3"/>
  <c r="AY134" i="3"/>
  <c r="AS134" i="3"/>
  <c r="AM134" i="3"/>
  <c r="AG134" i="3"/>
  <c r="AK62" i="3"/>
  <c r="AU62" i="3"/>
  <c r="BA62" i="3"/>
  <c r="AH64" i="3"/>
  <c r="AJ65" i="3"/>
  <c r="AT65" i="3"/>
  <c r="AZ65" i="3"/>
  <c r="AJ68" i="3"/>
  <c r="AP68" i="3"/>
  <c r="AV68" i="3"/>
  <c r="BB68" i="3"/>
  <c r="AK70" i="3"/>
  <c r="AQ70" i="3"/>
  <c r="AW70" i="3"/>
  <c r="BC70" i="3"/>
  <c r="AI71" i="3"/>
  <c r="AO71" i="3"/>
  <c r="AU71" i="3"/>
  <c r="BA71" i="3"/>
  <c r="AI76" i="3"/>
  <c r="AO76" i="3"/>
  <c r="AU76" i="3"/>
  <c r="BA76" i="3"/>
  <c r="AH78" i="3"/>
  <c r="AN78" i="3"/>
  <c r="AT78" i="3"/>
  <c r="AZ78" i="3"/>
  <c r="AL79" i="3"/>
  <c r="AR79" i="3"/>
  <c r="AX79" i="3"/>
  <c r="BD79" i="3"/>
  <c r="AJ80" i="3"/>
  <c r="AP80" i="3"/>
  <c r="AV80" i="3"/>
  <c r="BB80" i="3"/>
  <c r="AL82" i="3"/>
  <c r="AR82" i="3"/>
  <c r="AX82" i="3"/>
  <c r="BD82" i="3"/>
  <c r="AJ83" i="3"/>
  <c r="AP83" i="3"/>
  <c r="AV83" i="3"/>
  <c r="BB83" i="3"/>
  <c r="AL85" i="3"/>
  <c r="AR85" i="3"/>
  <c r="AX85" i="3"/>
  <c r="BD85" i="3"/>
  <c r="AJ86" i="3"/>
  <c r="AP86" i="3"/>
  <c r="AV86" i="3"/>
  <c r="BB86" i="3"/>
  <c r="AL88" i="3"/>
  <c r="AR88" i="3"/>
  <c r="AX88" i="3"/>
  <c r="BD88" i="3"/>
  <c r="AI89" i="3"/>
  <c r="AO89" i="3"/>
  <c r="AU89" i="3"/>
  <c r="BA89" i="3"/>
  <c r="AK91" i="3"/>
  <c r="AQ91" i="3"/>
  <c r="AW91" i="3"/>
  <c r="BC91" i="3"/>
  <c r="AI92" i="3"/>
  <c r="AO92" i="3"/>
  <c r="AU92" i="3"/>
  <c r="BA92" i="3"/>
  <c r="AK93" i="3"/>
  <c r="AQ93" i="3"/>
  <c r="AW93" i="3"/>
  <c r="BC93" i="3"/>
  <c r="AI94" i="3"/>
  <c r="AO94" i="3"/>
  <c r="AU94" i="3"/>
  <c r="BA94" i="3"/>
  <c r="AL97" i="3"/>
  <c r="AT97" i="3"/>
  <c r="AI98" i="3"/>
  <c r="AS98" i="3"/>
  <c r="BA98" i="3"/>
  <c r="AK99" i="3"/>
  <c r="AS99" i="3"/>
  <c r="BC99" i="3"/>
  <c r="AK100" i="3"/>
  <c r="AW100" i="3"/>
  <c r="AZ103" i="3"/>
  <c r="AT103" i="3"/>
  <c r="AN103" i="3"/>
  <c r="AH103" i="3"/>
  <c r="AY103" i="3"/>
  <c r="AS103" i="3"/>
  <c r="AM103" i="3"/>
  <c r="AG103" i="3"/>
  <c r="BD103" i="3"/>
  <c r="AX103" i="3"/>
  <c r="AR103" i="3"/>
  <c r="AL103" i="3"/>
  <c r="AP103" i="3"/>
  <c r="BB103" i="3"/>
  <c r="AR107" i="3"/>
  <c r="BD107" i="3"/>
  <c r="AO108" i="3"/>
  <c r="AX113" i="3"/>
  <c r="AP116" i="3"/>
  <c r="BA119" i="3"/>
  <c r="AU119" i="3"/>
  <c r="AO119" i="3"/>
  <c r="AI119" i="3"/>
  <c r="AZ119" i="3"/>
  <c r="AT119" i="3"/>
  <c r="AN119" i="3"/>
  <c r="AH119" i="3"/>
  <c r="AY119" i="3"/>
  <c r="AS119" i="3"/>
  <c r="AM119" i="3"/>
  <c r="AG119" i="3"/>
  <c r="BD119" i="3"/>
  <c r="AX119" i="3"/>
  <c r="AR119" i="3"/>
  <c r="AL119" i="3"/>
  <c r="AV119" i="3"/>
  <c r="AX120" i="3"/>
  <c r="AL123" i="3"/>
  <c r="BC126" i="3"/>
  <c r="AL134" i="3"/>
  <c r="BC137" i="3"/>
  <c r="AW137" i="3"/>
  <c r="AQ137" i="3"/>
  <c r="AK137" i="3"/>
  <c r="BB137" i="3"/>
  <c r="AV137" i="3"/>
  <c r="AP137" i="3"/>
  <c r="AJ137" i="3"/>
  <c r="BA137" i="3"/>
  <c r="AU137" i="3"/>
  <c r="AO137" i="3"/>
  <c r="AI137" i="3"/>
  <c r="AZ137" i="3"/>
  <c r="AT137" i="3"/>
  <c r="AN137" i="3"/>
  <c r="AH137" i="3"/>
  <c r="AY137" i="3"/>
  <c r="AS137" i="3"/>
  <c r="AM137" i="3"/>
  <c r="AG137" i="3"/>
  <c r="AZ176" i="3"/>
  <c r="AT176" i="3"/>
  <c r="BD176" i="3"/>
  <c r="AW176" i="3"/>
  <c r="AP176" i="3"/>
  <c r="AJ176" i="3"/>
  <c r="BC176" i="3"/>
  <c r="AV176" i="3"/>
  <c r="AO176" i="3"/>
  <c r="AI176" i="3"/>
  <c r="BB176" i="3"/>
  <c r="AU176" i="3"/>
  <c r="AN176" i="3"/>
  <c r="AH176" i="3"/>
  <c r="BA176" i="3"/>
  <c r="AS176" i="3"/>
  <c r="AM176" i="3"/>
  <c r="AG176" i="3"/>
  <c r="AX176" i="3"/>
  <c r="AR176" i="3"/>
  <c r="AQ176" i="3"/>
  <c r="AL176" i="3"/>
  <c r="AK176" i="3"/>
  <c r="AN62" i="3"/>
  <c r="AV62" i="3"/>
  <c r="BB62" i="3"/>
  <c r="AK65" i="3"/>
  <c r="AU65" i="3"/>
  <c r="BA65" i="3"/>
  <c r="AK68" i="3"/>
  <c r="AQ68" i="3"/>
  <c r="AW68" i="3"/>
  <c r="BC68" i="3"/>
  <c r="AL70" i="3"/>
  <c r="AR70" i="3"/>
  <c r="AX70" i="3"/>
  <c r="BD70" i="3"/>
  <c r="AJ71" i="3"/>
  <c r="AP71" i="3"/>
  <c r="AV71" i="3"/>
  <c r="BB71" i="3"/>
  <c r="AJ76" i="3"/>
  <c r="AP76" i="3"/>
  <c r="AV76" i="3"/>
  <c r="BB76" i="3"/>
  <c r="AI78" i="3"/>
  <c r="AO78" i="3"/>
  <c r="AU78" i="3"/>
  <c r="BA78" i="3"/>
  <c r="AG79" i="3"/>
  <c r="AM79" i="3"/>
  <c r="AS79" i="3"/>
  <c r="AY79" i="3"/>
  <c r="AK80" i="3"/>
  <c r="AQ80" i="3"/>
  <c r="AW80" i="3"/>
  <c r="BC80" i="3"/>
  <c r="AG82" i="3"/>
  <c r="AM82" i="3"/>
  <c r="AS82" i="3"/>
  <c r="AY82" i="3"/>
  <c r="AK83" i="3"/>
  <c r="AQ83" i="3"/>
  <c r="AW83" i="3"/>
  <c r="BC83" i="3"/>
  <c r="AG85" i="3"/>
  <c r="AM85" i="3"/>
  <c r="AS85" i="3"/>
  <c r="AY85" i="3"/>
  <c r="AK86" i="3"/>
  <c r="AQ86" i="3"/>
  <c r="AW86" i="3"/>
  <c r="BC86" i="3"/>
  <c r="AG88" i="3"/>
  <c r="AM88" i="3"/>
  <c r="AS88" i="3"/>
  <c r="AY88" i="3"/>
  <c r="AJ89" i="3"/>
  <c r="AP89" i="3"/>
  <c r="AV89" i="3"/>
  <c r="BB89" i="3"/>
  <c r="AL91" i="3"/>
  <c r="AR91" i="3"/>
  <c r="AX91" i="3"/>
  <c r="BD91" i="3"/>
  <c r="AJ92" i="3"/>
  <c r="AP92" i="3"/>
  <c r="AV92" i="3"/>
  <c r="BB92" i="3"/>
  <c r="AL93" i="3"/>
  <c r="AR93" i="3"/>
  <c r="AX93" i="3"/>
  <c r="BD93" i="3"/>
  <c r="AJ94" i="3"/>
  <c r="AP94" i="3"/>
  <c r="AV94" i="3"/>
  <c r="BB94" i="3"/>
  <c r="BB97" i="3"/>
  <c r="AV97" i="3"/>
  <c r="AP97" i="3"/>
  <c r="AJ97" i="3"/>
  <c r="BA97" i="3"/>
  <c r="AU97" i="3"/>
  <c r="AO97" i="3"/>
  <c r="AI97" i="3"/>
  <c r="AM97" i="3"/>
  <c r="AW97" i="3"/>
  <c r="AJ98" i="3"/>
  <c r="AT98" i="3"/>
  <c r="AL99" i="3"/>
  <c r="AT99" i="3"/>
  <c r="AO100" i="3"/>
  <c r="AQ103" i="3"/>
  <c r="BC103" i="3"/>
  <c r="AG107" i="3"/>
  <c r="AS107" i="3"/>
  <c r="AZ108" i="3"/>
  <c r="AT108" i="3"/>
  <c r="AN108" i="3"/>
  <c r="AH108" i="3"/>
  <c r="AY108" i="3"/>
  <c r="AS108" i="3"/>
  <c r="AM108" i="3"/>
  <c r="AG108" i="3"/>
  <c r="BD108" i="3"/>
  <c r="AX108" i="3"/>
  <c r="AR108" i="3"/>
  <c r="AL108" i="3"/>
  <c r="AP108" i="3"/>
  <c r="BB108" i="3"/>
  <c r="AK113" i="3"/>
  <c r="BC113" i="3"/>
  <c r="AG120" i="3"/>
  <c r="AY120" i="3"/>
  <c r="AR123" i="3"/>
  <c r="BA126" i="3"/>
  <c r="AU126" i="3"/>
  <c r="AO126" i="3"/>
  <c r="AI126" i="3"/>
  <c r="AZ126" i="3"/>
  <c r="AT126" i="3"/>
  <c r="AN126" i="3"/>
  <c r="AH126" i="3"/>
  <c r="AY126" i="3"/>
  <c r="AS126" i="3"/>
  <c r="AM126" i="3"/>
  <c r="AG126" i="3"/>
  <c r="AR134" i="3"/>
  <c r="BC140" i="3"/>
  <c r="AW140" i="3"/>
  <c r="AQ140" i="3"/>
  <c r="AK140" i="3"/>
  <c r="BB140" i="3"/>
  <c r="AV140" i="3"/>
  <c r="AP140" i="3"/>
  <c r="AJ140" i="3"/>
  <c r="BA140" i="3"/>
  <c r="AU140" i="3"/>
  <c r="AO140" i="3"/>
  <c r="AI140" i="3"/>
  <c r="AZ140" i="3"/>
  <c r="AT140" i="3"/>
  <c r="AN140" i="3"/>
  <c r="AH140" i="3"/>
  <c r="AY140" i="3"/>
  <c r="AS140" i="3"/>
  <c r="AM140" i="3"/>
  <c r="AG140" i="3"/>
  <c r="AY152" i="3"/>
  <c r="AS152" i="3"/>
  <c r="AM152" i="3"/>
  <c r="AG152" i="3"/>
  <c r="BC152" i="3"/>
  <c r="AW152" i="3"/>
  <c r="AQ152" i="3"/>
  <c r="AK152" i="3"/>
  <c r="AV152" i="3"/>
  <c r="AN152" i="3"/>
  <c r="BD152" i="3"/>
  <c r="AU152" i="3"/>
  <c r="AL152" i="3"/>
  <c r="BB152" i="3"/>
  <c r="AT152" i="3"/>
  <c r="AJ152" i="3"/>
  <c r="BA152" i="3"/>
  <c r="AR152" i="3"/>
  <c r="AI152" i="3"/>
  <c r="AZ152" i="3"/>
  <c r="AP152" i="3"/>
  <c r="AH152" i="3"/>
  <c r="BA166" i="3"/>
  <c r="AU166" i="3"/>
  <c r="AO166" i="3"/>
  <c r="AI166" i="3"/>
  <c r="AZ166" i="3"/>
  <c r="AT166" i="3"/>
  <c r="AN166" i="3"/>
  <c r="AH166" i="3"/>
  <c r="AY166" i="3"/>
  <c r="AS166" i="3"/>
  <c r="AM166" i="3"/>
  <c r="AG166" i="3"/>
  <c r="BD166" i="3"/>
  <c r="AX166" i="3"/>
  <c r="AR166" i="3"/>
  <c r="AL166" i="3"/>
  <c r="AQ166" i="3"/>
  <c r="AP166" i="3"/>
  <c r="BC166" i="3"/>
  <c r="AK166" i="3"/>
  <c r="BB166" i="3"/>
  <c r="AJ166" i="3"/>
  <c r="AW166" i="3"/>
  <c r="BB171" i="3"/>
  <c r="AV171" i="3"/>
  <c r="AP171" i="3"/>
  <c r="AJ171" i="3"/>
  <c r="BA171" i="3"/>
  <c r="AU171" i="3"/>
  <c r="AO171" i="3"/>
  <c r="AI171" i="3"/>
  <c r="AZ171" i="3"/>
  <c r="AT171" i="3"/>
  <c r="AN171" i="3"/>
  <c r="AH171" i="3"/>
  <c r="AY171" i="3"/>
  <c r="AS171" i="3"/>
  <c r="AM171" i="3"/>
  <c r="AG171" i="3"/>
  <c r="AR171" i="3"/>
  <c r="AQ171" i="3"/>
  <c r="BD171" i="3"/>
  <c r="AL171" i="3"/>
  <c r="BC171" i="3"/>
  <c r="AK171" i="3"/>
  <c r="AX171" i="3"/>
  <c r="AY176" i="3"/>
  <c r="AN65" i="3"/>
  <c r="AV65" i="3"/>
  <c r="BB65" i="3"/>
  <c r="AL68" i="3"/>
  <c r="AR68" i="3"/>
  <c r="AX68" i="3"/>
  <c r="BD68" i="3"/>
  <c r="AY70" i="3"/>
  <c r="AK71" i="3"/>
  <c r="AQ71" i="3"/>
  <c r="AW71" i="3"/>
  <c r="BC71" i="3"/>
  <c r="AK76" i="3"/>
  <c r="AQ76" i="3"/>
  <c r="AW76" i="3"/>
  <c r="BC76" i="3"/>
  <c r="AJ78" i="3"/>
  <c r="AP78" i="3"/>
  <c r="AV78" i="3"/>
  <c r="BB78" i="3"/>
  <c r="AH79" i="3"/>
  <c r="AN79" i="3"/>
  <c r="AT79" i="3"/>
  <c r="AZ79" i="3"/>
  <c r="AL80" i="3"/>
  <c r="AR80" i="3"/>
  <c r="BD80" i="3"/>
  <c r="AH82" i="3"/>
  <c r="AN82" i="3"/>
  <c r="AT82" i="3"/>
  <c r="AZ82" i="3"/>
  <c r="AL83" i="3"/>
  <c r="AR83" i="3"/>
  <c r="AX83" i="3"/>
  <c r="AH85" i="3"/>
  <c r="AN85" i="3"/>
  <c r="AT85" i="3"/>
  <c r="AZ85" i="3"/>
  <c r="AL86" i="3"/>
  <c r="AR86" i="3"/>
  <c r="AX86" i="3"/>
  <c r="AH88" i="3"/>
  <c r="AN88" i="3"/>
  <c r="AT88" i="3"/>
  <c r="AZ88" i="3"/>
  <c r="AK89" i="3"/>
  <c r="AQ89" i="3"/>
  <c r="AW89" i="3"/>
  <c r="BC89" i="3"/>
  <c r="AK92" i="3"/>
  <c r="AQ92" i="3"/>
  <c r="AW92" i="3"/>
  <c r="BC92" i="3"/>
  <c r="AG93" i="3"/>
  <c r="AM93" i="3"/>
  <c r="AS93" i="3"/>
  <c r="AY93" i="3"/>
  <c r="AK94" i="3"/>
  <c r="AQ94" i="3"/>
  <c r="AW94" i="3"/>
  <c r="BC94" i="3"/>
  <c r="AN97" i="3"/>
  <c r="BD98" i="3"/>
  <c r="AX98" i="3"/>
  <c r="AR98" i="3"/>
  <c r="AL98" i="3"/>
  <c r="BC98" i="3"/>
  <c r="AW98" i="3"/>
  <c r="AQ98" i="3"/>
  <c r="AK98" i="3"/>
  <c r="AM98" i="3"/>
  <c r="AU98" i="3"/>
  <c r="BB99" i="3"/>
  <c r="AV99" i="3"/>
  <c r="AP99" i="3"/>
  <c r="AJ99" i="3"/>
  <c r="BA99" i="3"/>
  <c r="AU99" i="3"/>
  <c r="AO99" i="3"/>
  <c r="AI99" i="3"/>
  <c r="AM99" i="3"/>
  <c r="AW99" i="3"/>
  <c r="AZ100" i="3"/>
  <c r="AT100" i="3"/>
  <c r="AN100" i="3"/>
  <c r="AH100" i="3"/>
  <c r="AY100" i="3"/>
  <c r="AS100" i="3"/>
  <c r="AM100" i="3"/>
  <c r="AG100" i="3"/>
  <c r="BD100" i="3"/>
  <c r="AX100" i="3"/>
  <c r="AR100" i="3"/>
  <c r="AL100" i="3"/>
  <c r="AP100" i="3"/>
  <c r="BB100" i="3"/>
  <c r="AI103" i="3"/>
  <c r="AU103" i="3"/>
  <c r="AK107" i="3"/>
  <c r="AW107" i="3"/>
  <c r="AQ108" i="3"/>
  <c r="BC108" i="3"/>
  <c r="AL113" i="3"/>
  <c r="BD113" i="3"/>
  <c r="BA116" i="3"/>
  <c r="AU116" i="3"/>
  <c r="AO116" i="3"/>
  <c r="AI116" i="3"/>
  <c r="AZ116" i="3"/>
  <c r="AT116" i="3"/>
  <c r="AN116" i="3"/>
  <c r="AH116" i="3"/>
  <c r="AS116" i="3"/>
  <c r="AM116" i="3"/>
  <c r="AG116" i="3"/>
  <c r="BD116" i="3"/>
  <c r="AX116" i="3"/>
  <c r="AR116" i="3"/>
  <c r="AL116" i="3"/>
  <c r="AV116" i="3"/>
  <c r="AJ119" i="3"/>
  <c r="BB119" i="3"/>
  <c r="AL120" i="3"/>
  <c r="BD120" i="3"/>
  <c r="AX123" i="3"/>
  <c r="AL126" i="3"/>
  <c r="AX134" i="3"/>
  <c r="AR137" i="3"/>
  <c r="AL140" i="3"/>
  <c r="BC143" i="3"/>
  <c r="AW143" i="3"/>
  <c r="AQ143" i="3"/>
  <c r="AK143" i="3"/>
  <c r="BB143" i="3"/>
  <c r="AV143" i="3"/>
  <c r="AP143" i="3"/>
  <c r="AJ143" i="3"/>
  <c r="BA143" i="3"/>
  <c r="AU143" i="3"/>
  <c r="AO143" i="3"/>
  <c r="AI143" i="3"/>
  <c r="AZ143" i="3"/>
  <c r="AT143" i="3"/>
  <c r="AN143" i="3"/>
  <c r="AH143" i="3"/>
  <c r="AY143" i="3"/>
  <c r="AS143" i="3"/>
  <c r="AM143" i="3"/>
  <c r="AG143" i="3"/>
  <c r="AO152" i="3"/>
  <c r="AY164" i="3"/>
  <c r="AS164" i="3"/>
  <c r="AM164" i="3"/>
  <c r="AG164" i="3"/>
  <c r="BD164" i="3"/>
  <c r="AX164" i="3"/>
  <c r="AR164" i="3"/>
  <c r="AL164" i="3"/>
  <c r="BC164" i="3"/>
  <c r="AW164" i="3"/>
  <c r="AQ164" i="3"/>
  <c r="AK164" i="3"/>
  <c r="BB164" i="3"/>
  <c r="AV164" i="3"/>
  <c r="AP164" i="3"/>
  <c r="AJ164" i="3"/>
  <c r="AT164" i="3"/>
  <c r="AO164" i="3"/>
  <c r="AN164" i="3"/>
  <c r="BA164" i="3"/>
  <c r="AI164" i="3"/>
  <c r="AZ164" i="3"/>
  <c r="AH164" i="3"/>
  <c r="BD179" i="3"/>
  <c r="AV179" i="3"/>
  <c r="AL179" i="3"/>
  <c r="BC179" i="3"/>
  <c r="AU179" i="3"/>
  <c r="AK179" i="3"/>
  <c r="BB179" i="3"/>
  <c r="AR179" i="3"/>
  <c r="AJ179" i="3"/>
  <c r="BA179" i="3"/>
  <c r="AX179" i="3"/>
  <c r="AQ179" i="3"/>
  <c r="AP179" i="3"/>
  <c r="AI179" i="3"/>
  <c r="BA182" i="3"/>
  <c r="AU182" i="3"/>
  <c r="AO182" i="3"/>
  <c r="AI182" i="3"/>
  <c r="AZ182" i="3"/>
  <c r="AT182" i="3"/>
  <c r="AN182" i="3"/>
  <c r="AH182" i="3"/>
  <c r="AY182" i="3"/>
  <c r="AS182" i="3"/>
  <c r="AM182" i="3"/>
  <c r="AG182" i="3"/>
  <c r="BB182" i="3"/>
  <c r="AP182" i="3"/>
  <c r="AX182" i="3"/>
  <c r="AL182" i="3"/>
  <c r="AW182" i="3"/>
  <c r="AK182" i="3"/>
  <c r="AV182" i="3"/>
  <c r="AJ182" i="3"/>
  <c r="BD182" i="3"/>
  <c r="BC182" i="3"/>
  <c r="AR182" i="3"/>
  <c r="AQ182" i="3"/>
  <c r="D59" i="3"/>
  <c r="AH62" i="3"/>
  <c r="AR62" i="3"/>
  <c r="AX62" i="3"/>
  <c r="AG65" i="3"/>
  <c r="AO65" i="3"/>
  <c r="AW65" i="3"/>
  <c r="AG68" i="3"/>
  <c r="AM68" i="3"/>
  <c r="AS68" i="3"/>
  <c r="AH70" i="3"/>
  <c r="AN70" i="3"/>
  <c r="AT70" i="3"/>
  <c r="AL71" i="3"/>
  <c r="AR71" i="3"/>
  <c r="AX71" i="3"/>
  <c r="AL76" i="3"/>
  <c r="AR76" i="3"/>
  <c r="AX76" i="3"/>
  <c r="AK78" i="3"/>
  <c r="AQ78" i="3"/>
  <c r="AW78" i="3"/>
  <c r="AI79" i="3"/>
  <c r="AO79" i="3"/>
  <c r="AU79" i="3"/>
  <c r="AG80" i="3"/>
  <c r="AM80" i="3"/>
  <c r="AS80" i="3"/>
  <c r="AK81" i="3"/>
  <c r="AQ81" i="3"/>
  <c r="AW81" i="3"/>
  <c r="AI82" i="3"/>
  <c r="AO82" i="3"/>
  <c r="AU82" i="3"/>
  <c r="AG83" i="3"/>
  <c r="AM83" i="3"/>
  <c r="AS83" i="3"/>
  <c r="AK84" i="3"/>
  <c r="AQ84" i="3"/>
  <c r="AW84" i="3"/>
  <c r="AI85" i="3"/>
  <c r="AO85" i="3"/>
  <c r="AU85" i="3"/>
  <c r="AG86" i="3"/>
  <c r="AM86" i="3"/>
  <c r="AS86" i="3"/>
  <c r="AK87" i="3"/>
  <c r="AQ87" i="3"/>
  <c r="AW87" i="3"/>
  <c r="AI88" i="3"/>
  <c r="AO88" i="3"/>
  <c r="AU88" i="3"/>
  <c r="AL89" i="3"/>
  <c r="AR89" i="3"/>
  <c r="AX89" i="3"/>
  <c r="AH91" i="3"/>
  <c r="AN91" i="3"/>
  <c r="AT91" i="3"/>
  <c r="AL92" i="3"/>
  <c r="AR92" i="3"/>
  <c r="AX92" i="3"/>
  <c r="AH93" i="3"/>
  <c r="AN93" i="3"/>
  <c r="AT93" i="3"/>
  <c r="AL94" i="3"/>
  <c r="AR94" i="3"/>
  <c r="AX94" i="3"/>
  <c r="BD96" i="3"/>
  <c r="AX96" i="3"/>
  <c r="AR96" i="3"/>
  <c r="AL96" i="3"/>
  <c r="AK96" i="3"/>
  <c r="AS96" i="3"/>
  <c r="AZ96" i="3"/>
  <c r="AG97" i="3"/>
  <c r="AQ97" i="3"/>
  <c r="AY97" i="3"/>
  <c r="AN98" i="3"/>
  <c r="AV98" i="3"/>
  <c r="AN99" i="3"/>
  <c r="AX99" i="3"/>
  <c r="AQ100" i="3"/>
  <c r="BC100" i="3"/>
  <c r="AJ103" i="3"/>
  <c r="AV103" i="3"/>
  <c r="AL107" i="3"/>
  <c r="AX107" i="3"/>
  <c r="AI108" i="3"/>
  <c r="AU108" i="3"/>
  <c r="AQ113" i="3"/>
  <c r="AW116" i="3"/>
  <c r="BA118" i="3"/>
  <c r="AU118" i="3"/>
  <c r="AO118" i="3"/>
  <c r="AI118" i="3"/>
  <c r="AZ118" i="3"/>
  <c r="AT118" i="3"/>
  <c r="AN118" i="3"/>
  <c r="AH118" i="3"/>
  <c r="AX118" i="3"/>
  <c r="AK119" i="3"/>
  <c r="BC119" i="3"/>
  <c r="AM120" i="3"/>
  <c r="BA121" i="3"/>
  <c r="AU121" i="3"/>
  <c r="AO121" i="3"/>
  <c r="AI121" i="3"/>
  <c r="AZ121" i="3"/>
  <c r="AT121" i="3"/>
  <c r="AN121" i="3"/>
  <c r="AH121" i="3"/>
  <c r="AY121" i="3"/>
  <c r="AS121" i="3"/>
  <c r="AM121" i="3"/>
  <c r="AG121" i="3"/>
  <c r="BD121" i="3"/>
  <c r="AX121" i="3"/>
  <c r="AR121" i="3"/>
  <c r="AL121" i="3"/>
  <c r="BC121" i="3"/>
  <c r="AW121" i="3"/>
  <c r="AQ121" i="3"/>
  <c r="AK121" i="3"/>
  <c r="BD123" i="3"/>
  <c r="AR126" i="3"/>
  <c r="BD134" i="3"/>
  <c r="AX137" i="3"/>
  <c r="AR140" i="3"/>
  <c r="AL143" i="3"/>
  <c r="AY146" i="3"/>
  <c r="AS146" i="3"/>
  <c r="AM146" i="3"/>
  <c r="BC146" i="3"/>
  <c r="AZ146" i="3"/>
  <c r="AR146" i="3"/>
  <c r="AK146" i="3"/>
  <c r="AX146" i="3"/>
  <c r="AQ146" i="3"/>
  <c r="AJ146" i="3"/>
  <c r="AW146" i="3"/>
  <c r="AP146" i="3"/>
  <c r="AI146" i="3"/>
  <c r="BD146" i="3"/>
  <c r="AV146" i="3"/>
  <c r="AO146" i="3"/>
  <c r="AH146" i="3"/>
  <c r="BB146" i="3"/>
  <c r="AU146" i="3"/>
  <c r="AN146" i="3"/>
  <c r="AG146" i="3"/>
  <c r="BA151" i="3"/>
  <c r="AU151" i="3"/>
  <c r="AO151" i="3"/>
  <c r="AI151" i="3"/>
  <c r="AY151" i="3"/>
  <c r="AS151" i="3"/>
  <c r="AM151" i="3"/>
  <c r="AG151" i="3"/>
  <c r="BD151" i="3"/>
  <c r="AV151" i="3"/>
  <c r="AL151" i="3"/>
  <c r="BC151" i="3"/>
  <c r="AT151" i="3"/>
  <c r="AK151" i="3"/>
  <c r="BB151" i="3"/>
  <c r="AR151" i="3"/>
  <c r="AJ151" i="3"/>
  <c r="AZ151" i="3"/>
  <c r="AQ151" i="3"/>
  <c r="AH151" i="3"/>
  <c r="AX151" i="3"/>
  <c r="AP151" i="3"/>
  <c r="AX152" i="3"/>
  <c r="AU164" i="3"/>
  <c r="AV166" i="3"/>
  <c r="AW171" i="3"/>
  <c r="AK124" i="3"/>
  <c r="AQ124" i="3"/>
  <c r="AW124" i="3"/>
  <c r="BC124" i="3"/>
  <c r="AK127" i="3"/>
  <c r="AQ127" i="3"/>
  <c r="AW127" i="3"/>
  <c r="BC127" i="3"/>
  <c r="AK129" i="3"/>
  <c r="AQ129" i="3"/>
  <c r="AW129" i="3"/>
  <c r="BC129" i="3"/>
  <c r="AK132" i="3"/>
  <c r="AQ132" i="3"/>
  <c r="AW132" i="3"/>
  <c r="BC132" i="3"/>
  <c r="AK135" i="3"/>
  <c r="AQ135" i="3"/>
  <c r="AW135" i="3"/>
  <c r="BC135" i="3"/>
  <c r="AK138" i="3"/>
  <c r="AQ138" i="3"/>
  <c r="AW138" i="3"/>
  <c r="BC138" i="3"/>
  <c r="AK141" i="3"/>
  <c r="AQ141" i="3"/>
  <c r="AW141" i="3"/>
  <c r="BC141" i="3"/>
  <c r="AK144" i="3"/>
  <c r="AQ144" i="3"/>
  <c r="AW144" i="3"/>
  <c r="BC144" i="3"/>
  <c r="BC150" i="3"/>
  <c r="AW150" i="3"/>
  <c r="AQ150" i="3"/>
  <c r="AK150" i="3"/>
  <c r="BA150" i="3"/>
  <c r="AU150" i="3"/>
  <c r="AO150" i="3"/>
  <c r="AI150" i="3"/>
  <c r="AN150" i="3"/>
  <c r="AX150" i="3"/>
  <c r="BC159" i="3"/>
  <c r="AW159" i="3"/>
  <c r="AQ159" i="3"/>
  <c r="AK159" i="3"/>
  <c r="BB159" i="3"/>
  <c r="AV159" i="3"/>
  <c r="AP159" i="3"/>
  <c r="AJ159" i="3"/>
  <c r="BA159" i="3"/>
  <c r="AU159" i="3"/>
  <c r="AO159" i="3"/>
  <c r="AI159" i="3"/>
  <c r="AZ159" i="3"/>
  <c r="AT159" i="3"/>
  <c r="AN159" i="3"/>
  <c r="AH159" i="3"/>
  <c r="AX159" i="3"/>
  <c r="BD177" i="3"/>
  <c r="AX177" i="3"/>
  <c r="AR177" i="3"/>
  <c r="AL177" i="3"/>
  <c r="AY177" i="3"/>
  <c r="AQ177" i="3"/>
  <c r="AJ177" i="3"/>
  <c r="AW177" i="3"/>
  <c r="AP177" i="3"/>
  <c r="AI177" i="3"/>
  <c r="BC177" i="3"/>
  <c r="AV177" i="3"/>
  <c r="AO177" i="3"/>
  <c r="AH177" i="3"/>
  <c r="BB177" i="3"/>
  <c r="AU177" i="3"/>
  <c r="AN177" i="3"/>
  <c r="AG177" i="3"/>
  <c r="AZ177" i="3"/>
  <c r="BB203" i="3"/>
  <c r="AV203" i="3"/>
  <c r="AP203" i="3"/>
  <c r="AJ203" i="3"/>
  <c r="BA203" i="3"/>
  <c r="AU203" i="3"/>
  <c r="AO203" i="3"/>
  <c r="AI203" i="3"/>
  <c r="AZ203" i="3"/>
  <c r="AT203" i="3"/>
  <c r="AN203" i="3"/>
  <c r="AH203" i="3"/>
  <c r="AY203" i="3"/>
  <c r="AS203" i="3"/>
  <c r="AM203" i="3"/>
  <c r="AG203" i="3"/>
  <c r="AQ203" i="3"/>
  <c r="BD203" i="3"/>
  <c r="AL203" i="3"/>
  <c r="BC203" i="3"/>
  <c r="AK203" i="3"/>
  <c r="AX203" i="3"/>
  <c r="AK111" i="3"/>
  <c r="AQ111" i="3"/>
  <c r="AW111" i="3"/>
  <c r="BC111" i="3"/>
  <c r="AK114" i="3"/>
  <c r="AQ114" i="3"/>
  <c r="AW114" i="3"/>
  <c r="BC114" i="3"/>
  <c r="AL124" i="3"/>
  <c r="AR124" i="3"/>
  <c r="AX124" i="3"/>
  <c r="BD124" i="3"/>
  <c r="AL127" i="3"/>
  <c r="AR127" i="3"/>
  <c r="AX127" i="3"/>
  <c r="BD127" i="3"/>
  <c r="AL129" i="3"/>
  <c r="AR129" i="3"/>
  <c r="AX129" i="3"/>
  <c r="BD129" i="3"/>
  <c r="AL132" i="3"/>
  <c r="AR132" i="3"/>
  <c r="AX132" i="3"/>
  <c r="BD132" i="3"/>
  <c r="AL135" i="3"/>
  <c r="AR135" i="3"/>
  <c r="AX135" i="3"/>
  <c r="BD135" i="3"/>
  <c r="AL138" i="3"/>
  <c r="AR138" i="3"/>
  <c r="AX138" i="3"/>
  <c r="BD138" i="3"/>
  <c r="AL141" i="3"/>
  <c r="AR141" i="3"/>
  <c r="AX141" i="3"/>
  <c r="BD141" i="3"/>
  <c r="AL144" i="3"/>
  <c r="AR144" i="3"/>
  <c r="AX144" i="3"/>
  <c r="BD144" i="3"/>
  <c r="BA148" i="3"/>
  <c r="AU148" i="3"/>
  <c r="AO148" i="3"/>
  <c r="AI148" i="3"/>
  <c r="AY148" i="3"/>
  <c r="AS148" i="3"/>
  <c r="AM148" i="3"/>
  <c r="AG148" i="3"/>
  <c r="AN148" i="3"/>
  <c r="AW148" i="3"/>
  <c r="AY149" i="3"/>
  <c r="AS149" i="3"/>
  <c r="AM149" i="3"/>
  <c r="AG149" i="3"/>
  <c r="BC149" i="3"/>
  <c r="AW149" i="3"/>
  <c r="AQ149" i="3"/>
  <c r="AK149" i="3"/>
  <c r="AO149" i="3"/>
  <c r="AX149" i="3"/>
  <c r="AG150" i="3"/>
  <c r="AP150" i="3"/>
  <c r="AY150" i="3"/>
  <c r="AO155" i="3"/>
  <c r="AG159" i="3"/>
  <c r="AY159" i="3"/>
  <c r="AY161" i="3"/>
  <c r="AS161" i="3"/>
  <c r="AM161" i="3"/>
  <c r="AG161" i="3"/>
  <c r="BD161" i="3"/>
  <c r="AX161" i="3"/>
  <c r="AR161" i="3"/>
  <c r="AL161" i="3"/>
  <c r="BC161" i="3"/>
  <c r="AW161" i="3"/>
  <c r="AQ161" i="3"/>
  <c r="AK161" i="3"/>
  <c r="BB161" i="3"/>
  <c r="AV161" i="3"/>
  <c r="AP161" i="3"/>
  <c r="AJ161" i="3"/>
  <c r="AU161" i="3"/>
  <c r="BA163" i="3"/>
  <c r="AU163" i="3"/>
  <c r="AO163" i="3"/>
  <c r="AI163" i="3"/>
  <c r="AZ163" i="3"/>
  <c r="AT163" i="3"/>
  <c r="AN163" i="3"/>
  <c r="AH163" i="3"/>
  <c r="AY163" i="3"/>
  <c r="AS163" i="3"/>
  <c r="AM163" i="3"/>
  <c r="AG163" i="3"/>
  <c r="BD163" i="3"/>
  <c r="AX163" i="3"/>
  <c r="AR163" i="3"/>
  <c r="AL163" i="3"/>
  <c r="AV163" i="3"/>
  <c r="BA177" i="3"/>
  <c r="AL111" i="3"/>
  <c r="AR111" i="3"/>
  <c r="AX111" i="3"/>
  <c r="BD111" i="3"/>
  <c r="AL114" i="3"/>
  <c r="AR114" i="3"/>
  <c r="AX114" i="3"/>
  <c r="BD114" i="3"/>
  <c r="AK117" i="3"/>
  <c r="AQ117" i="3"/>
  <c r="AW117" i="3"/>
  <c r="BC117" i="3"/>
  <c r="AK122" i="3"/>
  <c r="AQ122" i="3"/>
  <c r="AW122" i="3"/>
  <c r="BC122" i="3"/>
  <c r="AG124" i="3"/>
  <c r="AM124" i="3"/>
  <c r="AS124" i="3"/>
  <c r="AY124" i="3"/>
  <c r="AK125" i="3"/>
  <c r="AQ125" i="3"/>
  <c r="AW125" i="3"/>
  <c r="BC125" i="3"/>
  <c r="AG127" i="3"/>
  <c r="AM127" i="3"/>
  <c r="AS127" i="3"/>
  <c r="AY127" i="3"/>
  <c r="AG129" i="3"/>
  <c r="AM129" i="3"/>
  <c r="AS129" i="3"/>
  <c r="AY129" i="3"/>
  <c r="AK130" i="3"/>
  <c r="AQ130" i="3"/>
  <c r="AW130" i="3"/>
  <c r="BC130" i="3"/>
  <c r="AG132" i="3"/>
  <c r="AM132" i="3"/>
  <c r="AS132" i="3"/>
  <c r="AY132" i="3"/>
  <c r="AK133" i="3"/>
  <c r="AQ133" i="3"/>
  <c r="AW133" i="3"/>
  <c r="BC133" i="3"/>
  <c r="AG135" i="3"/>
  <c r="AM135" i="3"/>
  <c r="AS135" i="3"/>
  <c r="AY135" i="3"/>
  <c r="AK136" i="3"/>
  <c r="AQ136" i="3"/>
  <c r="AW136" i="3"/>
  <c r="BC136" i="3"/>
  <c r="AG138" i="3"/>
  <c r="AM138" i="3"/>
  <c r="AS138" i="3"/>
  <c r="AY138" i="3"/>
  <c r="AK139" i="3"/>
  <c r="AQ139" i="3"/>
  <c r="AW139" i="3"/>
  <c r="BC139" i="3"/>
  <c r="AG141" i="3"/>
  <c r="AM141" i="3"/>
  <c r="AS141" i="3"/>
  <c r="AY141" i="3"/>
  <c r="AK142" i="3"/>
  <c r="AQ142" i="3"/>
  <c r="AW142" i="3"/>
  <c r="BC142" i="3"/>
  <c r="AG144" i="3"/>
  <c r="AM144" i="3"/>
  <c r="AS144" i="3"/>
  <c r="AY144" i="3"/>
  <c r="AK145" i="3"/>
  <c r="AQ145" i="3"/>
  <c r="AW145" i="3"/>
  <c r="BC145" i="3"/>
  <c r="BC147" i="3"/>
  <c r="AW147" i="3"/>
  <c r="AQ147" i="3"/>
  <c r="AK147" i="3"/>
  <c r="BA147" i="3"/>
  <c r="AU147" i="3"/>
  <c r="AO147" i="3"/>
  <c r="AI147" i="3"/>
  <c r="AN147" i="3"/>
  <c r="AX147" i="3"/>
  <c r="AP148" i="3"/>
  <c r="AX148" i="3"/>
  <c r="AH149" i="3"/>
  <c r="AP149" i="3"/>
  <c r="AZ149" i="3"/>
  <c r="AH150" i="3"/>
  <c r="AR150" i="3"/>
  <c r="AZ150" i="3"/>
  <c r="AY155" i="3"/>
  <c r="AS155" i="3"/>
  <c r="AM155" i="3"/>
  <c r="AG155" i="3"/>
  <c r="BC155" i="3"/>
  <c r="AW155" i="3"/>
  <c r="AQ155" i="3"/>
  <c r="AK155" i="3"/>
  <c r="BB155" i="3"/>
  <c r="AV155" i="3"/>
  <c r="AP155" i="3"/>
  <c r="AJ155" i="3"/>
  <c r="AR155" i="3"/>
  <c r="BD155" i="3"/>
  <c r="AL159" i="3"/>
  <c r="BD159" i="3"/>
  <c r="AH161" i="3"/>
  <c r="AZ161" i="3"/>
  <c r="BC165" i="3"/>
  <c r="AW165" i="3"/>
  <c r="AQ165" i="3"/>
  <c r="AK165" i="3"/>
  <c r="BB165" i="3"/>
  <c r="AV165" i="3"/>
  <c r="AP165" i="3"/>
  <c r="AJ165" i="3"/>
  <c r="BA165" i="3"/>
  <c r="AU165" i="3"/>
  <c r="AO165" i="3"/>
  <c r="AI165" i="3"/>
  <c r="AZ165" i="3"/>
  <c r="AT165" i="3"/>
  <c r="AN165" i="3"/>
  <c r="AH165" i="3"/>
  <c r="AX165" i="3"/>
  <c r="BB168" i="3"/>
  <c r="AV168" i="3"/>
  <c r="AP168" i="3"/>
  <c r="AJ168" i="3"/>
  <c r="BA168" i="3"/>
  <c r="AU168" i="3"/>
  <c r="AO168" i="3"/>
  <c r="AI168" i="3"/>
  <c r="AZ168" i="3"/>
  <c r="AT168" i="3"/>
  <c r="AN168" i="3"/>
  <c r="AH168" i="3"/>
  <c r="AY168" i="3"/>
  <c r="AS168" i="3"/>
  <c r="AM168" i="3"/>
  <c r="AG168" i="3"/>
  <c r="AW168" i="3"/>
  <c r="AZ174" i="3"/>
  <c r="AT174" i="3"/>
  <c r="AN174" i="3"/>
  <c r="AH174" i="3"/>
  <c r="AY174" i="3"/>
  <c r="AS174" i="3"/>
  <c r="AM174" i="3"/>
  <c r="AG174" i="3"/>
  <c r="BD174" i="3"/>
  <c r="AX174" i="3"/>
  <c r="AR174" i="3"/>
  <c r="AL174" i="3"/>
  <c r="BC174" i="3"/>
  <c r="AW174" i="3"/>
  <c r="AQ174" i="3"/>
  <c r="AK174" i="3"/>
  <c r="AU174" i="3"/>
  <c r="AK177" i="3"/>
  <c r="BB197" i="3"/>
  <c r="AV197" i="3"/>
  <c r="AP197" i="3"/>
  <c r="AJ197" i="3"/>
  <c r="BA197" i="3"/>
  <c r="AU197" i="3"/>
  <c r="AO197" i="3"/>
  <c r="AI197" i="3"/>
  <c r="AZ197" i="3"/>
  <c r="AT197" i="3"/>
  <c r="AN197" i="3"/>
  <c r="AH197" i="3"/>
  <c r="AY197" i="3"/>
  <c r="AS197" i="3"/>
  <c r="AM197" i="3"/>
  <c r="AG197" i="3"/>
  <c r="BC197" i="3"/>
  <c r="AK197" i="3"/>
  <c r="AX197" i="3"/>
  <c r="AW197" i="3"/>
  <c r="AR197" i="3"/>
  <c r="AR203" i="3"/>
  <c r="BC206" i="3"/>
  <c r="AW206" i="3"/>
  <c r="AQ206" i="3"/>
  <c r="AK206" i="3"/>
  <c r="BB206" i="3"/>
  <c r="AZ206" i="3"/>
  <c r="AS206" i="3"/>
  <c r="AL206" i="3"/>
  <c r="AY206" i="3"/>
  <c r="AR206" i="3"/>
  <c r="AJ206" i="3"/>
  <c r="AX206" i="3"/>
  <c r="AP206" i="3"/>
  <c r="AI206" i="3"/>
  <c r="AV206" i="3"/>
  <c r="AO206" i="3"/>
  <c r="AH206" i="3"/>
  <c r="AU206" i="3"/>
  <c r="AT206" i="3"/>
  <c r="AN206" i="3"/>
  <c r="AM206" i="3"/>
  <c r="AY231" i="3"/>
  <c r="AS231" i="3"/>
  <c r="AM231" i="3"/>
  <c r="AG231" i="3"/>
  <c r="BD231" i="3"/>
  <c r="AX231" i="3"/>
  <c r="AR231" i="3"/>
  <c r="AL231" i="3"/>
  <c r="BC231" i="3"/>
  <c r="AW231" i="3"/>
  <c r="AQ231" i="3"/>
  <c r="AK231" i="3"/>
  <c r="BB231" i="3"/>
  <c r="AV231" i="3"/>
  <c r="AP231" i="3"/>
  <c r="AJ231" i="3"/>
  <c r="AO231" i="3"/>
  <c r="AN231" i="3"/>
  <c r="BA231" i="3"/>
  <c r="AI231" i="3"/>
  <c r="AZ231" i="3"/>
  <c r="AH231" i="3"/>
  <c r="AU231" i="3"/>
  <c r="AT231" i="3"/>
  <c r="AK101" i="3"/>
  <c r="AQ101" i="3"/>
  <c r="AW101" i="3"/>
  <c r="BC101" i="3"/>
  <c r="AK104" i="3"/>
  <c r="AQ104" i="3"/>
  <c r="AW104" i="3"/>
  <c r="BC104" i="3"/>
  <c r="AK106" i="3"/>
  <c r="AQ106" i="3"/>
  <c r="AW106" i="3"/>
  <c r="BC106" i="3"/>
  <c r="AK109" i="3"/>
  <c r="AQ109" i="3"/>
  <c r="AW109" i="3"/>
  <c r="BC109" i="3"/>
  <c r="AG111" i="3"/>
  <c r="AM111" i="3"/>
  <c r="AS111" i="3"/>
  <c r="AY111" i="3"/>
  <c r="AK112" i="3"/>
  <c r="AQ112" i="3"/>
  <c r="AW112" i="3"/>
  <c r="BC112" i="3"/>
  <c r="AG114" i="3"/>
  <c r="AM114" i="3"/>
  <c r="AS114" i="3"/>
  <c r="AY114" i="3"/>
  <c r="AK115" i="3"/>
  <c r="AQ115" i="3"/>
  <c r="AW115" i="3"/>
  <c r="BC115" i="3"/>
  <c r="AL117" i="3"/>
  <c r="AR117" i="3"/>
  <c r="AX117" i="3"/>
  <c r="BD117" i="3"/>
  <c r="AJ118" i="3"/>
  <c r="AP118" i="3"/>
  <c r="AV118" i="3"/>
  <c r="BB118" i="3"/>
  <c r="AL122" i="3"/>
  <c r="AR122" i="3"/>
  <c r="AX122" i="3"/>
  <c r="BD122" i="3"/>
  <c r="AH124" i="3"/>
  <c r="AN124" i="3"/>
  <c r="AT124" i="3"/>
  <c r="AZ124" i="3"/>
  <c r="AL125" i="3"/>
  <c r="AR125" i="3"/>
  <c r="AX125" i="3"/>
  <c r="BD125" i="3"/>
  <c r="AJ126" i="3"/>
  <c r="AP126" i="3"/>
  <c r="AV126" i="3"/>
  <c r="BB126" i="3"/>
  <c r="AH127" i="3"/>
  <c r="AN127" i="3"/>
  <c r="AT127" i="3"/>
  <c r="AZ127" i="3"/>
  <c r="AJ128" i="3"/>
  <c r="AP128" i="3"/>
  <c r="AV128" i="3"/>
  <c r="BB128" i="3"/>
  <c r="AH129" i="3"/>
  <c r="AN129" i="3"/>
  <c r="AT129" i="3"/>
  <c r="AZ129" i="3"/>
  <c r="AL130" i="3"/>
  <c r="AR130" i="3"/>
  <c r="AX130" i="3"/>
  <c r="BD130" i="3"/>
  <c r="AH132" i="3"/>
  <c r="AN132" i="3"/>
  <c r="AT132" i="3"/>
  <c r="AZ132" i="3"/>
  <c r="AL133" i="3"/>
  <c r="AR133" i="3"/>
  <c r="AX133" i="3"/>
  <c r="BD133" i="3"/>
  <c r="AH135" i="3"/>
  <c r="AN135" i="3"/>
  <c r="AT135" i="3"/>
  <c r="AZ135" i="3"/>
  <c r="AL136" i="3"/>
  <c r="AR136" i="3"/>
  <c r="AX136" i="3"/>
  <c r="BD136" i="3"/>
  <c r="AH138" i="3"/>
  <c r="AN138" i="3"/>
  <c r="AT138" i="3"/>
  <c r="AZ138" i="3"/>
  <c r="AL139" i="3"/>
  <c r="AR139" i="3"/>
  <c r="AX139" i="3"/>
  <c r="BD139" i="3"/>
  <c r="AH141" i="3"/>
  <c r="AN141" i="3"/>
  <c r="AT141" i="3"/>
  <c r="AZ141" i="3"/>
  <c r="AL142" i="3"/>
  <c r="AR142" i="3"/>
  <c r="AX142" i="3"/>
  <c r="BD142" i="3"/>
  <c r="AH144" i="3"/>
  <c r="AN144" i="3"/>
  <c r="AT144" i="3"/>
  <c r="AZ144" i="3"/>
  <c r="AL145" i="3"/>
  <c r="AR145" i="3"/>
  <c r="AX145" i="3"/>
  <c r="BD145" i="3"/>
  <c r="AG147" i="3"/>
  <c r="AP147" i="3"/>
  <c r="AY147" i="3"/>
  <c r="AH148" i="3"/>
  <c r="AQ148" i="3"/>
  <c r="AZ148" i="3"/>
  <c r="AI149" i="3"/>
  <c r="AR149" i="3"/>
  <c r="BA149" i="3"/>
  <c r="AJ150" i="3"/>
  <c r="AS150" i="3"/>
  <c r="BB150" i="3"/>
  <c r="BA154" i="3"/>
  <c r="AU154" i="3"/>
  <c r="AO154" i="3"/>
  <c r="AI154" i="3"/>
  <c r="AY154" i="3"/>
  <c r="AS154" i="3"/>
  <c r="AM154" i="3"/>
  <c r="AG154" i="3"/>
  <c r="BD154" i="3"/>
  <c r="AN154" i="3"/>
  <c r="AW154" i="3"/>
  <c r="AH155" i="3"/>
  <c r="AT155" i="3"/>
  <c r="BC156" i="3"/>
  <c r="AW156" i="3"/>
  <c r="AQ156" i="3"/>
  <c r="AK156" i="3"/>
  <c r="BA156" i="3"/>
  <c r="AU156" i="3"/>
  <c r="AO156" i="3"/>
  <c r="AI156" i="3"/>
  <c r="AZ156" i="3"/>
  <c r="AT156" i="3"/>
  <c r="AN156" i="3"/>
  <c r="AH156" i="3"/>
  <c r="AR156" i="3"/>
  <c r="BD156" i="3"/>
  <c r="AY158" i="3"/>
  <c r="AS158" i="3"/>
  <c r="AM158" i="3"/>
  <c r="AG158" i="3"/>
  <c r="BD158" i="3"/>
  <c r="AX158" i="3"/>
  <c r="AR158" i="3"/>
  <c r="AL158" i="3"/>
  <c r="BC158" i="3"/>
  <c r="AW158" i="3"/>
  <c r="AQ158" i="3"/>
  <c r="AK158" i="3"/>
  <c r="BB158" i="3"/>
  <c r="AV158" i="3"/>
  <c r="AP158" i="3"/>
  <c r="AJ158" i="3"/>
  <c r="AU158" i="3"/>
  <c r="AM159" i="3"/>
  <c r="BA160" i="3"/>
  <c r="AU160" i="3"/>
  <c r="AO160" i="3"/>
  <c r="AI160" i="3"/>
  <c r="AZ160" i="3"/>
  <c r="AT160" i="3"/>
  <c r="AN160" i="3"/>
  <c r="AH160" i="3"/>
  <c r="AY160" i="3"/>
  <c r="AS160" i="3"/>
  <c r="AM160" i="3"/>
  <c r="AG160" i="3"/>
  <c r="BD160" i="3"/>
  <c r="AX160" i="3"/>
  <c r="AR160" i="3"/>
  <c r="AL160" i="3"/>
  <c r="AV160" i="3"/>
  <c r="AI161" i="3"/>
  <c r="BA161" i="3"/>
  <c r="AJ163" i="3"/>
  <c r="BB163" i="3"/>
  <c r="AG165" i="3"/>
  <c r="AY165" i="3"/>
  <c r="AX168" i="3"/>
  <c r="AV174" i="3"/>
  <c r="AM177" i="3"/>
  <c r="BD186" i="3"/>
  <c r="AX186" i="3"/>
  <c r="AR186" i="3"/>
  <c r="AL186" i="3"/>
  <c r="BC186" i="3"/>
  <c r="AW186" i="3"/>
  <c r="AQ186" i="3"/>
  <c r="AK186" i="3"/>
  <c r="BB186" i="3"/>
  <c r="AV186" i="3"/>
  <c r="AP186" i="3"/>
  <c r="AJ186" i="3"/>
  <c r="AY186" i="3"/>
  <c r="AM186" i="3"/>
  <c r="AU186" i="3"/>
  <c r="AI186" i="3"/>
  <c r="AT186" i="3"/>
  <c r="AH186" i="3"/>
  <c r="AS186" i="3"/>
  <c r="AG186" i="3"/>
  <c r="AL197" i="3"/>
  <c r="AW203" i="3"/>
  <c r="AG206" i="3"/>
  <c r="AL101" i="3"/>
  <c r="AR101" i="3"/>
  <c r="AX101" i="3"/>
  <c r="AL104" i="3"/>
  <c r="AR104" i="3"/>
  <c r="AX104" i="3"/>
  <c r="AL106" i="3"/>
  <c r="AR106" i="3"/>
  <c r="AX106" i="3"/>
  <c r="AL109" i="3"/>
  <c r="AR109" i="3"/>
  <c r="AX109" i="3"/>
  <c r="AH111" i="3"/>
  <c r="AN111" i="3"/>
  <c r="AT111" i="3"/>
  <c r="AL112" i="3"/>
  <c r="AR112" i="3"/>
  <c r="AX112" i="3"/>
  <c r="AH114" i="3"/>
  <c r="AN114" i="3"/>
  <c r="AT114" i="3"/>
  <c r="AL115" i="3"/>
  <c r="AR115" i="3"/>
  <c r="AX115" i="3"/>
  <c r="AG117" i="3"/>
  <c r="AM117" i="3"/>
  <c r="AS117" i="3"/>
  <c r="AK118" i="3"/>
  <c r="AQ118" i="3"/>
  <c r="AW118" i="3"/>
  <c r="AG122" i="3"/>
  <c r="AM122" i="3"/>
  <c r="AS122" i="3"/>
  <c r="AI124" i="3"/>
  <c r="AO124" i="3"/>
  <c r="AU124" i="3"/>
  <c r="AG125" i="3"/>
  <c r="AM125" i="3"/>
  <c r="AS125" i="3"/>
  <c r="AK126" i="3"/>
  <c r="AQ126" i="3"/>
  <c r="AW126" i="3"/>
  <c r="AI127" i="3"/>
  <c r="AO127" i="3"/>
  <c r="AU127" i="3"/>
  <c r="AK128" i="3"/>
  <c r="AQ128" i="3"/>
  <c r="AW128" i="3"/>
  <c r="AI129" i="3"/>
  <c r="AO129" i="3"/>
  <c r="AU129" i="3"/>
  <c r="AG130" i="3"/>
  <c r="AM130" i="3"/>
  <c r="AS130" i="3"/>
  <c r="AI132" i="3"/>
  <c r="AO132" i="3"/>
  <c r="AU132" i="3"/>
  <c r="AG133" i="3"/>
  <c r="AM133" i="3"/>
  <c r="AS133" i="3"/>
  <c r="AI135" i="3"/>
  <c r="AO135" i="3"/>
  <c r="AU135" i="3"/>
  <c r="AG136" i="3"/>
  <c r="AM136" i="3"/>
  <c r="AS136" i="3"/>
  <c r="AI138" i="3"/>
  <c r="AO138" i="3"/>
  <c r="AU138" i="3"/>
  <c r="AG139" i="3"/>
  <c r="AM139" i="3"/>
  <c r="AS139" i="3"/>
  <c r="AI141" i="3"/>
  <c r="AO141" i="3"/>
  <c r="AU141" i="3"/>
  <c r="AG142" i="3"/>
  <c r="AM142" i="3"/>
  <c r="AS142" i="3"/>
  <c r="AI144" i="3"/>
  <c r="AO144" i="3"/>
  <c r="AU144" i="3"/>
  <c r="AG145" i="3"/>
  <c r="AM145" i="3"/>
  <c r="AS145" i="3"/>
  <c r="AH147" i="3"/>
  <c r="AR147" i="3"/>
  <c r="AZ147" i="3"/>
  <c r="AJ148" i="3"/>
  <c r="AR148" i="3"/>
  <c r="BB148" i="3"/>
  <c r="AJ149" i="3"/>
  <c r="AT149" i="3"/>
  <c r="BB149" i="3"/>
  <c r="AL150" i="3"/>
  <c r="AT150" i="3"/>
  <c r="BD150" i="3"/>
  <c r="BC153" i="3"/>
  <c r="AW153" i="3"/>
  <c r="AQ153" i="3"/>
  <c r="AK153" i="3"/>
  <c r="BA153" i="3"/>
  <c r="AU153" i="3"/>
  <c r="AO153" i="3"/>
  <c r="AI153" i="3"/>
  <c r="AN153" i="3"/>
  <c r="AX153" i="3"/>
  <c r="AP154" i="3"/>
  <c r="AX154" i="3"/>
  <c r="AI155" i="3"/>
  <c r="AU155" i="3"/>
  <c r="AG156" i="3"/>
  <c r="AS156" i="3"/>
  <c r="BA157" i="3"/>
  <c r="AU157" i="3"/>
  <c r="AO157" i="3"/>
  <c r="AI157" i="3"/>
  <c r="AZ157" i="3"/>
  <c r="AT157" i="3"/>
  <c r="AN157" i="3"/>
  <c r="AY157" i="3"/>
  <c r="AS157" i="3"/>
  <c r="AM157" i="3"/>
  <c r="AG157" i="3"/>
  <c r="BD157" i="3"/>
  <c r="AX157" i="3"/>
  <c r="AR157" i="3"/>
  <c r="AL157" i="3"/>
  <c r="AQ157" i="3"/>
  <c r="AH158" i="3"/>
  <c r="AZ158" i="3"/>
  <c r="AR159" i="3"/>
  <c r="AW160" i="3"/>
  <c r="AN161" i="3"/>
  <c r="BC162" i="3"/>
  <c r="AW162" i="3"/>
  <c r="AQ162" i="3"/>
  <c r="AK162" i="3"/>
  <c r="BB162" i="3"/>
  <c r="AV162" i="3"/>
  <c r="AP162" i="3"/>
  <c r="AJ162" i="3"/>
  <c r="BA162" i="3"/>
  <c r="AU162" i="3"/>
  <c r="AO162" i="3"/>
  <c r="AI162" i="3"/>
  <c r="AZ162" i="3"/>
  <c r="AT162" i="3"/>
  <c r="AN162" i="3"/>
  <c r="AH162" i="3"/>
  <c r="AX162" i="3"/>
  <c r="AK163" i="3"/>
  <c r="BC163" i="3"/>
  <c r="AL165" i="3"/>
  <c r="BD165" i="3"/>
  <c r="AK168" i="3"/>
  <c r="BC168" i="3"/>
  <c r="AI174" i="3"/>
  <c r="BA174" i="3"/>
  <c r="AS177" i="3"/>
  <c r="BD196" i="3"/>
  <c r="AX196" i="3"/>
  <c r="AR196" i="3"/>
  <c r="AL196" i="3"/>
  <c r="BC196" i="3"/>
  <c r="AW196" i="3"/>
  <c r="AQ196" i="3"/>
  <c r="AK196" i="3"/>
  <c r="BB196" i="3"/>
  <c r="AV196" i="3"/>
  <c r="AP196" i="3"/>
  <c r="AJ196" i="3"/>
  <c r="BA196" i="3"/>
  <c r="AU196" i="3"/>
  <c r="AO196" i="3"/>
  <c r="AI196" i="3"/>
  <c r="AS196" i="3"/>
  <c r="AN196" i="3"/>
  <c r="AM196" i="3"/>
  <c r="AZ196" i="3"/>
  <c r="AH196" i="3"/>
  <c r="AQ197" i="3"/>
  <c r="BA206" i="3"/>
  <c r="AP214" i="3"/>
  <c r="BC214" i="3"/>
  <c r="AK214" i="3"/>
  <c r="BB214" i="3"/>
  <c r="AW214" i="3"/>
  <c r="BC238" i="3"/>
  <c r="AW238" i="3"/>
  <c r="AQ238" i="3"/>
  <c r="AK238" i="3"/>
  <c r="BB238" i="3"/>
  <c r="AV238" i="3"/>
  <c r="AP238" i="3"/>
  <c r="AJ238" i="3"/>
  <c r="BA238" i="3"/>
  <c r="AU238" i="3"/>
  <c r="AO238" i="3"/>
  <c r="AI238" i="3"/>
  <c r="AZ238" i="3"/>
  <c r="AT238" i="3"/>
  <c r="AN238" i="3"/>
  <c r="AH238" i="3"/>
  <c r="AS238" i="3"/>
  <c r="AR238" i="3"/>
  <c r="AM238" i="3"/>
  <c r="BD238" i="3"/>
  <c r="AL238" i="3"/>
  <c r="AY238" i="3"/>
  <c r="AX238" i="3"/>
  <c r="AG238" i="3"/>
  <c r="AI167" i="3"/>
  <c r="AO167" i="3"/>
  <c r="AU167" i="3"/>
  <c r="BA167" i="3"/>
  <c r="AK169" i="3"/>
  <c r="AQ169" i="3"/>
  <c r="AW169" i="3"/>
  <c r="BC169" i="3"/>
  <c r="AI170" i="3"/>
  <c r="AO170" i="3"/>
  <c r="AU170" i="3"/>
  <c r="BA170" i="3"/>
  <c r="AK172" i="3"/>
  <c r="AQ172" i="3"/>
  <c r="AW172" i="3"/>
  <c r="BC172" i="3"/>
  <c r="AI173" i="3"/>
  <c r="AO173" i="3"/>
  <c r="AU173" i="3"/>
  <c r="BA173" i="3"/>
  <c r="AI175" i="3"/>
  <c r="AO175" i="3"/>
  <c r="AU175" i="3"/>
  <c r="BA175" i="3"/>
  <c r="AI178" i="3"/>
  <c r="AR178" i="3"/>
  <c r="AZ178" i="3"/>
  <c r="BB187" i="3"/>
  <c r="AV187" i="3"/>
  <c r="AP187" i="3"/>
  <c r="AJ187" i="3"/>
  <c r="BA187" i="3"/>
  <c r="AU187" i="3"/>
  <c r="AO187" i="3"/>
  <c r="AI187" i="3"/>
  <c r="AZ187" i="3"/>
  <c r="AT187" i="3"/>
  <c r="AN187" i="3"/>
  <c r="AH187" i="3"/>
  <c r="AQ187" i="3"/>
  <c r="BC187" i="3"/>
  <c r="AR192" i="3"/>
  <c r="BB200" i="3"/>
  <c r="AV200" i="3"/>
  <c r="AP200" i="3"/>
  <c r="AJ200" i="3"/>
  <c r="BA200" i="3"/>
  <c r="AU200" i="3"/>
  <c r="AO200" i="3"/>
  <c r="AI200" i="3"/>
  <c r="AZ200" i="3"/>
  <c r="AT200" i="3"/>
  <c r="AN200" i="3"/>
  <c r="AH200" i="3"/>
  <c r="AY200" i="3"/>
  <c r="AS200" i="3"/>
  <c r="AM200" i="3"/>
  <c r="AG200" i="3"/>
  <c r="AW200" i="3"/>
  <c r="AN202" i="3"/>
  <c r="BA251" i="3"/>
  <c r="AU251" i="3"/>
  <c r="AO251" i="3"/>
  <c r="AI251" i="3"/>
  <c r="AZ251" i="3"/>
  <c r="AT251" i="3"/>
  <c r="AN251" i="3"/>
  <c r="AH251" i="3"/>
  <c r="AY251" i="3"/>
  <c r="AS251" i="3"/>
  <c r="AM251" i="3"/>
  <c r="AG251" i="3"/>
  <c r="BD251" i="3"/>
  <c r="AX251" i="3"/>
  <c r="AR251" i="3"/>
  <c r="AL251" i="3"/>
  <c r="AQ251" i="3"/>
  <c r="AP251" i="3"/>
  <c r="BC251" i="3"/>
  <c r="AK251" i="3"/>
  <c r="BB251" i="3"/>
  <c r="AJ251" i="3"/>
  <c r="AW251" i="3"/>
  <c r="AV251" i="3"/>
  <c r="AJ167" i="3"/>
  <c r="AP167" i="3"/>
  <c r="AV167" i="3"/>
  <c r="BB167" i="3"/>
  <c r="AL169" i="3"/>
  <c r="AR169" i="3"/>
  <c r="AX169" i="3"/>
  <c r="BD169" i="3"/>
  <c r="AJ170" i="3"/>
  <c r="AP170" i="3"/>
  <c r="AV170" i="3"/>
  <c r="BB170" i="3"/>
  <c r="AL172" i="3"/>
  <c r="AR172" i="3"/>
  <c r="AX172" i="3"/>
  <c r="BD172" i="3"/>
  <c r="AJ173" i="3"/>
  <c r="AP173" i="3"/>
  <c r="AV173" i="3"/>
  <c r="BB173" i="3"/>
  <c r="AJ175" i="3"/>
  <c r="AP175" i="3"/>
  <c r="AV175" i="3"/>
  <c r="BB175" i="3"/>
  <c r="AK178" i="3"/>
  <c r="AS178" i="3"/>
  <c r="AR184" i="3"/>
  <c r="BD184" i="3"/>
  <c r="AR187" i="3"/>
  <c r="BD187" i="3"/>
  <c r="BB189" i="3"/>
  <c r="AV189" i="3"/>
  <c r="AP189" i="3"/>
  <c r="AJ189" i="3"/>
  <c r="BA189" i="3"/>
  <c r="AU189" i="3"/>
  <c r="AO189" i="3"/>
  <c r="AI189" i="3"/>
  <c r="AZ189" i="3"/>
  <c r="AT189" i="3"/>
  <c r="AN189" i="3"/>
  <c r="AH189" i="3"/>
  <c r="AY189" i="3"/>
  <c r="AS189" i="3"/>
  <c r="AM189" i="3"/>
  <c r="AG189" i="3"/>
  <c r="AW189" i="3"/>
  <c r="BB192" i="3"/>
  <c r="AV192" i="3"/>
  <c r="AP192" i="3"/>
  <c r="AJ192" i="3"/>
  <c r="BA192" i="3"/>
  <c r="AU192" i="3"/>
  <c r="AO192" i="3"/>
  <c r="AI192" i="3"/>
  <c r="AZ192" i="3"/>
  <c r="AT192" i="3"/>
  <c r="AN192" i="3"/>
  <c r="AH192" i="3"/>
  <c r="AY192" i="3"/>
  <c r="AS192" i="3"/>
  <c r="AM192" i="3"/>
  <c r="AG192" i="3"/>
  <c r="AW192" i="3"/>
  <c r="AX200" i="3"/>
  <c r="BD205" i="3"/>
  <c r="AX205" i="3"/>
  <c r="AR205" i="3"/>
  <c r="AL205" i="3"/>
  <c r="BC205" i="3"/>
  <c r="AW205" i="3"/>
  <c r="AQ205" i="3"/>
  <c r="AK205" i="3"/>
  <c r="BB205" i="3"/>
  <c r="AV205" i="3"/>
  <c r="AP205" i="3"/>
  <c r="AJ205" i="3"/>
  <c r="BA205" i="3"/>
  <c r="AU205" i="3"/>
  <c r="AO205" i="3"/>
  <c r="AI205" i="3"/>
  <c r="AT205" i="3"/>
  <c r="AK167" i="3"/>
  <c r="AQ167" i="3"/>
  <c r="AW167" i="3"/>
  <c r="BC167" i="3"/>
  <c r="AY169" i="3"/>
  <c r="AK170" i="3"/>
  <c r="AQ170" i="3"/>
  <c r="AW170" i="3"/>
  <c r="BC170" i="3"/>
  <c r="AS172" i="3"/>
  <c r="AY172" i="3"/>
  <c r="AK173" i="3"/>
  <c r="AQ173" i="3"/>
  <c r="AW173" i="3"/>
  <c r="BC173" i="3"/>
  <c r="AK175" i="3"/>
  <c r="AQ175" i="3"/>
  <c r="AW175" i="3"/>
  <c r="BC175" i="3"/>
  <c r="BB178" i="3"/>
  <c r="AV178" i="3"/>
  <c r="AP178" i="3"/>
  <c r="AJ178" i="3"/>
  <c r="BA178" i="3"/>
  <c r="AU178" i="3"/>
  <c r="AO178" i="3"/>
  <c r="AL178" i="3"/>
  <c r="AT178" i="3"/>
  <c r="BD178" i="3"/>
  <c r="AG187" i="3"/>
  <c r="AS187" i="3"/>
  <c r="BB194" i="3"/>
  <c r="AV194" i="3"/>
  <c r="AP194" i="3"/>
  <c r="AJ194" i="3"/>
  <c r="BA194" i="3"/>
  <c r="AU194" i="3"/>
  <c r="AO194" i="3"/>
  <c r="AI194" i="3"/>
  <c r="AZ194" i="3"/>
  <c r="AT194" i="3"/>
  <c r="AN194" i="3"/>
  <c r="AH194" i="3"/>
  <c r="AY194" i="3"/>
  <c r="AS194" i="3"/>
  <c r="AM194" i="3"/>
  <c r="AG194" i="3"/>
  <c r="AW194" i="3"/>
  <c r="AK200" i="3"/>
  <c r="BC200" i="3"/>
  <c r="BD202" i="3"/>
  <c r="AX202" i="3"/>
  <c r="AR202" i="3"/>
  <c r="AL202" i="3"/>
  <c r="BC202" i="3"/>
  <c r="AW202" i="3"/>
  <c r="AQ202" i="3"/>
  <c r="AK202" i="3"/>
  <c r="BB202" i="3"/>
  <c r="AV202" i="3"/>
  <c r="AP202" i="3"/>
  <c r="AJ202" i="3"/>
  <c r="BA202" i="3"/>
  <c r="AU202" i="3"/>
  <c r="AO202" i="3"/>
  <c r="AI202" i="3"/>
  <c r="AT202" i="3"/>
  <c r="BC229" i="3"/>
  <c r="AW229" i="3"/>
  <c r="AQ229" i="3"/>
  <c r="AK229" i="3"/>
  <c r="BB229" i="3"/>
  <c r="AV229" i="3"/>
  <c r="AP229" i="3"/>
  <c r="AJ229" i="3"/>
  <c r="BA229" i="3"/>
  <c r="AU229" i="3"/>
  <c r="AO229" i="3"/>
  <c r="AI229" i="3"/>
  <c r="AZ229" i="3"/>
  <c r="AT229" i="3"/>
  <c r="AN229" i="3"/>
  <c r="AH229" i="3"/>
  <c r="AS229" i="3"/>
  <c r="AR229" i="3"/>
  <c r="AM229" i="3"/>
  <c r="BD229" i="3"/>
  <c r="AL229" i="3"/>
  <c r="AY240" i="3"/>
  <c r="AS240" i="3"/>
  <c r="AM240" i="3"/>
  <c r="AG240" i="3"/>
  <c r="BD240" i="3"/>
  <c r="AX240" i="3"/>
  <c r="AR240" i="3"/>
  <c r="AL240" i="3"/>
  <c r="BC240" i="3"/>
  <c r="AW240" i="3"/>
  <c r="AQ240" i="3"/>
  <c r="AK240" i="3"/>
  <c r="BB240" i="3"/>
  <c r="AV240" i="3"/>
  <c r="AP240" i="3"/>
  <c r="AJ240" i="3"/>
  <c r="AO240" i="3"/>
  <c r="AN240" i="3"/>
  <c r="BA240" i="3"/>
  <c r="AI240" i="3"/>
  <c r="AZ240" i="3"/>
  <c r="AH240" i="3"/>
  <c r="AL167" i="3"/>
  <c r="AR167" i="3"/>
  <c r="AX167" i="3"/>
  <c r="AH169" i="3"/>
  <c r="AN169" i="3"/>
  <c r="AT169" i="3"/>
  <c r="AL170" i="3"/>
  <c r="AR170" i="3"/>
  <c r="AX170" i="3"/>
  <c r="AH172" i="3"/>
  <c r="AN172" i="3"/>
  <c r="AT172" i="3"/>
  <c r="AL173" i="3"/>
  <c r="AR173" i="3"/>
  <c r="AX173" i="3"/>
  <c r="AL175" i="3"/>
  <c r="AR175" i="3"/>
  <c r="AX175" i="3"/>
  <c r="AM178" i="3"/>
  <c r="AW178" i="3"/>
  <c r="AZ179" i="3"/>
  <c r="AT179" i="3"/>
  <c r="AN179" i="3"/>
  <c r="AH179" i="3"/>
  <c r="AY179" i="3"/>
  <c r="AS179" i="3"/>
  <c r="AM179" i="3"/>
  <c r="AG179" i="3"/>
  <c r="AO179" i="3"/>
  <c r="AW179" i="3"/>
  <c r="BC181" i="3"/>
  <c r="AW181" i="3"/>
  <c r="AQ181" i="3"/>
  <c r="AK181" i="3"/>
  <c r="BB181" i="3"/>
  <c r="AV181" i="3"/>
  <c r="AP181" i="3"/>
  <c r="AJ181" i="3"/>
  <c r="BA181" i="3"/>
  <c r="AU181" i="3"/>
  <c r="AO181" i="3"/>
  <c r="AI181" i="3"/>
  <c r="AR181" i="3"/>
  <c r="BD181" i="3"/>
  <c r="AH184" i="3"/>
  <c r="AZ185" i="3"/>
  <c r="AT185" i="3"/>
  <c r="AN185" i="3"/>
  <c r="AH185" i="3"/>
  <c r="AS185" i="3"/>
  <c r="AM185" i="3"/>
  <c r="AG185" i="3"/>
  <c r="BD185" i="3"/>
  <c r="AX185" i="3"/>
  <c r="AR185" i="3"/>
  <c r="AL185" i="3"/>
  <c r="AP185" i="3"/>
  <c r="BB185" i="3"/>
  <c r="AK187" i="3"/>
  <c r="AW187" i="3"/>
  <c r="AK189" i="3"/>
  <c r="BC189" i="3"/>
  <c r="AK192" i="3"/>
  <c r="BC192" i="3"/>
  <c r="AX194" i="3"/>
  <c r="BD199" i="3"/>
  <c r="AX199" i="3"/>
  <c r="AR199" i="3"/>
  <c r="AL199" i="3"/>
  <c r="BC199" i="3"/>
  <c r="AW199" i="3"/>
  <c r="AQ199" i="3"/>
  <c r="AK199" i="3"/>
  <c r="BB199" i="3"/>
  <c r="AV199" i="3"/>
  <c r="AP199" i="3"/>
  <c r="AJ199" i="3"/>
  <c r="BA199" i="3"/>
  <c r="AU199" i="3"/>
  <c r="AO199" i="3"/>
  <c r="AI199" i="3"/>
  <c r="AT199" i="3"/>
  <c r="AL200" i="3"/>
  <c r="BD200" i="3"/>
  <c r="AG202" i="3"/>
  <c r="AY202" i="3"/>
  <c r="AH205" i="3"/>
  <c r="AZ205" i="3"/>
  <c r="AQ214" i="3"/>
  <c r="AG229" i="3"/>
  <c r="AT240" i="3"/>
  <c r="AK188" i="3"/>
  <c r="AQ188" i="3"/>
  <c r="AW188" i="3"/>
  <c r="BC188" i="3"/>
  <c r="AK190" i="3"/>
  <c r="AQ190" i="3"/>
  <c r="AW190" i="3"/>
  <c r="BC190" i="3"/>
  <c r="AK195" i="3"/>
  <c r="AQ195" i="3"/>
  <c r="AW195" i="3"/>
  <c r="BC195" i="3"/>
  <c r="AK198" i="3"/>
  <c r="AQ198" i="3"/>
  <c r="AW198" i="3"/>
  <c r="BC198" i="3"/>
  <c r="AK201" i="3"/>
  <c r="AQ201" i="3"/>
  <c r="AW201" i="3"/>
  <c r="BC201" i="3"/>
  <c r="AK204" i="3"/>
  <c r="AQ204" i="3"/>
  <c r="AW204" i="3"/>
  <c r="BC204" i="3"/>
  <c r="BA207" i="3"/>
  <c r="AU207" i="3"/>
  <c r="AO207" i="3"/>
  <c r="AI207" i="3"/>
  <c r="AZ207" i="3"/>
  <c r="AT207" i="3"/>
  <c r="AN207" i="3"/>
  <c r="AH207" i="3"/>
  <c r="AM207" i="3"/>
  <c r="AW207" i="3"/>
  <c r="AX209" i="3"/>
  <c r="AX212" i="3"/>
  <c r="AX216" i="3"/>
  <c r="BA219" i="3"/>
  <c r="AU219" i="3"/>
  <c r="AO219" i="3"/>
  <c r="AI219" i="3"/>
  <c r="AZ219" i="3"/>
  <c r="AT219" i="3"/>
  <c r="AN219" i="3"/>
  <c r="AH219" i="3"/>
  <c r="AX219" i="3"/>
  <c r="BA222" i="3"/>
  <c r="AU222" i="3"/>
  <c r="AO222" i="3"/>
  <c r="AI222" i="3"/>
  <c r="AZ222" i="3"/>
  <c r="AT222" i="3"/>
  <c r="AN222" i="3"/>
  <c r="AH222" i="3"/>
  <c r="AY222" i="3"/>
  <c r="AS222" i="3"/>
  <c r="AM222" i="3"/>
  <c r="AG222" i="3"/>
  <c r="BD222" i="3"/>
  <c r="AX222" i="3"/>
  <c r="AR222" i="3"/>
  <c r="AL222" i="3"/>
  <c r="AV222" i="3"/>
  <c r="BA225" i="3"/>
  <c r="AU225" i="3"/>
  <c r="AO225" i="3"/>
  <c r="AI225" i="3"/>
  <c r="AZ225" i="3"/>
  <c r="AT225" i="3"/>
  <c r="AN225" i="3"/>
  <c r="AH225" i="3"/>
  <c r="AY225" i="3"/>
  <c r="AS225" i="3"/>
  <c r="AM225" i="3"/>
  <c r="AG225" i="3"/>
  <c r="BD225" i="3"/>
  <c r="AX225" i="3"/>
  <c r="AR225" i="3"/>
  <c r="AL225" i="3"/>
  <c r="AV225" i="3"/>
  <c r="BC235" i="3"/>
  <c r="AW235" i="3"/>
  <c r="AQ235" i="3"/>
  <c r="AK235" i="3"/>
  <c r="BB235" i="3"/>
  <c r="AV235" i="3"/>
  <c r="AP235" i="3"/>
  <c r="AJ235" i="3"/>
  <c r="BA235" i="3"/>
  <c r="AU235" i="3"/>
  <c r="AO235" i="3"/>
  <c r="AI235" i="3"/>
  <c r="AZ235" i="3"/>
  <c r="AT235" i="3"/>
  <c r="AN235" i="3"/>
  <c r="AH235" i="3"/>
  <c r="AX235" i="3"/>
  <c r="AY242" i="3"/>
  <c r="D226" i="3"/>
  <c r="BB253" i="3"/>
  <c r="AV253" i="3"/>
  <c r="AP253" i="3"/>
  <c r="AJ253" i="3"/>
  <c r="AZ253" i="3"/>
  <c r="AT253" i="3"/>
  <c r="AN253" i="3"/>
  <c r="AH253" i="3"/>
  <c r="AR253" i="3"/>
  <c r="AM253" i="3"/>
  <c r="BD253" i="3"/>
  <c r="AL253" i="3"/>
  <c r="AY253" i="3"/>
  <c r="AG253" i="3"/>
  <c r="AN270" i="3"/>
  <c r="AH270" i="3"/>
  <c r="AR270" i="3"/>
  <c r="AM270" i="3"/>
  <c r="BD270" i="3"/>
  <c r="AL270" i="3"/>
  <c r="AY270" i="3"/>
  <c r="AG270" i="3"/>
  <c r="AX270" i="3"/>
  <c r="AS270" i="3"/>
  <c r="AK180" i="3"/>
  <c r="AQ180" i="3"/>
  <c r="AW180" i="3"/>
  <c r="BC180" i="3"/>
  <c r="AK183" i="3"/>
  <c r="AQ183" i="3"/>
  <c r="AW183" i="3"/>
  <c r="BC183" i="3"/>
  <c r="AI184" i="3"/>
  <c r="AO184" i="3"/>
  <c r="AU184" i="3"/>
  <c r="BA184" i="3"/>
  <c r="AL188" i="3"/>
  <c r="AR188" i="3"/>
  <c r="AX188" i="3"/>
  <c r="BD188" i="3"/>
  <c r="AL190" i="3"/>
  <c r="AR190" i="3"/>
  <c r="AX190" i="3"/>
  <c r="BD190" i="3"/>
  <c r="AV191" i="3"/>
  <c r="BB191" i="3"/>
  <c r="AJ193" i="3"/>
  <c r="AP193" i="3"/>
  <c r="AV193" i="3"/>
  <c r="BB193" i="3"/>
  <c r="AL195" i="3"/>
  <c r="AR195" i="3"/>
  <c r="AX195" i="3"/>
  <c r="BD195" i="3"/>
  <c r="AL198" i="3"/>
  <c r="AR198" i="3"/>
  <c r="AX198" i="3"/>
  <c r="BD198" i="3"/>
  <c r="AL201" i="3"/>
  <c r="AR201" i="3"/>
  <c r="AX201" i="3"/>
  <c r="BD201" i="3"/>
  <c r="AL204" i="3"/>
  <c r="AR204" i="3"/>
  <c r="AX204" i="3"/>
  <c r="BD204" i="3"/>
  <c r="AP207" i="3"/>
  <c r="AX207" i="3"/>
  <c r="AG209" i="3"/>
  <c r="AY209" i="3"/>
  <c r="AG212" i="3"/>
  <c r="AY212" i="3"/>
  <c r="AG216" i="3"/>
  <c r="AY216" i="3"/>
  <c r="AG219" i="3"/>
  <c r="AY219" i="3"/>
  <c r="AW222" i="3"/>
  <c r="AW225" i="3"/>
  <c r="AY228" i="3"/>
  <c r="AS228" i="3"/>
  <c r="AM228" i="3"/>
  <c r="AG228" i="3"/>
  <c r="BD228" i="3"/>
  <c r="AX228" i="3"/>
  <c r="AR228" i="3"/>
  <c r="AL228" i="3"/>
  <c r="BC228" i="3"/>
  <c r="AW228" i="3"/>
  <c r="AQ228" i="3"/>
  <c r="AK228" i="3"/>
  <c r="BB228" i="3"/>
  <c r="AV228" i="3"/>
  <c r="AP228" i="3"/>
  <c r="AJ228" i="3"/>
  <c r="AU228" i="3"/>
  <c r="BA230" i="3"/>
  <c r="AU230" i="3"/>
  <c r="AO230" i="3"/>
  <c r="AI230" i="3"/>
  <c r="AZ230" i="3"/>
  <c r="AT230" i="3"/>
  <c r="AN230" i="3"/>
  <c r="AH230" i="3"/>
  <c r="AY230" i="3"/>
  <c r="AS230" i="3"/>
  <c r="AM230" i="3"/>
  <c r="AG230" i="3"/>
  <c r="BD230" i="3"/>
  <c r="AX230" i="3"/>
  <c r="AR230" i="3"/>
  <c r="AL230" i="3"/>
  <c r="AV230" i="3"/>
  <c r="AG235" i="3"/>
  <c r="AY235" i="3"/>
  <c r="AY237" i="3"/>
  <c r="AS237" i="3"/>
  <c r="AM237" i="3"/>
  <c r="AG237" i="3"/>
  <c r="BD237" i="3"/>
  <c r="AX237" i="3"/>
  <c r="AR237" i="3"/>
  <c r="AL237" i="3"/>
  <c r="BC237" i="3"/>
  <c r="AW237" i="3"/>
  <c r="AQ237" i="3"/>
  <c r="AK237" i="3"/>
  <c r="BB237" i="3"/>
  <c r="AV237" i="3"/>
  <c r="AP237" i="3"/>
  <c r="AJ237" i="3"/>
  <c r="AU237" i="3"/>
  <c r="BA239" i="3"/>
  <c r="AU239" i="3"/>
  <c r="AO239" i="3"/>
  <c r="AI239" i="3"/>
  <c r="AZ239" i="3"/>
  <c r="AT239" i="3"/>
  <c r="AN239" i="3"/>
  <c r="AH239" i="3"/>
  <c r="AY239" i="3"/>
  <c r="AS239" i="3"/>
  <c r="AM239" i="3"/>
  <c r="AG239" i="3"/>
  <c r="BD239" i="3"/>
  <c r="AX239" i="3"/>
  <c r="AR239" i="3"/>
  <c r="AL239" i="3"/>
  <c r="AV239" i="3"/>
  <c r="AS253" i="3"/>
  <c r="AL180" i="3"/>
  <c r="AR180" i="3"/>
  <c r="AX180" i="3"/>
  <c r="AL183" i="3"/>
  <c r="AR183" i="3"/>
  <c r="AX183" i="3"/>
  <c r="AJ184" i="3"/>
  <c r="AP184" i="3"/>
  <c r="AV184" i="3"/>
  <c r="BB184" i="3"/>
  <c r="AG188" i="3"/>
  <c r="AM188" i="3"/>
  <c r="AS188" i="3"/>
  <c r="AY188" i="3"/>
  <c r="AG190" i="3"/>
  <c r="AM190" i="3"/>
  <c r="AS190" i="3"/>
  <c r="AY190" i="3"/>
  <c r="AK191" i="3"/>
  <c r="AQ191" i="3"/>
  <c r="AW191" i="3"/>
  <c r="AK193" i="3"/>
  <c r="AQ193" i="3"/>
  <c r="AW193" i="3"/>
  <c r="BC193" i="3"/>
  <c r="AG195" i="3"/>
  <c r="AM195" i="3"/>
  <c r="AS195" i="3"/>
  <c r="AY195" i="3"/>
  <c r="AG198" i="3"/>
  <c r="AM198" i="3"/>
  <c r="AS198" i="3"/>
  <c r="AY198" i="3"/>
  <c r="AG201" i="3"/>
  <c r="AM201" i="3"/>
  <c r="AS201" i="3"/>
  <c r="AY201" i="3"/>
  <c r="AG204" i="3"/>
  <c r="AM204" i="3"/>
  <c r="AS204" i="3"/>
  <c r="AY204" i="3"/>
  <c r="AG207" i="3"/>
  <c r="AQ207" i="3"/>
  <c r="AY207" i="3"/>
  <c r="AL209" i="3"/>
  <c r="BD209" i="3"/>
  <c r="AL212" i="3"/>
  <c r="BD212" i="3"/>
  <c r="AL216" i="3"/>
  <c r="BD216" i="3"/>
  <c r="AL219" i="3"/>
  <c r="BD219" i="3"/>
  <c r="AJ222" i="3"/>
  <c r="BB222" i="3"/>
  <c r="BC224" i="3"/>
  <c r="AJ225" i="3"/>
  <c r="BB225" i="3"/>
  <c r="AH228" i="3"/>
  <c r="AZ228" i="3"/>
  <c r="AW230" i="3"/>
  <c r="BC232" i="3"/>
  <c r="AW232" i="3"/>
  <c r="AQ232" i="3"/>
  <c r="AK232" i="3"/>
  <c r="BB232" i="3"/>
  <c r="AV232" i="3"/>
  <c r="AP232" i="3"/>
  <c r="AJ232" i="3"/>
  <c r="BA232" i="3"/>
  <c r="AU232" i="3"/>
  <c r="AO232" i="3"/>
  <c r="AI232" i="3"/>
  <c r="AZ232" i="3"/>
  <c r="AT232" i="3"/>
  <c r="AN232" i="3"/>
  <c r="AH232" i="3"/>
  <c r="AX232" i="3"/>
  <c r="AL235" i="3"/>
  <c r="BD235" i="3"/>
  <c r="AH237" i="3"/>
  <c r="AZ237" i="3"/>
  <c r="AW239" i="3"/>
  <c r="BC241" i="3"/>
  <c r="AX253" i="3"/>
  <c r="AK184" i="3"/>
  <c r="AQ184" i="3"/>
  <c r="AW184" i="3"/>
  <c r="AH188" i="3"/>
  <c r="AN188" i="3"/>
  <c r="AT188" i="3"/>
  <c r="AH190" i="3"/>
  <c r="AN190" i="3"/>
  <c r="AT190" i="3"/>
  <c r="AL191" i="3"/>
  <c r="AR191" i="3"/>
  <c r="AX191" i="3"/>
  <c r="AL193" i="3"/>
  <c r="AR193" i="3"/>
  <c r="AX193" i="3"/>
  <c r="AH195" i="3"/>
  <c r="AN195" i="3"/>
  <c r="AT195" i="3"/>
  <c r="AH198" i="3"/>
  <c r="AN198" i="3"/>
  <c r="AT198" i="3"/>
  <c r="AH201" i="3"/>
  <c r="AN201" i="3"/>
  <c r="AT201" i="3"/>
  <c r="AH204" i="3"/>
  <c r="AN204" i="3"/>
  <c r="AT204" i="3"/>
  <c r="AJ207" i="3"/>
  <c r="AR207" i="3"/>
  <c r="BB207" i="3"/>
  <c r="BA210" i="3"/>
  <c r="AU210" i="3"/>
  <c r="AO210" i="3"/>
  <c r="AI210" i="3"/>
  <c r="AZ210" i="3"/>
  <c r="AT210" i="3"/>
  <c r="AN210" i="3"/>
  <c r="AH210" i="3"/>
  <c r="AY210" i="3"/>
  <c r="AS210" i="3"/>
  <c r="AM210" i="3"/>
  <c r="AG210" i="3"/>
  <c r="BD210" i="3"/>
  <c r="AX210" i="3"/>
  <c r="AR210" i="3"/>
  <c r="AL210" i="3"/>
  <c r="AV210" i="3"/>
  <c r="BA214" i="3"/>
  <c r="AU214" i="3"/>
  <c r="AO214" i="3"/>
  <c r="AI214" i="3"/>
  <c r="AZ214" i="3"/>
  <c r="AT214" i="3"/>
  <c r="AN214" i="3"/>
  <c r="AH214" i="3"/>
  <c r="AY214" i="3"/>
  <c r="AS214" i="3"/>
  <c r="AM214" i="3"/>
  <c r="AG214" i="3"/>
  <c r="BD214" i="3"/>
  <c r="AX214" i="3"/>
  <c r="AR214" i="3"/>
  <c r="AL214" i="3"/>
  <c r="AV214" i="3"/>
  <c r="AM216" i="3"/>
  <c r="BA217" i="3"/>
  <c r="AU217" i="3"/>
  <c r="AO217" i="3"/>
  <c r="AI217" i="3"/>
  <c r="AZ217" i="3"/>
  <c r="AT217" i="3"/>
  <c r="AN217" i="3"/>
  <c r="AH217" i="3"/>
  <c r="AY217" i="3"/>
  <c r="AS217" i="3"/>
  <c r="AM217" i="3"/>
  <c r="AG217" i="3"/>
  <c r="BD217" i="3"/>
  <c r="AX217" i="3"/>
  <c r="AR217" i="3"/>
  <c r="AL217" i="3"/>
  <c r="AV217" i="3"/>
  <c r="AM219" i="3"/>
  <c r="BA220" i="3"/>
  <c r="AU220" i="3"/>
  <c r="AO220" i="3"/>
  <c r="AI220" i="3"/>
  <c r="AZ220" i="3"/>
  <c r="AT220" i="3"/>
  <c r="AN220" i="3"/>
  <c r="AH220" i="3"/>
  <c r="AY220" i="3"/>
  <c r="AS220" i="3"/>
  <c r="AM220" i="3"/>
  <c r="AG220" i="3"/>
  <c r="BD220" i="3"/>
  <c r="AX220" i="3"/>
  <c r="AR220" i="3"/>
  <c r="AL220" i="3"/>
  <c r="AV220" i="3"/>
  <c r="AK222" i="3"/>
  <c r="BC222" i="3"/>
  <c r="BB224" i="3"/>
  <c r="AV224" i="3"/>
  <c r="AP224" i="3"/>
  <c r="AJ224" i="3"/>
  <c r="AZ224" i="3"/>
  <c r="AT224" i="3"/>
  <c r="AN224" i="3"/>
  <c r="AH224" i="3"/>
  <c r="AX224" i="3"/>
  <c r="AK225" i="3"/>
  <c r="BC225" i="3"/>
  <c r="BA227" i="3"/>
  <c r="AU227" i="3"/>
  <c r="AO227" i="3"/>
  <c r="AI227" i="3"/>
  <c r="AZ227" i="3"/>
  <c r="AT227" i="3"/>
  <c r="AN227" i="3"/>
  <c r="AH227" i="3"/>
  <c r="AY227" i="3"/>
  <c r="AS227" i="3"/>
  <c r="AM227" i="3"/>
  <c r="AG227" i="3"/>
  <c r="BD227" i="3"/>
  <c r="AX227" i="3"/>
  <c r="AR227" i="3"/>
  <c r="AL227" i="3"/>
  <c r="AV227" i="3"/>
  <c r="AI228" i="3"/>
  <c r="BA228" i="3"/>
  <c r="AJ230" i="3"/>
  <c r="BB230" i="3"/>
  <c r="AY234" i="3"/>
  <c r="AS234" i="3"/>
  <c r="AM234" i="3"/>
  <c r="AG234" i="3"/>
  <c r="BD234" i="3"/>
  <c r="AX234" i="3"/>
  <c r="AR234" i="3"/>
  <c r="AL234" i="3"/>
  <c r="BC234" i="3"/>
  <c r="AW234" i="3"/>
  <c r="AQ234" i="3"/>
  <c r="AK234" i="3"/>
  <c r="BB234" i="3"/>
  <c r="AV234" i="3"/>
  <c r="AP234" i="3"/>
  <c r="AJ234" i="3"/>
  <c r="AU234" i="3"/>
  <c r="AM235" i="3"/>
  <c r="BA236" i="3"/>
  <c r="AU236" i="3"/>
  <c r="AO236" i="3"/>
  <c r="AI236" i="3"/>
  <c r="AZ236" i="3"/>
  <c r="AT236" i="3"/>
  <c r="AN236" i="3"/>
  <c r="AH236" i="3"/>
  <c r="AY236" i="3"/>
  <c r="AS236" i="3"/>
  <c r="AM236" i="3"/>
  <c r="AG236" i="3"/>
  <c r="BD236" i="3"/>
  <c r="AX236" i="3"/>
  <c r="AR236" i="3"/>
  <c r="AL236" i="3"/>
  <c r="AV236" i="3"/>
  <c r="AI237" i="3"/>
  <c r="BA237" i="3"/>
  <c r="AJ239" i="3"/>
  <c r="BB239" i="3"/>
  <c r="BB241" i="3"/>
  <c r="AV241" i="3"/>
  <c r="AP241" i="3"/>
  <c r="AJ241" i="3"/>
  <c r="BA241" i="3"/>
  <c r="AU241" i="3"/>
  <c r="AO241" i="3"/>
  <c r="AI241" i="3"/>
  <c r="AZ241" i="3"/>
  <c r="AT241" i="3"/>
  <c r="AN241" i="3"/>
  <c r="AH241" i="3"/>
  <c r="AX241" i="3"/>
  <c r="AZ260" i="3"/>
  <c r="AT260" i="3"/>
  <c r="AN260" i="3"/>
  <c r="AH260" i="3"/>
  <c r="AY260" i="3"/>
  <c r="AS260" i="3"/>
  <c r="AM260" i="3"/>
  <c r="AG260" i="3"/>
  <c r="BD260" i="3"/>
  <c r="AX260" i="3"/>
  <c r="AR260" i="3"/>
  <c r="AL260" i="3"/>
  <c r="AW260" i="3"/>
  <c r="AK260" i="3"/>
  <c r="AV260" i="3"/>
  <c r="AJ260" i="3"/>
  <c r="AU260" i="3"/>
  <c r="AI260" i="3"/>
  <c r="BC260" i="3"/>
  <c r="AQ260" i="3"/>
  <c r="BA260" i="3"/>
  <c r="AP260" i="3"/>
  <c r="AO260" i="3"/>
  <c r="AK208" i="3"/>
  <c r="AQ208" i="3"/>
  <c r="AW208" i="3"/>
  <c r="BC208" i="3"/>
  <c r="AH209" i="3"/>
  <c r="AN209" i="3"/>
  <c r="AT209" i="3"/>
  <c r="AZ209" i="3"/>
  <c r="AJ211" i="3"/>
  <c r="AP211" i="3"/>
  <c r="AV211" i="3"/>
  <c r="BB211" i="3"/>
  <c r="AH212" i="3"/>
  <c r="AN212" i="3"/>
  <c r="AT212" i="3"/>
  <c r="AZ212" i="3"/>
  <c r="AJ213" i="3"/>
  <c r="AP213" i="3"/>
  <c r="AV213" i="3"/>
  <c r="BB213" i="3"/>
  <c r="AJ215" i="3"/>
  <c r="AP215" i="3"/>
  <c r="AV215" i="3"/>
  <c r="BB215" i="3"/>
  <c r="AH216" i="3"/>
  <c r="AN216" i="3"/>
  <c r="AT216" i="3"/>
  <c r="AZ216" i="3"/>
  <c r="AJ218" i="3"/>
  <c r="AP218" i="3"/>
  <c r="AV218" i="3"/>
  <c r="BB218" i="3"/>
  <c r="AJ221" i="3"/>
  <c r="AP221" i="3"/>
  <c r="AV221" i="3"/>
  <c r="BB221" i="3"/>
  <c r="AJ223" i="3"/>
  <c r="AP223" i="3"/>
  <c r="AV223" i="3"/>
  <c r="BB223" i="3"/>
  <c r="AH226" i="3"/>
  <c r="AN226" i="3"/>
  <c r="AT226" i="3"/>
  <c r="AZ226" i="3"/>
  <c r="BB242" i="3"/>
  <c r="AV242" i="3"/>
  <c r="AP242" i="3"/>
  <c r="AJ242" i="3"/>
  <c r="BA242" i="3"/>
  <c r="AU242" i="3"/>
  <c r="AO242" i="3"/>
  <c r="AI242" i="3"/>
  <c r="AM242" i="3"/>
  <c r="AW242" i="3"/>
  <c r="BA243" i="3"/>
  <c r="AU243" i="3"/>
  <c r="AO243" i="3"/>
  <c r="AI243" i="3"/>
  <c r="AZ243" i="3"/>
  <c r="AT243" i="3"/>
  <c r="AN243" i="3"/>
  <c r="AH243" i="3"/>
  <c r="AY243" i="3"/>
  <c r="AS243" i="3"/>
  <c r="AM243" i="3"/>
  <c r="AG243" i="3"/>
  <c r="AQ243" i="3"/>
  <c r="BC243" i="3"/>
  <c r="AM245" i="3"/>
  <c r="AY245" i="3"/>
  <c r="BA248" i="3"/>
  <c r="AU248" i="3"/>
  <c r="AO248" i="3"/>
  <c r="AI248" i="3"/>
  <c r="AZ248" i="3"/>
  <c r="AT248" i="3"/>
  <c r="AN248" i="3"/>
  <c r="AH248" i="3"/>
  <c r="AY248" i="3"/>
  <c r="AS248" i="3"/>
  <c r="AM248" i="3"/>
  <c r="AG248" i="3"/>
  <c r="BD248" i="3"/>
  <c r="AX248" i="3"/>
  <c r="AR248" i="3"/>
  <c r="AL248" i="3"/>
  <c r="AV248" i="3"/>
  <c r="AZ255" i="3"/>
  <c r="AT255" i="3"/>
  <c r="AN255" i="3"/>
  <c r="AH255" i="3"/>
  <c r="AX255" i="3"/>
  <c r="AQ255" i="3"/>
  <c r="AJ255" i="3"/>
  <c r="BD255" i="3"/>
  <c r="AW255" i="3"/>
  <c r="AP255" i="3"/>
  <c r="AI255" i="3"/>
  <c r="BC255" i="3"/>
  <c r="AV255" i="3"/>
  <c r="AO255" i="3"/>
  <c r="AG255" i="3"/>
  <c r="BB255" i="3"/>
  <c r="AU255" i="3"/>
  <c r="AM255" i="3"/>
  <c r="AY255" i="3"/>
  <c r="I164" i="7"/>
  <c r="AL208" i="3"/>
  <c r="AR208" i="3"/>
  <c r="AX208" i="3"/>
  <c r="BD208" i="3"/>
  <c r="AI209" i="3"/>
  <c r="AO209" i="3"/>
  <c r="AU209" i="3"/>
  <c r="BA209" i="3"/>
  <c r="AK211" i="3"/>
  <c r="AQ211" i="3"/>
  <c r="AW211" i="3"/>
  <c r="BC211" i="3"/>
  <c r="AI212" i="3"/>
  <c r="AO212" i="3"/>
  <c r="AU212" i="3"/>
  <c r="BA212" i="3"/>
  <c r="AK213" i="3"/>
  <c r="AQ213" i="3"/>
  <c r="AW213" i="3"/>
  <c r="BC213" i="3"/>
  <c r="AK215" i="3"/>
  <c r="AQ215" i="3"/>
  <c r="AW215" i="3"/>
  <c r="BC215" i="3"/>
  <c r="AO216" i="3"/>
  <c r="AU216" i="3"/>
  <c r="BA216" i="3"/>
  <c r="AK218" i="3"/>
  <c r="AQ218" i="3"/>
  <c r="AW218" i="3"/>
  <c r="BC218" i="3"/>
  <c r="AK221" i="3"/>
  <c r="AQ221" i="3"/>
  <c r="AW221" i="3"/>
  <c r="BC221" i="3"/>
  <c r="AK223" i="3"/>
  <c r="AQ223" i="3"/>
  <c r="AW223" i="3"/>
  <c r="BC223" i="3"/>
  <c r="AI224" i="3"/>
  <c r="AO224" i="3"/>
  <c r="AU224" i="3"/>
  <c r="BA224" i="3"/>
  <c r="AI226" i="3"/>
  <c r="AO226" i="3"/>
  <c r="AU226" i="3"/>
  <c r="BA226" i="3"/>
  <c r="AN242" i="3"/>
  <c r="AX242" i="3"/>
  <c r="AR243" i="3"/>
  <c r="BD243" i="3"/>
  <c r="BC245" i="3"/>
  <c r="AN245" i="3"/>
  <c r="AZ245" i="3"/>
  <c r="AW248" i="3"/>
  <c r="BB250" i="3"/>
  <c r="AV250" i="3"/>
  <c r="AP250" i="3"/>
  <c r="AJ250" i="3"/>
  <c r="AZ250" i="3"/>
  <c r="AT250" i="3"/>
  <c r="AN250" i="3"/>
  <c r="AH250" i="3"/>
  <c r="AX250" i="3"/>
  <c r="BA255" i="3"/>
  <c r="AG208" i="3"/>
  <c r="AM208" i="3"/>
  <c r="AS208" i="3"/>
  <c r="AY208" i="3"/>
  <c r="AJ209" i="3"/>
  <c r="AP209" i="3"/>
  <c r="AV209" i="3"/>
  <c r="BB209" i="3"/>
  <c r="AL211" i="3"/>
  <c r="AR211" i="3"/>
  <c r="AX211" i="3"/>
  <c r="BD211" i="3"/>
  <c r="AJ212" i="3"/>
  <c r="AP212" i="3"/>
  <c r="AV212" i="3"/>
  <c r="BB212" i="3"/>
  <c r="AL213" i="3"/>
  <c r="AR213" i="3"/>
  <c r="AX213" i="3"/>
  <c r="BD213" i="3"/>
  <c r="AL215" i="3"/>
  <c r="AR215" i="3"/>
  <c r="AX215" i="3"/>
  <c r="BD215" i="3"/>
  <c r="AJ216" i="3"/>
  <c r="AP216" i="3"/>
  <c r="AV216" i="3"/>
  <c r="BB216" i="3"/>
  <c r="AL218" i="3"/>
  <c r="AR218" i="3"/>
  <c r="AX218" i="3"/>
  <c r="BD218" i="3"/>
  <c r="AJ219" i="3"/>
  <c r="AP219" i="3"/>
  <c r="AV219" i="3"/>
  <c r="BB219" i="3"/>
  <c r="AL221" i="3"/>
  <c r="AR221" i="3"/>
  <c r="AX221" i="3"/>
  <c r="BD221" i="3"/>
  <c r="AL223" i="3"/>
  <c r="AX223" i="3"/>
  <c r="BD223" i="3"/>
  <c r="AJ226" i="3"/>
  <c r="AP226" i="3"/>
  <c r="AV226" i="3"/>
  <c r="BB226" i="3"/>
  <c r="AG242" i="3"/>
  <c r="AQ242" i="3"/>
  <c r="AJ243" i="3"/>
  <c r="AV243" i="3"/>
  <c r="AR245" i="3"/>
  <c r="BD245" i="3"/>
  <c r="AJ248" i="3"/>
  <c r="BB248" i="3"/>
  <c r="BA262" i="3"/>
  <c r="AU262" i="3"/>
  <c r="AO262" i="3"/>
  <c r="AI262" i="3"/>
  <c r="AZ262" i="3"/>
  <c r="AT262" i="3"/>
  <c r="AN262" i="3"/>
  <c r="AH262" i="3"/>
  <c r="AY262" i="3"/>
  <c r="AS262" i="3"/>
  <c r="AM262" i="3"/>
  <c r="AG262" i="3"/>
  <c r="BD262" i="3"/>
  <c r="AX262" i="3"/>
  <c r="AR262" i="3"/>
  <c r="AL262" i="3"/>
  <c r="AQ262" i="3"/>
  <c r="AP262" i="3"/>
  <c r="BC262" i="3"/>
  <c r="AK262" i="3"/>
  <c r="BB262" i="3"/>
  <c r="AJ262" i="3"/>
  <c r="F196" i="7"/>
  <c r="I196" i="7" s="1"/>
  <c r="AH208" i="3"/>
  <c r="AN208" i="3"/>
  <c r="AT208" i="3"/>
  <c r="AK209" i="3"/>
  <c r="AQ209" i="3"/>
  <c r="AW209" i="3"/>
  <c r="AG211" i="3"/>
  <c r="AM211" i="3"/>
  <c r="AS211" i="3"/>
  <c r="AK212" i="3"/>
  <c r="AQ212" i="3"/>
  <c r="AW212" i="3"/>
  <c r="AG213" i="3"/>
  <c r="AM213" i="3"/>
  <c r="AS213" i="3"/>
  <c r="AG215" i="3"/>
  <c r="AM215" i="3"/>
  <c r="AS215" i="3"/>
  <c r="AK216" i="3"/>
  <c r="AQ216" i="3"/>
  <c r="AW216" i="3"/>
  <c r="AG218" i="3"/>
  <c r="AM218" i="3"/>
  <c r="AS218" i="3"/>
  <c r="AK219" i="3"/>
  <c r="AQ219" i="3"/>
  <c r="AW219" i="3"/>
  <c r="AG221" i="3"/>
  <c r="AM221" i="3"/>
  <c r="AS221" i="3"/>
  <c r="AG223" i="3"/>
  <c r="AM223" i="3"/>
  <c r="AS223" i="3"/>
  <c r="AK224" i="3"/>
  <c r="AQ224" i="3"/>
  <c r="AW224" i="3"/>
  <c r="AK226" i="3"/>
  <c r="AQ226" i="3"/>
  <c r="AW226" i="3"/>
  <c r="AK241" i="3"/>
  <c r="AQ241" i="3"/>
  <c r="AW241" i="3"/>
  <c r="AH242" i="3"/>
  <c r="AR242" i="3"/>
  <c r="AZ242" i="3"/>
  <c r="AK243" i="3"/>
  <c r="AW243" i="3"/>
  <c r="AG245" i="3"/>
  <c r="AZ247" i="3"/>
  <c r="AT247" i="3"/>
  <c r="AN247" i="3"/>
  <c r="AH247" i="3"/>
  <c r="AX247" i="3"/>
  <c r="AK248" i="3"/>
  <c r="BC248" i="3"/>
  <c r="AL250" i="3"/>
  <c r="BD250" i="3"/>
  <c r="AL255" i="3"/>
  <c r="AR264" i="3"/>
  <c r="AM264" i="3"/>
  <c r="BD264" i="3"/>
  <c r="AL264" i="3"/>
  <c r="AY264" i="3"/>
  <c r="AG264" i="3"/>
  <c r="BB274" i="3"/>
  <c r="AV274" i="3"/>
  <c r="AP274" i="3"/>
  <c r="BA274" i="3"/>
  <c r="AU274" i="3"/>
  <c r="AX274" i="3"/>
  <c r="AO274" i="3"/>
  <c r="AI274" i="3"/>
  <c r="AW274" i="3"/>
  <c r="AN274" i="3"/>
  <c r="AH274" i="3"/>
  <c r="BD274" i="3"/>
  <c r="AT274" i="3"/>
  <c r="AM274" i="3"/>
  <c r="AG274" i="3"/>
  <c r="BC274" i="3"/>
  <c r="AS274" i="3"/>
  <c r="AL274" i="3"/>
  <c r="AR274" i="3"/>
  <c r="AQ274" i="3"/>
  <c r="AK274" i="3"/>
  <c r="AJ274" i="3"/>
  <c r="AJ246" i="3"/>
  <c r="AP246" i="3"/>
  <c r="AV246" i="3"/>
  <c r="BB246" i="3"/>
  <c r="BB259" i="3"/>
  <c r="AV259" i="3"/>
  <c r="AP259" i="3"/>
  <c r="AJ259" i="3"/>
  <c r="BA259" i="3"/>
  <c r="AZ259" i="3"/>
  <c r="AT259" i="3"/>
  <c r="AN259" i="3"/>
  <c r="AH259" i="3"/>
  <c r="AM259" i="3"/>
  <c r="AW259" i="3"/>
  <c r="BA268" i="3"/>
  <c r="AU268" i="3"/>
  <c r="AO268" i="3"/>
  <c r="AI268" i="3"/>
  <c r="AZ268" i="3"/>
  <c r="AT268" i="3"/>
  <c r="AN268" i="3"/>
  <c r="AH268" i="3"/>
  <c r="AY268" i="3"/>
  <c r="AS268" i="3"/>
  <c r="AM268" i="3"/>
  <c r="AG268" i="3"/>
  <c r="BD268" i="3"/>
  <c r="AX268" i="3"/>
  <c r="AR268" i="3"/>
  <c r="AL268" i="3"/>
  <c r="AV268" i="3"/>
  <c r="AP271" i="3"/>
  <c r="AK244" i="3"/>
  <c r="AQ244" i="3"/>
  <c r="AW244" i="3"/>
  <c r="BC244" i="3"/>
  <c r="AI245" i="3"/>
  <c r="AO245" i="3"/>
  <c r="AU245" i="3"/>
  <c r="BA245" i="3"/>
  <c r="AK246" i="3"/>
  <c r="AQ246" i="3"/>
  <c r="AW246" i="3"/>
  <c r="BC246" i="3"/>
  <c r="AI247" i="3"/>
  <c r="AO247" i="3"/>
  <c r="AU247" i="3"/>
  <c r="BA247" i="3"/>
  <c r="AK249" i="3"/>
  <c r="AQ249" i="3"/>
  <c r="AW249" i="3"/>
  <c r="BC249" i="3"/>
  <c r="AI250" i="3"/>
  <c r="AO250" i="3"/>
  <c r="AU250" i="3"/>
  <c r="BA250" i="3"/>
  <c r="AK252" i="3"/>
  <c r="AQ252" i="3"/>
  <c r="AW252" i="3"/>
  <c r="BC252" i="3"/>
  <c r="AI253" i="3"/>
  <c r="AO253" i="3"/>
  <c r="AU253" i="3"/>
  <c r="BA253" i="3"/>
  <c r="AL254" i="3"/>
  <c r="AS254" i="3"/>
  <c r="AZ254" i="3"/>
  <c r="BB257" i="3"/>
  <c r="AV257" i="3"/>
  <c r="AP257" i="3"/>
  <c r="AJ257" i="3"/>
  <c r="AL257" i="3"/>
  <c r="AS257" i="3"/>
  <c r="AZ257" i="3"/>
  <c r="AN258" i="3"/>
  <c r="AW258" i="3"/>
  <c r="AO259" i="3"/>
  <c r="AX259" i="3"/>
  <c r="AW268" i="3"/>
  <c r="AZ273" i="3"/>
  <c r="AT273" i="3"/>
  <c r="AN273" i="3"/>
  <c r="AH273" i="3"/>
  <c r="AX273" i="3"/>
  <c r="AL244" i="3"/>
  <c r="AR244" i="3"/>
  <c r="AX244" i="3"/>
  <c r="BD244" i="3"/>
  <c r="AJ245" i="3"/>
  <c r="AP245" i="3"/>
  <c r="AV245" i="3"/>
  <c r="BB245" i="3"/>
  <c r="AL246" i="3"/>
  <c r="AR246" i="3"/>
  <c r="AX246" i="3"/>
  <c r="BD246" i="3"/>
  <c r="AJ247" i="3"/>
  <c r="AP247" i="3"/>
  <c r="AV247" i="3"/>
  <c r="BB247" i="3"/>
  <c r="AL249" i="3"/>
  <c r="AR249" i="3"/>
  <c r="AX249" i="3"/>
  <c r="AL252" i="3"/>
  <c r="AR252" i="3"/>
  <c r="AX252" i="3"/>
  <c r="AM257" i="3"/>
  <c r="AT257" i="3"/>
  <c r="AG259" i="3"/>
  <c r="AQ259" i="3"/>
  <c r="AY259" i="3"/>
  <c r="BA265" i="3"/>
  <c r="AU265" i="3"/>
  <c r="AO265" i="3"/>
  <c r="AI265" i="3"/>
  <c r="AZ265" i="3"/>
  <c r="AT265" i="3"/>
  <c r="AN265" i="3"/>
  <c r="AH265" i="3"/>
  <c r="AY265" i="3"/>
  <c r="AS265" i="3"/>
  <c r="AM265" i="3"/>
  <c r="AG265" i="3"/>
  <c r="BD265" i="3"/>
  <c r="AX265" i="3"/>
  <c r="AR265" i="3"/>
  <c r="AL265" i="3"/>
  <c r="AV265" i="3"/>
  <c r="AJ268" i="3"/>
  <c r="BB268" i="3"/>
  <c r="BA271" i="3"/>
  <c r="AU271" i="3"/>
  <c r="AO271" i="3"/>
  <c r="AI271" i="3"/>
  <c r="AZ271" i="3"/>
  <c r="AT271" i="3"/>
  <c r="AN271" i="3"/>
  <c r="AH271" i="3"/>
  <c r="AY271" i="3"/>
  <c r="AS271" i="3"/>
  <c r="AM271" i="3"/>
  <c r="AG271" i="3"/>
  <c r="BD271" i="3"/>
  <c r="AX271" i="3"/>
  <c r="AR271" i="3"/>
  <c r="AL271" i="3"/>
  <c r="AV271" i="3"/>
  <c r="AK245" i="3"/>
  <c r="AQ245" i="3"/>
  <c r="AW245" i="3"/>
  <c r="AG246" i="3"/>
  <c r="AM246" i="3"/>
  <c r="AS246" i="3"/>
  <c r="AK247" i="3"/>
  <c r="AQ247" i="3"/>
  <c r="AW247" i="3"/>
  <c r="AG249" i="3"/>
  <c r="AM249" i="3"/>
  <c r="AS249" i="3"/>
  <c r="AK250" i="3"/>
  <c r="AQ250" i="3"/>
  <c r="AW250" i="3"/>
  <c r="AG252" i="3"/>
  <c r="AM252" i="3"/>
  <c r="AS252" i="3"/>
  <c r="AK253" i="3"/>
  <c r="AQ253" i="3"/>
  <c r="AW253" i="3"/>
  <c r="AG254" i="3"/>
  <c r="AN254" i="3"/>
  <c r="AU254" i="3"/>
  <c r="BD256" i="3"/>
  <c r="AX256" i="3"/>
  <c r="AR256" i="3"/>
  <c r="AL256" i="3"/>
  <c r="AK256" i="3"/>
  <c r="AS256" i="3"/>
  <c r="AZ256" i="3"/>
  <c r="AG257" i="3"/>
  <c r="AN257" i="3"/>
  <c r="AU257" i="3"/>
  <c r="BC257" i="3"/>
  <c r="AH258" i="3"/>
  <c r="AQ258" i="3"/>
  <c r="AI259" i="3"/>
  <c r="AR259" i="3"/>
  <c r="BC259" i="3"/>
  <c r="AW265" i="3"/>
  <c r="AK268" i="3"/>
  <c r="BC268" i="3"/>
  <c r="AW271" i="3"/>
  <c r="AL273" i="3"/>
  <c r="BD273" i="3"/>
  <c r="AJ258" i="3"/>
  <c r="AP258" i="3"/>
  <c r="AV258" i="3"/>
  <c r="BB258" i="3"/>
  <c r="AJ261" i="3"/>
  <c r="AP261" i="3"/>
  <c r="AV261" i="3"/>
  <c r="BB261" i="3"/>
  <c r="AJ263" i="3"/>
  <c r="AP263" i="3"/>
  <c r="AV263" i="3"/>
  <c r="BB263" i="3"/>
  <c r="AH264" i="3"/>
  <c r="AN264" i="3"/>
  <c r="AT264" i="3"/>
  <c r="AZ264" i="3"/>
  <c r="AJ266" i="3"/>
  <c r="AP266" i="3"/>
  <c r="AV266" i="3"/>
  <c r="BB266" i="3"/>
  <c r="AH267" i="3"/>
  <c r="AN267" i="3"/>
  <c r="AT267" i="3"/>
  <c r="AZ267" i="3"/>
  <c r="AT270" i="3"/>
  <c r="AZ270" i="3"/>
  <c r="F177" i="8"/>
  <c r="I177" i="8" s="1"/>
  <c r="F214" i="7"/>
  <c r="I214" i="7" s="1"/>
  <c r="F229" i="7"/>
  <c r="I229" i="7" s="1"/>
  <c r="AK261" i="3"/>
  <c r="AQ261" i="3"/>
  <c r="AW261" i="3"/>
  <c r="BC261" i="3"/>
  <c r="AK263" i="3"/>
  <c r="AQ263" i="3"/>
  <c r="AW263" i="3"/>
  <c r="BC263" i="3"/>
  <c r="AI264" i="3"/>
  <c r="AO264" i="3"/>
  <c r="AU264" i="3"/>
  <c r="BA264" i="3"/>
  <c r="AK266" i="3"/>
  <c r="AQ266" i="3"/>
  <c r="AW266" i="3"/>
  <c r="BC266" i="3"/>
  <c r="AI267" i="3"/>
  <c r="AO267" i="3"/>
  <c r="AU267" i="3"/>
  <c r="BA267" i="3"/>
  <c r="AK269" i="3"/>
  <c r="AQ269" i="3"/>
  <c r="AW269" i="3"/>
  <c r="BC269" i="3"/>
  <c r="AI270" i="3"/>
  <c r="AO270" i="3"/>
  <c r="AU270" i="3"/>
  <c r="BA270" i="3"/>
  <c r="AK272" i="3"/>
  <c r="AQ272" i="3"/>
  <c r="AW272" i="3"/>
  <c r="BC272" i="3"/>
  <c r="AI273" i="3"/>
  <c r="AO273" i="3"/>
  <c r="AU273" i="3"/>
  <c r="BA273" i="3"/>
  <c r="D182" i="9"/>
  <c r="J65" i="7"/>
  <c r="AJ254" i="3"/>
  <c r="AP254" i="3"/>
  <c r="AV254" i="3"/>
  <c r="AL258" i="3"/>
  <c r="AR258" i="3"/>
  <c r="AX258" i="3"/>
  <c r="AL261" i="3"/>
  <c r="AR261" i="3"/>
  <c r="AX261" i="3"/>
  <c r="AL263" i="3"/>
  <c r="AR263" i="3"/>
  <c r="AX263" i="3"/>
  <c r="AJ264" i="3"/>
  <c r="AP264" i="3"/>
  <c r="AV264" i="3"/>
  <c r="BB264" i="3"/>
  <c r="AL266" i="3"/>
  <c r="AR266" i="3"/>
  <c r="AX266" i="3"/>
  <c r="AJ267" i="3"/>
  <c r="AP267" i="3"/>
  <c r="AV267" i="3"/>
  <c r="BB267" i="3"/>
  <c r="AL269" i="3"/>
  <c r="AR269" i="3"/>
  <c r="AX269" i="3"/>
  <c r="AJ270" i="3"/>
  <c r="AP270" i="3"/>
  <c r="AV270" i="3"/>
  <c r="BB270" i="3"/>
  <c r="AL272" i="3"/>
  <c r="AR272" i="3"/>
  <c r="AX272" i="3"/>
  <c r="AJ273" i="3"/>
  <c r="AP273" i="3"/>
  <c r="AV273" i="3"/>
  <c r="BB273" i="3"/>
  <c r="AK264" i="3"/>
  <c r="AQ264" i="3"/>
  <c r="AW264" i="3"/>
  <c r="AK267" i="3"/>
  <c r="AQ267" i="3"/>
  <c r="AW267" i="3"/>
  <c r="AK270" i="3"/>
  <c r="AQ270" i="3"/>
  <c r="AW270" i="3"/>
  <c r="AK273" i="3"/>
  <c r="AQ273" i="3"/>
  <c r="AW273" i="3"/>
  <c r="F208" i="7"/>
  <c r="I208" i="7" s="1"/>
  <c r="AI275" i="3"/>
  <c r="AO275" i="3"/>
  <c r="AU275" i="3"/>
  <c r="BA275" i="3"/>
  <c r="F211" i="7"/>
  <c r="I211" i="7" s="1"/>
  <c r="I81" i="7"/>
  <c r="F220" i="7"/>
  <c r="I220" i="7" s="1"/>
  <c r="F226" i="7"/>
  <c r="I226" i="7" s="1"/>
  <c r="I241" i="7"/>
  <c r="J68" i="10"/>
  <c r="J79" i="10" s="1"/>
  <c r="J87" i="10" s="1"/>
  <c r="AJ275" i="3"/>
  <c r="AP275" i="3"/>
  <c r="AV275" i="3"/>
  <c r="BB275" i="3"/>
  <c r="F181" i="8"/>
  <c r="I181" i="8" s="1"/>
  <c r="D175" i="9"/>
  <c r="I202" i="7"/>
  <c r="F235" i="7"/>
  <c r="I235" i="7" s="1"/>
  <c r="I60" i="10"/>
  <c r="I57" i="10"/>
  <c r="I55" i="10"/>
  <c r="I143" i="10"/>
  <c r="I59" i="10"/>
  <c r="I142" i="10"/>
  <c r="I58" i="10"/>
  <c r="I15" i="10"/>
  <c r="J40" i="10"/>
  <c r="J42" i="10" s="1"/>
  <c r="AK275" i="3"/>
  <c r="AQ275" i="3"/>
  <c r="AW275" i="3"/>
  <c r="BC275" i="3"/>
  <c r="I15" i="7"/>
  <c r="I82" i="7"/>
  <c r="F248" i="7"/>
  <c r="I248" i="7" s="1"/>
  <c r="J50" i="9"/>
  <c r="J87" i="9"/>
  <c r="J95" i="9" s="1"/>
  <c r="AL275" i="3"/>
  <c r="AR275" i="3"/>
  <c r="AX275" i="3"/>
  <c r="F173" i="8"/>
  <c r="I173" i="8" s="1"/>
  <c r="D179" i="9"/>
  <c r="I149" i="8"/>
  <c r="I66" i="8"/>
  <c r="I63" i="8"/>
  <c r="I61" i="8"/>
  <c r="I148" i="8"/>
  <c r="I65" i="8"/>
  <c r="I15" i="8"/>
  <c r="I150" i="9"/>
  <c r="I15" i="9"/>
  <c r="I63" i="9"/>
  <c r="I65" i="9"/>
  <c r="I68" i="9"/>
  <c r="I151" i="9"/>
  <c r="J54" i="8" l="1"/>
  <c r="J112" i="8"/>
  <c r="J48" i="10"/>
  <c r="J106" i="10"/>
  <c r="J56" i="9"/>
  <c r="J114" i="9"/>
  <c r="J71" i="7"/>
  <c r="J129" i="7"/>
  <c r="AF193" i="3"/>
  <c r="I62" i="10"/>
  <c r="AF275" i="3"/>
  <c r="AF258" i="3"/>
  <c r="D276" i="3"/>
  <c r="AF98" i="3"/>
  <c r="J85" i="8"/>
  <c r="J93" i="8" s="1"/>
  <c r="I149" i="9"/>
  <c r="AF226" i="3"/>
  <c r="I70" i="9"/>
  <c r="I85" i="7"/>
  <c r="I68" i="8"/>
  <c r="I147" i="8"/>
  <c r="I141" i="10"/>
  <c r="AF59" i="3"/>
  <c r="AF105" i="3"/>
  <c r="AJ276" i="3"/>
  <c r="D11" i="4" s="1"/>
  <c r="AF78" i="3"/>
  <c r="AI276" i="3"/>
  <c r="D10" i="4" s="1"/>
  <c r="AW276" i="3"/>
  <c r="D8" i="6" s="1"/>
  <c r="AF16" i="3"/>
  <c r="AK276" i="3"/>
  <c r="D12" i="4" s="1"/>
  <c r="AF254" i="3"/>
  <c r="AF246" i="3"/>
  <c r="AF222" i="3"/>
  <c r="AZ276" i="3"/>
  <c r="D11" i="6" s="1"/>
  <c r="AF41" i="3"/>
  <c r="AS276" i="3"/>
  <c r="D21" i="4" s="1"/>
  <c r="AF22" i="3"/>
  <c r="AR276" i="3"/>
  <c r="D20" i="4" s="1"/>
  <c r="AL276" i="3"/>
  <c r="D15" i="4" s="1"/>
  <c r="AF213" i="3"/>
  <c r="AF93" i="3"/>
  <c r="AF73" i="3"/>
  <c r="BA276" i="3"/>
  <c r="D25" i="4" s="1"/>
  <c r="AP276" i="3"/>
  <c r="D18" i="4" s="1"/>
  <c r="AT276" i="3"/>
  <c r="D22" i="4" s="1"/>
  <c r="AV276" i="3"/>
  <c r="D24" i="4" s="1"/>
  <c r="AM276" i="3"/>
  <c r="D16" i="4" s="1"/>
  <c r="AF25" i="3"/>
  <c r="F93" i="2"/>
  <c r="C103" i="2"/>
  <c r="E103" i="2" s="1"/>
  <c r="G103" i="2" s="1"/>
  <c r="AQ276" i="3"/>
  <c r="D19" i="4" s="1"/>
  <c r="AY276" i="3"/>
  <c r="D10" i="6" s="1"/>
  <c r="J53" i="8"/>
  <c r="J160" i="8"/>
  <c r="C108" i="8"/>
  <c r="J101" i="8"/>
  <c r="J103" i="9"/>
  <c r="J104" i="9" s="1"/>
  <c r="J55" i="9"/>
  <c r="J102" i="9" s="1"/>
  <c r="J162" i="9"/>
  <c r="C110" i="9"/>
  <c r="C102" i="10"/>
  <c r="J154" i="10"/>
  <c r="J95" i="10"/>
  <c r="J96" i="10" s="1"/>
  <c r="J47" i="10"/>
  <c r="AU276" i="3"/>
  <c r="D23" i="4" s="1"/>
  <c r="AN276" i="3"/>
  <c r="D13" i="4" s="1"/>
  <c r="AG276" i="3"/>
  <c r="D8" i="4" s="1"/>
  <c r="AF8" i="3"/>
  <c r="BD276" i="3"/>
  <c r="D10" i="5" s="1"/>
  <c r="C98" i="2"/>
  <c r="E98" i="2" s="1"/>
  <c r="H67" i="2"/>
  <c r="BC276" i="3"/>
  <c r="D9" i="5" s="1"/>
  <c r="E96" i="2"/>
  <c r="J118" i="7"/>
  <c r="J119" i="7" s="1"/>
  <c r="J120" i="7"/>
  <c r="J70" i="7"/>
  <c r="J177" i="7"/>
  <c r="C125" i="7"/>
  <c r="AF262" i="3"/>
  <c r="AF214" i="3"/>
  <c r="AF189" i="3"/>
  <c r="AF128" i="3"/>
  <c r="AF174" i="3"/>
  <c r="D14" i="4"/>
  <c r="AF120" i="3"/>
  <c r="AO276" i="3"/>
  <c r="D17" i="4" s="1"/>
  <c r="AH276" i="3"/>
  <c r="D9" i="4" s="1"/>
  <c r="AX276" i="3"/>
  <c r="D9" i="6" s="1"/>
  <c r="BB276" i="3"/>
  <c r="D8" i="5" s="1"/>
  <c r="G39" i="2"/>
  <c r="C97" i="2"/>
  <c r="E97" i="2" s="1"/>
  <c r="J94" i="10" l="1"/>
  <c r="J105" i="9"/>
  <c r="J72" i="7"/>
  <c r="J97" i="10"/>
  <c r="J55" i="8"/>
  <c r="J102" i="8"/>
  <c r="E13" i="4"/>
  <c r="I30" i="7"/>
  <c r="H259" i="7" s="1"/>
  <c r="I29" i="9"/>
  <c r="I30" i="9" s="1"/>
  <c r="E11" i="6"/>
  <c r="I41" i="7"/>
  <c r="H270" i="7" s="1"/>
  <c r="E23" i="4"/>
  <c r="E17" i="4"/>
  <c r="I35" i="7"/>
  <c r="J92" i="10"/>
  <c r="J57" i="9"/>
  <c r="J127" i="10"/>
  <c r="J131" i="10" s="1"/>
  <c r="J158" i="10" s="1"/>
  <c r="J133" i="8"/>
  <c r="J150" i="7"/>
  <c r="J135" i="9"/>
  <c r="I36" i="7"/>
  <c r="H265" i="7" s="1"/>
  <c r="E18" i="4"/>
  <c r="E11" i="4"/>
  <c r="I28" i="7"/>
  <c r="H257" i="7" s="1"/>
  <c r="I38" i="7"/>
  <c r="H267" i="7" s="1"/>
  <c r="E20" i="4"/>
  <c r="E9" i="4"/>
  <c r="I26" i="7"/>
  <c r="H255" i="7" s="1"/>
  <c r="E22" i="4"/>
  <c r="I40" i="7"/>
  <c r="H269" i="7" s="1"/>
  <c r="C99" i="2"/>
  <c r="I27" i="8"/>
  <c r="H190" i="8" s="1"/>
  <c r="E10" i="5"/>
  <c r="J98" i="8"/>
  <c r="I44" i="7"/>
  <c r="I45" i="7" s="1"/>
  <c r="E25" i="4"/>
  <c r="I25" i="9"/>
  <c r="E8" i="6"/>
  <c r="D12" i="6"/>
  <c r="G10" i="9" s="1"/>
  <c r="I26" i="9"/>
  <c r="H194" i="9" s="1"/>
  <c r="E9" i="6"/>
  <c r="E24" i="4"/>
  <c r="I42" i="7"/>
  <c r="H271" i="7" s="1"/>
  <c r="E19" i="4"/>
  <c r="I37" i="7"/>
  <c r="H266" i="7" s="1"/>
  <c r="I31" i="7"/>
  <c r="H260" i="7" s="1"/>
  <c r="E14" i="4"/>
  <c r="AF276" i="3"/>
  <c r="J100" i="9"/>
  <c r="I39" i="7"/>
  <c r="H268" i="7" s="1"/>
  <c r="E21" i="4"/>
  <c r="I27" i="7"/>
  <c r="H256" i="7" s="1"/>
  <c r="E10" i="4"/>
  <c r="I27" i="9"/>
  <c r="H195" i="9" s="1"/>
  <c r="E10" i="6"/>
  <c r="E12" i="4"/>
  <c r="I29" i="7"/>
  <c r="H258" i="7" s="1"/>
  <c r="D11" i="5"/>
  <c r="G10" i="8" s="1"/>
  <c r="I25" i="8"/>
  <c r="E8" i="5"/>
  <c r="J117" i="7"/>
  <c r="J115" i="7"/>
  <c r="I26" i="8"/>
  <c r="H189" i="8" s="1"/>
  <c r="E9" i="5"/>
  <c r="I25" i="7"/>
  <c r="E8" i="4"/>
  <c r="D26" i="4"/>
  <c r="J49" i="10"/>
  <c r="J103" i="8"/>
  <c r="J100" i="8"/>
  <c r="I33" i="7"/>
  <c r="H262" i="7" s="1"/>
  <c r="E16" i="4"/>
  <c r="I32" i="7"/>
  <c r="H261" i="7" s="1"/>
  <c r="E15" i="4"/>
  <c r="J91" i="8" l="1"/>
  <c r="J61" i="8"/>
  <c r="J67" i="8"/>
  <c r="J65" i="8"/>
  <c r="J60" i="8"/>
  <c r="J62" i="8"/>
  <c r="J64" i="8"/>
  <c r="J66" i="8"/>
  <c r="J63" i="8"/>
  <c r="J93" i="9"/>
  <c r="J69" i="9"/>
  <c r="J68" i="9"/>
  <c r="J63" i="9"/>
  <c r="J65" i="9"/>
  <c r="J66" i="9"/>
  <c r="J67" i="9"/>
  <c r="J64" i="9"/>
  <c r="J62" i="9"/>
  <c r="J85" i="10"/>
  <c r="J54" i="10"/>
  <c r="J60" i="10"/>
  <c r="J58" i="10"/>
  <c r="J57" i="10"/>
  <c r="J61" i="10"/>
  <c r="J55" i="10"/>
  <c r="J59" i="10"/>
  <c r="J56" i="10"/>
  <c r="J108" i="7"/>
  <c r="J77" i="7"/>
  <c r="J80" i="7"/>
  <c r="J81" i="7"/>
  <c r="J78" i="7"/>
  <c r="J84" i="7"/>
  <c r="J82" i="7"/>
  <c r="J83" i="7"/>
  <c r="J79" i="7"/>
  <c r="F14" i="4"/>
  <c r="I14" i="4" s="1"/>
  <c r="F20" i="4"/>
  <c r="I20" i="4" s="1"/>
  <c r="J101" i="9"/>
  <c r="J106" i="9" s="1"/>
  <c r="H198" i="9"/>
  <c r="H197" i="9"/>
  <c r="F12" i="4"/>
  <c r="I12" i="4" s="1"/>
  <c r="F24" i="4"/>
  <c r="I24" i="4" s="1"/>
  <c r="H254" i="7"/>
  <c r="I34" i="7"/>
  <c r="H263" i="7" s="1"/>
  <c r="H273" i="7"/>
  <c r="H274" i="7" s="1"/>
  <c r="F11" i="6"/>
  <c r="I11" i="6" s="1"/>
  <c r="F15" i="4"/>
  <c r="I15" i="4" s="1"/>
  <c r="F10" i="4"/>
  <c r="I10" i="4" s="1"/>
  <c r="F19" i="4"/>
  <c r="I19" i="4" s="1"/>
  <c r="F10" i="5"/>
  <c r="I10" i="5" s="1"/>
  <c r="F22" i="4"/>
  <c r="I22" i="4" s="1"/>
  <c r="F11" i="4"/>
  <c r="I11" i="4" s="1"/>
  <c r="H264" i="7"/>
  <c r="I43" i="7"/>
  <c r="H272" i="7" s="1"/>
  <c r="F8" i="5"/>
  <c r="E11" i="5"/>
  <c r="F10" i="6"/>
  <c r="I10" i="6" s="1"/>
  <c r="F9" i="6"/>
  <c r="I9" i="6" s="1"/>
  <c r="F9" i="5"/>
  <c r="I9" i="5" s="1"/>
  <c r="E12" i="6"/>
  <c r="F8" i="6"/>
  <c r="I8" i="6" s="1"/>
  <c r="F18" i="4"/>
  <c r="I18" i="4" s="1"/>
  <c r="F17" i="4"/>
  <c r="I17" i="4" s="1"/>
  <c r="F8" i="4"/>
  <c r="I8" i="4" s="1"/>
  <c r="E26" i="4"/>
  <c r="F25" i="4"/>
  <c r="I25" i="4" s="1"/>
  <c r="H188" i="8"/>
  <c r="H191" i="8" s="1"/>
  <c r="H194" i="8" s="1"/>
  <c r="I28" i="8"/>
  <c r="I31" i="8" s="1"/>
  <c r="J99" i="8"/>
  <c r="J104" i="8" s="1"/>
  <c r="J116" i="7"/>
  <c r="J121" i="7" s="1"/>
  <c r="F16" i="4"/>
  <c r="I16" i="4" s="1"/>
  <c r="G10" i="10"/>
  <c r="G10" i="7"/>
  <c r="F21" i="4"/>
  <c r="I21" i="4" s="1"/>
  <c r="H193" i="9"/>
  <c r="I28" i="9"/>
  <c r="H196" i="9" s="1"/>
  <c r="C105" i="2"/>
  <c r="E105" i="2" s="1"/>
  <c r="E99" i="2"/>
  <c r="F9" i="4"/>
  <c r="I9" i="4" s="1"/>
  <c r="J93" i="10"/>
  <c r="J98" i="10" s="1"/>
  <c r="F23" i="4"/>
  <c r="I23" i="4" s="1"/>
  <c r="F13" i="4"/>
  <c r="I13" i="4" s="1"/>
  <c r="G9" i="5" l="1"/>
  <c r="H9" i="5" s="1"/>
  <c r="O9" i="5" s="1"/>
  <c r="J85" i="7"/>
  <c r="J109" i="7" s="1"/>
  <c r="J111" i="7" s="1"/>
  <c r="F125" i="7" s="1"/>
  <c r="J68" i="8"/>
  <c r="J92" i="8" s="1"/>
  <c r="J94" i="8" s="1"/>
  <c r="J70" i="9"/>
  <c r="J94" i="9" s="1"/>
  <c r="J96" i="9" s="1"/>
  <c r="F110" i="9" s="1"/>
  <c r="J62" i="10"/>
  <c r="J86" i="10" s="1"/>
  <c r="J88" i="10" s="1"/>
  <c r="F102" i="10" s="1"/>
  <c r="G10" i="6"/>
  <c r="H10" i="6" s="1"/>
  <c r="O10" i="6" s="1"/>
  <c r="G8" i="6"/>
  <c r="H8" i="6" s="1"/>
  <c r="O8" i="6" s="1"/>
  <c r="G9" i="6"/>
  <c r="H9" i="6" s="1"/>
  <c r="O9" i="6" s="1"/>
  <c r="G11" i="6"/>
  <c r="H11" i="6" s="1"/>
  <c r="O11" i="6" s="1"/>
  <c r="H188" i="9" s="1"/>
  <c r="G18" i="4"/>
  <c r="H18" i="4" s="1"/>
  <c r="O18" i="4" s="1"/>
  <c r="G16" i="4"/>
  <c r="H16" i="4" s="1"/>
  <c r="O16" i="4" s="1"/>
  <c r="G23" i="4"/>
  <c r="H23" i="4" s="1"/>
  <c r="O23" i="4" s="1"/>
  <c r="G17" i="4"/>
  <c r="H17" i="4" s="1"/>
  <c r="O17" i="4" s="1"/>
  <c r="G19" i="4"/>
  <c r="H19" i="4" s="1"/>
  <c r="O19" i="4" s="1"/>
  <c r="G15" i="4"/>
  <c r="H15" i="4" s="1"/>
  <c r="O15" i="4" s="1"/>
  <c r="I108" i="8"/>
  <c r="J162" i="8"/>
  <c r="J108" i="8"/>
  <c r="J179" i="7"/>
  <c r="I125" i="7"/>
  <c r="J133" i="7"/>
  <c r="J156" i="10"/>
  <c r="I102" i="10"/>
  <c r="F12" i="6"/>
  <c r="H277" i="7"/>
  <c r="G12" i="4"/>
  <c r="H12" i="4" s="1"/>
  <c r="O12" i="4" s="1"/>
  <c r="G13" i="4"/>
  <c r="H13" i="4" s="1"/>
  <c r="O13" i="4" s="1"/>
  <c r="J178" i="7"/>
  <c r="J125" i="7"/>
  <c r="I8" i="5"/>
  <c r="I11" i="5" s="1"/>
  <c r="F11" i="5"/>
  <c r="I33" i="9"/>
  <c r="G11" i="4"/>
  <c r="H11" i="4" s="1"/>
  <c r="O11" i="4" s="1"/>
  <c r="G9" i="4"/>
  <c r="H9" i="4" s="1"/>
  <c r="O9" i="4" s="1"/>
  <c r="G21" i="4"/>
  <c r="H21" i="4" s="1"/>
  <c r="O21" i="4" s="1"/>
  <c r="G25" i="4"/>
  <c r="H25" i="4" s="1"/>
  <c r="O25" i="4" s="1"/>
  <c r="F26" i="4"/>
  <c r="G8" i="5"/>
  <c r="G22" i="4"/>
  <c r="H22" i="4" s="1"/>
  <c r="O22" i="4" s="1"/>
  <c r="G10" i="4"/>
  <c r="H10" i="4" s="1"/>
  <c r="O10" i="4" s="1"/>
  <c r="G20" i="4"/>
  <c r="H20" i="4" s="1"/>
  <c r="O20" i="4" s="1"/>
  <c r="H176" i="9"/>
  <c r="H175" i="9"/>
  <c r="J175" i="9" s="1"/>
  <c r="J164" i="9"/>
  <c r="I110" i="9"/>
  <c r="H179" i="9"/>
  <c r="J179" i="9" s="1"/>
  <c r="H180" i="9"/>
  <c r="H201" i="9"/>
  <c r="H182" i="9"/>
  <c r="J182" i="9" s="1"/>
  <c r="H183" i="9"/>
  <c r="G8" i="4"/>
  <c r="H8" i="4" s="1"/>
  <c r="O8" i="4" s="1"/>
  <c r="G10" i="5"/>
  <c r="H10" i="5" s="1"/>
  <c r="O10" i="5" s="1"/>
  <c r="I48" i="7"/>
  <c r="G24" i="4"/>
  <c r="H24" i="4" s="1"/>
  <c r="O24" i="4" s="1"/>
  <c r="G14" i="4"/>
  <c r="H14" i="4" s="1"/>
  <c r="O14" i="4" s="1"/>
  <c r="J110" i="10" l="1"/>
  <c r="J110" i="9"/>
  <c r="J117" i="9" s="1"/>
  <c r="J155" i="10"/>
  <c r="J102" i="10"/>
  <c r="J109" i="10" s="1"/>
  <c r="J118" i="9"/>
  <c r="J163" i="9"/>
  <c r="J116" i="8"/>
  <c r="F108" i="8"/>
  <c r="J161" i="8"/>
  <c r="H187" i="9"/>
  <c r="J187" i="9" s="1"/>
  <c r="I26" i="4"/>
  <c r="J134" i="7"/>
  <c r="J126" i="7"/>
  <c r="J132" i="7"/>
  <c r="J131" i="7"/>
  <c r="J130" i="7"/>
  <c r="I12" i="6"/>
  <c r="H8" i="5"/>
  <c r="O8" i="5" s="1"/>
  <c r="G11" i="5"/>
  <c r="H11" i="5" s="1"/>
  <c r="O11" i="5" s="1"/>
  <c r="G26" i="4"/>
  <c r="H26" i="4" s="1"/>
  <c r="O26" i="4" s="1"/>
  <c r="G12" i="6"/>
  <c r="H12" i="6" s="1"/>
  <c r="O12" i="6" s="1"/>
  <c r="J114" i="8"/>
  <c r="J113" i="8"/>
  <c r="J117" i="8"/>
  <c r="J109" i="8"/>
  <c r="J115" i="8"/>
  <c r="J107" i="10"/>
  <c r="J108" i="10"/>
  <c r="J116" i="9" l="1"/>
  <c r="J115" i="9"/>
  <c r="J119" i="9"/>
  <c r="J111" i="10"/>
  <c r="J112" i="10" s="1"/>
  <c r="J120" i="10" s="1"/>
  <c r="J122" i="10" s="1"/>
  <c r="J103" i="10"/>
  <c r="J111" i="9"/>
  <c r="L14" i="6"/>
  <c r="J135" i="7"/>
  <c r="J143" i="7" s="1"/>
  <c r="J145" i="7" s="1"/>
  <c r="L28" i="4"/>
  <c r="J118" i="8"/>
  <c r="J126" i="8" s="1"/>
  <c r="J128" i="8" s="1"/>
  <c r="D10" i="11"/>
  <c r="G208" i="9"/>
  <c r="L13" i="5"/>
  <c r="J120" i="9" l="1"/>
  <c r="J128" i="9" s="1"/>
  <c r="J130" i="9" s="1"/>
  <c r="J165" i="9" s="1"/>
  <c r="J180" i="7"/>
  <c r="J157" i="10"/>
  <c r="J159" i="10" s="1"/>
  <c r="J136" i="10"/>
  <c r="J137" i="10" s="1"/>
  <c r="G284" i="7"/>
  <c r="D8" i="11"/>
  <c r="D9" i="11"/>
  <c r="G201" i="8"/>
  <c r="J163" i="8"/>
  <c r="D12" i="11" l="1"/>
  <c r="F14" i="11"/>
  <c r="J138" i="10"/>
  <c r="J139" i="10" s="1"/>
  <c r="J140" i="10" s="1"/>
  <c r="F15" i="11" l="1"/>
  <c r="I107" i="2"/>
  <c r="J143" i="10"/>
  <c r="J142" i="10"/>
  <c r="J145" i="10"/>
  <c r="G101" i="2"/>
  <c r="G96" i="2"/>
  <c r="G98" i="2"/>
  <c r="G97" i="2"/>
  <c r="J141" i="10" l="1"/>
  <c r="J146" i="10" s="1"/>
  <c r="J160" i="10" s="1"/>
  <c r="J161" i="10" s="1"/>
  <c r="I163" i="10" s="1"/>
  <c r="I167" i="10" s="1"/>
  <c r="G11" i="11" s="1"/>
  <c r="G99" i="2"/>
  <c r="J135" i="8"/>
  <c r="J137" i="9"/>
  <c r="J152" i="7"/>
  <c r="E11" i="11" l="1"/>
  <c r="J134" i="8"/>
  <c r="J137" i="8" s="1"/>
  <c r="J136" i="9"/>
  <c r="J139" i="9" s="1"/>
  <c r="J151" i="7"/>
  <c r="J154" i="7" s="1"/>
  <c r="G105" i="2"/>
  <c r="J181" i="7" l="1"/>
  <c r="J182" i="7" s="1"/>
  <c r="J159" i="7"/>
  <c r="J160" i="7" s="1"/>
  <c r="J161" i="7" s="1"/>
  <c r="J162" i="7" s="1"/>
  <c r="J166" i="9"/>
  <c r="J167" i="9" s="1"/>
  <c r="J144" i="9"/>
  <c r="J145" i="9" s="1"/>
  <c r="J164" i="8"/>
  <c r="J165" i="8" s="1"/>
  <c r="J142" i="8"/>
  <c r="J143" i="8" s="1"/>
  <c r="J144" i="8" s="1"/>
  <c r="J145" i="8" s="1"/>
  <c r="J146" i="8" l="1"/>
  <c r="J163" i="7"/>
  <c r="J146" i="9"/>
  <c r="J147" i="9" s="1"/>
  <c r="J148" i="8" l="1"/>
  <c r="J151" i="8"/>
  <c r="J149" i="8"/>
  <c r="J148" i="9"/>
  <c r="J168" i="7"/>
  <c r="J166" i="7"/>
  <c r="J165" i="7"/>
  <c r="J147" i="8" l="1"/>
  <c r="J152" i="8" s="1"/>
  <c r="J166" i="8" s="1"/>
  <c r="J167" i="8" s="1"/>
  <c r="J151" i="9"/>
  <c r="J150" i="9"/>
  <c r="J153" i="9"/>
  <c r="J164" i="7"/>
  <c r="J169" i="7" s="1"/>
  <c r="J183" i="7" s="1"/>
  <c r="J184" i="7" s="1"/>
  <c r="J149" i="9" l="1"/>
  <c r="J154" i="9" s="1"/>
  <c r="J168" i="9" s="1"/>
  <c r="J169" i="9" s="1"/>
  <c r="I180" i="9" s="1"/>
  <c r="J180" i="9" s="1"/>
  <c r="J181" i="9" s="1"/>
  <c r="F194" i="9" s="1"/>
  <c r="I194" i="9" s="1"/>
  <c r="G230" i="7"/>
  <c r="I230" i="7" s="1"/>
  <c r="I231" i="7" s="1"/>
  <c r="F267" i="7" s="1"/>
  <c r="I267" i="7" s="1"/>
  <c r="G209" i="7"/>
  <c r="I209" i="7" s="1"/>
  <c r="I210" i="7" s="1"/>
  <c r="F260" i="7" s="1"/>
  <c r="I260" i="7" s="1"/>
  <c r="G249" i="7"/>
  <c r="I249" i="7" s="1"/>
  <c r="I250" i="7" s="1"/>
  <c r="F273" i="7" s="1"/>
  <c r="I273" i="7" s="1"/>
  <c r="I274" i="7" s="1"/>
  <c r="G242" i="7"/>
  <c r="I242" i="7" s="1"/>
  <c r="I243" i="7" s="1"/>
  <c r="F271" i="7" s="1"/>
  <c r="I271" i="7" s="1"/>
  <c r="G224" i="7"/>
  <c r="I224" i="7" s="1"/>
  <c r="I225" i="7" s="1"/>
  <c r="F265" i="7" s="1"/>
  <c r="I265" i="7" s="1"/>
  <c r="G239" i="7"/>
  <c r="I239" i="7" s="1"/>
  <c r="I240" i="7" s="1"/>
  <c r="F270" i="7" s="1"/>
  <c r="I270" i="7" s="1"/>
  <c r="G221" i="7"/>
  <c r="I221" i="7" s="1"/>
  <c r="I222" i="7" s="1"/>
  <c r="F264" i="7" s="1"/>
  <c r="I264" i="7" s="1"/>
  <c r="G236" i="7"/>
  <c r="I236" i="7" s="1"/>
  <c r="I237" i="7" s="1"/>
  <c r="F269" i="7" s="1"/>
  <c r="I269" i="7" s="1"/>
  <c r="G215" i="7"/>
  <c r="I215" i="7" s="1"/>
  <c r="I216" i="7" s="1"/>
  <c r="F262" i="7" s="1"/>
  <c r="I262" i="7" s="1"/>
  <c r="G212" i="7"/>
  <c r="I212" i="7" s="1"/>
  <c r="I213" i="7" s="1"/>
  <c r="F261" i="7" s="1"/>
  <c r="I261" i="7" s="1"/>
  <c r="G203" i="7"/>
  <c r="I203" i="7" s="1"/>
  <c r="I204" i="7" s="1"/>
  <c r="F258" i="7" s="1"/>
  <c r="I258" i="7" s="1"/>
  <c r="G227" i="7"/>
  <c r="I227" i="7" s="1"/>
  <c r="I228" i="7" s="1"/>
  <c r="F266" i="7" s="1"/>
  <c r="I266" i="7" s="1"/>
  <c r="G206" i="7"/>
  <c r="I206" i="7" s="1"/>
  <c r="I207" i="7" s="1"/>
  <c r="F259" i="7" s="1"/>
  <c r="I259" i="7" s="1"/>
  <c r="G200" i="7"/>
  <c r="I200" i="7" s="1"/>
  <c r="I201" i="7" s="1"/>
  <c r="F257" i="7" s="1"/>
  <c r="I257" i="7" s="1"/>
  <c r="G194" i="7"/>
  <c r="I194" i="7" s="1"/>
  <c r="I195" i="7" s="1"/>
  <c r="F255" i="7" s="1"/>
  <c r="I255" i="7" s="1"/>
  <c r="G191" i="7"/>
  <c r="I191" i="7" s="1"/>
  <c r="I192" i="7" s="1"/>
  <c r="F254" i="7" s="1"/>
  <c r="I254" i="7" s="1"/>
  <c r="G233" i="7"/>
  <c r="I233" i="7" s="1"/>
  <c r="I234" i="7" s="1"/>
  <c r="F268" i="7" s="1"/>
  <c r="I268" i="7" s="1"/>
  <c r="G197" i="7"/>
  <c r="I197" i="7" s="1"/>
  <c r="I198" i="7" s="1"/>
  <c r="F256" i="7" s="1"/>
  <c r="I256" i="7" s="1"/>
  <c r="G178" i="8"/>
  <c r="I178" i="8" s="1"/>
  <c r="I179" i="8" s="1"/>
  <c r="F189" i="8" s="1"/>
  <c r="I189" i="8" s="1"/>
  <c r="G174" i="8"/>
  <c r="I174" i="8" s="1"/>
  <c r="I175" i="8" s="1"/>
  <c r="F188" i="8" s="1"/>
  <c r="I188" i="8" s="1"/>
  <c r="G182" i="8"/>
  <c r="I182" i="8" s="1"/>
  <c r="I183" i="8" s="1"/>
  <c r="F190" i="8" s="1"/>
  <c r="I190" i="8" s="1"/>
  <c r="I176" i="9" l="1"/>
  <c r="J176" i="9" s="1"/>
  <c r="J177" i="9" s="1"/>
  <c r="F193" i="9" s="1"/>
  <c r="I193" i="9" s="1"/>
  <c r="I188" i="9"/>
  <c r="J188" i="9" s="1"/>
  <c r="J189" i="9" s="1"/>
  <c r="F197" i="9" s="1"/>
  <c r="I197" i="9" s="1"/>
  <c r="I198" i="9" s="1"/>
  <c r="I183" i="9"/>
  <c r="J183" i="9" s="1"/>
  <c r="J184" i="9" s="1"/>
  <c r="F195" i="9" s="1"/>
  <c r="I195" i="9" s="1"/>
  <c r="I191" i="8"/>
  <c r="I194" i="8" s="1"/>
  <c r="I197" i="8" s="1"/>
  <c r="G9" i="11" s="1"/>
  <c r="I263" i="7"/>
  <c r="I272" i="7"/>
  <c r="I195" i="8" l="1"/>
  <c r="E9" i="11" s="1"/>
  <c r="I196" i="9"/>
  <c r="I201" i="9" s="1"/>
  <c r="I277" i="7"/>
  <c r="I281" i="7" s="1"/>
  <c r="G8" i="11" s="1"/>
  <c r="I279" i="7" l="1"/>
  <c r="E8" i="11" s="1"/>
  <c r="I202" i="9"/>
  <c r="I204" i="9"/>
  <c r="G10" i="11" s="1"/>
  <c r="G12" i="11" s="1"/>
  <c r="F16" i="11" s="1"/>
  <c r="E10" i="11" l="1"/>
  <c r="E12" i="11" s="1"/>
  <c r="L202" i="9"/>
</calcChain>
</file>

<file path=xl/comments1.xml><?xml version="1.0" encoding="utf-8"?>
<comments xmlns="http://schemas.openxmlformats.org/spreadsheetml/2006/main">
  <authors>
    <author/>
  </authors>
  <commentList>
    <comment ref="H20" authorId="0">
      <text>
        <r>
          <rPr>
            <sz val="10"/>
            <color rgb="FF000000"/>
            <rFont val="Arial"/>
            <family val="2"/>
            <charset val="1"/>
          </rPr>
          <t>======
ID#AAAAMSvrDiw
Evandro    (2021-05-05 13:27:52)
Sindicato das Empresas de Asseio e Conservação do Estado do Rio Grande do Sul- CNPJ nº: 87.078.325/0001-75, e Sindicato Intermunicipal dos Empregados em Empresas de Asseio e Conservação e Serviços Terceirizados em Asseio e Conservação no Rio Grande do Sul (SEEAC/RS) - CNPJ nº: 90.601.956/0001-31.</t>
        </r>
      </text>
    </comment>
    <comment ref="J91" authorId="0">
      <text>
        <r>
          <rPr>
            <sz val="10"/>
            <color rgb="FF000000"/>
            <rFont val="Arial"/>
            <family val="2"/>
            <charset val="1"/>
          </rPr>
          <t>======
ID#AAAAMSvrDi4
Evandro    (2021-05-05 13:27:52)
Conforme Lei nº 7.418/1985 e atualizações posteriores.</t>
        </r>
      </text>
    </comment>
    <comment ref="B115" authorId="0">
      <text>
        <r>
          <rPr>
            <sz val="10"/>
            <color rgb="FF000000"/>
            <rFont val="Arial"/>
            <family val="2"/>
            <charset val="1"/>
          </rPr>
          <t>======
ID#AAAAMSvrDh8
Evandro    (2021-05-05 13:27:52)
Os reflexos de 13º salário, férias e 1/3 de férias são referentes a 1 mês de Aviso Prévio Indenizado. Na prorrogação contratual, poderão ser considerados 3 dias, conforme Lei nº 12.506/2011, dependendo da análise do nº de ocorrências deste evento no período.</t>
        </r>
      </text>
    </comment>
    <comment ref="B117" authorId="0">
      <text>
        <r>
          <rPr>
            <sz val="10"/>
            <color rgb="FF000000"/>
            <rFont val="Arial"/>
            <family val="2"/>
            <charset val="1"/>
          </rPr>
          <t>======
ID#AAAAMSvrDh4
Evandro    (2021-05-05 13:27:52)
Multa de 40% sobre Saldo da Conta Vinculada do FGTS para RCT s/Justa Causa, com Aviso Indenizado durante a vigência do Contrato de Prestação de Serviços.</t>
        </r>
      </text>
    </comment>
    <comment ref="B118" authorId="0">
      <text>
        <r>
          <rPr>
            <sz val="10"/>
            <color rgb="FF000000"/>
            <rFont val="Arial"/>
            <family val="2"/>
            <charset val="1"/>
          </rPr>
          <t>======
ID#AAAAMSvrDiQ
Evandro    (2021-05-05 13:27:52)
Negociar extinção/redução na 1ª prorrogação contratual</t>
        </r>
      </text>
    </comment>
  </commentList>
</comments>
</file>

<file path=xl/comments2.xml><?xml version="1.0" encoding="utf-8"?>
<comments xmlns="http://schemas.openxmlformats.org/spreadsheetml/2006/main">
  <authors>
    <author/>
  </authors>
  <commentList>
    <comment ref="H20" authorId="0">
      <text>
        <r>
          <rPr>
            <sz val="10"/>
            <color rgb="FF000000"/>
            <rFont val="Arial"/>
            <family val="2"/>
            <charset val="1"/>
          </rPr>
          <t>======
ID#AAAAMSvrDiU
Evandro    (2021-05-05 13:27:52)
Sindicato das Empresas de Asseio e Conservação do Estado do Rio Grande do Sul- CNPJ nº: 87.078.325/0001-75, e Sindicato Intermunicipal dos Empregados em Empresas de Asseio e Conservação e Serviços Terceirizados em Asseio e Conservação no Rio Grande do Sul (SEEAC/RS) - CNPJ nº: 90.601.956/0001-31.</t>
        </r>
      </text>
    </comment>
    <comment ref="J74" authorId="0">
      <text>
        <r>
          <rPr>
            <sz val="10"/>
            <color rgb="FF000000"/>
            <rFont val="Arial"/>
            <family val="2"/>
            <charset val="1"/>
          </rPr>
          <t>======
ID#AAAAMSvrDjE
Evandro    (2021-05-05 13:27:52)
Conforme Lei nº 7.418/1985 e atualizações posteriores.</t>
        </r>
      </text>
    </comment>
    <comment ref="B98" authorId="0">
      <text>
        <r>
          <rPr>
            <sz val="10"/>
            <color rgb="FF000000"/>
            <rFont val="Arial"/>
            <family val="2"/>
            <charset val="1"/>
          </rPr>
          <t>======
ID#AAAAMSvrDiY
Evandro    (2021-05-05 13:27:52)
Os reflexos de 13º salário, férias e 1/3 de férias são referentes a 1 mês de Aviso Prévio Indenizado. Na prorrogação contratual, poderão ser considerados 3 dias, conforme Lei nº 12.506/2011, dependendo da análise do nº de ocorrências deste evento no período.</t>
        </r>
      </text>
    </comment>
    <comment ref="B100" authorId="0">
      <text>
        <r>
          <rPr>
            <sz val="10"/>
            <color rgb="FF000000"/>
            <rFont val="Arial"/>
            <family val="2"/>
            <charset val="1"/>
          </rPr>
          <t>======
ID#AAAAMSvrDiE
Evandro    (2021-05-05 13:27:52)
Multa de 40% sobre Saldo da Conta Vinculada do FGTS para RCT s/Justa Causa, com Aviso Indenizado durante a vigência do Contrato de Prestação de Serviços.</t>
        </r>
      </text>
    </comment>
    <comment ref="B101" authorId="0">
      <text>
        <r>
          <rPr>
            <sz val="10"/>
            <color rgb="FF000000"/>
            <rFont val="Arial"/>
            <family val="2"/>
            <charset val="1"/>
          </rPr>
          <t>======
ID#AAAAMSvrDic
Evandro    (2021-05-05 13:27:52)
Negociar extinção/redução na 1ª prorrogação contratual</t>
        </r>
      </text>
    </comment>
  </commentList>
</comments>
</file>

<file path=xl/comments3.xml><?xml version="1.0" encoding="utf-8"?>
<comments xmlns="http://schemas.openxmlformats.org/spreadsheetml/2006/main">
  <authors>
    <author/>
  </authors>
  <commentList>
    <comment ref="H20" authorId="0">
      <text>
        <r>
          <rPr>
            <sz val="10"/>
            <color rgb="FF000000"/>
            <rFont val="Arial"/>
            <family val="2"/>
            <charset val="1"/>
          </rPr>
          <t>======
ID#AAAAMSvrDig
Evandro    (2021-05-05 13:27:52)
Sindicato das Empresas de Asseio e Conservação do Estado do Rio Grande do Sul- CNPJ nº: 87.078.325/0001-75, e Sindicato Intermunicipal dos Empregados em Empresas de Asseio e Conservação e Serviços Terceirizados em Asseio e Conservação no Rio Grande do Sul (SEEAC/RS) - CNPJ nº: 90.601.956/0001-31.</t>
        </r>
      </text>
    </comment>
    <comment ref="J76" authorId="0">
      <text>
        <r>
          <rPr>
            <sz val="10"/>
            <color rgb="FF000000"/>
            <rFont val="Arial"/>
            <family val="2"/>
            <charset val="1"/>
          </rPr>
          <t>======
ID#AAAAMSvrDi0
Evandro    (2021-05-05 13:27:52)
Conforme Lei nº 7.418/1985 e atualizações posteriores.</t>
        </r>
      </text>
    </comment>
    <comment ref="B100" authorId="0">
      <text>
        <r>
          <rPr>
            <sz val="10"/>
            <color rgb="FF000000"/>
            <rFont val="Arial"/>
            <family val="2"/>
            <charset val="1"/>
          </rPr>
          <t>======
ID#AAAAMSvrDi8
Evandro    (2021-05-05 13:27:52)
Os reflexos de 13º salário, férias e 1/3 de férias são referentes a 1 mês de Aviso Prévio Indenizado. Na prorrogação contratual, poderão ser considerados 3 dias, conforme Lei nº 12.506/2011, dependendo da análise do nº de ocorrências deste evento no período.</t>
        </r>
      </text>
    </comment>
    <comment ref="B102" authorId="0">
      <text>
        <r>
          <rPr>
            <sz val="10"/>
            <color rgb="FF000000"/>
            <rFont val="Arial"/>
            <family val="2"/>
            <charset val="1"/>
          </rPr>
          <t>======
ID#AAAAMSvrDiA
Evandro    (2021-05-05 13:27:52)
Multa de 40% sobre Saldo da Conta Vinculada do FGTS para RCT s/Justa Causa, com Aviso Indenizado durante a vigência do Contrato de Prestação de Serviços.</t>
        </r>
      </text>
    </comment>
    <comment ref="B103" authorId="0">
      <text>
        <r>
          <rPr>
            <sz val="10"/>
            <color rgb="FF000000"/>
            <rFont val="Arial"/>
            <family val="2"/>
            <charset val="1"/>
          </rPr>
          <t>======
ID#AAAAMSvrDis
Evandro    (2021-05-05 13:27:52)
Negociar extinção/redução na 1ª prorrogação contratual</t>
        </r>
      </text>
    </comment>
  </commentList>
</comments>
</file>

<file path=xl/comments4.xml><?xml version="1.0" encoding="utf-8"?>
<comments xmlns="http://schemas.openxmlformats.org/spreadsheetml/2006/main">
  <authors>
    <author/>
  </authors>
  <commentList>
    <comment ref="H20" authorId="0">
      <text>
        <r>
          <rPr>
            <sz val="10"/>
            <color rgb="FF000000"/>
            <rFont val="Arial"/>
            <family val="2"/>
            <charset val="1"/>
          </rPr>
          <t>======
ID#AAAAMSvrDik
Evandro    (2021-05-05 13:27:52)
Sindicato das Empresas de Asseio e Conservação do Estado do Rio Grande do Sul- CNPJ nº: 87.078.325/0001-75, e Sindicato Intermunicipal dos Empregados em Empresas de Asseio e Conservação e Serviços Terceirizados em Asseio e Conservação no Rio Grande do Sul (SEEAC/RS) - CNPJ nº: 90.601.956/0001-31.</t>
        </r>
      </text>
    </comment>
    <comment ref="J68" authorId="0">
      <text>
        <r>
          <rPr>
            <sz val="10"/>
            <color rgb="FF000000"/>
            <rFont val="Arial"/>
            <family val="2"/>
            <charset val="1"/>
          </rPr>
          <t>======
ID#AAAAMSvrDio
Evandro    (2021-05-05 13:27:52)
Conforme Lei nº 7.418/1985 e atualizações posteriores.</t>
        </r>
      </text>
    </comment>
    <comment ref="B92" authorId="0">
      <text>
        <r>
          <rPr>
            <sz val="10"/>
            <color rgb="FF000000"/>
            <rFont val="Arial"/>
            <family val="2"/>
            <charset val="1"/>
          </rPr>
          <t>======
ID#AAAAMSvrDjA
Evandro    (2021-05-05 13:27:52)
Os reflexos de 13º salário, férias e 1/3 de férias são referentes a 1 mês de Aviso Prévio Indenizado. Na prorrogação contratual, poderão ser considerados 3 dias, conforme Lei nº 12.506/2011, dependendo da análise do nº de ocorrências deste evento no período.</t>
        </r>
      </text>
    </comment>
    <comment ref="B94" authorId="0">
      <text>
        <r>
          <rPr>
            <sz val="10"/>
            <color rgb="FF000000"/>
            <rFont val="Arial"/>
            <family val="2"/>
            <charset val="1"/>
          </rPr>
          <t>======
ID#AAAAMSvrDiM
Evandro    (2021-05-05 13:27:52)
Multa de 40% sobre Saldo da Conta Vinculada do FGTS para RCT s/Justa Causa, com Aviso Indenizado durante a vigência do Contrato de Prestação de Serviços.</t>
        </r>
      </text>
    </comment>
    <comment ref="B95" authorId="0">
      <text>
        <r>
          <rPr>
            <sz val="10"/>
            <color rgb="FF000000"/>
            <rFont val="Arial"/>
            <family val="2"/>
            <charset val="1"/>
          </rPr>
          <t>======
ID#AAAAMSvrDiI
Evandro    (2021-05-05 13:27:52)
Negociar extinção/redução na 1ª prorrogação contratual</t>
        </r>
      </text>
    </comment>
  </commentList>
</comments>
</file>

<file path=xl/sharedStrings.xml><?xml version="1.0" encoding="utf-8"?>
<sst xmlns="http://schemas.openxmlformats.org/spreadsheetml/2006/main" count="2495" uniqueCount="899">
  <si>
    <t>Ministério da Educação</t>
  </si>
  <si>
    <t>Secretaria de Educação Tecnológica</t>
  </si>
  <si>
    <t>Instituto Federal de Educação, Ciência e Tecnologia Farroupilha - IFFar</t>
  </si>
  <si>
    <t>CAMPUS SANTO AUGUSTO</t>
  </si>
  <si>
    <t xml:space="preserve">INFORMAÇÕES BÁSICAS PARA FORMAÇÃO DE PREÇO DE SERVIÇOS DE LIMPEZA </t>
  </si>
  <si>
    <t>SERVIÇOS</t>
  </si>
  <si>
    <t>Serviços de Limpeza e Conservação</t>
  </si>
  <si>
    <t>TIPO</t>
  </si>
  <si>
    <t>JORNADA</t>
  </si>
  <si>
    <t>TURNO</t>
  </si>
  <si>
    <t>Processo:</t>
  </si>
  <si>
    <t>23243.000810/2021-41</t>
  </si>
  <si>
    <t>Licitação:</t>
  </si>
  <si>
    <t>33 / 2021</t>
  </si>
  <si>
    <t>Data:</t>
  </si>
  <si>
    <t>Hora:</t>
  </si>
  <si>
    <t>09h (Horário de Brasília)</t>
  </si>
  <si>
    <t>Razão Social:</t>
  </si>
  <si>
    <t>CNPJ:</t>
  </si>
  <si>
    <t>Responsável pela Empresa:</t>
  </si>
  <si>
    <t>CPF do Responsável:</t>
  </si>
  <si>
    <t>Cargo ou Função:</t>
  </si>
  <si>
    <t>PRODUTIVIDADES</t>
  </si>
  <si>
    <t>TIPO DE ÁREA</t>
  </si>
  <si>
    <t>Tipo de piso</t>
  </si>
  <si>
    <t xml:space="preserve">produtividade (m² /             serv x mês)    de 40h semanais    (8h diárias) </t>
  </si>
  <si>
    <t>ÁREAS INTERNAS</t>
  </si>
  <si>
    <t>Pisos acarpetados</t>
  </si>
  <si>
    <t>Pisos frios</t>
  </si>
  <si>
    <t>Laboratórios</t>
  </si>
  <si>
    <t>Almoxarifados/ galpões</t>
  </si>
  <si>
    <t>Oficinas</t>
  </si>
  <si>
    <t>Áreas com espaços livres - saguão, hall e salão (inclusive passeralas de ligação)</t>
  </si>
  <si>
    <t>Piso Emborrachado</t>
  </si>
  <si>
    <t>Paredes (até 2,5 metros de altura)</t>
  </si>
  <si>
    <t>Teto</t>
  </si>
  <si>
    <t>ÁREAS EXTERNAS</t>
  </si>
  <si>
    <t>Pisos pavimentados adjacentes/contíguos às edificações</t>
  </si>
  <si>
    <t>Passarelas externas (Paredes)</t>
  </si>
  <si>
    <t>Passarelas externas (Teto)</t>
  </si>
  <si>
    <t>Varrição de passeios e arruamentos</t>
  </si>
  <si>
    <t>Pátios e áreas verdes com alta frequência</t>
  </si>
  <si>
    <t>Pátios e áreas verdes com média frequência</t>
  </si>
  <si>
    <t>Pátios e áreas verdes com baixa frequência</t>
  </si>
  <si>
    <t>Coleta de detritos em pátios e áreas verdes com frequência diária</t>
  </si>
  <si>
    <t>BANHEIROS</t>
  </si>
  <si>
    <t>Banheiros (Sanitários, Bancadas e Piso)</t>
  </si>
  <si>
    <t>Banheiros (Paredes)</t>
  </si>
  <si>
    <t>Banheiros (Teto)</t>
  </si>
  <si>
    <t xml:space="preserve">ESQUADRIAS </t>
  </si>
  <si>
    <t>Face externa com exposição a situação de risco</t>
  </si>
  <si>
    <t>Face externa sem exposição a situação de risco</t>
  </si>
  <si>
    <t>Face interna</t>
  </si>
  <si>
    <t>FACHADAS ENVIDRAÇADAS</t>
  </si>
  <si>
    <t>Fachadas envidraçadas</t>
  </si>
  <si>
    <t>ÁREAS HOSPITALARES E ASSEMELHADAS</t>
  </si>
  <si>
    <t>Áreas hospitalares e assemelhadas</t>
  </si>
  <si>
    <t>REGIME DE TRIBUTAÇÃO</t>
  </si>
  <si>
    <t>LUCRO REAL = 1     LUCRO PRESUMIDO = 2   SIMPLES-Anexo III = 3     SIMPLES-Anexo IV = 4     LR NÃO CUMULATIVO = 5</t>
  </si>
  <si>
    <t>INFORME AQUI &gt;----&gt;</t>
  </si>
  <si>
    <t>DESCRIÇÃO DO SERVIÇO</t>
  </si>
  <si>
    <t>Data da Proposta</t>
  </si>
  <si>
    <t>Município/UF</t>
  </si>
  <si>
    <t>Santo Augusto/RS</t>
  </si>
  <si>
    <t>Ano CCT/Acordo/Dissídio</t>
  </si>
  <si>
    <t>Nº de Meses do Contrato</t>
  </si>
  <si>
    <t>DADOS COMPLEMENTARES PARA COMPOSIÇÃO DOS CUSTOS</t>
  </si>
  <si>
    <t>Tipo de Serviço:</t>
  </si>
  <si>
    <t>Limpeza, Asseio e Conservação</t>
  </si>
  <si>
    <t>Classificação Brasileira de Ocupações (CBO):</t>
  </si>
  <si>
    <t>Base Legal Salário Base</t>
  </si>
  <si>
    <t>Salário Normativo da Categoria Profissional - Jornada de 44 hs/semanais</t>
  </si>
  <si>
    <t>Categoria Profissional (vinculada à execução contratual)</t>
  </si>
  <si>
    <t>Servente de Limpeza</t>
  </si>
  <si>
    <t>Data-Base da Categoria (dia/mês/ano)</t>
  </si>
  <si>
    <t>COMPOSIÇÃO DA REMUNERAÇÃO</t>
  </si>
  <si>
    <t>CARGA HORÁRIA SEMANAL</t>
  </si>
  <si>
    <t>Base Legal Insalubridade</t>
  </si>
  <si>
    <t>ÍNDICE DA INSALUBRIDADE - ÁREAS DE BANHEIROS</t>
  </si>
  <si>
    <t>ÍNDICE DA INSALUBRIDADE - DEMAIS ÁREAS</t>
  </si>
  <si>
    <t>INFORMAÇÕES DE RAT E FAT ( Comprovação será efetivada no fase de aceitação da proposta)</t>
  </si>
  <si>
    <t>RAT</t>
  </si>
  <si>
    <t>FAP</t>
  </si>
  <si>
    <t xml:space="preserve">Encargos Previdenciários (GPS), Fundo de Garantia por Tempo de Serviço (FGTS) e outras Contribuições  </t>
  </si>
  <si>
    <t>INSS</t>
  </si>
  <si>
    <t>Salário Educação</t>
  </si>
  <si>
    <t>SAT - Seguro Acidente de Trabalho (RAT x FAP)</t>
  </si>
  <si>
    <t>SESC ou SESI</t>
  </si>
  <si>
    <t>SENAC ou SENAI</t>
  </si>
  <si>
    <t>SEBRAE</t>
  </si>
  <si>
    <t>INCRA</t>
  </si>
  <si>
    <t>FGTS</t>
  </si>
  <si>
    <t>INFORMAÇÕES DE VALE TRANSPORTE</t>
  </si>
  <si>
    <t>Vale Transponte</t>
  </si>
  <si>
    <t>Passagens/dia</t>
  </si>
  <si>
    <t>Dias Uteis/Mês</t>
  </si>
  <si>
    <t>Participação do Empregado</t>
  </si>
  <si>
    <t>INFORMAÇÕES DE VALE ALIMENTAÇÃO</t>
  </si>
  <si>
    <t>Base Legal</t>
  </si>
  <si>
    <t>Valor VA - Dia</t>
  </si>
  <si>
    <t>Participação Empregado</t>
  </si>
  <si>
    <t>PLANO DE BENEFÍCIO FAMILIAR</t>
  </si>
  <si>
    <t>INFORMAÇÕES DE TRIBUTOS, CUSTOS INDIRETOS E LUCRO PRETENDIDO</t>
  </si>
  <si>
    <t>Custos indiretos</t>
  </si>
  <si>
    <t>Lucro</t>
  </si>
  <si>
    <t>ISSQN</t>
  </si>
  <si>
    <t>INFORMAÇOES TRIBUTOS SIMPLES NACIONAL</t>
  </si>
  <si>
    <t>PIS</t>
  </si>
  <si>
    <t>COFINS</t>
  </si>
  <si>
    <r>
      <rPr>
        <b/>
        <sz val="11"/>
        <color rgb="FF000000"/>
        <rFont val="Arial"/>
        <family val="2"/>
        <charset val="1"/>
      </rPr>
      <t xml:space="preserve">INFORMAÇÕES LUCRO REAL - PIS COFINS NÃO CUMULATIVO - </t>
    </r>
    <r>
      <rPr>
        <b/>
        <sz val="11"/>
        <color rgb="FFFF0000"/>
        <rFont val="Arial"/>
        <family val="2"/>
        <charset val="1"/>
      </rPr>
      <t>LEI 10637 DE 30/12/2002 E LEI 10833 DE 29/12/2003</t>
    </r>
  </si>
  <si>
    <t>INSUMOS DIVERSOS</t>
  </si>
  <si>
    <t>ITEM</t>
  </si>
  <si>
    <t>Materiais de Limpeza – SANEANTES DOMISSANITÁRIOS</t>
  </si>
  <si>
    <t>Unidade</t>
  </si>
  <si>
    <t>Quantidade Mensal</t>
  </si>
  <si>
    <t>Quantidade Anual</t>
  </si>
  <si>
    <t>Valor Unitário</t>
  </si>
  <si>
    <t>Custo Anual</t>
  </si>
  <si>
    <t>Sabão Líquido Concentrado Puro P/ Limp. De Piso. Galão de 5 litros</t>
  </si>
  <si>
    <t>Galão</t>
  </si>
  <si>
    <t>Hipoclorito de sódio, aspecto físico: solução aquosa, concentração: até 2,5% de cloro ativo. Galão de 5 litros. CATMAT: 437156 Ou Água sanitária, composição química: hipoclorito de sódio, hidróxido de sódio, cloreto, teor cloro ativo: varia de 2 a 2,50%, cor: incolor, aplicação: lavagem e alvejante de roupas, banheiras, pias. Galão de 5 litros.</t>
  </si>
  <si>
    <t>DESINFETANTE PERFUMADO DE AÇÃO FUNGICIDA E BACTERICIDA PARA LIMPEZA EFICAZ DE SUPERFÍCIES DIVERSAS, TAIS COMO: AZULEJOS, PISOS, SANITÁRIOS, PIAS, RALOS, ETC. GALÃO DE 5 litros.</t>
  </si>
  <si>
    <t>Sabonete líquido, aspecto físico líquido cremoso em gel, Acidez neutro, aplicação assepssia das mãos, características adicionais biodegradável: 90%, compisição dietanolamida de ácido graxo, cocoamidopropil bet A, AROMA TALCO (preferencialmente). GALÃO DE 5 litros.</t>
  </si>
  <si>
    <t>GALÃO</t>
  </si>
  <si>
    <t>CERA, TIPO LÍQUIDA, COR INCOLOR LEITOSO, COMPOSIÇÃO A BASE DE ÁGUA, ERESINAS METALIZADAS, CARACTERÍSTICAS ADICIONAIS ANTIDERRAPANTE, IMPERMEABILIZANTE, APLICAÇÃO LIMPEZA DE PISOS. Embalagem de 1 litro.</t>
  </si>
  <si>
    <t>litro</t>
  </si>
  <si>
    <t>LIMPA-VIDRO, ASPECTO FÍSICO LÍQUIDO, COMPOSIÇÃO LAURIL ÉTER, SULFATO DE SÓDIO,CARACTERÍSTICAS ADICIONAIS PULVERIZADOR COM GATILHO, VALIDADE MÍNIMA 3 ANOS. Frascos de 500 ML</t>
  </si>
  <si>
    <t>frasco</t>
  </si>
  <si>
    <t>LIMPA CARPETE, TIPO LÍQUIDO, LAURIL SULFATO DE SÓDIO, COADJUVANTES, CONSERVANTES, CORANTE E ÁGUA. ACONDICIONADO EM FRASCO PLÁSTICO DE 500 ML</t>
  </si>
  <si>
    <t>SABÃO EM PÓ, COMPOSIÇÃO: TENSOATIVO ANIÔNICO, TENSOATIVO CATIÔNICO, COADJUVANTE, SINERGISTA, TAMPONANTES, BRANQUEADOR ÓPTICO, CORANTES, ENZIMAS, ALVEJANTE, CARGA, ATENUADOR DE ESPUMA, ESSÊNCIA E ÁGUA. APLICAÇÃO: LAVAR ROUPAS. EMBALAGEM DE 1KG.</t>
  </si>
  <si>
    <t>KG</t>
  </si>
  <si>
    <t>DESINCRUSTRANTE ALCALINO, PH ALCALINO, DESINCRUSTA E LIMPA SUPERFÍCIES EM GERAL. EMBALAGEM DE 1 LITRO.</t>
  </si>
  <si>
    <t>LIMPADOR MULTIUSO (DESENGORDURANTE). LÍQUIDO, TRADICIONAL (OU NEUTRO). EMBALAGEM COM 500 ML, COM BICO DOSADOR.</t>
  </si>
  <si>
    <t>Descrição: Sapólio líquido 300 ml, composto de tensoativos: aniônico e não aniônico, espessante, alcalinizantes, abrasivo, preservante, fragrância e veículo. Com princípio ativo linear, alquilbenzeno, sulfonato de sódio. Frasco de 300 Ml.</t>
  </si>
  <si>
    <t>FRASCO</t>
  </si>
  <si>
    <t>Álcool etílico, teor alcoólico: 70% v,v, composição básica: com emoliente, forma farmacêutica: gel, galão 5 litros.</t>
  </si>
  <si>
    <t>GALÃO 5L</t>
  </si>
  <si>
    <t>Ácido peracético, Fórmula molecular C2H4O3, dosagem: mínimo de 0,2%, forma física: solução aquosa, com inibidor de corrosão. Galão de 5 litros.</t>
  </si>
  <si>
    <t>Álcool etílico, aspecto físico líquido límpido, incolor, volátil, teor alcoólico de 70¨gl, fórmula química C2H5OH, peso molecular 46,07, CAS 64-17-5. Prazo de validade mínimo de 12 meses a contar da data da entrega.</t>
  </si>
  <si>
    <t>FRASCO 1 L</t>
  </si>
  <si>
    <r>
      <rPr>
        <sz val="11"/>
        <color rgb="FF000000"/>
        <rFont val="Arial"/>
        <family val="2"/>
        <charset val="1"/>
      </rPr>
      <t>Desinfetante, princípio ativo: à base de cloreto de benzalcônio, teor ativo: a 15%, forma física: solução aquosa,</t>
    </r>
    <r>
      <rPr>
        <b/>
        <sz val="11"/>
        <color rgb="FFFF0000"/>
        <rFont val="Arial"/>
        <family val="2"/>
        <charset val="1"/>
      </rPr>
      <t xml:space="preserve"> LAVANDA ou FLORAL</t>
    </r>
    <r>
      <rPr>
        <sz val="11"/>
        <color rgb="FF000000"/>
        <rFont val="Arial"/>
        <family val="2"/>
        <charset val="1"/>
      </rPr>
      <t>. 5 LITROS</t>
    </r>
  </si>
  <si>
    <t>Iodopovidona (pvpi), concentração: a 10% ( teor de iodo 1% ), forma farmaceutica: solução tópica aquosa Frasco de 1 litro</t>
  </si>
  <si>
    <t>LITRO</t>
  </si>
  <si>
    <t>Solução limpeza multiuso com cloro ativo, aspecto físico: líquido, aplicação: limpeza geral, características adicionais: tampa dosadora de fluxo</t>
  </si>
  <si>
    <t>frasco de 500ml</t>
  </si>
  <si>
    <t>Solução limpeza multiuso, composição básica: formaldeído, Desinfetante, princípio ativo: à base de cloreto de benzalcônio, aspecto físico: líquido, características adicionais: tampa dosadora de fluxo</t>
  </si>
  <si>
    <t>Detergente, composição: tesoativos aniônicos, coadjuvante, preservantes, componente ativo: linear alquibenzeno sulfonato de sódio, aplicação: remoção de gorduras de louças, talheres e panelas, aroma: neutro, características adicionais: contém tensoativo biodegradável</t>
  </si>
  <si>
    <t>CUSTO ANUAL DOS SANEANTES DOMISSANITÁRIOS</t>
  </si>
  <si>
    <t>CUSTO MENSAL DOS SANEANTES DOMISSANITÁRIOS</t>
  </si>
  <si>
    <t>Materiais de Limpeza – COMPLEMENTARES</t>
  </si>
  <si>
    <t>Toalha de papel, material: papel, tipo folha: interfolha, comprimento: 23 cm, largura: 23 cm, cor: branca, características adicionais: não reciclado -30-40 g, aplicação: higiene pessoal. Embalagem com 1000 folhas.</t>
  </si>
  <si>
    <t>fardo</t>
  </si>
  <si>
    <t>PAPEL HIGIÊNICO, MATERIAL: CELULOSE VIRGEM, COMPRIMENTO: 30 M, LARGURA: 10 CM, TIPO: PICOTADO, QUANTIDADE FOLHAS: DUPLA, COR: BRANCA, CARACTERÍSTICAS ADICIONAIS: COM PERFUME. PACOTE COM 4 UNIDADES.</t>
  </si>
  <si>
    <t>PACOTE</t>
  </si>
  <si>
    <t>SACO PLÁSTICO LIXO, CAPACIDADE 40L, COR PRETA, LARGURA MÍNIMA 39CM, ALTURA 50, CARACTERÍSTICAS ADICIONAIS APLICAÇÃO COLETA DE LIXO. PACOTE COM 100 UNIDADES.</t>
  </si>
  <si>
    <t>SACO PLÁSTICO LIXO, CAPACIDADE 100L, COR PRETA, LARGURA MÍNIMA 39CM, ALTURA 50, CARACTERÍSTICAS ADICIONAIS APLICAÇÃO COLETA DE LIXO. PACOTE COM 100 UNIDADES</t>
  </si>
  <si>
    <t>Saco plástico lixo, capacidade: 100 l, cor: branco leitoso, largura: 75 cm, altura: 105 cm, características adicionais: com simbologia de substância infectante, normas técnicas: classe ii - nbr 9191, material: resina termoplástica. Pacote com 100 unidades.</t>
  </si>
  <si>
    <t>PCT 100 UND</t>
  </si>
  <si>
    <t>Saco plástico lixo, capacidade: 50 l, cor: branco leitoso, largura: 63 cm, altura: 80 cm, características adicionais: com simbologia de substância infectante, normas técnicas: classe ii - nbr 9191, material: resina termoplástica. Pacote com 100 unidades.</t>
  </si>
  <si>
    <t>PAPEL HIGIENICO BRANCO PRODUZIDO COM FIBRA CELULOSE RESISTENTE NAO RECICLADO TIPO GROFADO FOLHA SIMPLES SEM IMPUREZA: ROLOS 10CM X 300 MT. ROLOS DE 300 METROS</t>
  </si>
  <si>
    <t>ROLO</t>
  </si>
  <si>
    <t>CUSTO ANUAL DOS MATERIAIS DE LIMPEZA – COMPLEMENTARES</t>
  </si>
  <si>
    <t>CUSTO MENSAL DOS  MATERIAIS DE LIMPEZA – COMPLEMENTARES</t>
  </si>
  <si>
    <t>UTENSÍLIOS</t>
  </si>
  <si>
    <t>Quantidade a disponibilizar</t>
  </si>
  <si>
    <t>Vida Útil   (em meses)</t>
  </si>
  <si>
    <t>UNIDADE</t>
  </si>
  <si>
    <t>ESPONJA DE LIMPEZA, MATERIAL LÃ AÇO FINA, TEXTURA MACIA E ISENTA DE OXIDAÇÃO, ABRASIVIDADE MÍNIMA, APLICAÇÃO LIMPEZA GERAL, BIODEGRADÁVEL, PACOTE COM 8 UNIDADES, PESO LÍQUIDO MÍNIMO 60 GRAMAS.</t>
  </si>
  <si>
    <t>PALHA AÇO, MATERIAL AÇO CARBONO, ABRASIVIDADE MÉDIA, APLICAÇÃO LIMPEZA EM GERAL, CARACTERÍSTICAS ADICIONAIS Nº 1</t>
  </si>
  <si>
    <t>unidade</t>
  </si>
  <si>
    <t>FIBRA DE LIMPEZA LT USO GERAL. PACOTE COM 5 UNIDADES</t>
  </si>
  <si>
    <t>SUPORTE MANUAL PARA FIBRA DE LIMPEZA. PRODUZIDO EM POLIETILENO DE ALTA RESISTÊNCIA. DESENVOLVIDO PARA FIXAR FIBRA DE LIMPEZA PESADA. MOLDADO COM GANCHOS QUE GARANTEM A FIXAÇÃO DAS FIBRAS DE LIMPEZA. INDICADO PARA LIMPEZA EM CHAPAS, GRELHAS, CHURRASQUEIRAS, PANELAS COM CROSTAS DIVERSAS E LOCAIS DE DIFÍCIL ACESSO COMO ESCADAS E RODAPÉS. UNIDADE</t>
  </si>
  <si>
    <t>VASSOURA DE NYLON COM CERDAS MACIAS, CEPO PLÁSTICO DE 21 CM, CERDAS DE 11 CM COM PLUMAGEM NAS PONTAS, COM CABO ROSQUEADO DE MADEIRA PLASTIFICADA, PARA LIMPEZA EM GERAL, TIPO DOMÉSTICA. UNIDADE</t>
  </si>
  <si>
    <t>Borrifador, material: plástico, translúcido, cor azul, tipo: spray, contendo bico borrifador, aplicação: material de limpeza. Capacidade 500 ml.</t>
  </si>
  <si>
    <t>VASSOURA SANITÁRIA, CORPO EM PLÁSTICO, CERDAS EM NYLON COM FORMATO REDONDO, COM SUPORTE</t>
  </si>
  <si>
    <t>PÁ COLETORA LIXO, MATERIAL COLETOR PLÁSTICO, MATERIAL CABO MADEIRA, COMPRIMENTO CABO 100 CM, COMPRIMENTO 25 CM, LARGURA 24CM, APLICAÇÃO LIMPEZA, CARACTERÍSTICAS ADICIONAIS CABO REVESTIDO EM PLÁSTICO</t>
  </si>
  <si>
    <t>ESCOVA PARA LIMPEZA, MODELO OVAL, BASE DE MADEIRA, ESPESSURA 1,5 CM, BASE MEDINDO (13 X 7) CM, COM CERDAS EM NYLON SINTÉTICO, SEM ALÇA, SEM CABO, NA COR AMARELA, MÍNIMO DE 15 CERDAS POR TUFOS.</t>
  </si>
  <si>
    <t>CABO APLICAÇÃO LIMPEZA, TIPO EXTENSOR, TAMANHO 2,80 M, MATERIAL ALUMÍNIO.</t>
  </si>
  <si>
    <t>BALDE PLÁSTICO, CAPACIDADE 15 LITROS, MATERIAL PLÁSTICO, COM ALÇA DE ARAME GALVANIZADO, COR PRETA, COM REFORÇO NO FUNDO E NAS BORDAS, APLICAÇÃO LIMPEZA GERAL</t>
  </si>
  <si>
    <t>Lixeira plástica (polipropileno) com pedal, capacidade 100 litros. Medidas aproximadas: Altura 92cm, largura 57cm, cor Branca.</t>
  </si>
  <si>
    <t>Lixeira plástica (polipropileno) com pedal, capacidade 30 litros - Lixeira, material: polietileno alta densidade, capacidade: 30 l, tipo: com tampa plástica acionada por pedal, cor: branca, características adicionais: formato retangular.</t>
  </si>
  <si>
    <t>Lixeira plástica (polipropileno) com pedal, capacidade 50 litros - Medidas aproximadas: 41 x 32 x 54 (CxLxH), cor Branca.</t>
  </si>
  <si>
    <t>Pano limpeza, material: microfibra, comprimento: 60 cm, largura: 40 cm, características adicionais: alto grau absorção, aplicação: uso geral, tipo: toalha</t>
  </si>
  <si>
    <t>Vassoura, material cerdas: piaçava sintética, material cepa: madeira revestido com metal, comprimento cepa: 27 cm, características adicionais: angulada, cabo plastificado: 1,20 m; cerdas: 17 cm, largura cepa: 4 cm</t>
  </si>
  <si>
    <t>Desentupidor pia, material borracha flexível, cor preta, altura 10cm, diâmetro 12cm, material do cabo plástico, comprimento do cabo 10cm</t>
  </si>
  <si>
    <t>Desentupidor vaso sanitário, material borracha flexível, cor preta, altura 10cm, diâmetro 16cm, material do cabo plástico, comprimento do cabo 60cm.</t>
  </si>
  <si>
    <r>
      <rPr>
        <sz val="11"/>
        <color rgb="FF222222"/>
        <rFont val="Arial"/>
        <family val="2"/>
        <charset val="1"/>
      </rPr>
      <t xml:space="preserve">Pano limpeza, material 100% algodão, comprimento 60cm, largura 35cm, características adicionais tipo </t>
    </r>
    <r>
      <rPr>
        <b/>
        <sz val="11"/>
        <color rgb="FF222222"/>
        <rFont val="Arial"/>
        <family val="2"/>
        <charset val="1"/>
      </rPr>
      <t>flanela</t>
    </r>
    <r>
      <rPr>
        <sz val="11"/>
        <color rgb="FF222222"/>
        <rFont val="Arial"/>
        <family val="2"/>
        <charset val="1"/>
      </rPr>
      <t>, bordas lisa, aplicação limpeza geral.</t>
    </r>
  </si>
  <si>
    <t>Mangueira jardim, material PVC-traçado em náilon, diâmetro 1/2, espessura 2, pressão máxima 6, comprimento 25 metros, cor (laranja ou verde ou azul), características adicionais (com esguicho e com engate rosqueador)</t>
  </si>
  <si>
    <t>Varal de chão, 120 cm</t>
  </si>
  <si>
    <r>
      <rPr>
        <sz val="11"/>
        <color rgb="FF000000"/>
        <rFont val="Arial"/>
        <family val="2"/>
        <charset val="1"/>
      </rPr>
      <t xml:space="preserve">RODO, COM CABO DE PELO </t>
    </r>
    <r>
      <rPr>
        <b/>
        <sz val="11"/>
        <color rgb="FFFF0000"/>
        <rFont val="Arial"/>
        <family val="2"/>
        <charset val="1"/>
      </rPr>
      <t>MENOS 140 CM</t>
    </r>
    <r>
      <rPr>
        <sz val="11"/>
        <color rgb="FF000000"/>
        <rFont val="Arial"/>
        <family val="2"/>
        <charset val="1"/>
      </rPr>
      <t xml:space="preserve">, MATERIAL SUPORTE DE PLÁSTICO, COMPRIMENTO MÍNIMO DO </t>
    </r>
    <r>
      <rPr>
        <b/>
        <sz val="11"/>
        <color rgb="FFFF0000"/>
        <rFont val="Arial"/>
        <family val="2"/>
        <charset val="1"/>
      </rPr>
      <t>SUPORTE 60 CM</t>
    </r>
    <r>
      <rPr>
        <sz val="11"/>
        <color rgb="FF000000"/>
        <rFont val="Arial"/>
        <family val="2"/>
        <charset val="1"/>
      </rPr>
      <t>, QUANTIDADE DE BORRACHAS 02 UN, CARACTERÍSTICAS ADICIONAIS: CABO COM ROSCA PLÁSTICA.</t>
    </r>
  </si>
  <si>
    <t>RODO PASSA CERA ESPUMA ESPONJA</t>
  </si>
  <si>
    <t xml:space="preserve">CUSTO ANUAL DOS UTENSÍLIOS </t>
  </si>
  <si>
    <t xml:space="preserve">CUSTO MENSAL DOS UTENSÍLIOS </t>
  </si>
  <si>
    <t>EQUIPAMENTOS</t>
  </si>
  <si>
    <t>Depreciação (em meses)</t>
  </si>
  <si>
    <t>ESCADA, MATERIAL ALUMÍNIO, TIPO FIXA, QUANTIDADE DEGRAUS 8 UN, CARACTERÍSTICASADICIONAIS CALÇO DE BORRACHA</t>
  </si>
  <si>
    <t>ESCADA EM ALUMÍNIO. DESCRIÇÃO DETALHADA: ESCADA EM ALUMÍNIO COM 04 DEGRAUS. DIMENSÕES APROXIMADAS (LARGURA X ALTURA X PROFUNDIDADE): 420 X 1230 X 720 MM.</t>
  </si>
  <si>
    <t>LAVADORA DE ALTA PRESSÃO</t>
  </si>
  <si>
    <t xml:space="preserve">CUSTO ANUAL DOS EQUIPAMENTOS </t>
  </si>
  <si>
    <t xml:space="preserve">CUSTO MENSAL DOS EQUIPAMENTOS </t>
  </si>
  <si>
    <t>UNIFORMES</t>
  </si>
  <si>
    <t>Sapato Ocupacional Antiderrapante Sticky Shoes, impermeável, na cor preta, polimérica, material muito flexível, elástico, resiliente e com permanen te estabilidade dimensional, mesmo sendo exposto ou secado ao sol. Tamanho de 34-47</t>
  </si>
  <si>
    <t>PAR</t>
  </si>
  <si>
    <t>CAMISETA GOLA REDONDA, MANGA LONGA, MALHA 100% ALGODÃO</t>
  </si>
  <si>
    <t>CAMISETA GOLA REDONDA, MANGA CURTA, MALHA 100% ALGODÃO</t>
  </si>
  <si>
    <t>CALÇA  100% ALGODÃO</t>
  </si>
  <si>
    <t>CONJUNTO</t>
  </si>
  <si>
    <t>CAPA DE CHUVA PVC, FORRADA, COM CAPUZ</t>
  </si>
  <si>
    <t>Jaqueta confeccionada em tecido 100% poliamida com resina, forrada com manta térmica e acolchoada. Possui bolsos embutidos nas laterais, capuz conjugado, fechamento frontal até o pescoço através de velcro alinhado por botão guia e barra lisa. É ideal para baixas temperaturas até -35°C.</t>
  </si>
  <si>
    <t xml:space="preserve">MOLETOM, Dop Work pesado 100% Algodão, </t>
  </si>
  <si>
    <t>MEIAS DE ALGODÃO</t>
  </si>
  <si>
    <t>MÁSCARA  CIRÚRGICA COM TRÊS CAMADAS, TIPO USO DESCARTÁVEL, Máscaras Descartáveis fabricadas em TNT 100% Polipropileno de estrutura plana, flexível e porosa.
Clipe para ajuste nasal em metal galvanizado e revestido com plástico, tripla camada com filtro, que proporciona eficiência de filtração bacteriana maior que 95%.
com três pregas horizontais. CARACTERÍSTICAS ADICIONAIS SEMIFACIAL, MODELO COM ELÁSTICO.</t>
  </si>
  <si>
    <t>Óculos proteção, material armação: policarbonato e nylon, tipo proteção: lateral, material proteção: policarbonato, tipo lente: anti-risco, anti-embaçante, cor lente: incolor, características adicionais: com cordão de segurança, hastes de cor preta, material lente: policarbonato.</t>
  </si>
  <si>
    <t>Protetor auditivo, tipo concha com parte externa em abs, encaixe para capacete de segurança, haste de sustentação em aço inoxidável, espuma anti-ruído, almofada desmontável com bolsa interna em gel líquido para um perfeito conforto, ajuste e vedação, atenuação de NRRsf 21 dB.</t>
  </si>
  <si>
    <t>SAPATO DE SEGURANÇA DE COURO HIDROFUGADO COM FECHAMENTO EM ELÁSTICO</t>
  </si>
  <si>
    <t>LUVA BORRACHA: LUVA DE LÁTEX NATURAL PARA LIMPEZA EM GERAL, TAMANHO GRANDE, MULTIUSO, PAR.</t>
  </si>
  <si>
    <r>
      <rPr>
        <sz val="11"/>
        <color rgb="FF000000"/>
        <rFont val="Arial"/>
        <family val="2"/>
        <charset val="1"/>
      </rPr>
      <t xml:space="preserve">Protetor facial, material: policarbonato, cor: incolor, comprimento: 250 mm, material coroa: plástico, características adicionais: coroa ajustável e articulada. 
</t>
    </r>
    <r>
      <rPr>
        <sz val="11"/>
        <color rgb="FFFF0000"/>
        <rFont val="Arial"/>
        <family val="2"/>
        <charset val="1"/>
      </rPr>
      <t>01 UNIDADE POR FUNCIONÁRIO, POR TRIMESTRE</t>
    </r>
  </si>
  <si>
    <t xml:space="preserve">MÁSCARA MULTIUSO - MÁSCARA MULTIUSO, MATERIAL MANTA SINTÉTICA COM TRATAMENTO ELETROSTÁTICO, TIPO USO DESCARTÁVEL, FINALIDADE PROTEÇÃO CONTRA POEIRAS, FUMOS E NÉVOAS TÓXICAS,TIPO CORREIA CINTA ELÁSTICA COM AJUSTE NO ROSTO, TAMANHO ÚNICO, COR BRANCA, CARACTERÍSTICAS ADICIONAIS N95/PFF2,MÍNIMO FILTRAÇÃO 95% PARTÍCULAS ATÉ 0,3 </t>
  </si>
  <si>
    <t>CUSTO ANUAL DOS UNIFORMES PARA 1 SERVENTE</t>
  </si>
  <si>
    <t>CUSTO MENSAL DOS UNIFORMES PARA 1 SERVENTE</t>
  </si>
  <si>
    <t>QUADRO RESUMO</t>
  </si>
  <si>
    <t>CUSTO ANUAL</t>
  </si>
  <si>
    <t>CUSTO MENSAL</t>
  </si>
  <si>
    <t>Custo Mensal por SERVENTE</t>
  </si>
  <si>
    <t xml:space="preserve">Materiais de Limpeza – SANEANTES DOMISSANITÁRIOS </t>
  </si>
  <si>
    <t>Materiais de Limpeza – UTENSÍLIOS</t>
  </si>
  <si>
    <t>MATERIAIS</t>
  </si>
  <si>
    <t>TOTAIS</t>
  </si>
  <si>
    <t>Quantidade de mão de obra alocada na prestação dos serviços (informação oriunda da aba 'Resumo da Proposta' - Quantidade de Postos/Mão de Obra a ser alocados) + posto do encarregado</t>
  </si>
  <si>
    <t>Nota 1: os custos totais com materiais e equipamentos são fixos, qualquer que seja a produtividade adotada pois são fixados em função da área a ser limpa e conservada e não dependem do quantitativo de mão de obra utilizada.</t>
  </si>
  <si>
    <t xml:space="preserve">Nota 2: os custos totais com uniformes dependem do número de serventes, o qual varia de acordo com a produtividade adotada. </t>
  </si>
  <si>
    <t>Nota 3: a vida útil, os quantitativos e os preços dos insumos são apenas uma simulação feita para fins didáticos, sem o caráter de estudo técnico ou qualquer métrica, portanto não devem ser copiados, mas sim ajustados à realidade de cada contrato.</t>
  </si>
  <si>
    <t xml:space="preserve"> </t>
  </si>
  <si>
    <t>PLANILHA DE MEDIDA DAS ÁREAS - SERVIÇOS DE LIMPEZA E CONSERVAÇÃO</t>
  </si>
  <si>
    <t>PLANILHA DE CONVERSÃO DE ÁREA - SERVIÇOS DE LIMPEZA E CONSERVAÇÃO</t>
  </si>
  <si>
    <t>Item</t>
  </si>
  <si>
    <t>Descrição (Identificação do Prédio)</t>
  </si>
  <si>
    <t>Segmentação por Prédio</t>
  </si>
  <si>
    <t>Aréa Total (incluindo Janelas e Pátios)</t>
  </si>
  <si>
    <t>Área Medida</t>
  </si>
  <si>
    <t xml:space="preserve">Periodicidade dos serviços </t>
  </si>
  <si>
    <t>Periodicidade por mês (em dias)</t>
  </si>
  <si>
    <t>Dias Úteis por Mês</t>
  </si>
  <si>
    <t>Quantidade área em m² convertida para PRODUTIVIDADE DIÁRIA conforme frequência de limpeza (considerando 24 dias trabalhados)</t>
  </si>
  <si>
    <t>Área Interna</t>
  </si>
  <si>
    <t>Área Externa</t>
  </si>
  <si>
    <t>Esquadrias</t>
  </si>
  <si>
    <t>Fachadas Envidraçadas</t>
  </si>
  <si>
    <t>Áreas Hospitalares e Assemelhadas</t>
  </si>
  <si>
    <t>Banheiros</t>
  </si>
  <si>
    <t>Piso Acarpetado Tabuão Parquet Emborrachado</t>
  </si>
  <si>
    <t>Piso Frio (Cerâmico e/ou Vinílico)</t>
  </si>
  <si>
    <t>Almoxarifados Galpões</t>
  </si>
  <si>
    <t>Paredes</t>
  </si>
  <si>
    <t>Áreas com Espaços Livres (Saguão, Hall e Salão)</t>
  </si>
  <si>
    <t>Pisos Pavimentados Adjacentes / Contíguos às Edificações</t>
  </si>
  <si>
    <t>Passarelas Externas (Paredes)</t>
  </si>
  <si>
    <t>Passarelas Externas (Teto)</t>
  </si>
  <si>
    <t>Varrição de Passeios e Arruamentos</t>
  </si>
  <si>
    <t>Pátios e Áreas Verdes com Alta Freqüência</t>
  </si>
  <si>
    <t>Pátios e Áreas Verdes com Média Freqüência</t>
  </si>
  <si>
    <t>Pátios e Áreas Verdes com Baixa Freqüência</t>
  </si>
  <si>
    <t>Coleta de detritos em pátios e áreas verdes com freqüência diária</t>
  </si>
  <si>
    <t>Face Externa com Exposição a Situação de Risco</t>
  </si>
  <si>
    <t>Face Externa sem Exposição a Situação de Risco</t>
  </si>
  <si>
    <t>Face Interna</t>
  </si>
  <si>
    <t>Banheiros (Piso)</t>
  </si>
  <si>
    <t>Piso Acarpetado Tabuão Emborrachado</t>
  </si>
  <si>
    <t xml:space="preserve">Prédio H - Salas de Aula </t>
  </si>
  <si>
    <t>Salas de Aulas</t>
  </si>
  <si>
    <t>3xDIA</t>
  </si>
  <si>
    <t>Circulação</t>
  </si>
  <si>
    <t>Depósito (jardinagem)</t>
  </si>
  <si>
    <t>MENSAL</t>
  </si>
  <si>
    <t>Janelas (Externas)</t>
  </si>
  <si>
    <t>SEMESTRAL</t>
  </si>
  <si>
    <t>Janelas (Internas)</t>
  </si>
  <si>
    <t>2xSEMANA</t>
  </si>
  <si>
    <t>Banheiros Piso</t>
  </si>
  <si>
    <t>6xDIA</t>
  </si>
  <si>
    <t>Banheiros Paredes</t>
  </si>
  <si>
    <t>SEMANAL</t>
  </si>
  <si>
    <t>Banheiros Teto</t>
  </si>
  <si>
    <t xml:space="preserve">Prédio Convivência </t>
  </si>
  <si>
    <t>Convivência</t>
  </si>
  <si>
    <t>2xDIA</t>
  </si>
  <si>
    <t>DCE</t>
  </si>
  <si>
    <t>Grêmio</t>
  </si>
  <si>
    <t>Varanda</t>
  </si>
  <si>
    <t>DIÁRIA</t>
  </si>
  <si>
    <t>Prédio E Cantina (limpeza de responsabilidade do contratado terceirizado) e Registro Acadêmico</t>
  </si>
  <si>
    <t>Registro Acadêmico</t>
  </si>
  <si>
    <t>Prédio Refeitório</t>
  </si>
  <si>
    <t>Refeitório</t>
  </si>
  <si>
    <t>Estar</t>
  </si>
  <si>
    <t>Estoque</t>
  </si>
  <si>
    <t>Área de Cocção</t>
  </si>
  <si>
    <t>Área de Serviço</t>
  </si>
  <si>
    <t>Vestiário</t>
  </si>
  <si>
    <t>Hall da Câmara Fria</t>
  </si>
  <si>
    <t>Lavagem</t>
  </si>
  <si>
    <t>Sala Nutricionista</t>
  </si>
  <si>
    <t xml:space="preserve">Prédio        Centro de Saúde  </t>
  </si>
  <si>
    <t>Sala de espera</t>
  </si>
  <si>
    <t>Sala de Atendimento</t>
  </si>
  <si>
    <t>Consultório Odontológico</t>
  </si>
  <si>
    <t>Sala de Apoio</t>
  </si>
  <si>
    <t>Registro e arquivo</t>
  </si>
  <si>
    <t>DML</t>
  </si>
  <si>
    <t>CIRCULAÇÃO</t>
  </si>
  <si>
    <t>SALA DE LAVAGEM</t>
  </si>
  <si>
    <t>SALA DE ESTERILIZAÇÃO</t>
  </si>
  <si>
    <t>CONSULTÓRIO</t>
  </si>
  <si>
    <t>COPA</t>
  </si>
  <si>
    <t>Calçadas, Passeios e Pátios, POÇO DE LUZ</t>
  </si>
  <si>
    <t xml:space="preserve">Prédio I            Laboratórios </t>
  </si>
  <si>
    <t>Salas</t>
  </si>
  <si>
    <t>Sala Técnica</t>
  </si>
  <si>
    <t>Sala Reagentes</t>
  </si>
  <si>
    <t>Sala Lavagens</t>
  </si>
  <si>
    <t>Microscopia</t>
  </si>
  <si>
    <t>Prédio G                    Salas de Aulas</t>
  </si>
  <si>
    <t>Salas de Aula</t>
  </si>
  <si>
    <t>Salas de Aulas Práticas</t>
  </si>
  <si>
    <t xml:space="preserve">Prédio           Ginásio de Esportes  e Academia </t>
  </si>
  <si>
    <t>Salas (Professores e Administrativos)</t>
  </si>
  <si>
    <t>Quadra</t>
  </si>
  <si>
    <t>Arquibancadas</t>
  </si>
  <si>
    <t>Academia</t>
  </si>
  <si>
    <t>Sala de ginástica</t>
  </si>
  <si>
    <t>Material Educação Física</t>
  </si>
  <si>
    <t>Palco</t>
  </si>
  <si>
    <t>Copa cozinha</t>
  </si>
  <si>
    <t>bilheteria</t>
  </si>
  <si>
    <t>Circulação Escada</t>
  </si>
  <si>
    <t>Banheiros  Piso</t>
  </si>
  <si>
    <t>Banheiros  Parede</t>
  </si>
  <si>
    <t xml:space="preserve">Sala de Música </t>
  </si>
  <si>
    <t>Sala de Música</t>
  </si>
  <si>
    <t>depósito de Instrumentos</t>
  </si>
  <si>
    <t>Portaria</t>
  </si>
  <si>
    <t>Recepção</t>
  </si>
  <si>
    <t>Janela (Externa)</t>
  </si>
  <si>
    <t xml:space="preserve">Guarita </t>
  </si>
  <si>
    <t>Janela (Interna)</t>
  </si>
  <si>
    <t>Banheiro Piso</t>
  </si>
  <si>
    <t>Banheiro Parede</t>
  </si>
  <si>
    <t>Banheiro Teto</t>
  </si>
  <si>
    <t xml:space="preserve">Prédio Almoxarifado </t>
  </si>
  <si>
    <t>Atendimento</t>
  </si>
  <si>
    <t>Descarga</t>
  </si>
  <si>
    <t>Terceirizados</t>
  </si>
  <si>
    <t>Material Infraestrutura</t>
  </si>
  <si>
    <t>Infraestrutura</t>
  </si>
  <si>
    <t>Depósito 1</t>
  </si>
  <si>
    <t>Depósito 2</t>
  </si>
  <si>
    <t>Material de Expediente</t>
  </si>
  <si>
    <t xml:space="preserve">Prédio          Administração Agrárias </t>
  </si>
  <si>
    <t>Sala Administrativa</t>
  </si>
  <si>
    <t>Laboratório Plantas</t>
  </si>
  <si>
    <t>Vestiário (2)</t>
  </si>
  <si>
    <t>Depósito</t>
  </si>
  <si>
    <t>Sala Multiuso</t>
  </si>
  <si>
    <t xml:space="preserve">Predio D            Administrativo </t>
  </si>
  <si>
    <t>Sala Administrativa 1</t>
  </si>
  <si>
    <t>Sala Administrativa 2</t>
  </si>
  <si>
    <t>Sala Administrativa 3</t>
  </si>
  <si>
    <t>Sala Administrativa 4</t>
  </si>
  <si>
    <t>Auditório</t>
  </si>
  <si>
    <t>Sala  PROFESSORES</t>
  </si>
  <si>
    <t>PROTOCOLO</t>
  </si>
  <si>
    <t>DIREÇÃO DE ENSINO</t>
  </si>
  <si>
    <t>APOIO PEDAGÓGICO</t>
  </si>
  <si>
    <t>DIREÇÃO GERAL</t>
  </si>
  <si>
    <t>CHEFE DE GABINETE</t>
  </si>
  <si>
    <t>AUDITORIA</t>
  </si>
  <si>
    <t>DPEP</t>
  </si>
  <si>
    <t>COORDENAÇÃO DE TI</t>
  </si>
  <si>
    <t>EQUIPAMENTO DE TI</t>
  </si>
  <si>
    <t>ATENDIMENTO INDIVIDUALIZADO</t>
  </si>
  <si>
    <t>COORDENAÇÃO DE CURSOS</t>
  </si>
  <si>
    <t>COPA SERVIDORES</t>
  </si>
  <si>
    <t>CEAD</t>
  </si>
  <si>
    <t>CGP</t>
  </si>
  <si>
    <t>SALA DE REUNIÕES</t>
  </si>
  <si>
    <t>NIT</t>
  </si>
  <si>
    <t>FINANCEIRO</t>
  </si>
  <si>
    <t>DAD</t>
  </si>
  <si>
    <t>RECEPÇÃO</t>
  </si>
  <si>
    <t>LICITAÇÕES E CONTRATOS</t>
  </si>
  <si>
    <t>DPDI</t>
  </si>
  <si>
    <t>SECRETARIA DE CURSOS</t>
  </si>
  <si>
    <t>AUDIOVISUAL</t>
  </si>
  <si>
    <t>SALA VIDEOCONFERÊNCIA</t>
  </si>
  <si>
    <t xml:space="preserve">Saguão </t>
  </si>
  <si>
    <t>Banheiros Piso - 1</t>
  </si>
  <si>
    <t>Banheiros Paredes - 1</t>
  </si>
  <si>
    <t>Banheiros Teto - 1</t>
  </si>
  <si>
    <t>Banheiros Piso - 2</t>
  </si>
  <si>
    <t>Banheiros Paredes - 2</t>
  </si>
  <si>
    <t>Banheiros Teto - 2</t>
  </si>
  <si>
    <t xml:space="preserve">Prédio      Fundaturvo    Laboratório de Biotecnologia Vegetal </t>
  </si>
  <si>
    <t>Capacitação técnica</t>
  </si>
  <si>
    <t>Laboratório</t>
  </si>
  <si>
    <t>Sala pesquisador</t>
  </si>
  <si>
    <t>Estufa</t>
  </si>
  <si>
    <t>Copa</t>
  </si>
  <si>
    <t>Depósito ferramentas</t>
  </si>
  <si>
    <t>cultivo</t>
  </si>
  <si>
    <t>antessala</t>
  </si>
  <si>
    <t>Lavagem - esterilização</t>
  </si>
  <si>
    <t xml:space="preserve"> Banheiros Piso</t>
  </si>
  <si>
    <t xml:space="preserve">Prédio       Laboratórios de Solos </t>
  </si>
  <si>
    <t>Sala</t>
  </si>
  <si>
    <t xml:space="preserve">Prédio                   Biblioteca  </t>
  </si>
  <si>
    <t>Sala do Acervo</t>
  </si>
  <si>
    <t>Salas de Estudo</t>
  </si>
  <si>
    <t>Protocolo Administrativo</t>
  </si>
  <si>
    <t>SALA DE APOIO</t>
  </si>
  <si>
    <t>BIBLIOTECA VIRTUAL</t>
  </si>
  <si>
    <t>MEZANINO</t>
  </si>
  <si>
    <t>CATALOGAÇÃO</t>
  </si>
  <si>
    <t>PROCESSAMENTO TÉCNICO</t>
  </si>
  <si>
    <t>GUARDA-VOLUMES</t>
  </si>
  <si>
    <t>BRINQUEDOTECA</t>
  </si>
  <si>
    <t>QGBT</t>
  </si>
  <si>
    <t>Calçadas, Passeios e Pátios</t>
  </si>
  <si>
    <t>Prédio Garagem</t>
  </si>
  <si>
    <t xml:space="preserve">Garagem </t>
  </si>
  <si>
    <t>QUINZENAL</t>
  </si>
  <si>
    <t xml:space="preserve">Prédio  Mecanização </t>
  </si>
  <si>
    <t>Depósito de Insumos</t>
  </si>
  <si>
    <t>Sala Mecânica</t>
  </si>
  <si>
    <t>Área Coberta</t>
  </si>
  <si>
    <t xml:space="preserve">Prédio Ferramentas </t>
  </si>
  <si>
    <t xml:space="preserve">Prédio F               Laboratório </t>
  </si>
  <si>
    <t>Laboratório de Informática (6)</t>
  </si>
  <si>
    <t>Salas Administrativas (4)</t>
  </si>
  <si>
    <t>Salas de Professores</t>
  </si>
  <si>
    <t>Laboratório de Carnes</t>
  </si>
  <si>
    <t>Defumação</t>
  </si>
  <si>
    <t>Laboratório de Leite</t>
  </si>
  <si>
    <t>Maturação</t>
  </si>
  <si>
    <t>Recebimento de Leite</t>
  </si>
  <si>
    <t>Laboratório de Microbiologia</t>
  </si>
  <si>
    <t>Laboratório de Bromatologia</t>
  </si>
  <si>
    <t>Laboratório de Frutas</t>
  </si>
  <si>
    <t>Laboratório de Panificação</t>
  </si>
  <si>
    <t>Preparo Panificação</t>
  </si>
  <si>
    <t>Prédio Sala de Ordenha</t>
  </si>
  <si>
    <t>Ordenha</t>
  </si>
  <si>
    <t>Área de Equipamentos</t>
  </si>
  <si>
    <t>Sala Resfriador</t>
  </si>
  <si>
    <t>Sala de Medicamentos</t>
  </si>
  <si>
    <t>Banheiros/Vestiário (Piso)</t>
  </si>
  <si>
    <t>Banheiros/Vestiário (parede)</t>
  </si>
  <si>
    <t>Banheiros/Vestiário (teto_</t>
  </si>
  <si>
    <t>Prédio Aviário</t>
  </si>
  <si>
    <t>Depósito Ração</t>
  </si>
  <si>
    <t>Depósito de Ovos</t>
  </si>
  <si>
    <t>Aviário (postura)</t>
  </si>
  <si>
    <t>23 </t>
  </si>
  <si>
    <t xml:space="preserve">Prédio Ovinocultura </t>
  </si>
  <si>
    <t>Salas 01</t>
  </si>
  <si>
    <t>Sala 02</t>
  </si>
  <si>
    <t>Depósito de ração</t>
  </si>
  <si>
    <t>Prédio Sala de Suinocultura</t>
  </si>
  <si>
    <t>Escritório</t>
  </si>
  <si>
    <t>Baia</t>
  </si>
  <si>
    <t>Coletiva</t>
  </si>
  <si>
    <t xml:space="preserve">Gestação </t>
  </si>
  <si>
    <t>Maternidade</t>
  </si>
  <si>
    <t>Creche</t>
  </si>
  <si>
    <t>Recria</t>
  </si>
  <si>
    <t>circulação</t>
  </si>
  <si>
    <t>Depósito ração</t>
  </si>
  <si>
    <t>Banheiros teto</t>
  </si>
  <si>
    <t>Corredores externos</t>
  </si>
  <si>
    <t xml:space="preserve">PLANILHA DE CÁLCULO DA MÃO DE OBRA </t>
  </si>
  <si>
    <r>
      <rPr>
        <b/>
        <sz val="11"/>
        <color rgb="FF000000"/>
        <rFont val="Arial"/>
        <family val="2"/>
        <charset val="1"/>
      </rPr>
      <t>Área (m²) a ser contratada a ser limpa por dia (critério da administração -</t>
    </r>
    <r>
      <rPr>
        <b/>
        <sz val="11"/>
        <color rgb="FF333399"/>
        <rFont val="Arial"/>
        <family val="2"/>
        <charset val="1"/>
      </rPr>
      <t xml:space="preserve"> informação extraída da aba Área)</t>
    </r>
  </si>
  <si>
    <t>(1)                  Número de empregados necessários para a execução da tarefa</t>
  </si>
  <si>
    <t xml:space="preserve">(2)                             Exclusão dos empregados que cumprem integralmente a jornada diária  </t>
  </si>
  <si>
    <t>(3) Empregado que cumprirá jornada diária menor</t>
  </si>
  <si>
    <t>(4)                   Jornada diária em minutos do empregado que completará a execução da tarefa</t>
  </si>
  <si>
    <t>(5) Número de empregados que a contratada deverá alocar para a prestação dos serviços</t>
  </si>
  <si>
    <t>empregados com jornada diária de</t>
  </si>
  <si>
    <t xml:space="preserve">horas e mais </t>
  </si>
  <si>
    <t>empregado com jornada diária de</t>
  </si>
  <si>
    <t>minutos.</t>
  </si>
  <si>
    <t>Áreas com espaços livres - saguão, hall e salão</t>
  </si>
  <si>
    <t>TOTAL (TODAS DAS ÁREAS NO MESMO PRÉDIO)</t>
  </si>
  <si>
    <t>JORNADA DIÁRIA (HORAS)</t>
  </si>
  <si>
    <t>horas</t>
  </si>
  <si>
    <t>NÚMERO TOTAL DE SERVENTES EM JORNADA DE 8 HORAS</t>
  </si>
  <si>
    <t>Numero de serventes decorre da produtividade mínima exigida e área de execução dos serviços</t>
  </si>
  <si>
    <t>Notas Explicativas:</t>
  </si>
  <si>
    <t>1) coluna (E) - número de empregados necessários para a execução da tarefa: cada número inteiro significa um empregado. Quando há fração significa que além dos empregados que cumprem integralmente a jornada diária contratada, é necessário empregado com jornada diária menor.</t>
  </si>
  <si>
    <t xml:space="preserve"> Em destaque  o número de empregados que a contratada deve disponibilizar para a prestação dos serviços tarefa a tarefa, em cada tipo de área, com suas respectivas jornadas diárias.</t>
  </si>
  <si>
    <t xml:space="preserve">Área Interna 1ª linha - Metodologia - Coluna 5 = (2.000 / 800) = 2,5 empregados               Coluna 8 = 0,5 x 8 horas x 60 minutos = 240 minutos </t>
  </si>
  <si>
    <t>Cálculo total do nº de serventes = (preço mensal dos serviços / valor do homem-mês)</t>
  </si>
  <si>
    <t xml:space="preserve">Produtividade (m² /             serv x mês)    de 40h semanais    (8h diárias) </t>
  </si>
  <si>
    <t>Área (m²) a ser contratada a ser limpa por dia (critério da administração)</t>
  </si>
  <si>
    <t>Piso</t>
  </si>
  <si>
    <t>TOTAL (TODAS AS ÁREAS NO MESMO PRÉDIO)</t>
  </si>
  <si>
    <t>ESQUADRIAS</t>
  </si>
  <si>
    <r>
      <rPr>
        <sz val="11"/>
        <color rgb="FF000000"/>
        <rFont val="Arial"/>
        <family val="2"/>
        <charset val="1"/>
      </rPr>
      <t xml:space="preserve">Face externa </t>
    </r>
    <r>
      <rPr>
        <b/>
        <sz val="11"/>
        <color rgb="FF000000"/>
        <rFont val="Arial"/>
        <family val="2"/>
        <charset val="1"/>
      </rPr>
      <t>com</t>
    </r>
    <r>
      <rPr>
        <sz val="11"/>
        <color rgb="FF000000"/>
        <rFont val="Arial"/>
        <family val="2"/>
        <charset val="1"/>
      </rPr>
      <t xml:space="preserve"> exposição a situação de risco</t>
    </r>
  </si>
  <si>
    <r>
      <rPr>
        <sz val="11"/>
        <color rgb="FF000000"/>
        <rFont val="Arial"/>
        <family val="2"/>
        <charset val="1"/>
      </rPr>
      <t xml:space="preserve">Face externa </t>
    </r>
    <r>
      <rPr>
        <b/>
        <sz val="11"/>
        <color rgb="FF000000"/>
        <rFont val="Arial"/>
        <family val="2"/>
        <charset val="1"/>
      </rPr>
      <t xml:space="preserve">sem </t>
    </r>
    <r>
      <rPr>
        <sz val="11"/>
        <color rgb="FF000000"/>
        <rFont val="Arial"/>
        <family val="2"/>
        <charset val="1"/>
      </rPr>
      <t>exposição a situação de risco</t>
    </r>
  </si>
  <si>
    <t>TOTAL (TODAS AS ÁREAS)</t>
  </si>
  <si>
    <r>
      <rPr>
        <sz val="11"/>
        <color rgb="FF000000"/>
        <rFont val="Arial"/>
        <family val="2"/>
        <charset val="1"/>
      </rPr>
      <t xml:space="preserve">3) A produtividade da </t>
    </r>
    <r>
      <rPr>
        <b/>
        <sz val="11"/>
        <color rgb="FF000000"/>
        <rFont val="Arial"/>
        <family val="2"/>
        <charset val="1"/>
      </rPr>
      <t>esquadria externa</t>
    </r>
    <r>
      <rPr>
        <sz val="11"/>
        <color rgb="FF000000"/>
        <rFont val="Arial"/>
        <family val="2"/>
        <charset val="1"/>
      </rPr>
      <t xml:space="preserve"> deve ser calculada considerando a metodologia de trabalho que, no Anexo VII-D da IN 5/17 que prevê incidência </t>
    </r>
    <r>
      <rPr>
        <b/>
        <sz val="11"/>
        <color rgb="FF000000"/>
        <rFont val="Arial"/>
        <family val="2"/>
        <charset val="1"/>
      </rPr>
      <t>quinzenal</t>
    </r>
    <r>
      <rPr>
        <sz val="11"/>
        <color rgb="FF000000"/>
        <rFont val="Arial"/>
        <family val="2"/>
        <charset val="1"/>
      </rPr>
      <t xml:space="preserve"> para a limpeza desse tipo de área. </t>
    </r>
  </si>
  <si>
    <r>
      <rPr>
        <sz val="11"/>
        <color rgb="FF000000"/>
        <rFont val="Arial"/>
        <family val="2"/>
        <charset val="1"/>
      </rPr>
      <t xml:space="preserve">4) A produtividade da </t>
    </r>
    <r>
      <rPr>
        <b/>
        <sz val="11"/>
        <color rgb="FF000000"/>
        <rFont val="Arial"/>
        <family val="2"/>
        <charset val="1"/>
      </rPr>
      <t>fachada envidraçada</t>
    </r>
    <r>
      <rPr>
        <sz val="11"/>
        <color rgb="FF000000"/>
        <rFont val="Arial"/>
        <family val="2"/>
        <charset val="1"/>
      </rPr>
      <t xml:space="preserve"> deve ser calculada considerando a metodologia de trabalho que, no Anexo VII-D da IN 5/17 que prevê incidência </t>
    </r>
    <r>
      <rPr>
        <b/>
        <sz val="11"/>
        <color rgb="FF000000"/>
        <rFont val="Arial"/>
        <family val="2"/>
        <charset val="1"/>
      </rPr>
      <t>semestral</t>
    </r>
    <r>
      <rPr>
        <sz val="11"/>
        <color rgb="FF000000"/>
        <rFont val="Arial"/>
        <family val="2"/>
        <charset val="1"/>
      </rPr>
      <t xml:space="preserve"> para a limpeza desse tipo de área. </t>
    </r>
  </si>
  <si>
    <t xml:space="preserve">PLANILHA DE CUSTOS E FORMAÇÃO DE PREÇOS  </t>
  </si>
  <si>
    <t>IN/MPDG Nº 05/2017 - Anexo VII-D</t>
  </si>
  <si>
    <t>SERVIÇO DE LIMPEZA GERAL (EXCETO BANHEIROS)</t>
  </si>
  <si>
    <t xml:space="preserve">Prestação de serviços de limpeza geral (exceto banheiros) para o IFFAR  </t>
  </si>
  <si>
    <t>conforme área determinada convertida</t>
  </si>
  <si>
    <t>m²</t>
  </si>
  <si>
    <t>para o período de 1 mês.</t>
  </si>
  <si>
    <t>Processo nº:</t>
  </si>
  <si>
    <t>Licitação nº:</t>
  </si>
  <si>
    <t>CNPJ nº:</t>
  </si>
  <si>
    <t>Responsável:</t>
  </si>
  <si>
    <t>CPF:</t>
  </si>
  <si>
    <t>Cargo:</t>
  </si>
  <si>
    <t>Regime de Tributação: (1) Real (2) Presumido (3 e 4) Simples Nacional (5) Real-PIS/COFINS Não Cumulativo</t>
  </si>
  <si>
    <t>DISCRIMINAÇÃO DO SERVIÇO</t>
  </si>
  <si>
    <t>A</t>
  </si>
  <si>
    <t>Data de apresentação da proposta (dia/mês/ano)</t>
  </si>
  <si>
    <t>B</t>
  </si>
  <si>
    <t>C</t>
  </si>
  <si>
    <t>Ano do Acordo, Convenção ou Dissídio Coletivo</t>
  </si>
  <si>
    <t>D</t>
  </si>
  <si>
    <t>Número de meses de execução contratual</t>
  </si>
  <si>
    <t>IDENTIFICAÇÃO DO SERVIÇO</t>
  </si>
  <si>
    <t xml:space="preserve">Tipo de Serviço: Limpeza e Conservação Predial                                                                                                   </t>
  </si>
  <si>
    <t>Unidade de Medida</t>
  </si>
  <si>
    <t xml:space="preserve">Quantidade total a contratar </t>
  </si>
  <si>
    <t>a) Áreas internas - Pisos acarpetados</t>
  </si>
  <si>
    <t>m2</t>
  </si>
  <si>
    <t>b) Áreas internas - Pisos frios</t>
  </si>
  <si>
    <t>c) Áreas internas - Laboratórios</t>
  </si>
  <si>
    <t>d) Áreas internas - Almoxarifados/galpões</t>
  </si>
  <si>
    <t>e) Áreas internas - Oficinas</t>
  </si>
  <si>
    <t>f) Áreas internas - Áreas com espaços livres - saguão, hall e salão</t>
  </si>
  <si>
    <t>g) Áreas internas - Piso emborrachado</t>
  </si>
  <si>
    <t>h) Áreas internas - Paredes</t>
  </si>
  <si>
    <t>i) Áreas internas - Teto</t>
  </si>
  <si>
    <t>TOTAL DA ÁREA INTERNA</t>
  </si>
  <si>
    <t>a) Áreas externas - Pisos pavimentados adjacentes/contíguos às edificações</t>
  </si>
  <si>
    <t>b) Passarelas externas - Paredes</t>
  </si>
  <si>
    <t>c) Passarelas externas - Teto</t>
  </si>
  <si>
    <t>d) Áreas externas -  Varrição de passeios e arruamentos</t>
  </si>
  <si>
    <t>e) Áreas externas -  Pátios com áreas verdes com alta frequência</t>
  </si>
  <si>
    <t>f) Áreas externas -  Pátios com áreas verdes com média frequência</t>
  </si>
  <si>
    <t>g) Áreas externas -  Pátios com áreas verdes com baixa frequência</t>
  </si>
  <si>
    <t>h) Áreas externas -  Coleta de detritos em pátios e áreas verdes com frequência diária</t>
  </si>
  <si>
    <t>TOTAL DA ÁREA EXTERNA</t>
  </si>
  <si>
    <t>a) Áreas hospitalares e assemelhadas</t>
  </si>
  <si>
    <t xml:space="preserve">                                                                                                     TOTAL DAS ÁREAS HOSPITALARES</t>
  </si>
  <si>
    <t>a) Outras áreas (especificar)</t>
  </si>
  <si>
    <t>TOTAL DAS OUTRAS ÁREAS (ESPECIFICAR)</t>
  </si>
  <si>
    <t>TOTAL GERAL (ÁREA GERAL - Exceto banheiros)</t>
  </si>
  <si>
    <t>MÃO DE OBRA</t>
  </si>
  <si>
    <t>MÃO DE OBRA VINCULADA À EXECUÇÃO CONTRATUAL</t>
  </si>
  <si>
    <t>Dados complementares para composição dos custos referente à mão de obra</t>
  </si>
  <si>
    <t>Nota 1</t>
  </si>
  <si>
    <t>Deverá ser elaborada uma planilha para cada tipo de serviço.</t>
  </si>
  <si>
    <t>MÓDULO 1 - COMPOSIÇÃO DA REMUNERAÇÃO</t>
  </si>
  <si>
    <t xml:space="preserve">Composição da Remuneração </t>
  </si>
  <si>
    <t>Percentual (%)</t>
  </si>
  <si>
    <t xml:space="preserve">Valor (R$) </t>
  </si>
  <si>
    <r>
      <rPr>
        <b/>
        <sz val="11"/>
        <color rgb="FF000000"/>
        <rFont val="Arial"/>
        <family val="2"/>
        <charset val="1"/>
      </rPr>
      <t xml:space="preserve">Salário-Base </t>
    </r>
    <r>
      <rPr>
        <sz val="11"/>
        <color rgb="FF000000"/>
        <rFont val="Arial"/>
        <family val="2"/>
        <charset val="1"/>
      </rPr>
      <t>- Jornada de Trabalho de</t>
    </r>
  </si>
  <si>
    <t>horas semanais</t>
  </si>
  <si>
    <t>Adicional de Insalubridade</t>
  </si>
  <si>
    <r>
      <rPr>
        <b/>
        <sz val="11"/>
        <color rgb="FF000000"/>
        <rFont val="Arial"/>
        <family val="2"/>
        <charset val="1"/>
      </rPr>
      <t>Outros</t>
    </r>
    <r>
      <rPr>
        <sz val="11"/>
        <color rgb="FF000000"/>
        <rFont val="Arial"/>
        <family val="2"/>
        <charset val="1"/>
      </rPr>
      <t xml:space="preserve"> (especificar)                  </t>
    </r>
    <r>
      <rPr>
        <b/>
        <sz val="11"/>
        <color rgb="FF000000"/>
        <rFont val="Arial"/>
        <family val="2"/>
        <charset val="1"/>
      </rPr>
      <t xml:space="preserve">                        </t>
    </r>
  </si>
  <si>
    <t>COMPOSIÇÃO DA REMUNERAÇÃO - TOTAL DO MÓDULO 1</t>
  </si>
  <si>
    <t>Nota 2</t>
  </si>
  <si>
    <t>O Módulo 1 refere-se ao valor mensal devido ao empregado pela prestação do serviço.</t>
  </si>
  <si>
    <t>MÓDULO 2 - ENCARGOS E BENEFÍCIOS ANUAIS, MENSAIS E DIÁRIOS</t>
  </si>
  <si>
    <t xml:space="preserve">Submódulo 2.1 </t>
  </si>
  <si>
    <t>13º (Décimo Terceiro) Salário e Adicional de Férias</t>
  </si>
  <si>
    <t>Valor (R$)</t>
  </si>
  <si>
    <r>
      <rPr>
        <b/>
        <sz val="11"/>
        <color rgb="FF000000"/>
        <rFont val="Arial"/>
        <family val="2"/>
        <charset val="1"/>
      </rPr>
      <t>13º (Décimo Terceiro) Salário</t>
    </r>
    <r>
      <rPr>
        <sz val="11"/>
        <color rgb="FF000000"/>
        <rFont val="Arial"/>
        <family val="2"/>
        <charset val="1"/>
      </rPr>
      <t xml:space="preserve"> - Rem/12     </t>
    </r>
  </si>
  <si>
    <t>Total do Submódulo 2.1</t>
  </si>
  <si>
    <t>Nota 3</t>
  </si>
  <si>
    <t>Como a Planilha de Custos é calculada mensalmente, provisiona-se 1/12 (um doze avos) dos valores referentes à gratificação natalina e adicional de férias.</t>
  </si>
  <si>
    <t>Submódulo 2.2</t>
  </si>
  <si>
    <t>Encargos Previdenciários (GPS), Fundo de Garantia por Tempo de Serviço (FGTS) e outras Contribuições                                                                  BASE DE CÁLCULO = MÓDULO 1 (Total da Remuneração) + SUBMÓDULO 2.1</t>
  </si>
  <si>
    <t>GPS, FGTS e outras Contribuições</t>
  </si>
  <si>
    <t>RAT =</t>
  </si>
  <si>
    <t xml:space="preserve"> FAP =</t>
  </si>
  <si>
    <t>E</t>
  </si>
  <si>
    <t>F</t>
  </si>
  <si>
    <t>G</t>
  </si>
  <si>
    <t>H</t>
  </si>
  <si>
    <t>Total do Submódulo 2.2</t>
  </si>
  <si>
    <t>Nota 4</t>
  </si>
  <si>
    <t>Os percentuais dos encargos previdenciários, do FGTS e demais contribuições são aqueles estabelecidos pela legislação vigente.</t>
  </si>
  <si>
    <t>Nota 5</t>
  </si>
  <si>
    <t>O SAT, a depender do grau de risco do serviço, irá variar entre 1% para risco leve, 2% para risco médio e 3% para risco grave.</t>
  </si>
  <si>
    <t xml:space="preserve">Submódulo 2.3 </t>
  </si>
  <si>
    <t>Benefícios Mensais e Diários</t>
  </si>
  <si>
    <r>
      <rPr>
        <b/>
        <sz val="11"/>
        <color rgb="FF000000"/>
        <rFont val="Arial"/>
        <family val="2"/>
        <charset val="1"/>
      </rPr>
      <t xml:space="preserve">Transporte - </t>
    </r>
    <r>
      <rPr>
        <sz val="11"/>
        <color rgb="FF000000"/>
        <rFont val="Arial"/>
        <family val="2"/>
        <charset val="1"/>
      </rPr>
      <t>[(2xVTx22) – (6%xSB)]</t>
    </r>
  </si>
  <si>
    <t xml:space="preserve">      A.1) Valor da passagem do transporte coletivo no município de prestação dos serviços: </t>
  </si>
  <si>
    <t xml:space="preserve">      A.2) Quantidade de passagens por dia por empregado:</t>
  </si>
  <si>
    <t xml:space="preserve">      A.3) Quantidade de dias do mês de recebimento de passagens</t>
  </si>
  <si>
    <t xml:space="preserve">      A.4) Participação do empregado em percentual do salário base</t>
  </si>
  <si>
    <r>
      <rPr>
        <b/>
        <sz val="11"/>
        <color rgb="FF000000"/>
        <rFont val="Arial"/>
        <family val="2"/>
        <charset val="1"/>
      </rPr>
      <t>Auxílio-Alimentação</t>
    </r>
    <r>
      <rPr>
        <sz val="11"/>
        <color rgb="FF000000"/>
        <rFont val="Arial"/>
        <family val="2"/>
        <charset val="1"/>
      </rPr>
      <t xml:space="preserve"> - [(22xVA)x(1-0,19)]</t>
    </r>
  </si>
  <si>
    <t xml:space="preserve">      B.1) Valor do auxílio-alimentação: </t>
  </si>
  <si>
    <t xml:space="preserve">      B.2) Quantidade de dias do mês de recebimento de auxílio-alimentação</t>
  </si>
  <si>
    <t xml:space="preserve">      B3.) Percentual de participação do empregado sobre o auxílio-alimentação</t>
  </si>
  <si>
    <t>Plano de Benefício Familiar</t>
  </si>
  <si>
    <r>
      <rPr>
        <b/>
        <sz val="11"/>
        <color rgb="FF000000"/>
        <rFont val="Arial"/>
        <family val="2"/>
        <charset val="1"/>
      </rPr>
      <t xml:space="preserve">Outros </t>
    </r>
    <r>
      <rPr>
        <sz val="11"/>
        <color rgb="FF000000"/>
        <rFont val="Arial"/>
        <family val="2"/>
        <charset val="1"/>
      </rPr>
      <t xml:space="preserve">(especificar)            </t>
    </r>
    <r>
      <rPr>
        <b/>
        <sz val="11"/>
        <color rgb="FF000000"/>
        <rFont val="Arial"/>
        <family val="2"/>
        <charset val="1"/>
      </rPr>
      <t xml:space="preserve">                                </t>
    </r>
  </si>
  <si>
    <t>Total do Submódulo 2.3</t>
  </si>
  <si>
    <t>Nota 6</t>
  </si>
  <si>
    <t>O valor informado deverá ser o custo real do insumo (descontado o valor eventualmente pago pelo empregado).</t>
  </si>
  <si>
    <t>Nota 7</t>
  </si>
  <si>
    <t>Observar a previsão dos benefícios contidos em Acordos, Convenções e Dissídios Coletivos de Trabalho, atentando-se ao disposto no artigo 6º desta Instrução Normativa nº 05/2017.</t>
  </si>
  <si>
    <t>QUADRO RESUMO - MÓDULO 2 - BENEFÍCIOS E ENCARGOS ANUAIS, MENSAIS E DIÁRIOS</t>
  </si>
  <si>
    <t>Módulo 2</t>
  </si>
  <si>
    <t>Descrição</t>
  </si>
  <si>
    <t>Submódulo 2.1</t>
  </si>
  <si>
    <t>13º (décimo terceiro) Salário e Adicional de Férias</t>
  </si>
  <si>
    <t>Encargos Previdenciários (GPS), Fundo de Garantia por Tempo de Serviço (FGTS) e outras Contribuições</t>
  </si>
  <si>
    <t>Submódulo 2.3</t>
  </si>
  <si>
    <t>Benefícios e Encargos Anuais, Mensais e Diários</t>
  </si>
  <si>
    <t>BENEFÍCIOS ANUAIS, MENSAIS E DIÁRIOS - TOTAL DO MÓDULO 2</t>
  </si>
  <si>
    <t>MÓDULO 3 - PROVISÃO PARA RESCISÃO</t>
  </si>
  <si>
    <t>Valor  (R$)</t>
  </si>
  <si>
    <r>
      <rPr>
        <b/>
        <sz val="11"/>
        <color rgb="FF000000"/>
        <rFont val="Arial"/>
        <family val="2"/>
        <charset val="1"/>
      </rPr>
      <t>Aviso Prévio Indenizado</t>
    </r>
    <r>
      <rPr>
        <sz val="11"/>
        <color rgb="FF000000"/>
        <rFont val="Arial"/>
        <family val="2"/>
        <charset val="1"/>
      </rPr>
      <t xml:space="preserve"> -  [Rem/12 + 13º/12 + Férias/12 + (1/3 x Férias)/12] x (30/30=1) x 5% de rotatividade anual </t>
    </r>
  </si>
  <si>
    <t>Incidência do FGTS sobre o Aviso Prévio Indenizado</t>
  </si>
  <si>
    <r>
      <rPr>
        <b/>
        <sz val="11"/>
        <color rgb="FF000000"/>
        <rFont val="Arial"/>
        <family val="2"/>
        <charset val="1"/>
      </rPr>
      <t xml:space="preserve">Multa do FGTS sobre o Aviso Prévio Indenizado </t>
    </r>
    <r>
      <rPr>
        <sz val="11"/>
        <color rgb="FF000000"/>
        <rFont val="Arial"/>
        <family val="2"/>
        <charset val="1"/>
      </rPr>
      <t>- [40% x 8% x (Rem + 13º + Férias + 1/3xFérias)] x 5% de rotatividade</t>
    </r>
  </si>
  <si>
    <r>
      <rPr>
        <b/>
        <sz val="11"/>
        <color rgb="FF000000"/>
        <rFont val="Arial"/>
        <family val="2"/>
        <charset val="1"/>
      </rPr>
      <t xml:space="preserve">Aviso Prévio Trabalhado </t>
    </r>
    <r>
      <rPr>
        <sz val="11"/>
        <color rgb="FF000000"/>
        <rFont val="Arial"/>
        <family val="2"/>
        <charset val="1"/>
      </rPr>
      <t>- [(Rem/30)x7]/12x100% dos empregados ao final do contrato</t>
    </r>
  </si>
  <si>
    <t xml:space="preserve">Incidência do Submódulo 2.2 sobre o Aviso Prévio Trabalhado         </t>
  </si>
  <si>
    <r>
      <rPr>
        <b/>
        <sz val="11"/>
        <color rgb="FF000000"/>
        <rFont val="Arial"/>
        <family val="2"/>
        <charset val="1"/>
      </rPr>
      <t xml:space="preserve">Multa do FGTS sobre o Aviso Prévio Trabalhado </t>
    </r>
    <r>
      <rPr>
        <sz val="11"/>
        <color rgb="FF000000"/>
        <rFont val="Arial"/>
        <family val="2"/>
        <charset val="1"/>
      </rPr>
      <t>- [40% x 8% x (Rem + 13º + Férias + 1/3xFérias)]x100% dos empregados</t>
    </r>
  </si>
  <si>
    <t>PROVISÃO PARA RESCISÃO - TOTAL DO MÓDULO 3</t>
  </si>
  <si>
    <t>MÓDULO 4 - CUSTO DE REPOSIÇÃO DO PROFISSIONAL AUSENTE</t>
  </si>
  <si>
    <t xml:space="preserve">BCCPA - Base de cálculo para o Custo de Reposição do Profissional Ausente (substituto): Módulo 1 (Total da Remuneração) + Módulo 2 + Módulo 3   
</t>
  </si>
  <si>
    <t>Módulo 1                    Remuneração</t>
  </si>
  <si>
    <t>Módulo 2                              Sem VA e VT</t>
  </si>
  <si>
    <t>Módulo 3</t>
  </si>
  <si>
    <t>Submódulo 4.1 – Ausências Legais</t>
  </si>
  <si>
    <t>Custo Diário: BCCPA/30</t>
  </si>
  <si>
    <t>Submódulo 4.1</t>
  </si>
  <si>
    <t>Substituto nas Ausências Legais</t>
  </si>
  <si>
    <r>
      <rPr>
        <b/>
        <sz val="11"/>
        <color rgb="FF000000"/>
        <rFont val="Arial"/>
        <family val="2"/>
        <charset val="1"/>
      </rPr>
      <t>Substituto na cobertura de Ausências Legais -</t>
    </r>
    <r>
      <rPr>
        <sz val="11"/>
        <color rgb="FF000000"/>
        <rFont val="Arial"/>
        <family val="2"/>
        <charset val="1"/>
      </rPr>
      <t xml:space="preserve"> [(BCCPA/30)x1dia]/12</t>
    </r>
  </si>
  <si>
    <r>
      <rPr>
        <b/>
        <sz val="11"/>
        <color rgb="FF000000"/>
        <rFont val="Arial"/>
        <family val="2"/>
        <charset val="1"/>
      </rPr>
      <t>Substituto na cobertura de Licença-Paternidade -</t>
    </r>
    <r>
      <rPr>
        <sz val="11"/>
        <color rgb="FF000000"/>
        <rFont val="Arial"/>
        <family val="2"/>
        <charset val="1"/>
      </rPr>
      <t xml:space="preserve"> {[(BCCPA/30)x5dias]/12}x1,5%</t>
    </r>
  </si>
  <si>
    <r>
      <rPr>
        <b/>
        <sz val="11"/>
        <color rgb="FF000000"/>
        <rFont val="Arial"/>
        <family val="2"/>
        <charset val="1"/>
      </rPr>
      <t>Substituto na cobertura de Ausência por Acidente de Trabalho -</t>
    </r>
    <r>
      <rPr>
        <sz val="11"/>
        <color rgb="FF000000"/>
        <rFont val="Arial"/>
        <family val="2"/>
        <charset val="1"/>
      </rPr>
      <t xml:space="preserve"> {[(BCCPA/30)x15dias]/12}x0,78%</t>
    </r>
  </si>
  <si>
    <r>
      <rPr>
        <b/>
        <sz val="11"/>
        <color rgb="FF000000"/>
        <rFont val="Arial"/>
        <family val="2"/>
        <charset val="1"/>
      </rPr>
      <t>Substituto na cobertura de Afastamento Maternidade -</t>
    </r>
    <r>
      <rPr>
        <sz val="11"/>
        <color rgb="FF000000"/>
        <rFont val="Arial"/>
        <family val="2"/>
        <charset val="1"/>
      </rPr>
      <t xml:space="preserve"> {[(Mód.1+Mód.1/3)/12+(sub.2.2+sub.2.3-VA-VT+Mód.3)]x(4/12)}x2%</t>
    </r>
  </si>
  <si>
    <r>
      <rPr>
        <b/>
        <sz val="11"/>
        <color rgb="FF000000"/>
        <rFont val="Arial"/>
        <family val="2"/>
        <charset val="1"/>
      </rPr>
      <t xml:space="preserve">Substituto na cobertura de Ausência por Doença - </t>
    </r>
    <r>
      <rPr>
        <sz val="11"/>
        <color rgb="FF000000"/>
        <rFont val="Arial"/>
        <family val="2"/>
        <charset val="1"/>
      </rPr>
      <t>[(BCCPA)/30)x5dias]/12</t>
    </r>
  </si>
  <si>
    <t>Total do Submódulo 4.1</t>
  </si>
  <si>
    <t xml:space="preserve">Submódulo 4.2 </t>
  </si>
  <si>
    <t>Substituto na Intrajornada</t>
  </si>
  <si>
    <t>Substituto na cobertura de intervalo para Repouso ou Alimentação</t>
  </si>
  <si>
    <t>Total do Submódulo 4.2</t>
  </si>
  <si>
    <t>QUADRO RESUMO - MÓDULO 4 - CUSTO DE REPOSIÇÃO DO PROFISSIONAL AUSENTE</t>
  </si>
  <si>
    <t>Módulo 4</t>
  </si>
  <si>
    <t>Submódulo 4.2</t>
  </si>
  <si>
    <t>CUSTO DE REPOSIÇÃO DO PROFISSIONAL AUSENTE - TOTAL DO MÓDULO 4</t>
  </si>
  <si>
    <t>Nota 8</t>
  </si>
  <si>
    <t>Os itens que contemplam o Módulo 4 se referem ao custo dos dias trabalhados pelo substituto quando o empregado alocado na prestaçãodo serviço estiver ausente, conforme as previsões estabelecidas na legislação.</t>
  </si>
  <si>
    <t>MÓDULO 5 - INSUMOS DIVERSOS</t>
  </si>
  <si>
    <t xml:space="preserve">Uniformes </t>
  </si>
  <si>
    <t xml:space="preserve">Materiais </t>
  </si>
  <si>
    <t xml:space="preserve">Equipamentos </t>
  </si>
  <si>
    <r>
      <rPr>
        <b/>
        <sz val="11"/>
        <color rgb="FF000000"/>
        <rFont val="Arial"/>
        <family val="2"/>
        <charset val="1"/>
      </rPr>
      <t>Outros</t>
    </r>
    <r>
      <rPr>
        <sz val="11"/>
        <color rgb="FF000000"/>
        <rFont val="Arial"/>
        <family val="2"/>
        <charset val="1"/>
      </rPr>
      <t xml:space="preserve"> (especificar) </t>
    </r>
  </si>
  <si>
    <t>0.00</t>
  </si>
  <si>
    <t>INSUMOS DVERSOS - TOTAL DO MÓDULO 5</t>
  </si>
  <si>
    <t>Nota 9</t>
  </si>
  <si>
    <t>Valores mensais por empregado</t>
  </si>
  <si>
    <t>MODULO 6 - CUSTOS INDIRETOS, LUCRO E TRIBUTOS</t>
  </si>
  <si>
    <t xml:space="preserve">Custos Indiretos, Lucro e Tributos </t>
  </si>
  <si>
    <r>
      <rPr>
        <b/>
        <sz val="11"/>
        <color rgb="FF000000"/>
        <rFont val="Arial"/>
        <family val="2"/>
        <charset val="1"/>
      </rPr>
      <t xml:space="preserve">BASE DE CÁLCULO DOS CUSTOS INDIRETOS </t>
    </r>
    <r>
      <rPr>
        <sz val="11"/>
        <color rgb="FF000000"/>
        <rFont val="Arial"/>
        <family val="2"/>
        <charset val="1"/>
      </rPr>
      <t xml:space="preserve"> = Total do Módulo 1 (</t>
    </r>
    <r>
      <rPr>
        <i/>
        <sz val="11"/>
        <color rgb="FF000000"/>
        <rFont val="Arial"/>
        <family val="2"/>
        <charset val="1"/>
      </rPr>
      <t>Composição da  Remuneração</t>
    </r>
    <r>
      <rPr>
        <sz val="11"/>
        <color rgb="FF000000"/>
        <rFont val="Arial"/>
        <family val="2"/>
        <charset val="1"/>
      </rPr>
      <t>) + Total do Módulo 2 (</t>
    </r>
    <r>
      <rPr>
        <i/>
        <sz val="11"/>
        <color rgb="FF000000"/>
        <rFont val="Arial"/>
        <family val="2"/>
        <charset val="1"/>
      </rPr>
      <t>Encargos e Benefícios Anuais, Mensais e Diários</t>
    </r>
    <r>
      <rPr>
        <sz val="11"/>
        <color rgb="FF000000"/>
        <rFont val="Arial"/>
        <family val="2"/>
        <charset val="1"/>
      </rPr>
      <t>) + Total do Módulo 3 (</t>
    </r>
    <r>
      <rPr>
        <i/>
        <sz val="11"/>
        <color rgb="FF000000"/>
        <rFont val="Arial"/>
        <family val="2"/>
        <charset val="1"/>
      </rPr>
      <t>Provisão para Rescisão</t>
    </r>
    <r>
      <rPr>
        <sz val="11"/>
        <color rgb="FF000000"/>
        <rFont val="Arial"/>
        <family val="2"/>
        <charset val="1"/>
      </rPr>
      <t>) + Total do Módulo 4 (</t>
    </r>
    <r>
      <rPr>
        <i/>
        <sz val="11"/>
        <color rgb="FF000000"/>
        <rFont val="Arial"/>
        <family val="2"/>
        <charset val="1"/>
      </rPr>
      <t>Custo de Reposição do Profissional Ausente</t>
    </r>
    <r>
      <rPr>
        <sz val="11"/>
        <color rgb="FF000000"/>
        <rFont val="Arial"/>
        <family val="2"/>
        <charset val="1"/>
      </rPr>
      <t>) + Total do Módulo 5 (</t>
    </r>
    <r>
      <rPr>
        <i/>
        <sz val="11"/>
        <color rgb="FF000000"/>
        <rFont val="Arial"/>
        <family val="2"/>
        <charset val="1"/>
      </rPr>
      <t>Insumos Diversos</t>
    </r>
    <r>
      <rPr>
        <sz val="11"/>
        <color rgb="FF000000"/>
        <rFont val="Arial"/>
        <family val="2"/>
        <charset val="1"/>
      </rPr>
      <t>)</t>
    </r>
  </si>
  <si>
    <t>Custos Indiretos</t>
  </si>
  <si>
    <r>
      <rPr>
        <b/>
        <sz val="11"/>
        <color rgb="FF000000"/>
        <rFont val="Arial"/>
        <family val="2"/>
        <charset val="1"/>
      </rPr>
      <t xml:space="preserve">BASE DE CÁLCULO DO LUCRO =  </t>
    </r>
    <r>
      <rPr>
        <sz val="11"/>
        <color rgb="FF000000"/>
        <rFont val="Arial"/>
        <family val="2"/>
        <charset val="1"/>
      </rPr>
      <t>Total do Módulo 1 (</t>
    </r>
    <r>
      <rPr>
        <i/>
        <sz val="11"/>
        <color rgb="FF000000"/>
        <rFont val="Arial"/>
        <family val="2"/>
        <charset val="1"/>
      </rPr>
      <t>Composição da  Remuneração</t>
    </r>
    <r>
      <rPr>
        <sz val="11"/>
        <color rgb="FF000000"/>
        <rFont val="Arial"/>
        <family val="2"/>
        <charset val="1"/>
      </rPr>
      <t>) + Total do Módulo 2 (</t>
    </r>
    <r>
      <rPr>
        <i/>
        <sz val="11"/>
        <color rgb="FF000000"/>
        <rFont val="Arial"/>
        <family val="2"/>
        <charset val="1"/>
      </rPr>
      <t>Encargos e Benefícios Anuais, Mensais e Diários</t>
    </r>
    <r>
      <rPr>
        <sz val="11"/>
        <color rgb="FF000000"/>
        <rFont val="Arial"/>
        <family val="2"/>
        <charset val="1"/>
      </rPr>
      <t>) + Total do Módulo 3 (</t>
    </r>
    <r>
      <rPr>
        <i/>
        <sz val="11"/>
        <color rgb="FF000000"/>
        <rFont val="Arial"/>
        <family val="2"/>
        <charset val="1"/>
      </rPr>
      <t>Provisão para Rescisão</t>
    </r>
    <r>
      <rPr>
        <sz val="11"/>
        <color rgb="FF000000"/>
        <rFont val="Arial"/>
        <family val="2"/>
        <charset val="1"/>
      </rPr>
      <t>) + Total do Módulo 4 (</t>
    </r>
    <r>
      <rPr>
        <i/>
        <sz val="11"/>
        <color rgb="FF000000"/>
        <rFont val="Arial"/>
        <family val="2"/>
        <charset val="1"/>
      </rPr>
      <t>Custo de Reposição do Profissional Ausente</t>
    </r>
    <r>
      <rPr>
        <sz val="11"/>
        <color rgb="FF000000"/>
        <rFont val="Arial"/>
        <family val="2"/>
        <charset val="1"/>
      </rPr>
      <t>) + Total do Módulo 5 (</t>
    </r>
    <r>
      <rPr>
        <i/>
        <sz val="11"/>
        <color rgb="FF000000"/>
        <rFont val="Arial"/>
        <family val="2"/>
        <charset val="1"/>
      </rPr>
      <t>Insumos Diversos</t>
    </r>
    <r>
      <rPr>
        <sz val="11"/>
        <color rgb="FF000000"/>
        <rFont val="Arial"/>
        <family val="2"/>
        <charset val="1"/>
      </rPr>
      <t>) + Custos Indiretos</t>
    </r>
  </si>
  <si>
    <r>
      <rPr>
        <b/>
        <sz val="11"/>
        <color rgb="FF000000"/>
        <rFont val="Arial"/>
        <family val="2"/>
        <charset val="1"/>
      </rPr>
      <t xml:space="preserve">BASE DE CÁLCULO DOS TRIBUTOS = </t>
    </r>
    <r>
      <rPr>
        <sz val="11"/>
        <color rgb="FF000000"/>
        <rFont val="Arial"/>
        <family val="2"/>
        <charset val="1"/>
      </rPr>
      <t>Total do Módulo 1 (</t>
    </r>
    <r>
      <rPr>
        <i/>
        <sz val="11"/>
        <color rgb="FF000000"/>
        <rFont val="Arial"/>
        <family val="2"/>
        <charset val="1"/>
      </rPr>
      <t>Composição da  Remuneração</t>
    </r>
    <r>
      <rPr>
        <sz val="11"/>
        <color rgb="FF000000"/>
        <rFont val="Arial"/>
        <family val="2"/>
        <charset val="1"/>
      </rPr>
      <t>) + Total do Módulo 2 (</t>
    </r>
    <r>
      <rPr>
        <i/>
        <sz val="11"/>
        <color rgb="FF000000"/>
        <rFont val="Arial"/>
        <family val="2"/>
        <charset val="1"/>
      </rPr>
      <t>Encargos e Benefícios Anuais, Mensais e Diários</t>
    </r>
    <r>
      <rPr>
        <sz val="11"/>
        <color rgb="FF000000"/>
        <rFont val="Arial"/>
        <family val="2"/>
        <charset val="1"/>
      </rPr>
      <t>) + Total do Módulo 3 (</t>
    </r>
    <r>
      <rPr>
        <i/>
        <sz val="11"/>
        <color rgb="FF000000"/>
        <rFont val="Arial"/>
        <family val="2"/>
        <charset val="1"/>
      </rPr>
      <t>Provisão para Rescisão</t>
    </r>
    <r>
      <rPr>
        <sz val="11"/>
        <color rgb="FF000000"/>
        <rFont val="Arial"/>
        <family val="2"/>
        <charset val="1"/>
      </rPr>
      <t>) + Total do Módulo 4 (</t>
    </r>
    <r>
      <rPr>
        <i/>
        <sz val="11"/>
        <color rgb="FF000000"/>
        <rFont val="Arial"/>
        <family val="2"/>
        <charset val="1"/>
      </rPr>
      <t>Custo de Reposição do Profissional Ausente</t>
    </r>
    <r>
      <rPr>
        <sz val="11"/>
        <color rgb="FF000000"/>
        <rFont val="Arial"/>
        <family val="2"/>
        <charset val="1"/>
      </rPr>
      <t>) + Total do Módulo 5 (</t>
    </r>
    <r>
      <rPr>
        <i/>
        <sz val="11"/>
        <color rgb="FF000000"/>
        <rFont val="Arial"/>
        <family val="2"/>
        <charset val="1"/>
      </rPr>
      <t>Insumos Diversos</t>
    </r>
    <r>
      <rPr>
        <sz val="11"/>
        <color rgb="FF000000"/>
        <rFont val="Arial"/>
        <family val="2"/>
        <charset val="1"/>
      </rPr>
      <t>) + Custos Indiretos + Lucro</t>
    </r>
  </si>
  <si>
    <t>Tributos</t>
  </si>
  <si>
    <t>C.1</t>
  </si>
  <si>
    <t>Tributos Federais</t>
  </si>
  <si>
    <t>C.2</t>
  </si>
  <si>
    <t>Tributos Estaduais (especificar)</t>
  </si>
  <si>
    <t>--------------</t>
  </si>
  <si>
    <t>C.3</t>
  </si>
  <si>
    <t>Tributos Municipais</t>
  </si>
  <si>
    <t>ISS</t>
  </si>
  <si>
    <t>CUSTOS INDIRETOS, LUCRO E TRIBUTOS - TOTAL DO MÓDULO 6</t>
  </si>
  <si>
    <t>Nota 10</t>
  </si>
  <si>
    <t>Custos Indiretos, Lucro e Tributos por empregado</t>
  </si>
  <si>
    <t>Nota 11</t>
  </si>
  <si>
    <t>Cálculo do Tributo:</t>
  </si>
  <si>
    <t xml:space="preserve">QUADRO RESUMO DO CUSTO POR EMPREGADO
</t>
  </si>
  <si>
    <t xml:space="preserve">                          MÃO DE OBRA VINCULADA À EXECUÇAO CONTRATUAL (valor por empregado)</t>
  </si>
  <si>
    <t>Módulo 1 - Composição da Remuneração</t>
  </si>
  <si>
    <t>Módulo 2 – Encargos e Benefícios Anuais, Mensais e Diários</t>
  </si>
  <si>
    <t>Módulo 3 – Provisão para Rescisão</t>
  </si>
  <si>
    <t>Módulo 4 – Custo de Reposição do Profissional Ausente</t>
  </si>
  <si>
    <t xml:space="preserve">Módulo 5 - Insumo Diversos </t>
  </si>
  <si>
    <t>Subtotal (A + B + C + D + E)</t>
  </si>
  <si>
    <t>Módulo 6 - Custos Indiretos, Lucro e Tributos</t>
  </si>
  <si>
    <t>Valor Total por Empregado - Servente de Limpeza</t>
  </si>
  <si>
    <t>COMPLEMENTO DOS SERVIÇOS DE LIMPEZA E CONSERVAÇÃO</t>
  </si>
  <si>
    <r>
      <rPr>
        <b/>
        <sz val="11"/>
        <color rgb="FF000000"/>
        <rFont val="Arial"/>
        <family val="2"/>
        <charset val="1"/>
      </rPr>
      <t xml:space="preserve">PREÇO MENSAL UNITÁRIO POR M² </t>
    </r>
    <r>
      <rPr>
        <sz val="11"/>
        <color rgb="FF000000"/>
        <rFont val="Arial"/>
        <family val="2"/>
        <charset val="1"/>
      </rPr>
      <t>(metro quadrado)</t>
    </r>
  </si>
  <si>
    <r>
      <rPr>
        <b/>
        <sz val="11"/>
        <color rgb="FF000000"/>
        <rFont val="Arial"/>
        <family val="2"/>
        <charset val="1"/>
      </rPr>
      <t xml:space="preserve">ÁREA INTERNA - </t>
    </r>
    <r>
      <rPr>
        <sz val="11"/>
        <color rgb="FF000000"/>
        <rFont val="Arial"/>
        <family val="2"/>
        <charset val="1"/>
      </rPr>
      <t>Conforme Produtividade de referência prevista no item 3.1 do Anexo VI-B da IN MPOG nº 05/2017 atualizada.</t>
    </r>
  </si>
  <si>
    <t>(1) 
PRODUTIVIDADE
(1/M²)</t>
  </si>
  <si>
    <t>(2)
PREÇO HOMEM-MÊS                   (R$)</t>
  </si>
  <si>
    <t>(1 X 2)
SUBTOTAL
(R$/M²)</t>
  </si>
  <si>
    <t xml:space="preserve">ENC. / Pisos acarpetados </t>
  </si>
  <si>
    <r>
      <rPr>
        <sz val="11"/>
        <color rgb="FF000000"/>
        <rFont val="Arial"/>
        <family val="2"/>
        <charset val="1"/>
      </rPr>
      <t>SERV. / Pisos acarpetados</t>
    </r>
    <r>
      <rPr>
        <sz val="11"/>
        <color rgb="FFFF0000"/>
        <rFont val="Arial"/>
        <family val="2"/>
        <charset val="1"/>
      </rPr>
      <t xml:space="preserve"> </t>
    </r>
  </si>
  <si>
    <t>TOTAL</t>
  </si>
  <si>
    <r>
      <rPr>
        <sz val="11"/>
        <color rgb="FF000000"/>
        <rFont val="Arial"/>
        <family val="2"/>
        <charset val="1"/>
      </rPr>
      <t xml:space="preserve">ENC. / Pisos frios </t>
    </r>
    <r>
      <rPr>
        <sz val="11"/>
        <color rgb="FFFF3333"/>
        <rFont val="Arial"/>
        <family val="2"/>
        <charset val="1"/>
      </rPr>
      <t xml:space="preserve"> </t>
    </r>
  </si>
  <si>
    <t xml:space="preserve">SERV. / Pisos frios </t>
  </si>
  <si>
    <r>
      <rPr>
        <sz val="11"/>
        <color rgb="FF000000"/>
        <rFont val="Arial"/>
        <family val="2"/>
        <charset val="1"/>
      </rPr>
      <t>ENC. / Laboratórios</t>
    </r>
    <r>
      <rPr>
        <sz val="11"/>
        <color rgb="FFFF0000"/>
        <rFont val="Arial"/>
        <family val="2"/>
        <charset val="1"/>
      </rPr>
      <t xml:space="preserve"> </t>
    </r>
  </si>
  <si>
    <r>
      <rPr>
        <sz val="11"/>
        <color rgb="FF000000"/>
        <rFont val="Arial"/>
        <family val="2"/>
        <charset val="1"/>
      </rPr>
      <t>SERV. / Laboratórios</t>
    </r>
    <r>
      <rPr>
        <sz val="11"/>
        <color rgb="FFFF0000"/>
        <rFont val="Arial"/>
        <family val="2"/>
        <charset val="1"/>
      </rPr>
      <t xml:space="preserve"> </t>
    </r>
  </si>
  <si>
    <t xml:space="preserve">ENC. / Almoxaridados/galpões </t>
  </si>
  <si>
    <t xml:space="preserve">SERV./Almoxaridados/galpões </t>
  </si>
  <si>
    <t>ENC. / Oficinas</t>
  </si>
  <si>
    <t xml:space="preserve">SERV. / Oficinas </t>
  </si>
  <si>
    <t xml:space="preserve">ENC. / Áreas com espaços livres - saguão, hall e salão </t>
  </si>
  <si>
    <t xml:space="preserve">SERV. / Áreas com espaços livres - saguão, hall e salão </t>
  </si>
  <si>
    <t xml:space="preserve">ENC. / Piso Emborrachado </t>
  </si>
  <si>
    <t>SERV. / Piso Emborrachado</t>
  </si>
  <si>
    <t xml:space="preserve">TOTAL  </t>
  </si>
  <si>
    <t>ENC. / Paredes</t>
  </si>
  <si>
    <t>SERV. / Paredes</t>
  </si>
  <si>
    <t>ENC. / Teto</t>
  </si>
  <si>
    <t>SERV. / Teto</t>
  </si>
  <si>
    <t xml:space="preserve">TOTAL   </t>
  </si>
  <si>
    <r>
      <rPr>
        <b/>
        <sz val="11"/>
        <color rgb="FF000000"/>
        <rFont val="Arial"/>
        <family val="2"/>
        <charset val="1"/>
      </rPr>
      <t xml:space="preserve">ÁREA EXTERNA - </t>
    </r>
    <r>
      <rPr>
        <sz val="11"/>
        <color rgb="FF000000"/>
        <rFont val="Arial"/>
        <family val="2"/>
        <charset val="1"/>
      </rPr>
      <t>Conforme Produtividade de referência prevista no item 3.2 do Anexo VI-B da IN MPOG nº 05/2017 atualizada.</t>
    </r>
  </si>
  <si>
    <t>(1)
PRODUTIVIDADE
(1/M²)</t>
  </si>
  <si>
    <t>(2)
PREÇO HOMEM-MÊS
(R$)</t>
  </si>
  <si>
    <r>
      <rPr>
        <sz val="11"/>
        <color rgb="FF000000"/>
        <rFont val="Arial"/>
        <family val="2"/>
        <charset val="1"/>
      </rPr>
      <t xml:space="preserve">ENC. / Pisos pavimentados adjacentes/contíguos às edificações          </t>
    </r>
    <r>
      <rPr>
        <sz val="11"/>
        <color rgb="FFFF0000"/>
        <rFont val="Arial"/>
        <family val="2"/>
        <charset val="1"/>
      </rPr>
      <t xml:space="preserve"> </t>
    </r>
  </si>
  <si>
    <t>30</t>
  </si>
  <si>
    <t xml:space="preserve">SERV. / Pisos pavimentados adjacentes/contíguos às edificações          </t>
  </si>
  <si>
    <t>ENC. / Passarelas externas (Paredes)</t>
  </si>
  <si>
    <t>SERV. / Passarelas externas (Paredes)</t>
  </si>
  <si>
    <t>ENC. / Passarelas externas (Teto)</t>
  </si>
  <si>
    <t>SERV. / Passarelas externas (Teto)</t>
  </si>
  <si>
    <r>
      <rPr>
        <sz val="11"/>
        <color rgb="FF000000"/>
        <rFont val="Arial"/>
        <family val="2"/>
        <charset val="1"/>
      </rPr>
      <t>ENC. / Varrição de passeios e arruamentos</t>
    </r>
    <r>
      <rPr>
        <sz val="11"/>
        <color rgb="FFFF0000"/>
        <rFont val="Arial"/>
        <family val="2"/>
        <charset val="1"/>
      </rPr>
      <t xml:space="preserve">  </t>
    </r>
  </si>
  <si>
    <t xml:space="preserve">SERV. / Varrição de passeios e arruamentos </t>
  </si>
  <si>
    <t xml:space="preserve">ENC. / pátios e áreas verdes com alta frequência </t>
  </si>
  <si>
    <t xml:space="preserve">SERV. / Pátios e áreas verdes com alta frequência </t>
  </si>
  <si>
    <t xml:space="preserve">Enc. / Pátios e áreas verdes com média frequência </t>
  </si>
  <si>
    <t xml:space="preserve">SERV. / Pátios e áreas verdes com média frequência </t>
  </si>
  <si>
    <t xml:space="preserve">ENC. / Pátios e áreas verdes com baixa frequência </t>
  </si>
  <si>
    <t>1</t>
  </si>
  <si>
    <t xml:space="preserve">SERV. / Pátios e áreas verdes com baixa frequência </t>
  </si>
  <si>
    <t xml:space="preserve">ENC. / Coleta de detritos em pátio e áreas verdes com frequência diária </t>
  </si>
  <si>
    <t xml:space="preserve">SERV. / Coleta de detritos em pátios e áreas verdes com frequência diária </t>
  </si>
  <si>
    <t>ÁREA MÉDICO- HOSPITALAR E ASSEMELHADOS - Conforme Produtividade de referência prevista no item 3.5 do Anexo VI-B da IN MPOG nº 05/2017 atualizada.</t>
  </si>
  <si>
    <t>(2)
PREÇO HOMEM-MÊS            (R$)</t>
  </si>
  <si>
    <t xml:space="preserve">Encarregado </t>
  </si>
  <si>
    <t xml:space="preserve">Servente </t>
  </si>
  <si>
    <t xml:space="preserve">* Caso as produtividades adotadas sejam diferentes, estes valores das planilhas, bem como os coeficientes deles decorrentes (Ki e Ke) deverão ser adequados à nova situação.
** Caso a relação entre serventes e encarregado seja diferente, os valores das planilhas, bem como os coeficientes deles decorrentes (Ki e Ke) deverão ser adequados à nova situação.
*** Frequência sugerida em horas por mês. Caso a frequência adotada em horas, por mês ou semestre, seja diferente, os valores, bem como os coeficientes deles decorrentes (Ki e Ke) deverão ser adequados à nova situação. </t>
  </si>
  <si>
    <t>VALOR MENSAL DOS SERVIÇOS</t>
  </si>
  <si>
    <t>PREÇO MENSAL UNITÁRIO (R$/M²)</t>
  </si>
  <si>
    <t>ÁREA
(M²)</t>
  </si>
  <si>
    <t>SUBTOTAL
(R$)</t>
  </si>
  <si>
    <t>g) Áreas internas - Pisos emborrachados</t>
  </si>
  <si>
    <t>d) Áreas externas - Varrição de passeios e arruamentos</t>
  </si>
  <si>
    <t>e) Área externa - Pátios e áreas verdes com alta frequência</t>
  </si>
  <si>
    <t>f) Áreas externas - Pátios e áreas verdes com média frequência</t>
  </si>
  <si>
    <t>g) Áreas externas - Pátios e áreas verdes com baixa frequência</t>
  </si>
  <si>
    <t>h) Áreas externas - Coleta de detritos em pátios e áreas verdes com frequência diária</t>
  </si>
  <si>
    <t>TOTAL DAS ÁREAS HOSPITALES E ASSEMELHADAS</t>
  </si>
  <si>
    <t>TOTAL GERAL</t>
  </si>
  <si>
    <t>Valor mensal do serviço</t>
  </si>
  <si>
    <t>Número de meses do contrato</t>
  </si>
  <si>
    <t>Valor global da proposta (valor mensal do serviço x nº de meses do contrato)</t>
  </si>
  <si>
    <t xml:space="preserve">QUANTIDADE DE PESSOAL ALOCADO NA EXECUÇÃO CONTRATUAL </t>
  </si>
  <si>
    <t>Tipo de Mão de Obra</t>
  </si>
  <si>
    <t>Quantidade de Pessoal</t>
  </si>
  <si>
    <t xml:space="preserve"> MATERIAIS, MÁQUINAS E EQUIPAMENTOS ALOCADOS NA EXECUÇÃO CONTRATUAL  (previstos na aba de Insumos Diversos e no Edital do Processo Licitatório</t>
  </si>
  <si>
    <t>SERVIÇO DE LIMPEZA (BANHEIROS)</t>
  </si>
  <si>
    <t xml:space="preserve">Prestação de serviços de limpeza de banheiros para o IFFAR  </t>
  </si>
  <si>
    <t>a) Banheiros - Piso</t>
  </si>
  <si>
    <t>b) Banheiros - Paredes</t>
  </si>
  <si>
    <t>c) Banheiros - Teto</t>
  </si>
  <si>
    <t>TOTAL DA ÁREA DOS BANHEIROS</t>
  </si>
  <si>
    <t>TOTAL GERAL (BANHEIROS)</t>
  </si>
  <si>
    <t>O Módulo 1 refere-se o valor mensal devido ao empregado pela prestação do serviço.</t>
  </si>
  <si>
    <t>Encargos Previdenciários (GPS), Fundo de Garantia por Tempo de Serviço (FGTS) e outras Contribuições                                                 BASE DE CÁLCULO = MÓDULO 1 (Total da Remuneração) + SUBMÓDULO 201</t>
  </si>
  <si>
    <t>Módulo 1         Remuneração</t>
  </si>
  <si>
    <t>Módulo 2                                  Sem VA e VT</t>
  </si>
  <si>
    <t xml:space="preserve">Total </t>
  </si>
  <si>
    <r>
      <rPr>
        <b/>
        <sz val="11"/>
        <color rgb="FF000000"/>
        <rFont val="Arial"/>
        <family val="2"/>
        <charset val="1"/>
      </rPr>
      <t xml:space="preserve">BANHEIROS - </t>
    </r>
    <r>
      <rPr>
        <sz val="11"/>
        <color rgb="FF000000"/>
        <rFont val="Arial"/>
        <family val="2"/>
        <charset val="1"/>
      </rPr>
      <t>Conforme Produtividade de referência prevista no item 3.1 do Anexo VI-B da IN MPOG nº 05/2017 atualizada.</t>
    </r>
  </si>
  <si>
    <t>ENC. / Banheiros - Piso</t>
  </si>
  <si>
    <t>SERV. / Banheiros - Piso</t>
  </si>
  <si>
    <t>ENC. / Banheiros - Paredes</t>
  </si>
  <si>
    <t>SERV. / Banheiros - Paredes</t>
  </si>
  <si>
    <t>ENC. / Banheiros - Teto</t>
  </si>
  <si>
    <t>SERV. / Banheiros - Teto</t>
  </si>
  <si>
    <t xml:space="preserve">* Caso as produtividades mínimas adotadas sejam diferentes, estes valores das planilhas, bem como os coeficientes deles decorrentes (Ki e Ke) deverão ser adequados à nova situação.
** Caso a relação entre serventes e encarregado seja diferente, os valores das planilhas, bem como os coeficientes deles decorrentes (Ki e Ke) deverão ser adequados à nova situação.
*** Frequência sugerida em horas por mês. Caso a frequência adotada em horas, por mês ou semestre, seja diferente, os valores, bem como os coeficientes deles decorrentes (Ki e Ke) deverão ser adequados à nova situação. </t>
  </si>
  <si>
    <t>a) Áreas Banheiros - Piso</t>
  </si>
  <si>
    <t>b) Áreas Banheiros - Paredes</t>
  </si>
  <si>
    <t>c) Áreas Banheiros - Teto</t>
  </si>
  <si>
    <t>TOTAL DA ÁREA DE BANHEIROS</t>
  </si>
  <si>
    <r>
      <rPr>
        <b/>
        <sz val="11"/>
        <color rgb="FF000000"/>
        <rFont val="Arial"/>
        <family val="2"/>
        <charset val="1"/>
      </rPr>
      <t>b) Outras áreas</t>
    </r>
    <r>
      <rPr>
        <sz val="11"/>
        <color rgb="FF000000"/>
        <rFont val="Arial"/>
        <family val="2"/>
        <charset val="1"/>
      </rPr>
      <t xml:space="preserve"> (especificar)</t>
    </r>
  </si>
  <si>
    <t>TOTAL DOS BANHEIROS</t>
  </si>
  <si>
    <t xml:space="preserve"> MATERIAIS, MÁQUINAS E EQUIPAMENTOS ALOCADOS NA EXECUÇÃO CONTRATUAL Já previstos na aba de planilha aba geral. Esta planilha prevê apenas uniformes, conforme descrição prevista no ANEXO de execução de São Vicente do Sul.</t>
  </si>
  <si>
    <t>SERVIÇO DE LIMPEZA (ESQUADRIAS E FACHADA ENVIDRAÇADA)</t>
  </si>
  <si>
    <t xml:space="preserve">Serviços de limpeza de esquadrias e fachadas envidraçadas para o IFFAR  </t>
  </si>
  <si>
    <t xml:space="preserve">conforme área determinada convertida de </t>
  </si>
  <si>
    <t>a) Esquadrias - Face externa com exposição a situação de risco</t>
  </si>
  <si>
    <t>b) Esquadrias - Face externa sem exposição a situação de risco</t>
  </si>
  <si>
    <t>c) Esquadrias - Face interna</t>
  </si>
  <si>
    <t>TOTAL DA ÁREA DAS ESQUADRIAS - FACE INTERNA/EXTERNA</t>
  </si>
  <si>
    <t>a) Fachada envidraçada</t>
  </si>
  <si>
    <t>TOTAL DA ÁREA DA FACHADA ENVIDRAÇADA</t>
  </si>
  <si>
    <t>TOTAL GERAL (ESQUADRIAS E FACHADA ENVIDRAÇADA)</t>
  </si>
  <si>
    <t>Encargos Previdenciários (GPS), Fundo de Garantia por Tempo de Serviço (FGTS) e outras Contribuições                                                   BASE DE CÁLCULO = MÓDULO 1 (Total da Remuneração) + SUBMÓDULO 201</t>
  </si>
  <si>
    <t>Módulo 2                               Sem VA e VT</t>
  </si>
  <si>
    <t xml:space="preserve">Outros (especificar) </t>
  </si>
  <si>
    <t>ESQUADRIA  - Conforme Produtividade de referência prevista no item 3.3 do Anexo VI-B da IN MPOG nº 05/2017 atualizada.</t>
  </si>
  <si>
    <t>(1)
PRODUTIVIDADE 
(1/M²)</t>
  </si>
  <si>
    <t>(2) FREQUÊNCIA NO MÊS    (HORAS)      16 ***</t>
  </si>
  <si>
    <t>(3)
 JORNADA DE TRABALHO NO MÊS
 (HORAS)</t>
  </si>
  <si>
    <t>(4) 
= (1 X 2 X 3)
Ki****</t>
  </si>
  <si>
    <t>(5)
PREÇO HOMEM-MÊS 
(R$)</t>
  </si>
  <si>
    <t>(6) = (4 X 5)
 SUBTOTAL
 (R$/M²)</t>
  </si>
  <si>
    <t xml:space="preserve">ENC. / Face externa com exposição a situação de risco </t>
  </si>
  <si>
    <t>188,76</t>
  </si>
  <si>
    <t xml:space="preserve">SERV. / Face externa com exposição a situação de risco </t>
  </si>
  <si>
    <t xml:space="preserve">ENC. / Face externa sem exposição a situação de risco </t>
  </si>
  <si>
    <t xml:space="preserve">SERV. / Face externa sem exposição a situação de risco </t>
  </si>
  <si>
    <t xml:space="preserve">ENC. / Face interna              </t>
  </si>
  <si>
    <t xml:space="preserve">SERV. / Face interna </t>
  </si>
  <si>
    <t xml:space="preserve">TOTAL </t>
  </si>
  <si>
    <t>FACHADA ENVIDRAÇADA  - Conforme Produtividade de referência prevista no item 3.4 do Anexo VI-B da IN MPOG nº 05/2017 atualizada.</t>
  </si>
  <si>
    <t>(1)
PRODUTIVIDADE (1/M²)</t>
  </si>
  <si>
    <t>(2) FREQUÊNCIA NO SEMESTRE (HORAS) 8 ***</t>
  </si>
  <si>
    <t>(3)
JORNADA DE TRABALHO NO SEMESTRE (HORAS)</t>
  </si>
  <si>
    <t>(4) 
= (1 X 2 X 3)                               Ke****</t>
  </si>
  <si>
    <t>(5) PREÇO HOMEM-MÊS (R$)</t>
  </si>
  <si>
    <t>(4 X 5)
                  SUBTOTAL                      (R$/M²)</t>
  </si>
  <si>
    <t xml:space="preserve">Encarregado     </t>
  </si>
  <si>
    <t>TOTAL DA FACHADA ENVIDRAÇADA</t>
  </si>
  <si>
    <t>c) Esquadrias  - Face interna</t>
  </si>
  <si>
    <t>TOTAL DA ÁREA DAS ESQUADRIAS EXTERNAS</t>
  </si>
  <si>
    <t>TOTAL DA ÁREA FACHADA ENVIDRAÇADA</t>
  </si>
  <si>
    <r>
      <rPr>
        <b/>
        <sz val="11"/>
        <color rgb="FF000000"/>
        <rFont val="Arial"/>
        <family val="2"/>
        <charset val="1"/>
      </rPr>
      <t xml:space="preserve">TOTAL DAS OUTRAS ÁREAS </t>
    </r>
    <r>
      <rPr>
        <sz val="11"/>
        <color rgb="FF000000"/>
        <rFont val="Arial"/>
        <family val="2"/>
        <charset val="1"/>
      </rPr>
      <t>(ESPECIFICAR)</t>
    </r>
  </si>
  <si>
    <t>TOTAL DAS ESQUADRIAS E FACHADA ENVIDRAÇADA</t>
  </si>
  <si>
    <t>MATERIAIS, MÁQUINAS E EQUIPAMENTOS ALOCADOS NA EXECUÇÃO CONTRATUAL Já previstos na aba de planilha aba geral. Esta planilha prevê apenas uniformes, conforme descrição prevista no ANEXO.</t>
  </si>
  <si>
    <t>SERVIÇO DE LIMPEZA (ENCARREGADO)</t>
  </si>
  <si>
    <t xml:space="preserve">Prestação de serviços de encarregado da limpeza geral para o IFFAR  </t>
  </si>
  <si>
    <t>conforme área determinada total convertida</t>
  </si>
  <si>
    <t>Posto de Trabalho de Encarregado</t>
  </si>
  <si>
    <t>Posto</t>
  </si>
  <si>
    <t>Encargos Previdenciários (GPS), Fundo de Garantia por Tempo de Serviço (FGTS) e outras Contribuições                                                    BASE DE CÁLCULO = MÓDULO 1 (Total da Remuneração) + SUBMÓDULO 201</t>
  </si>
  <si>
    <t>Módulo 2                                Sem VA e VT</t>
  </si>
  <si>
    <t>Encarregado</t>
  </si>
  <si>
    <t>RESUMO DA PROPOSTA</t>
  </si>
  <si>
    <t>TIPO DE SERVIÇO</t>
  </si>
  <si>
    <t>QUANTIDADE DE MÃO DE OBRA A SER ALOCADA</t>
  </si>
  <si>
    <t>VALOR TOTAL POR MÊS EM R$</t>
  </si>
  <si>
    <t>VALOR TOTAL A CONTRATAR</t>
  </si>
  <si>
    <t>TOTALIZADOR</t>
  </si>
  <si>
    <t>Quantidade de mão de obra alocada na prestação dos serviços (Limpeza Geral, Limpeza de Banheiros, Limpeza de Esquadrias)</t>
  </si>
  <si>
    <t>Postos de trabalho responsáveis pela execução dos serviços de limpeza.</t>
  </si>
  <si>
    <t xml:space="preserve">Postos de trabalho, sendo um deles posto de encarregado. </t>
  </si>
  <si>
    <t>VALOR TOTAL DO SERVIÇO PARA</t>
  </si>
  <si>
    <t>MESES</t>
  </si>
  <si>
    <t>Declaro para devidos fins que:</t>
  </si>
  <si>
    <t>1. Estou CIENTE e de ACORDO com as condições previstas Projeto Básico.</t>
  </si>
  <si>
    <t>2. Que não emprego menor de 18 anos em trabalho noturno, perigoso ou insalubre e não emprega menor de 16 anos, salvo menor, a partir de 14 anos, na condição de aprendiz, nos termos do artigo 7°, XXXIII, da Constituição.</t>
  </si>
  <si>
    <t>3. Que a proposta foi elaborada de forma independente, nos termos da Instrução Normativa SLTI/MP nº 2, de 16 de setembro de 2009.</t>
  </si>
  <si>
    <t>4. Que não possuo, em sua cadeia produtiva, empregados executando trabalho degradante ou forçado, observando o disposto nos incisos III e IV do art. 1º e no inciso III do art. 5º da Constituição Federal.</t>
  </si>
  <si>
    <t>5. Que para elaboração da presenta proposta foram considereados todos os custos diretos, indiretos, impostos, despesas de pessoa e insumos.</t>
  </si>
  <si>
    <t>6. Que a validade da presente proposta é de 60 dias.</t>
  </si>
  <si>
    <t>Carimbo</t>
  </si>
  <si>
    <t>Assinatura do Responsável</t>
  </si>
  <si>
    <t>Nome</t>
  </si>
  <si>
    <t>CPF</t>
  </si>
  <si>
    <t>Cargo/Função</t>
  </si>
  <si>
    <t>Local</t>
  </si>
  <si>
    <t>Data</t>
  </si>
  <si>
    <t>BCCPA - Base de cálculo para o Custo de Reposição do Profissional Ausente (substituto): Módulo 1 (Total da Remuneração) + Módulo 2 + Módulo 3</t>
  </si>
  <si>
    <t>QUADRO RESUMO DO CUSTO POR EMPREGADO</t>
  </si>
  <si>
    <t>MÃO DE OBRA        ENCARREGADO / SERVENTE</t>
  </si>
  <si>
    <t>MÃO DE OBRA      ENCARREGADO / SERVENTE</t>
  </si>
  <si>
    <t>MÃO DE OBRA 
       ENCARREGADO / SERVENTE</t>
  </si>
  <si>
    <t>MÃO DE OBRA
       ENCARREGADO / SERVENTE</t>
  </si>
  <si>
    <t>MÃO DE OBRA
ENCARREGADO / SERVENTE</t>
  </si>
  <si>
    <r>
      <rPr>
        <b/>
        <u/>
        <sz val="10"/>
        <color rgb="FF000000"/>
        <rFont val="Calibri"/>
        <family val="2"/>
      </rPr>
      <t xml:space="preserve">  Base de Cálculo para os Tributos  
</t>
    </r>
    <r>
      <rPr>
        <b/>
        <sz val="10"/>
        <color rgb="FF000000"/>
        <rFont val="Calibri"/>
        <family val="2"/>
      </rPr>
      <t>1- (Total de Tributos em % dividido por 100)</t>
    </r>
  </si>
  <si>
    <t>x Alíquota do Tributo</t>
  </si>
  <si>
    <t>Produtividade (m² / serv x mês) de 40h semanais (8h diárias)</t>
  </si>
  <si>
    <t xml:space="preserve">Produtividade (m² / serv x mês) de 44h semanais (8h diárias) </t>
  </si>
  <si>
    <t>PANO DE LIMPEZA DE CHÃO: SACO DE ALGODÃO. COMPOSIÇÃO: SACO BRANCO DUPLO, 100% ALGODÃO, ALVEJADO, PRÉ-AMACIADO, MEDIDA APROXIMADA 40CM X 70 CM, USO DOMÉSTICO, EMBALAGEM: PACOTE CONTENDO 01 UNIDADE.)</t>
  </si>
  <si>
    <t>xxxx xxxx xxxx</t>
  </si>
  <si>
    <t>zz.zzz.zzz/zzzz-zz</t>
  </si>
  <si>
    <t>Nome Completo</t>
  </si>
  <si>
    <t>yyy.yyy.yyy-yy</t>
  </si>
  <si>
    <t>tttt tttt tttt</t>
  </si>
  <si>
    <t xml:space="preserve"> As Produtividades acima são as máximas divulgadas no caderno de encargos do MPDG. Caso o licitante apresente produtividade superior, deverá comprovar, de forma inequívoca e documental, a sua produtividade e a sua capacidade de execução do serviço.</t>
  </si>
  <si>
    <r>
      <t>Adicional de Férias</t>
    </r>
    <r>
      <rPr>
        <sz val="10"/>
        <color rgb="FF000000"/>
        <rFont val="Arial"/>
        <family val="2"/>
      </rPr>
      <t xml:space="preserve"> </t>
    </r>
    <r>
      <rPr>
        <b/>
        <sz val="10"/>
        <color rgb="FF000000"/>
        <rFont val="Arial"/>
        <family val="2"/>
      </rPr>
      <t xml:space="preserve">- </t>
    </r>
    <r>
      <rPr>
        <sz val="10"/>
        <color rgb="FF000000"/>
        <rFont val="Arial"/>
        <family val="2"/>
      </rPr>
      <t>Obrigatória a cotação de 3,025% sobre o valor do Módulo 1 - Composição da Remuneração, conforme Anexo XII da IN 05/2017</t>
    </r>
  </si>
  <si>
    <r>
      <t xml:space="preserve">Substituto na cobertura de Férias - </t>
    </r>
    <r>
      <rPr>
        <sz val="10"/>
        <color rgb="FF000000"/>
        <rFont val="Arial"/>
        <family val="2"/>
      </rPr>
      <t>Obrigatória a cotação de 9,075% sobre o valor do Módulo 1 - Composição da Remuneração, conforme Anexo XII da IN 05/2017</t>
    </r>
  </si>
  <si>
    <t>CCT Sindasseio 2022/2022 - Registro MTE: RS005021/2021</t>
  </si>
  <si>
    <t>Cláusula Quarta da CCT 2022/2022</t>
  </si>
  <si>
    <t>Cláusula Décima Sétima da CCT 2022/2022</t>
  </si>
  <si>
    <t>Cláusula Décima Oitava da CCT 2022/2022</t>
  </si>
  <si>
    <t>Cláusula Vigésima Nona da CCT 2022/2022</t>
  </si>
</sst>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164" formatCode="_-&quot;R$ &quot;* #,##0.00_-;&quot;-R$ &quot;* #,##0.00_-;_-&quot;R$ &quot;* \-??_-;_-@_-"/>
    <numFmt numFmtId="165" formatCode="d/m/yyyy"/>
    <numFmt numFmtId="166" formatCode="_([$R$ -416]* #,##0.00_);_([$R$ -416]* \(#,##0.00\);_([$R$ -416]* \-??_);_(@_)"/>
    <numFmt numFmtId="167" formatCode="0.0000"/>
    <numFmt numFmtId="168" formatCode="&quot;R$ &quot;#,##0.00"/>
    <numFmt numFmtId="169" formatCode="_(* #,##0.00_);_(* \(#,##0.00\);_(* \-??_);_(@_)"/>
    <numFmt numFmtId="170" formatCode="[$R$ -416]#,##0.00"/>
    <numFmt numFmtId="171" formatCode="0.0"/>
    <numFmt numFmtId="172" formatCode="_-* #,##0.00_-;\-* #,##0.00_-;_-* \-??_-;_-@"/>
    <numFmt numFmtId="173" formatCode="0.00000000"/>
    <numFmt numFmtId="174" formatCode="0.000000000"/>
    <numFmt numFmtId="175" formatCode="d/m/yyyy\ hh:mm"/>
    <numFmt numFmtId="176" formatCode="#,##0.00_);\(#,##0.00\)"/>
    <numFmt numFmtId="177" formatCode="#,##0.0000000"/>
    <numFmt numFmtId="178" formatCode="#,##0.00;[Red]#,##0.00"/>
    <numFmt numFmtId="179" formatCode="#,##0_);[Red]\(#,##0\)"/>
    <numFmt numFmtId="180" formatCode="#,##0.000000"/>
  </numFmts>
  <fonts count="29" x14ac:knownFonts="1">
    <font>
      <sz val="10"/>
      <color rgb="FF000000"/>
      <name val="Arial"/>
      <charset val="1"/>
    </font>
    <font>
      <sz val="10"/>
      <color rgb="FF000000"/>
      <name val="Arial"/>
      <family val="2"/>
      <charset val="1"/>
    </font>
    <font>
      <sz val="10"/>
      <color rgb="FF000000"/>
      <name val="Arial"/>
      <family val="2"/>
    </font>
    <font>
      <sz val="11"/>
      <color rgb="FF000000"/>
      <name val="Arial"/>
      <family val="2"/>
      <charset val="1"/>
    </font>
    <font>
      <b/>
      <sz val="11"/>
      <color rgb="FF000000"/>
      <name val="Arial"/>
      <family val="2"/>
      <charset val="1"/>
    </font>
    <font>
      <b/>
      <sz val="11"/>
      <color rgb="FF38761D"/>
      <name val="Arial"/>
      <family val="2"/>
      <charset val="1"/>
    </font>
    <font>
      <b/>
      <sz val="11"/>
      <color rgb="FFFF0000"/>
      <name val="Arial"/>
      <family val="2"/>
      <charset val="1"/>
    </font>
    <font>
      <b/>
      <sz val="11"/>
      <color rgb="FF4F6128"/>
      <name val="Arial"/>
      <family val="2"/>
      <charset val="1"/>
    </font>
    <font>
      <sz val="11"/>
      <color rgb="FF333333"/>
      <name val="Arial"/>
      <family val="2"/>
      <charset val="1"/>
    </font>
    <font>
      <b/>
      <sz val="11"/>
      <color rgb="FF000080"/>
      <name val="Arial"/>
      <family val="2"/>
      <charset val="1"/>
    </font>
    <font>
      <sz val="11"/>
      <name val="Arial"/>
      <family val="2"/>
      <charset val="1"/>
    </font>
    <font>
      <sz val="11"/>
      <color rgb="FF222222"/>
      <name val="Arial"/>
      <family val="2"/>
      <charset val="1"/>
    </font>
    <font>
      <b/>
      <sz val="11"/>
      <color rgb="FF222222"/>
      <name val="Arial"/>
      <family val="2"/>
      <charset val="1"/>
    </font>
    <font>
      <b/>
      <sz val="11"/>
      <color rgb="FFFFFFFF"/>
      <name val="Arial"/>
      <family val="2"/>
      <charset val="1"/>
    </font>
    <font>
      <b/>
      <sz val="11"/>
      <color rgb="FF003366"/>
      <name val="Arial"/>
      <family val="2"/>
      <charset val="1"/>
    </font>
    <font>
      <sz val="11"/>
      <color rgb="FFFF0000"/>
      <name val="Arial"/>
      <family val="2"/>
      <charset val="1"/>
    </font>
    <font>
      <b/>
      <sz val="11"/>
      <name val="Arial"/>
      <family val="2"/>
      <charset val="1"/>
    </font>
    <font>
      <b/>
      <sz val="11"/>
      <color rgb="FF333399"/>
      <name val="Arial"/>
      <family val="2"/>
      <charset val="1"/>
    </font>
    <font>
      <b/>
      <sz val="11"/>
      <color rgb="FF0000FF"/>
      <name val="Arial"/>
      <family val="2"/>
      <charset val="1"/>
    </font>
    <font>
      <i/>
      <sz val="11"/>
      <color rgb="FF000000"/>
      <name val="Arial"/>
      <family val="2"/>
      <charset val="1"/>
    </font>
    <font>
      <sz val="11"/>
      <color rgb="FFFF3333"/>
      <name val="Arial"/>
      <family val="2"/>
      <charset val="1"/>
    </font>
    <font>
      <b/>
      <sz val="11"/>
      <color rgb="FF4F6228"/>
      <name val="Arial"/>
      <family val="2"/>
      <charset val="1"/>
    </font>
    <font>
      <sz val="10"/>
      <color rgb="FF000000"/>
      <name val="Arial"/>
      <family val="2"/>
    </font>
    <font>
      <i/>
      <sz val="11"/>
      <name val="Calibri"/>
      <family val="2"/>
    </font>
    <font>
      <b/>
      <sz val="10"/>
      <color rgb="FF000000"/>
      <name val="Calibri"/>
      <family val="2"/>
    </font>
    <font>
      <b/>
      <u/>
      <sz val="10"/>
      <color rgb="FF000000"/>
      <name val="Calibri"/>
      <family val="2"/>
    </font>
    <font>
      <i/>
      <sz val="8"/>
      <color rgb="FF000000"/>
      <name val="Arial"/>
      <family val="2"/>
    </font>
    <font>
      <b/>
      <sz val="10"/>
      <color rgb="FF000000"/>
      <name val="Arial"/>
      <family val="2"/>
      <charset val="1"/>
    </font>
    <font>
      <b/>
      <sz val="10"/>
      <color rgb="FF000000"/>
      <name val="Arial"/>
      <family val="2"/>
    </font>
  </fonts>
  <fills count="26">
    <fill>
      <patternFill patternType="none"/>
    </fill>
    <fill>
      <patternFill patternType="gray125"/>
    </fill>
    <fill>
      <patternFill patternType="solid">
        <fgColor rgb="FFBFBFBF"/>
        <bgColor rgb="FFB7B7B7"/>
      </patternFill>
    </fill>
    <fill>
      <patternFill patternType="solid">
        <fgColor rgb="FFD8D8D8"/>
        <bgColor rgb="FFD9D9D9"/>
      </patternFill>
    </fill>
    <fill>
      <patternFill patternType="solid">
        <fgColor rgb="FFFFFFFF"/>
        <bgColor rgb="FFF3F3F3"/>
      </patternFill>
    </fill>
    <fill>
      <patternFill patternType="solid">
        <fgColor rgb="FFB7B7B7"/>
        <bgColor rgb="FFBFBFBF"/>
      </patternFill>
    </fill>
    <fill>
      <patternFill patternType="solid">
        <fgColor rgb="FFD9D9D9"/>
        <bgColor rgb="FFD8D8D8"/>
      </patternFill>
    </fill>
    <fill>
      <patternFill patternType="solid">
        <fgColor rgb="FFCCCCCC"/>
        <bgColor rgb="FFD8D8D8"/>
      </patternFill>
    </fill>
    <fill>
      <patternFill patternType="solid">
        <fgColor rgb="FFC2D69B"/>
        <bgColor rgb="FFD6E3BC"/>
      </patternFill>
    </fill>
    <fill>
      <patternFill patternType="solid">
        <fgColor rgb="FFD6E3BC"/>
        <bgColor rgb="FFD7E4BD"/>
      </patternFill>
    </fill>
    <fill>
      <patternFill patternType="solid">
        <fgColor rgb="FFCFE2F3"/>
        <bgColor rgb="FFD9D9D9"/>
      </patternFill>
    </fill>
    <fill>
      <patternFill patternType="solid">
        <fgColor rgb="FF99CC00"/>
        <bgColor rgb="FFFFCC00"/>
      </patternFill>
    </fill>
    <fill>
      <patternFill patternType="solid">
        <fgColor rgb="FFFFFF00"/>
        <bgColor rgb="FFFFCC00"/>
      </patternFill>
    </fill>
    <fill>
      <patternFill patternType="solid">
        <fgColor rgb="FFB8CCE4"/>
        <bgColor rgb="FFB6DDE8"/>
      </patternFill>
    </fill>
    <fill>
      <patternFill patternType="solid">
        <fgColor rgb="FF7F7F7F"/>
        <bgColor rgb="FF4F6228"/>
      </patternFill>
    </fill>
    <fill>
      <patternFill patternType="solid">
        <fgColor rgb="FFFFFF99"/>
        <bgColor rgb="FFF3F3F3"/>
      </patternFill>
    </fill>
    <fill>
      <patternFill patternType="solid">
        <fgColor rgb="FFFBD4B4"/>
        <bgColor rgb="FFDDD9C3"/>
      </patternFill>
    </fill>
    <fill>
      <patternFill patternType="solid">
        <fgColor rgb="FFB6DDE8"/>
        <bgColor rgb="FFB8CCE4"/>
      </patternFill>
    </fill>
    <fill>
      <patternFill patternType="solid">
        <fgColor rgb="FF00FF66"/>
        <bgColor rgb="FF00FFFF"/>
      </patternFill>
    </fill>
    <fill>
      <patternFill patternType="solid">
        <fgColor rgb="FFDDD9C3"/>
        <bgColor rgb="FFD8D8D8"/>
      </patternFill>
    </fill>
    <fill>
      <patternFill patternType="solid">
        <fgColor rgb="FFD9EAD3"/>
        <bgColor rgb="FFD7E4BD"/>
      </patternFill>
    </fill>
    <fill>
      <patternFill patternType="solid">
        <fgColor rgb="FFEFEFEF"/>
        <bgColor rgb="FFF2F2F2"/>
      </patternFill>
    </fill>
    <fill>
      <patternFill patternType="solid">
        <fgColor rgb="FFF3F3F3"/>
        <bgColor rgb="FFF2F2F2"/>
      </patternFill>
    </fill>
    <fill>
      <patternFill patternType="solid">
        <fgColor rgb="FFF2F2F2"/>
        <bgColor rgb="FFF3F3F3"/>
      </patternFill>
    </fill>
    <fill>
      <patternFill patternType="solid">
        <fgColor rgb="FFD7E4BD"/>
        <bgColor rgb="FFD6E3BC"/>
      </patternFill>
    </fill>
    <fill>
      <patternFill patternType="solid">
        <fgColor theme="0" tint="-4.9989318521683403E-2"/>
        <bgColor indexed="64"/>
      </patternFill>
    </fill>
  </fills>
  <borders count="45">
    <border>
      <left/>
      <right/>
      <top/>
      <bottom/>
      <diagonal/>
    </border>
    <border>
      <left style="medium">
        <color auto="1"/>
      </left>
      <right style="thin">
        <color auto="1"/>
      </right>
      <top style="medium">
        <color auto="1"/>
      </top>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style="medium">
        <color auto="1"/>
      </left>
      <right style="thin">
        <color auto="1"/>
      </right>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medium">
        <color auto="1"/>
      </top>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style="thin">
        <color auto="1"/>
      </left>
      <right/>
      <top style="thin">
        <color auto="1"/>
      </top>
      <bottom style="medium">
        <color auto="1"/>
      </bottom>
      <diagonal/>
    </border>
    <border>
      <left/>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hair">
        <color auto="1"/>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hair">
        <color auto="1"/>
      </left>
      <right style="hair">
        <color auto="1"/>
      </right>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style="thin">
        <color auto="1"/>
      </top>
      <bottom style="hair">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style="medium">
        <color auto="1"/>
      </right>
      <top/>
      <bottom style="thin">
        <color auto="1"/>
      </bottom>
      <diagonal/>
    </border>
    <border>
      <left style="thin">
        <color auto="1"/>
      </left>
      <right style="thin">
        <color auto="1"/>
      </right>
      <top style="thin">
        <color auto="1"/>
      </top>
      <bottom style="medium">
        <color auto="1"/>
      </bottom>
      <diagonal/>
    </border>
    <border>
      <left style="medium">
        <color auto="1"/>
      </left>
      <right style="medium">
        <color auto="1"/>
      </right>
      <top style="medium">
        <color auto="1"/>
      </top>
      <bottom style="medium">
        <color auto="1"/>
      </bottom>
      <diagonal/>
    </border>
  </borders>
  <cellStyleXfs count="4">
    <xf numFmtId="0" fontId="0" fillId="0" borderId="0"/>
    <xf numFmtId="164" fontId="1" fillId="0" borderId="0" applyBorder="0" applyProtection="0"/>
    <xf numFmtId="0" fontId="2" fillId="0" borderId="0"/>
    <xf numFmtId="0" fontId="22" fillId="0" borderId="0"/>
  </cellStyleXfs>
  <cellXfs count="555">
    <xf numFmtId="0" fontId="0" fillId="0" borderId="0" xfId="0"/>
    <xf numFmtId="0" fontId="3" fillId="0" borderId="0" xfId="0" applyFont="1" applyAlignment="1">
      <alignment vertical="center" wrapText="1"/>
    </xf>
    <xf numFmtId="0" fontId="3" fillId="0" borderId="0" xfId="0" applyFont="1" applyAlignment="1">
      <alignment horizontal="center" vertical="center" wrapText="1"/>
    </xf>
    <xf numFmtId="0" fontId="4" fillId="2" borderId="1"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6" fillId="0" borderId="5" xfId="0" applyFont="1" applyBorder="1" applyAlignment="1">
      <alignment horizontal="center" vertical="center" wrapText="1"/>
    </xf>
    <xf numFmtId="0" fontId="4" fillId="5" borderId="6"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3" fillId="6" borderId="8" xfId="0" applyFont="1" applyFill="1" applyBorder="1" applyAlignment="1">
      <alignment vertical="center" wrapText="1"/>
    </xf>
    <xf numFmtId="3" fontId="6" fillId="4" borderId="8" xfId="0" applyNumberFormat="1" applyFont="1" applyFill="1" applyBorder="1" applyAlignment="1">
      <alignment horizontal="right" vertical="center" wrapText="1"/>
    </xf>
    <xf numFmtId="3" fontId="6" fillId="0" borderId="8" xfId="0" applyNumberFormat="1" applyFont="1" applyBorder="1" applyAlignment="1">
      <alignment horizontal="right" vertical="center" wrapText="1"/>
    </xf>
    <xf numFmtId="0" fontId="3" fillId="3" borderId="8" xfId="0" applyFont="1" applyFill="1" applyBorder="1" applyAlignment="1">
      <alignment vertical="center" wrapText="1"/>
    </xf>
    <xf numFmtId="3" fontId="6" fillId="0" borderId="8" xfId="0" applyNumberFormat="1" applyFont="1" applyBorder="1" applyAlignment="1">
      <alignment horizontal="right" vertical="center" wrapText="1"/>
    </xf>
    <xf numFmtId="0" fontId="6" fillId="4" borderId="8" xfId="0" applyFont="1" applyFill="1" applyBorder="1" applyAlignment="1">
      <alignment horizontal="right" vertical="center" wrapText="1"/>
    </xf>
    <xf numFmtId="0" fontId="3" fillId="4" borderId="0" xfId="0" applyFont="1" applyFill="1" applyBorder="1" applyAlignment="1">
      <alignment vertical="center" wrapText="1"/>
    </xf>
    <xf numFmtId="0" fontId="3" fillId="5" borderId="11" xfId="0" applyFont="1" applyFill="1" applyBorder="1" applyAlignment="1">
      <alignment horizontal="center" vertical="center" wrapText="1"/>
    </xf>
    <xf numFmtId="0" fontId="4" fillId="4" borderId="0" xfId="0" applyFont="1" applyFill="1" applyBorder="1" applyAlignment="1">
      <alignment horizontal="center" vertical="center" wrapText="1"/>
    </xf>
    <xf numFmtId="0" fontId="4" fillId="5" borderId="11" xfId="0" applyFont="1" applyFill="1" applyBorder="1" applyAlignment="1">
      <alignment horizontal="center" vertical="center" wrapText="1"/>
    </xf>
    <xf numFmtId="0" fontId="4" fillId="7" borderId="6" xfId="0" applyFont="1" applyFill="1" applyBorder="1" applyAlignment="1">
      <alignment horizontal="left" vertical="center" wrapText="1"/>
    </xf>
    <xf numFmtId="0" fontId="6" fillId="0" borderId="5" xfId="0" applyFont="1" applyBorder="1" applyAlignment="1">
      <alignment horizontal="left" vertical="center" wrapText="1"/>
    </xf>
    <xf numFmtId="0" fontId="4" fillId="0" borderId="0" xfId="0" applyFont="1" applyAlignment="1">
      <alignment horizontal="left" vertical="center" wrapText="1"/>
    </xf>
    <xf numFmtId="166" fontId="6" fillId="0" borderId="5" xfId="0" applyNumberFormat="1" applyFont="1" applyBorder="1" applyAlignment="1">
      <alignment horizontal="left" vertical="center" wrapText="1"/>
    </xf>
    <xf numFmtId="165" fontId="6" fillId="0" borderId="12" xfId="0" applyNumberFormat="1" applyFont="1" applyBorder="1" applyAlignment="1">
      <alignment horizontal="center" vertical="center" wrapText="1"/>
    </xf>
    <xf numFmtId="1" fontId="6" fillId="4" borderId="14" xfId="0" applyNumberFormat="1" applyFont="1" applyFill="1" applyBorder="1" applyAlignment="1">
      <alignment horizontal="center" vertical="center" wrapText="1"/>
    </xf>
    <xf numFmtId="0" fontId="6" fillId="4" borderId="0" xfId="0" applyFont="1" applyFill="1" applyBorder="1" applyAlignment="1">
      <alignment vertical="center" wrapText="1"/>
    </xf>
    <xf numFmtId="0" fontId="4" fillId="4" borderId="14" xfId="0" applyFont="1" applyFill="1" applyBorder="1" applyAlignment="1">
      <alignment horizontal="center" vertical="center" wrapText="1"/>
    </xf>
    <xf numFmtId="10" fontId="6" fillId="4" borderId="14" xfId="0" applyNumberFormat="1" applyFont="1" applyFill="1" applyBorder="1" applyAlignment="1">
      <alignment horizontal="center" vertical="center" wrapText="1"/>
    </xf>
    <xf numFmtId="10" fontId="6" fillId="4" borderId="15" xfId="0" applyNumberFormat="1" applyFont="1" applyFill="1" applyBorder="1" applyAlignment="1">
      <alignment horizontal="center" vertical="center" wrapText="1"/>
    </xf>
    <xf numFmtId="10" fontId="6" fillId="0" borderId="5" xfId="0" applyNumberFormat="1" applyFont="1" applyBorder="1" applyAlignment="1">
      <alignment horizontal="center" vertical="center" wrapText="1"/>
    </xf>
    <xf numFmtId="10" fontId="4" fillId="7" borderId="5" xfId="0" applyNumberFormat="1" applyFont="1" applyFill="1" applyBorder="1" applyAlignment="1">
      <alignment horizontal="center" vertical="center" wrapText="1"/>
    </xf>
    <xf numFmtId="0" fontId="4" fillId="0" borderId="0" xfId="0" applyFont="1" applyAlignment="1">
      <alignment horizontal="right" vertical="center" wrapText="1"/>
    </xf>
    <xf numFmtId="10" fontId="4" fillId="0" borderId="0" xfId="0" applyNumberFormat="1" applyFont="1" applyAlignment="1">
      <alignment horizontal="center" vertical="center" wrapText="1"/>
    </xf>
    <xf numFmtId="167" fontId="4" fillId="0" borderId="0" xfId="0" applyNumberFormat="1" applyFont="1" applyAlignment="1">
      <alignment horizontal="center" vertical="center" wrapText="1"/>
    </xf>
    <xf numFmtId="10" fontId="6" fillId="0" borderId="12" xfId="0" applyNumberFormat="1" applyFont="1" applyBorder="1" applyAlignment="1">
      <alignment horizontal="center" vertical="center" wrapText="1"/>
    </xf>
    <xf numFmtId="168" fontId="6" fillId="4" borderId="16" xfId="0" applyNumberFormat="1" applyFont="1" applyFill="1" applyBorder="1" applyAlignment="1">
      <alignment horizontal="center" vertical="center" wrapText="1"/>
    </xf>
    <xf numFmtId="168" fontId="6" fillId="4" borderId="15" xfId="0" applyNumberFormat="1" applyFont="1" applyFill="1" applyBorder="1" applyAlignment="1">
      <alignment horizontal="center" vertical="center" wrapText="1"/>
    </xf>
    <xf numFmtId="0" fontId="4" fillId="5" borderId="6" xfId="2" applyFont="1" applyFill="1" applyBorder="1" applyAlignment="1" applyProtection="1">
      <alignment horizontal="center" vertical="center" wrapText="1"/>
    </xf>
    <xf numFmtId="0" fontId="4" fillId="5" borderId="11" xfId="2" applyFont="1" applyFill="1" applyBorder="1" applyAlignment="1" applyProtection="1">
      <alignment horizontal="center" vertical="center" wrapText="1"/>
    </xf>
    <xf numFmtId="0" fontId="4" fillId="0" borderId="0" xfId="0" applyFont="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3" fillId="0" borderId="0" xfId="0" applyFont="1" applyAlignment="1">
      <alignment horizontal="left" vertical="center" wrapText="1"/>
    </xf>
    <xf numFmtId="0" fontId="4" fillId="8" borderId="0" xfId="0" applyFont="1" applyFill="1" applyAlignment="1">
      <alignment horizontal="left" vertical="center" wrapText="1"/>
    </xf>
    <xf numFmtId="0" fontId="4" fillId="8" borderId="8" xfId="0" applyFont="1" applyFill="1" applyBorder="1" applyAlignment="1">
      <alignment horizontal="left" vertical="center" wrapText="1"/>
    </xf>
    <xf numFmtId="0" fontId="4" fillId="8" borderId="8" xfId="0" applyFont="1" applyFill="1" applyBorder="1" applyAlignment="1">
      <alignment horizontal="center" vertical="center" wrapText="1"/>
    </xf>
    <xf numFmtId="169" fontId="4" fillId="8" borderId="8" xfId="0" applyNumberFormat="1"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8" xfId="0" applyFont="1" applyBorder="1" applyAlignment="1">
      <alignment horizontal="left" vertical="center" wrapText="1"/>
    </xf>
    <xf numFmtId="168" fontId="6" fillId="0" borderId="8" xfId="0" applyNumberFormat="1" applyFont="1" applyBorder="1" applyAlignment="1" applyProtection="1">
      <alignment horizontal="right" vertical="center" wrapText="1"/>
      <protection locked="0"/>
    </xf>
    <xf numFmtId="168" fontId="3" fillId="9" borderId="8" xfId="0" applyNumberFormat="1" applyFont="1" applyFill="1" applyBorder="1" applyAlignment="1">
      <alignment horizontal="right" vertical="center" wrapText="1"/>
    </xf>
    <xf numFmtId="0" fontId="3" fillId="0" borderId="17" xfId="0" applyFont="1" applyBorder="1" applyAlignment="1">
      <alignment horizontal="center" vertical="center" wrapText="1"/>
    </xf>
    <xf numFmtId="0" fontId="3" fillId="0" borderId="8" xfId="0" applyFont="1" applyBorder="1" applyAlignment="1">
      <alignment vertical="center" wrapText="1"/>
    </xf>
    <xf numFmtId="0" fontId="8" fillId="0" borderId="17" xfId="0" applyFont="1" applyBorder="1" applyAlignment="1">
      <alignment horizontal="center" vertical="center" wrapText="1"/>
    </xf>
    <xf numFmtId="0" fontId="8" fillId="0" borderId="8" xfId="0" applyFont="1" applyBorder="1" applyAlignment="1">
      <alignment horizontal="left" vertical="center" wrapText="1"/>
    </xf>
    <xf numFmtId="0" fontId="3" fillId="4" borderId="8" xfId="0" applyFont="1" applyFill="1" applyBorder="1" applyAlignment="1">
      <alignment vertical="center" wrapText="1"/>
    </xf>
    <xf numFmtId="0" fontId="4" fillId="8" borderId="0" xfId="0" applyFont="1" applyFill="1" applyAlignment="1">
      <alignment horizontal="right" vertical="center" wrapText="1"/>
    </xf>
    <xf numFmtId="0" fontId="4" fillId="8" borderId="8" xfId="0" applyFont="1" applyFill="1" applyBorder="1" applyAlignment="1">
      <alignment horizontal="right" vertical="center" wrapText="1"/>
    </xf>
    <xf numFmtId="168" fontId="4" fillId="8" borderId="8" xfId="0" applyNumberFormat="1" applyFont="1" applyFill="1" applyBorder="1" applyAlignment="1">
      <alignment horizontal="right" vertical="center" wrapText="1"/>
    </xf>
    <xf numFmtId="0" fontId="9" fillId="0" borderId="0" xfId="0" applyFont="1" applyAlignment="1">
      <alignment horizontal="center" vertical="center" wrapText="1"/>
    </xf>
    <xf numFmtId="169" fontId="9" fillId="0" borderId="0" xfId="0" applyNumberFormat="1" applyFont="1" applyAlignment="1">
      <alignment horizontal="right" vertical="center" wrapText="1"/>
    </xf>
    <xf numFmtId="170" fontId="6" fillId="0" borderId="0" xfId="0" applyNumberFormat="1" applyFont="1" applyAlignment="1" applyProtection="1">
      <alignment horizontal="center" vertical="center" wrapText="1"/>
      <protection locked="0"/>
    </xf>
    <xf numFmtId="170" fontId="6" fillId="0" borderId="8" xfId="0" applyNumberFormat="1" applyFont="1" applyBorder="1" applyAlignment="1" applyProtection="1">
      <alignment horizontal="center" vertical="center" wrapText="1"/>
      <protection locked="0"/>
    </xf>
    <xf numFmtId="168" fontId="6" fillId="0" borderId="8" xfId="0" applyNumberFormat="1" applyFont="1" applyBorder="1" applyAlignment="1" applyProtection="1">
      <alignment horizontal="center" vertical="center" wrapText="1"/>
      <protection locked="0"/>
    </xf>
    <xf numFmtId="0" fontId="10" fillId="0" borderId="8" xfId="0" applyFont="1" applyBorder="1" applyAlignment="1">
      <alignment vertical="center" wrapText="1"/>
    </xf>
    <xf numFmtId="0" fontId="10" fillId="0" borderId="18" xfId="0" applyFont="1" applyBorder="1" applyAlignment="1">
      <alignment horizontal="center" vertical="center" wrapText="1"/>
    </xf>
    <xf numFmtId="170" fontId="6" fillId="0" borderId="18" xfId="0" applyNumberFormat="1" applyFont="1" applyBorder="1" applyAlignment="1" applyProtection="1">
      <alignment horizontal="center" vertical="center" wrapText="1"/>
      <protection locked="0"/>
    </xf>
    <xf numFmtId="168" fontId="10" fillId="9" borderId="18" xfId="0" applyNumberFormat="1" applyFont="1" applyFill="1" applyBorder="1" applyAlignment="1">
      <alignment horizontal="right" vertical="center" wrapText="1"/>
    </xf>
    <xf numFmtId="168" fontId="4" fillId="8" borderId="8" xfId="0" applyNumberFormat="1" applyFont="1" applyFill="1" applyBorder="1" applyAlignment="1">
      <alignment vertical="center" wrapText="1"/>
    </xf>
    <xf numFmtId="169" fontId="3" fillId="0" borderId="0" xfId="0" applyNumberFormat="1" applyFont="1" applyAlignment="1">
      <alignment horizontal="right" vertical="center" wrapText="1"/>
    </xf>
    <xf numFmtId="1" fontId="3" fillId="0" borderId="8" xfId="0" applyNumberFormat="1" applyFont="1" applyBorder="1" applyAlignment="1">
      <alignment horizontal="center" vertical="center" wrapText="1"/>
    </xf>
    <xf numFmtId="170" fontId="6" fillId="4" borderId="8" xfId="0" applyNumberFormat="1" applyFont="1" applyFill="1" applyBorder="1" applyAlignment="1" applyProtection="1">
      <alignment horizontal="center" vertical="center" wrapText="1"/>
      <protection locked="0"/>
    </xf>
    <xf numFmtId="0" fontId="11" fillId="4" borderId="8" xfId="0" applyFont="1" applyFill="1" applyBorder="1" applyAlignment="1">
      <alignment vertical="center" wrapText="1"/>
    </xf>
    <xf numFmtId="0" fontId="10" fillId="0" borderId="8" xfId="0" applyFont="1" applyBorder="1" applyAlignment="1">
      <alignment horizontal="center" vertical="center" wrapText="1"/>
    </xf>
    <xf numFmtId="171" fontId="3" fillId="0" borderId="8" xfId="0" applyNumberFormat="1" applyFont="1" applyBorder="1" applyAlignment="1">
      <alignment horizontal="center" vertical="center" wrapText="1"/>
    </xf>
    <xf numFmtId="0" fontId="3" fillId="0" borderId="19" xfId="0" applyFont="1" applyBorder="1" applyAlignment="1">
      <alignment horizontal="center" vertical="center" wrapText="1"/>
    </xf>
    <xf numFmtId="169" fontId="4" fillId="8" borderId="20" xfId="0" applyNumberFormat="1" applyFont="1" applyFill="1" applyBorder="1" applyAlignment="1">
      <alignment horizontal="center" vertical="center" wrapText="1"/>
    </xf>
    <xf numFmtId="0" fontId="13" fillId="0" borderId="0" xfId="0" applyFont="1" applyBorder="1" applyAlignment="1">
      <alignment horizontal="left" vertical="center" wrapText="1"/>
    </xf>
    <xf numFmtId="0" fontId="3" fillId="0" borderId="0" xfId="0" applyFont="1" applyBorder="1" applyAlignment="1">
      <alignment vertical="center" wrapText="1"/>
    </xf>
    <xf numFmtId="0" fontId="14" fillId="0" borderId="0" xfId="0" applyFont="1" applyAlignment="1">
      <alignment vertical="center" wrapText="1"/>
    </xf>
    <xf numFmtId="0" fontId="3" fillId="0" borderId="0" xfId="0" applyFont="1" applyAlignment="1">
      <alignment horizontal="center" vertical="center" wrapText="1"/>
    </xf>
    <xf numFmtId="168" fontId="6" fillId="0" borderId="0" xfId="0" applyNumberFormat="1" applyFont="1" applyBorder="1" applyAlignment="1" applyProtection="1">
      <alignment horizontal="center" vertical="center" wrapText="1"/>
      <protection locked="0"/>
    </xf>
    <xf numFmtId="0" fontId="3" fillId="0" borderId="8" xfId="0" applyFont="1" applyBorder="1" applyAlignment="1">
      <alignment horizontal="center" vertical="center" wrapText="1"/>
    </xf>
    <xf numFmtId="168" fontId="6" fillId="0" borderId="20" xfId="0" applyNumberFormat="1" applyFont="1" applyBorder="1" applyAlignment="1" applyProtection="1">
      <alignment horizontal="center" vertical="center" wrapText="1"/>
      <protection locked="0"/>
    </xf>
    <xf numFmtId="0" fontId="3" fillId="0" borderId="0" xfId="0" applyFont="1" applyBorder="1" applyAlignment="1">
      <alignment horizontal="center" vertical="center" wrapText="1"/>
    </xf>
    <xf numFmtId="0" fontId="3" fillId="0" borderId="19" xfId="0" applyFont="1" applyBorder="1" applyAlignment="1">
      <alignment horizontal="center" vertical="center" wrapText="1"/>
    </xf>
    <xf numFmtId="0" fontId="7" fillId="8" borderId="0" xfId="0" applyFont="1" applyFill="1" applyAlignment="1">
      <alignment horizontal="left" vertical="center" wrapText="1"/>
    </xf>
    <xf numFmtId="0" fontId="7" fillId="8" borderId="8" xfId="0" applyFont="1" applyFill="1" applyBorder="1" applyAlignment="1">
      <alignment horizontal="left" vertical="center" wrapText="1"/>
    </xf>
    <xf numFmtId="4" fontId="3" fillId="9" borderId="0" xfId="0" applyNumberFormat="1" applyFont="1" applyFill="1" applyAlignment="1">
      <alignment horizontal="left" vertical="center" wrapText="1"/>
    </xf>
    <xf numFmtId="4" fontId="3" fillId="9" borderId="8" xfId="0" applyNumberFormat="1" applyFont="1" applyFill="1" applyBorder="1" applyAlignment="1">
      <alignment horizontal="left" vertical="center" wrapText="1"/>
    </xf>
    <xf numFmtId="4" fontId="4" fillId="8" borderId="0" xfId="0" applyNumberFormat="1" applyFont="1" applyFill="1" applyAlignment="1">
      <alignment horizontal="left" vertical="center" wrapText="1"/>
    </xf>
    <xf numFmtId="4" fontId="4" fillId="8" borderId="8" xfId="0" applyNumberFormat="1" applyFont="1" applyFill="1" applyBorder="1" applyAlignment="1">
      <alignment horizontal="left" vertical="center" wrapText="1"/>
    </xf>
    <xf numFmtId="4" fontId="3" fillId="0" borderId="0" xfId="0" applyNumberFormat="1" applyFont="1" applyAlignment="1">
      <alignment vertical="center" wrapText="1"/>
    </xf>
    <xf numFmtId="4" fontId="3" fillId="0" borderId="0" xfId="0" applyNumberFormat="1" applyFont="1" applyAlignment="1">
      <alignment horizontal="center" vertical="center" wrapText="1"/>
    </xf>
    <xf numFmtId="4" fontId="4" fillId="0" borderId="0" xfId="0" applyNumberFormat="1" applyFont="1" applyAlignment="1">
      <alignment horizontal="center" vertical="center" wrapText="1"/>
    </xf>
    <xf numFmtId="4" fontId="4" fillId="0" borderId="0" xfId="0" applyNumberFormat="1" applyFont="1" applyAlignment="1">
      <alignment horizontal="left" vertical="center" wrapText="1"/>
    </xf>
    <xf numFmtId="4" fontId="9" fillId="0" borderId="0" xfId="0" applyNumberFormat="1" applyFont="1" applyAlignment="1">
      <alignment horizontal="right" vertical="center" wrapText="1"/>
    </xf>
    <xf numFmtId="0" fontId="4" fillId="8" borderId="0" xfId="0" applyFont="1" applyFill="1" applyAlignment="1">
      <alignment horizontal="center" vertical="center" wrapText="1"/>
    </xf>
    <xf numFmtId="4" fontId="4" fillId="8" borderId="8" xfId="0" applyNumberFormat="1" applyFont="1" applyFill="1" applyBorder="1" applyAlignment="1">
      <alignment horizontal="center" vertical="center" wrapText="1"/>
    </xf>
    <xf numFmtId="0" fontId="3" fillId="3" borderId="0" xfId="0" applyFont="1" applyFill="1" applyAlignment="1">
      <alignment horizontal="left" vertical="center" wrapText="1"/>
    </xf>
    <xf numFmtId="0" fontId="4" fillId="12" borderId="0" xfId="0" applyFont="1" applyFill="1" applyBorder="1" applyAlignment="1">
      <alignment horizontal="center" vertical="center" wrapText="1"/>
    </xf>
    <xf numFmtId="1" fontId="4" fillId="13" borderId="8" xfId="0" applyNumberFormat="1" applyFont="1" applyFill="1" applyBorder="1" applyAlignment="1">
      <alignment horizontal="center" vertical="center" wrapText="1"/>
    </xf>
    <xf numFmtId="172" fontId="4" fillId="13" borderId="8" xfId="0" applyNumberFormat="1" applyFont="1" applyFill="1" applyBorder="1" applyAlignment="1">
      <alignment horizontal="center" vertical="center" wrapText="1"/>
    </xf>
    <xf numFmtId="172" fontId="4" fillId="0" borderId="8" xfId="0" applyNumberFormat="1" applyFont="1" applyBorder="1" applyAlignment="1">
      <alignment horizontal="center" vertical="center" wrapText="1"/>
    </xf>
    <xf numFmtId="172" fontId="4" fillId="0" borderId="0" xfId="0" applyNumberFormat="1" applyFont="1" applyAlignment="1">
      <alignment horizontal="center" vertical="center" wrapText="1"/>
    </xf>
    <xf numFmtId="1" fontId="4" fillId="0" borderId="8" xfId="0" applyNumberFormat="1" applyFont="1" applyBorder="1" applyAlignment="1">
      <alignment horizontal="center" vertical="center" wrapText="1"/>
    </xf>
    <xf numFmtId="169" fontId="4" fillId="0" borderId="8" xfId="0" applyNumberFormat="1" applyFont="1" applyBorder="1" applyAlignment="1">
      <alignment horizontal="center" vertical="center" wrapText="1"/>
    </xf>
    <xf numFmtId="2" fontId="4" fillId="0" borderId="8" xfId="0" applyNumberFormat="1" applyFont="1" applyBorder="1" applyAlignment="1">
      <alignment horizontal="center" vertical="center" wrapText="1"/>
    </xf>
    <xf numFmtId="172" fontId="4" fillId="3" borderId="8" xfId="0" applyNumberFormat="1" applyFont="1" applyFill="1" applyBorder="1" applyAlignment="1">
      <alignment horizontal="center" vertical="center" wrapText="1"/>
    </xf>
    <xf numFmtId="169" fontId="4" fillId="3" borderId="8" xfId="0" applyNumberFormat="1" applyFont="1" applyFill="1" applyBorder="1" applyAlignment="1">
      <alignment horizontal="center" vertical="center" wrapText="1"/>
    </xf>
    <xf numFmtId="172" fontId="4" fillId="6" borderId="8" xfId="0" applyNumberFormat="1" applyFont="1" applyFill="1" applyBorder="1" applyAlignment="1">
      <alignment horizontal="center" vertical="center" wrapText="1"/>
    </xf>
    <xf numFmtId="2" fontId="4" fillId="6" borderId="8" xfId="0" applyNumberFormat="1" applyFont="1" applyFill="1" applyBorder="1" applyAlignment="1">
      <alignment horizontal="center" vertical="center" wrapText="1"/>
    </xf>
    <xf numFmtId="1" fontId="4" fillId="6" borderId="8" xfId="0" applyNumberFormat="1" applyFont="1" applyFill="1" applyBorder="1" applyAlignment="1">
      <alignment horizontal="center" vertical="center" wrapText="1"/>
    </xf>
    <xf numFmtId="169" fontId="4" fillId="7" borderId="8" xfId="0" applyNumberFormat="1" applyFont="1" applyFill="1" applyBorder="1" applyAlignment="1">
      <alignment horizontal="center" vertical="center" wrapText="1"/>
    </xf>
    <xf numFmtId="169" fontId="4" fillId="6" borderId="8" xfId="0" applyNumberFormat="1" applyFont="1" applyFill="1" applyBorder="1" applyAlignment="1">
      <alignment horizontal="center" vertical="center" wrapText="1"/>
    </xf>
    <xf numFmtId="172" fontId="4" fillId="6" borderId="19" xfId="0" applyNumberFormat="1" applyFont="1" applyFill="1" applyBorder="1" applyAlignment="1">
      <alignment horizontal="center" vertical="center" wrapText="1"/>
    </xf>
    <xf numFmtId="172" fontId="4" fillId="0" borderId="19" xfId="0" applyNumberFormat="1" applyFont="1" applyBorder="1" applyAlignment="1">
      <alignment horizontal="center" vertical="center" wrapText="1"/>
    </xf>
    <xf numFmtId="172" fontId="3" fillId="4" borderId="0" xfId="0" applyNumberFormat="1" applyFont="1" applyFill="1" applyAlignment="1">
      <alignment horizontal="right" vertical="center" wrapText="1"/>
    </xf>
    <xf numFmtId="2" fontId="3" fillId="0" borderId="8" xfId="0" applyNumberFormat="1" applyFont="1" applyBorder="1" applyAlignment="1">
      <alignment vertical="center" wrapText="1"/>
    </xf>
    <xf numFmtId="172" fontId="4" fillId="3" borderId="23" xfId="0" applyNumberFormat="1" applyFont="1" applyFill="1" applyBorder="1" applyAlignment="1">
      <alignment horizontal="center" vertical="center" wrapText="1"/>
    </xf>
    <xf numFmtId="172" fontId="4" fillId="3" borderId="18" xfId="0" applyNumberFormat="1" applyFont="1" applyFill="1" applyBorder="1" applyAlignment="1">
      <alignment horizontal="center" vertical="center" wrapText="1"/>
    </xf>
    <xf numFmtId="172" fontId="6" fillId="3" borderId="8" xfId="0" applyNumberFormat="1" applyFont="1" applyFill="1" applyBorder="1" applyAlignment="1">
      <alignment horizontal="center" vertical="center" wrapText="1"/>
    </xf>
    <xf numFmtId="172" fontId="4" fillId="3" borderId="22" xfId="0" applyNumberFormat="1" applyFont="1" applyFill="1" applyBorder="1" applyAlignment="1">
      <alignment horizontal="center" vertical="center" wrapText="1"/>
    </xf>
    <xf numFmtId="172" fontId="4" fillId="0" borderId="8" xfId="0" applyNumberFormat="1" applyFont="1" applyBorder="1" applyAlignment="1">
      <alignment horizontal="right" vertical="center" wrapText="1"/>
    </xf>
    <xf numFmtId="172" fontId="3" fillId="4" borderId="8" xfId="0" applyNumberFormat="1" applyFont="1" applyFill="1" applyBorder="1" applyAlignment="1">
      <alignment horizontal="right" vertical="center" wrapText="1"/>
    </xf>
    <xf numFmtId="1" fontId="4" fillId="4" borderId="8" xfId="0" applyNumberFormat="1" applyFont="1" applyFill="1" applyBorder="1" applyAlignment="1">
      <alignment horizontal="center" vertical="center" wrapText="1"/>
    </xf>
    <xf numFmtId="172" fontId="4" fillId="4" borderId="8" xfId="0" applyNumberFormat="1" applyFont="1" applyFill="1" applyBorder="1" applyAlignment="1">
      <alignment horizontal="center" vertical="center" wrapText="1"/>
    </xf>
    <xf numFmtId="169" fontId="4" fillId="4" borderId="8" xfId="0" applyNumberFormat="1" applyFont="1" applyFill="1" applyBorder="1" applyAlignment="1">
      <alignment horizontal="center" vertical="center" wrapText="1"/>
    </xf>
    <xf numFmtId="172" fontId="4" fillId="4" borderId="0" xfId="0" applyNumberFormat="1" applyFont="1" applyFill="1" applyAlignment="1">
      <alignment horizontal="center" vertical="center" wrapText="1"/>
    </xf>
    <xf numFmtId="172" fontId="4" fillId="14" borderId="8" xfId="0" applyNumberFormat="1" applyFont="1" applyFill="1" applyBorder="1" applyAlignment="1">
      <alignment horizontal="center" vertical="center" wrapText="1"/>
    </xf>
    <xf numFmtId="172" fontId="3" fillId="0" borderId="0" xfId="0" applyNumberFormat="1" applyFont="1" applyAlignment="1">
      <alignment vertical="center" wrapText="1"/>
    </xf>
    <xf numFmtId="0" fontId="3" fillId="4" borderId="0" xfId="0" applyFont="1" applyFill="1" applyBorder="1" applyAlignment="1">
      <alignment horizontal="center" vertical="center" wrapText="1"/>
    </xf>
    <xf numFmtId="0" fontId="4" fillId="12" borderId="8" xfId="0" applyFont="1" applyFill="1" applyBorder="1" applyAlignment="1">
      <alignment horizontal="center" vertical="center" wrapText="1"/>
    </xf>
    <xf numFmtId="0" fontId="3" fillId="8" borderId="8" xfId="0" applyFont="1" applyFill="1" applyBorder="1" applyAlignment="1">
      <alignment vertical="center" wrapText="1"/>
    </xf>
    <xf numFmtId="3" fontId="6" fillId="12" borderId="8" xfId="0" applyNumberFormat="1" applyFont="1" applyFill="1" applyBorder="1" applyAlignment="1">
      <alignment horizontal="center" vertical="center" wrapText="1"/>
    </xf>
    <xf numFmtId="4" fontId="18" fillId="8" borderId="8" xfId="0" applyNumberFormat="1" applyFont="1" applyFill="1" applyBorder="1" applyAlignment="1">
      <alignment horizontal="center" vertical="center" wrapText="1"/>
    </xf>
    <xf numFmtId="173" fontId="3" fillId="8" borderId="8" xfId="0" applyNumberFormat="1" applyFont="1" applyFill="1" applyBorder="1" applyAlignment="1">
      <alignment horizontal="center" vertical="center" wrapText="1"/>
    </xf>
    <xf numFmtId="0" fontId="3" fillId="15" borderId="8" xfId="0" applyFont="1" applyFill="1" applyBorder="1" applyAlignment="1">
      <alignment horizontal="center" vertical="center" wrapText="1"/>
    </xf>
    <xf numFmtId="0" fontId="3" fillId="8" borderId="8" xfId="0" applyFont="1" applyFill="1" applyBorder="1" applyAlignment="1">
      <alignment horizontal="center" vertical="center" wrapText="1"/>
    </xf>
    <xf numFmtId="173" fontId="3" fillId="15" borderId="8" xfId="0" applyNumberFormat="1" applyFont="1" applyFill="1" applyBorder="1" applyAlignment="1">
      <alignment horizontal="center" vertical="center" wrapText="1"/>
    </xf>
    <xf numFmtId="1" fontId="3" fillId="0" borderId="0" xfId="0" applyNumberFormat="1" applyFont="1" applyAlignment="1">
      <alignment vertical="center" wrapText="1"/>
    </xf>
    <xf numFmtId="0" fontId="3" fillId="16" borderId="8" xfId="0" applyFont="1" applyFill="1" applyBorder="1" applyAlignment="1">
      <alignment vertical="center" wrapText="1"/>
    </xf>
    <xf numFmtId="4" fontId="18" fillId="16" borderId="8" xfId="0" applyNumberFormat="1" applyFont="1" applyFill="1" applyBorder="1" applyAlignment="1">
      <alignment horizontal="center" vertical="center" wrapText="1"/>
    </xf>
    <xf numFmtId="173" fontId="3" fillId="16" borderId="8" xfId="0" applyNumberFormat="1" applyFont="1" applyFill="1" applyBorder="1" applyAlignment="1">
      <alignment horizontal="center" vertical="center" wrapText="1"/>
    </xf>
    <xf numFmtId="0" fontId="4" fillId="16" borderId="8" xfId="0" applyFont="1" applyFill="1" applyBorder="1" applyAlignment="1">
      <alignment horizontal="center" vertical="center" wrapText="1"/>
    </xf>
    <xf numFmtId="0" fontId="3" fillId="16" borderId="8" xfId="0" applyFont="1" applyFill="1" applyBorder="1" applyAlignment="1">
      <alignment horizontal="center" vertical="center" wrapText="1"/>
    </xf>
    <xf numFmtId="174" fontId="3" fillId="16" borderId="8" xfId="0" applyNumberFormat="1" applyFont="1" applyFill="1" applyBorder="1" applyAlignment="1">
      <alignment horizontal="center" vertical="center" wrapText="1"/>
    </xf>
    <xf numFmtId="174" fontId="3" fillId="15" borderId="8" xfId="0" applyNumberFormat="1" applyFont="1" applyFill="1" applyBorder="1" applyAlignment="1">
      <alignment horizontal="center" vertical="center" wrapText="1"/>
    </xf>
    <xf numFmtId="0" fontId="4" fillId="17" borderId="22" xfId="0" applyFont="1" applyFill="1" applyBorder="1" applyAlignment="1">
      <alignment horizontal="center" vertical="center" wrapText="1"/>
    </xf>
    <xf numFmtId="0" fontId="3" fillId="17" borderId="22" xfId="0" applyFont="1" applyFill="1" applyBorder="1" applyAlignment="1">
      <alignment vertical="center" wrapText="1"/>
    </xf>
    <xf numFmtId="0" fontId="6" fillId="12" borderId="22" xfId="0" applyFont="1" applyFill="1" applyBorder="1" applyAlignment="1">
      <alignment horizontal="center" vertical="center" wrapText="1"/>
    </xf>
    <xf numFmtId="4" fontId="18" fillId="17" borderId="23" xfId="0" applyNumberFormat="1" applyFont="1" applyFill="1" applyBorder="1" applyAlignment="1">
      <alignment horizontal="center" vertical="center" wrapText="1"/>
    </xf>
    <xf numFmtId="173" fontId="3" fillId="17" borderId="22" xfId="0" applyNumberFormat="1" applyFont="1" applyFill="1" applyBorder="1" applyAlignment="1">
      <alignment horizontal="center" vertical="center" wrapText="1"/>
    </xf>
    <xf numFmtId="0" fontId="3" fillId="15" borderId="22" xfId="0" applyFont="1" applyFill="1" applyBorder="1" applyAlignment="1">
      <alignment horizontal="center" vertical="center" wrapText="1"/>
    </xf>
    <xf numFmtId="0" fontId="3" fillId="17" borderId="22" xfId="0" applyFont="1" applyFill="1" applyBorder="1" applyAlignment="1">
      <alignment horizontal="center" vertical="center" wrapText="1"/>
    </xf>
    <xf numFmtId="173" fontId="3" fillId="15" borderId="22" xfId="0" applyNumberFormat="1" applyFont="1" applyFill="1" applyBorder="1" applyAlignment="1">
      <alignment horizontal="center" vertical="center" wrapText="1"/>
    </xf>
    <xf numFmtId="4" fontId="18" fillId="12" borderId="8" xfId="0" applyNumberFormat="1" applyFont="1" applyFill="1" applyBorder="1" applyAlignment="1">
      <alignment horizontal="center" vertical="center" wrapText="1"/>
    </xf>
    <xf numFmtId="173" fontId="3" fillId="12" borderId="8" xfId="0" applyNumberFormat="1" applyFont="1" applyFill="1" applyBorder="1" applyAlignment="1">
      <alignment horizontal="center" vertical="center" wrapText="1"/>
    </xf>
    <xf numFmtId="0" fontId="3" fillId="12" borderId="8" xfId="0" applyFont="1" applyFill="1" applyBorder="1" applyAlignment="1">
      <alignment horizontal="center" vertical="center" wrapText="1"/>
    </xf>
    <xf numFmtId="0" fontId="4" fillId="15" borderId="8" xfId="0" applyFont="1" applyFill="1" applyBorder="1" applyAlignment="1">
      <alignment horizontal="center" vertical="center" wrapText="1"/>
    </xf>
    <xf numFmtId="0" fontId="3" fillId="15" borderId="20" xfId="0" applyFont="1" applyFill="1" applyBorder="1" applyAlignment="1">
      <alignment horizontal="center" vertical="center" wrapText="1"/>
    </xf>
    <xf numFmtId="0" fontId="4" fillId="15" borderId="18" xfId="0" applyFont="1" applyFill="1" applyBorder="1" applyAlignment="1">
      <alignment horizontal="center" vertical="center" wrapText="1"/>
    </xf>
    <xf numFmtId="0" fontId="4" fillId="0" borderId="0" xfId="0" applyFont="1" applyAlignment="1">
      <alignment vertical="center" wrapText="1"/>
    </xf>
    <xf numFmtId="3" fontId="4" fillId="0" borderId="0" xfId="0" applyNumberFormat="1" applyFont="1" applyAlignment="1">
      <alignment vertical="center" wrapText="1"/>
    </xf>
    <xf numFmtId="0" fontId="6" fillId="12" borderId="19" xfId="0" applyFont="1" applyFill="1" applyBorder="1" applyAlignment="1">
      <alignment horizontal="center" vertical="center" wrapText="1"/>
    </xf>
    <xf numFmtId="0" fontId="4" fillId="12" borderId="19" xfId="0" applyFont="1" applyFill="1" applyBorder="1" applyAlignment="1">
      <alignment horizontal="center" vertical="center" wrapText="1"/>
    </xf>
    <xf numFmtId="0" fontId="3" fillId="0" borderId="27" xfId="0" applyFont="1" applyBorder="1" applyAlignment="1">
      <alignment vertical="center" wrapText="1"/>
    </xf>
    <xf numFmtId="0" fontId="4" fillId="9" borderId="8" xfId="0" applyFont="1" applyFill="1" applyBorder="1" applyAlignment="1">
      <alignment horizontal="center" vertical="center" wrapText="1"/>
    </xf>
    <xf numFmtId="4" fontId="18" fillId="20" borderId="8" xfId="0" applyNumberFormat="1" applyFont="1" applyFill="1" applyBorder="1" applyAlignment="1">
      <alignment horizontal="center" vertical="center" wrapText="1"/>
    </xf>
    <xf numFmtId="173" fontId="3" fillId="9" borderId="8" xfId="0" applyNumberFormat="1" applyFont="1" applyFill="1" applyBorder="1" applyAlignment="1">
      <alignment horizontal="center" vertical="center" wrapText="1"/>
    </xf>
    <xf numFmtId="0" fontId="3" fillId="9" borderId="8" xfId="0" applyFont="1" applyFill="1" applyBorder="1" applyAlignment="1">
      <alignment horizontal="center" vertical="center" wrapText="1"/>
    </xf>
    <xf numFmtId="4" fontId="18" fillId="9" borderId="8" xfId="0" applyNumberFormat="1" applyFont="1" applyFill="1" applyBorder="1" applyAlignment="1">
      <alignment horizontal="center" vertical="center" wrapText="1"/>
    </xf>
    <xf numFmtId="173" fontId="6" fillId="9" borderId="8" xfId="0" applyNumberFormat="1" applyFont="1" applyFill="1" applyBorder="1" applyAlignment="1">
      <alignment horizontal="center" vertical="center" wrapText="1"/>
    </xf>
    <xf numFmtId="0" fontId="3" fillId="9" borderId="22" xfId="0" applyFont="1" applyFill="1" applyBorder="1" applyAlignment="1">
      <alignment horizontal="center" vertical="center" wrapText="1"/>
    </xf>
    <xf numFmtId="0" fontId="4" fillId="9" borderId="22" xfId="0" applyFont="1" applyFill="1" applyBorder="1" applyAlignment="1">
      <alignment horizontal="center" vertical="center" wrapText="1"/>
    </xf>
    <xf numFmtId="0" fontId="6" fillId="9" borderId="8" xfId="0" applyFont="1" applyFill="1" applyBorder="1" applyAlignment="1">
      <alignment horizontal="center" vertical="center" wrapText="1"/>
    </xf>
    <xf numFmtId="0" fontId="3" fillId="9" borderId="8" xfId="0" applyFont="1" applyFill="1" applyBorder="1" applyAlignment="1">
      <alignment vertical="center" wrapText="1"/>
    </xf>
    <xf numFmtId="0" fontId="3" fillId="9" borderId="19" xfId="0" applyFont="1" applyFill="1" applyBorder="1" applyAlignment="1">
      <alignment vertical="center" wrapText="1"/>
    </xf>
    <xf numFmtId="3" fontId="6" fillId="12" borderId="19" xfId="0" applyNumberFormat="1" applyFont="1" applyFill="1" applyBorder="1" applyAlignment="1">
      <alignment horizontal="center" vertical="center" wrapText="1"/>
    </xf>
    <xf numFmtId="4" fontId="18" fillId="9" borderId="19" xfId="0" applyNumberFormat="1" applyFont="1" applyFill="1" applyBorder="1" applyAlignment="1">
      <alignment horizontal="center" vertical="center" wrapText="1"/>
    </xf>
    <xf numFmtId="173" fontId="3" fillId="9" borderId="19" xfId="0" applyNumberFormat="1" applyFont="1" applyFill="1" applyBorder="1" applyAlignment="1">
      <alignment horizontal="center" vertical="center" wrapText="1"/>
    </xf>
    <xf numFmtId="0" fontId="4" fillId="9" borderId="19" xfId="0" applyFont="1" applyFill="1" applyBorder="1" applyAlignment="1">
      <alignment horizontal="center" vertical="center" wrapText="1"/>
    </xf>
    <xf numFmtId="0" fontId="3" fillId="15" borderId="19" xfId="0" applyFont="1" applyFill="1" applyBorder="1" applyAlignment="1">
      <alignment horizontal="center" vertical="center" wrapText="1"/>
    </xf>
    <xf numFmtId="0" fontId="3" fillId="9" borderId="19" xfId="0" applyFont="1" applyFill="1" applyBorder="1" applyAlignment="1">
      <alignment horizontal="center" vertical="center" wrapText="1"/>
    </xf>
    <xf numFmtId="173" fontId="3" fillId="15" borderId="19" xfId="0" applyNumberFormat="1" applyFont="1" applyFill="1" applyBorder="1" applyAlignment="1">
      <alignment horizontal="center" vertical="center" wrapText="1"/>
    </xf>
    <xf numFmtId="0" fontId="6" fillId="12" borderId="8" xfId="0" applyFont="1" applyFill="1" applyBorder="1" applyAlignment="1">
      <alignment horizontal="center" vertical="center" wrapText="1"/>
    </xf>
    <xf numFmtId="4" fontId="18" fillId="9" borderId="8" xfId="0" applyNumberFormat="1" applyFont="1" applyFill="1" applyBorder="1" applyAlignment="1">
      <alignment vertical="center" wrapText="1"/>
    </xf>
    <xf numFmtId="0" fontId="4" fillId="9" borderId="8" xfId="0" applyFont="1" applyFill="1" applyBorder="1" applyAlignment="1">
      <alignment horizontal="left" vertical="center" wrapText="1"/>
    </xf>
    <xf numFmtId="0" fontId="4" fillId="20" borderId="8" xfId="0" applyFont="1" applyFill="1" applyBorder="1" applyAlignment="1">
      <alignment horizontal="center" vertical="center" wrapText="1"/>
    </xf>
    <xf numFmtId="4" fontId="4" fillId="20" borderId="17" xfId="0" applyNumberFormat="1" applyFont="1" applyFill="1" applyBorder="1" applyAlignment="1">
      <alignment vertical="center" wrapText="1"/>
    </xf>
    <xf numFmtId="0" fontId="4" fillId="20" borderId="17" xfId="0" applyFont="1" applyFill="1" applyBorder="1" applyAlignment="1">
      <alignment horizontal="left" vertical="center" wrapText="1"/>
    </xf>
    <xf numFmtId="0" fontId="4" fillId="20" borderId="28" xfId="0" applyFont="1" applyFill="1" applyBorder="1" applyAlignment="1">
      <alignment horizontal="left" vertical="center" wrapText="1"/>
    </xf>
    <xf numFmtId="165" fontId="6" fillId="20" borderId="30" xfId="0" applyNumberFormat="1" applyFont="1" applyFill="1" applyBorder="1" applyAlignment="1">
      <alignment horizontal="center" vertical="center" wrapText="1"/>
    </xf>
    <xf numFmtId="0" fontId="4" fillId="20" borderId="28" xfId="0" applyFont="1" applyFill="1" applyBorder="1" applyAlignment="1">
      <alignment horizontal="center" vertical="center" wrapText="1"/>
    </xf>
    <xf numFmtId="0" fontId="6" fillId="20" borderId="29" xfId="0" applyFont="1" applyFill="1" applyBorder="1" applyAlignment="1">
      <alignment horizontal="center" vertical="center" wrapText="1"/>
    </xf>
    <xf numFmtId="0" fontId="4" fillId="20" borderId="20" xfId="0" applyFont="1" applyFill="1" applyBorder="1" applyAlignment="1">
      <alignment horizontal="left" vertical="center" wrapText="1"/>
    </xf>
    <xf numFmtId="0" fontId="4" fillId="20" borderId="21" xfId="0" applyFont="1" applyFill="1" applyBorder="1" applyAlignment="1">
      <alignment horizontal="left" vertical="center" wrapText="1"/>
    </xf>
    <xf numFmtId="0" fontId="4" fillId="21" borderId="8" xfId="0" applyFont="1" applyFill="1" applyBorder="1" applyAlignment="1">
      <alignment horizontal="center" vertical="center" wrapText="1"/>
    </xf>
    <xf numFmtId="0" fontId="4" fillId="21" borderId="8" xfId="0" applyFont="1" applyFill="1" applyBorder="1" applyAlignment="1">
      <alignment horizontal="right" vertical="center" wrapText="1"/>
    </xf>
    <xf numFmtId="4" fontId="4" fillId="21" borderId="8" xfId="0" applyNumberFormat="1" applyFont="1" applyFill="1" applyBorder="1" applyAlignment="1">
      <alignment horizontal="right" vertical="center" wrapText="1"/>
    </xf>
    <xf numFmtId="0" fontId="4" fillId="22" borderId="8" xfId="0" applyFont="1" applyFill="1" applyBorder="1" applyAlignment="1">
      <alignment horizontal="center" vertical="center" wrapText="1"/>
    </xf>
    <xf numFmtId="0" fontId="19" fillId="22" borderId="8" xfId="0" applyFont="1" applyFill="1" applyBorder="1" applyAlignment="1">
      <alignment horizontal="center" vertical="center" wrapText="1"/>
    </xf>
    <xf numFmtId="0" fontId="3" fillId="0" borderId="36" xfId="0" applyFont="1" applyBorder="1" applyAlignment="1">
      <alignment horizontal="left" vertical="center" wrapText="1"/>
    </xf>
    <xf numFmtId="0" fontId="4" fillId="20" borderId="20" xfId="0" applyFont="1" applyFill="1" applyBorder="1" applyAlignment="1">
      <alignment horizontal="center" vertical="center" wrapText="1"/>
    </xf>
    <xf numFmtId="1" fontId="6" fillId="21" borderId="21" xfId="0" applyNumberFormat="1" applyFont="1" applyFill="1" applyBorder="1" applyAlignment="1">
      <alignment horizontal="center" vertical="center" wrapText="1"/>
    </xf>
    <xf numFmtId="0" fontId="3" fillId="21" borderId="21" xfId="0" applyFont="1" applyFill="1" applyBorder="1" applyAlignment="1">
      <alignment horizontal="left" vertical="center" wrapText="1"/>
    </xf>
    <xf numFmtId="168" fontId="4" fillId="21" borderId="8" xfId="0" applyNumberFormat="1" applyFont="1" applyFill="1" applyBorder="1" applyAlignment="1">
      <alignment vertical="center" wrapText="1"/>
    </xf>
    <xf numFmtId="10" fontId="4" fillId="21" borderId="20" xfId="0" applyNumberFormat="1" applyFont="1" applyFill="1" applyBorder="1" applyAlignment="1">
      <alignment horizontal="center" vertical="center" wrapText="1"/>
    </xf>
    <xf numFmtId="168" fontId="4" fillId="20" borderId="8" xfId="0" applyNumberFormat="1" applyFont="1" applyFill="1" applyBorder="1" applyAlignment="1">
      <alignment vertical="center" wrapText="1"/>
    </xf>
    <xf numFmtId="0" fontId="19" fillId="0" borderId="8" xfId="0" applyFont="1" applyBorder="1" applyAlignment="1">
      <alignment horizontal="center" vertical="center" wrapText="1"/>
    </xf>
    <xf numFmtId="168" fontId="4" fillId="21" borderId="8" xfId="0" applyNumberFormat="1" applyFont="1" applyFill="1" applyBorder="1" applyAlignment="1">
      <alignment horizontal="right" vertical="center" wrapText="1"/>
    </xf>
    <xf numFmtId="168" fontId="4" fillId="20" borderId="8" xfId="0" applyNumberFormat="1" applyFont="1" applyFill="1" applyBorder="1" applyAlignment="1">
      <alignment horizontal="right" vertical="center" wrapText="1"/>
    </xf>
    <xf numFmtId="4" fontId="4" fillId="0" borderId="36" xfId="0" applyNumberFormat="1" applyFont="1" applyBorder="1" applyAlignment="1">
      <alignment horizontal="right" vertical="center" wrapText="1"/>
    </xf>
    <xf numFmtId="10" fontId="4" fillId="21" borderId="8" xfId="0" applyNumberFormat="1" applyFont="1" applyFill="1" applyBorder="1" applyAlignment="1">
      <alignment horizontal="center" vertical="center" wrapText="1"/>
    </xf>
    <xf numFmtId="167" fontId="4" fillId="21" borderId="8" xfId="0" applyNumberFormat="1" applyFont="1" applyFill="1" applyBorder="1" applyAlignment="1">
      <alignment horizontal="center" vertical="center" wrapText="1"/>
    </xf>
    <xf numFmtId="10" fontId="4" fillId="20" borderId="8" xfId="0" applyNumberFormat="1" applyFont="1" applyFill="1" applyBorder="1" applyAlignment="1">
      <alignment horizontal="center" vertical="center" wrapText="1"/>
    </xf>
    <xf numFmtId="0" fontId="19" fillId="0" borderId="0" xfId="0" applyFont="1" applyAlignment="1">
      <alignment horizontal="center" vertical="center" wrapText="1"/>
    </xf>
    <xf numFmtId="0" fontId="19" fillId="0" borderId="0" xfId="0" applyFont="1" applyAlignment="1">
      <alignment horizontal="left" vertical="center" wrapText="1"/>
    </xf>
    <xf numFmtId="0" fontId="4" fillId="20" borderId="8" xfId="0" applyFont="1" applyFill="1" applyBorder="1" applyAlignment="1">
      <alignment vertical="center" wrapText="1"/>
    </xf>
    <xf numFmtId="170" fontId="4" fillId="21" borderId="8" xfId="0" applyNumberFormat="1" applyFont="1" applyFill="1" applyBorder="1" applyAlignment="1">
      <alignment vertical="center" wrapText="1"/>
    </xf>
    <xf numFmtId="3" fontId="4" fillId="21" borderId="8" xfId="0" applyNumberFormat="1" applyFont="1" applyFill="1" applyBorder="1" applyAlignment="1">
      <alignment vertical="center" wrapText="1"/>
    </xf>
    <xf numFmtId="9" fontId="4" fillId="21" borderId="8" xfId="0" applyNumberFormat="1" applyFont="1" applyFill="1" applyBorder="1" applyAlignment="1">
      <alignment vertical="center" wrapText="1"/>
    </xf>
    <xf numFmtId="168" fontId="4" fillId="21" borderId="8" xfId="0" applyNumberFormat="1" applyFont="1" applyFill="1" applyBorder="1" applyAlignment="1">
      <alignment vertical="center" wrapText="1"/>
    </xf>
    <xf numFmtId="10" fontId="4" fillId="21" borderId="8" xfId="0" applyNumberFormat="1" applyFont="1" applyFill="1" applyBorder="1" applyAlignment="1">
      <alignment vertical="center" wrapText="1"/>
    </xf>
    <xf numFmtId="168" fontId="6" fillId="21" borderId="8" xfId="0" applyNumberFormat="1" applyFont="1" applyFill="1" applyBorder="1" applyAlignment="1">
      <alignment horizontal="right" vertical="center" wrapText="1"/>
    </xf>
    <xf numFmtId="168" fontId="4" fillId="0" borderId="0" xfId="0" applyNumberFormat="1" applyFont="1" applyAlignment="1">
      <alignment horizontal="right" vertical="center" wrapText="1"/>
    </xf>
    <xf numFmtId="168" fontId="4" fillId="21" borderId="8" xfId="0" applyNumberFormat="1" applyFont="1" applyFill="1" applyBorder="1" applyAlignment="1">
      <alignment horizontal="center" vertical="center" wrapText="1"/>
    </xf>
    <xf numFmtId="0" fontId="4" fillId="0" borderId="36" xfId="0" applyFont="1" applyBorder="1" applyAlignment="1">
      <alignment horizontal="center" vertical="center" wrapText="1"/>
    </xf>
    <xf numFmtId="4" fontId="4" fillId="20" borderId="8" xfId="0" applyNumberFormat="1" applyFont="1" applyFill="1" applyBorder="1" applyAlignment="1">
      <alignment horizontal="center" vertical="center" wrapText="1"/>
    </xf>
    <xf numFmtId="4" fontId="4" fillId="20" borderId="8" xfId="0" applyNumberFormat="1" applyFont="1" applyFill="1" applyBorder="1" applyAlignment="1">
      <alignment horizontal="right" vertical="center" wrapText="1"/>
    </xf>
    <xf numFmtId="10" fontId="6" fillId="20" borderId="8" xfId="0" applyNumberFormat="1" applyFont="1" applyFill="1" applyBorder="1" applyAlignment="1">
      <alignment horizontal="center" vertical="center" wrapText="1"/>
    </xf>
    <xf numFmtId="9" fontId="3" fillId="4" borderId="0" xfId="0" applyNumberFormat="1" applyFont="1" applyFill="1" applyBorder="1" applyAlignment="1">
      <alignment horizontal="center" vertical="center" wrapText="1"/>
    </xf>
    <xf numFmtId="49" fontId="4" fillId="21" borderId="8" xfId="0" applyNumberFormat="1" applyFont="1" applyFill="1" applyBorder="1" applyAlignment="1">
      <alignment horizontal="center" vertical="center" wrapText="1"/>
    </xf>
    <xf numFmtId="49" fontId="6" fillId="20" borderId="21" xfId="0" applyNumberFormat="1" applyFont="1" applyFill="1" applyBorder="1" applyAlignment="1">
      <alignment horizontal="center" vertical="center" wrapText="1"/>
    </xf>
    <xf numFmtId="49" fontId="4" fillId="20" borderId="18" xfId="0" applyNumberFormat="1" applyFont="1" applyFill="1" applyBorder="1" applyAlignment="1">
      <alignment horizontal="left" vertical="center" wrapText="1"/>
    </xf>
    <xf numFmtId="49" fontId="4" fillId="0" borderId="0" xfId="0" applyNumberFormat="1" applyFont="1" applyAlignment="1">
      <alignment horizontal="right" vertical="center" wrapText="1"/>
    </xf>
    <xf numFmtId="0" fontId="6" fillId="0" borderId="8" xfId="0" applyFont="1" applyBorder="1" applyAlignment="1">
      <alignment horizontal="center" vertical="center" wrapText="1"/>
    </xf>
    <xf numFmtId="3" fontId="6" fillId="0" borderId="8" xfId="0" applyNumberFormat="1" applyFont="1" applyBorder="1" applyAlignment="1">
      <alignment horizontal="center" vertical="center" wrapText="1"/>
    </xf>
    <xf numFmtId="170" fontId="6" fillId="0" borderId="8" xfId="0" applyNumberFormat="1" applyFont="1" applyBorder="1" applyAlignment="1">
      <alignment horizontal="right" vertical="center" wrapText="1"/>
    </xf>
    <xf numFmtId="170" fontId="4" fillId="20" borderId="8" xfId="0" applyNumberFormat="1" applyFont="1" applyFill="1" applyBorder="1" applyAlignment="1">
      <alignment horizontal="right" vertical="center" wrapText="1"/>
    </xf>
    <xf numFmtId="170" fontId="4" fillId="0" borderId="0" xfId="0" applyNumberFormat="1" applyFont="1" applyAlignment="1">
      <alignment horizontal="right" vertical="center" wrapText="1"/>
    </xf>
    <xf numFmtId="176" fontId="4" fillId="0" borderId="8" xfId="0" applyNumberFormat="1" applyFont="1" applyBorder="1" applyAlignment="1">
      <alignment horizontal="right" vertical="center" wrapText="1"/>
    </xf>
    <xf numFmtId="176" fontId="4" fillId="20" borderId="8" xfId="0" applyNumberFormat="1" applyFont="1" applyFill="1" applyBorder="1" applyAlignment="1">
      <alignment horizontal="right" vertical="center" wrapText="1"/>
    </xf>
    <xf numFmtId="4" fontId="4" fillId="0" borderId="8" xfId="0" applyNumberFormat="1" applyFont="1" applyBorder="1" applyAlignment="1">
      <alignment horizontal="right" vertical="center" wrapText="1"/>
    </xf>
    <xf numFmtId="168" fontId="4" fillId="0" borderId="0" xfId="0" applyNumberFormat="1" applyFont="1" applyAlignment="1">
      <alignment vertical="center" wrapText="1"/>
    </xf>
    <xf numFmtId="168" fontId="6" fillId="21" borderId="36" xfId="0" applyNumberFormat="1" applyFont="1" applyFill="1" applyBorder="1" applyAlignment="1">
      <alignment horizontal="right" vertical="center" wrapText="1"/>
    </xf>
    <xf numFmtId="4" fontId="4" fillId="0" borderId="0" xfId="0" applyNumberFormat="1" applyFont="1" applyAlignment="1">
      <alignment horizontal="right" vertical="center" wrapText="1"/>
    </xf>
    <xf numFmtId="49" fontId="6" fillId="0" borderId="8" xfId="0" applyNumberFormat="1" applyFont="1" applyBorder="1" applyAlignment="1">
      <alignment horizontal="center" vertical="center" wrapText="1"/>
    </xf>
    <xf numFmtId="2" fontId="6" fillId="0" borderId="8" xfId="0" applyNumberFormat="1" applyFont="1" applyBorder="1" applyAlignment="1">
      <alignment horizontal="center" vertical="center" wrapText="1"/>
    </xf>
    <xf numFmtId="173" fontId="6" fillId="0" borderId="8" xfId="0" applyNumberFormat="1" applyFont="1" applyBorder="1" applyAlignment="1">
      <alignment horizontal="center" vertical="center" wrapText="1"/>
    </xf>
    <xf numFmtId="177" fontId="6" fillId="0" borderId="8" xfId="0" applyNumberFormat="1" applyFont="1" applyBorder="1" applyAlignment="1">
      <alignment horizontal="center" vertical="center" wrapText="1"/>
    </xf>
    <xf numFmtId="170" fontId="4" fillId="20" borderId="8" xfId="0" applyNumberFormat="1" applyFont="1" applyFill="1" applyBorder="1" applyAlignment="1">
      <alignment vertical="center" wrapText="1"/>
    </xf>
    <xf numFmtId="178" fontId="6" fillId="0" borderId="8" xfId="0" applyNumberFormat="1" applyFont="1" applyBorder="1" applyAlignment="1">
      <alignment horizontal="center" vertical="center" wrapText="1"/>
    </xf>
    <xf numFmtId="177" fontId="6" fillId="0" borderId="8" xfId="0" applyNumberFormat="1" applyFont="1" applyBorder="1" applyAlignment="1">
      <alignment vertical="center" wrapText="1"/>
    </xf>
    <xf numFmtId="170" fontId="6" fillId="0" borderId="8" xfId="0" applyNumberFormat="1" applyFont="1" applyBorder="1" applyAlignment="1">
      <alignment vertical="center" wrapText="1"/>
    </xf>
    <xf numFmtId="179" fontId="6" fillId="0" borderId="8" xfId="0" applyNumberFormat="1" applyFont="1" applyBorder="1" applyAlignment="1">
      <alignment horizontal="center" vertical="center" wrapText="1"/>
    </xf>
    <xf numFmtId="168" fontId="3" fillId="0" borderId="0" xfId="0" applyNumberFormat="1" applyFont="1" applyAlignment="1">
      <alignment vertical="center" wrapText="1"/>
    </xf>
    <xf numFmtId="0" fontId="6" fillId="0" borderId="0" xfId="0" applyFont="1" applyAlignment="1">
      <alignment vertical="center" wrapText="1"/>
    </xf>
    <xf numFmtId="0" fontId="4" fillId="9" borderId="38" xfId="0" applyFont="1" applyFill="1" applyBorder="1" applyAlignment="1">
      <alignment horizontal="center" vertical="center" wrapText="1"/>
    </xf>
    <xf numFmtId="0" fontId="4" fillId="9" borderId="39" xfId="0" applyFont="1" applyFill="1" applyBorder="1" applyAlignment="1">
      <alignment horizontal="center" vertical="center" wrapText="1"/>
    </xf>
    <xf numFmtId="0" fontId="4" fillId="9" borderId="40" xfId="0" applyFont="1" applyFill="1" applyBorder="1" applyAlignment="1">
      <alignment horizontal="center" vertical="center" wrapText="1"/>
    </xf>
    <xf numFmtId="0" fontId="4" fillId="23" borderId="4" xfId="0" applyFont="1" applyFill="1" applyBorder="1" applyAlignment="1">
      <alignment horizontal="left" vertical="center" wrapText="1"/>
    </xf>
    <xf numFmtId="180" fontId="3" fillId="23" borderId="22" xfId="0" applyNumberFormat="1" applyFont="1" applyFill="1" applyBorder="1" applyAlignment="1">
      <alignment horizontal="center" vertical="center" wrapText="1"/>
    </xf>
    <xf numFmtId="168" fontId="3" fillId="23" borderId="42" xfId="0" applyNumberFormat="1" applyFont="1" applyFill="1" applyBorder="1" applyAlignment="1">
      <alignment vertical="center" wrapText="1"/>
    </xf>
    <xf numFmtId="170" fontId="3" fillId="0" borderId="0" xfId="0" applyNumberFormat="1" applyFont="1" applyAlignment="1">
      <alignment vertical="center" wrapText="1"/>
    </xf>
    <xf numFmtId="0" fontId="4" fillId="3" borderId="6" xfId="0" applyFont="1" applyFill="1" applyBorder="1" applyAlignment="1">
      <alignment horizontal="left" vertical="center" wrapText="1"/>
    </xf>
    <xf numFmtId="180" fontId="3" fillId="3" borderId="8" xfId="0" applyNumberFormat="1" applyFont="1" applyFill="1" applyBorder="1" applyAlignment="1">
      <alignment horizontal="center" vertical="center" wrapText="1"/>
    </xf>
    <xf numFmtId="168" fontId="3" fillId="3" borderId="5" xfId="0" applyNumberFormat="1" applyFont="1" applyFill="1" applyBorder="1" applyAlignment="1">
      <alignment vertical="center" wrapText="1"/>
    </xf>
    <xf numFmtId="0" fontId="4" fillId="23" borderId="6" xfId="0" applyFont="1" applyFill="1" applyBorder="1" applyAlignment="1">
      <alignment horizontal="left" vertical="center" wrapText="1"/>
    </xf>
    <xf numFmtId="180" fontId="3" fillId="23" borderId="8" xfId="0" applyNumberFormat="1" applyFont="1" applyFill="1" applyBorder="1" applyAlignment="1">
      <alignment horizontal="center" vertical="center" wrapText="1"/>
    </xf>
    <xf numFmtId="168" fontId="3" fillId="23" borderId="5" xfId="0" applyNumberFormat="1" applyFont="1" applyFill="1" applyBorder="1" applyAlignment="1">
      <alignment vertical="center" wrapText="1"/>
    </xf>
    <xf numFmtId="0" fontId="4" fillId="9" borderId="11" xfId="0" applyFont="1" applyFill="1" applyBorder="1" applyAlignment="1">
      <alignment horizontal="center" vertical="center" wrapText="1"/>
    </xf>
    <xf numFmtId="180" fontId="3" fillId="9" borderId="43" xfId="0" applyNumberFormat="1" applyFont="1" applyFill="1" applyBorder="1" applyAlignment="1">
      <alignment horizontal="center" vertical="center" wrapText="1"/>
    </xf>
    <xf numFmtId="168" fontId="3" fillId="9" borderId="12" xfId="0" applyNumberFormat="1" applyFont="1" applyFill="1" applyBorder="1" applyAlignment="1">
      <alignment vertical="center" wrapText="1"/>
    </xf>
    <xf numFmtId="168" fontId="3" fillId="0" borderId="0" xfId="0" applyNumberFormat="1" applyFont="1" applyAlignment="1">
      <alignment horizontal="center" vertical="center" wrapText="1"/>
    </xf>
    <xf numFmtId="168" fontId="21" fillId="0" borderId="8" xfId="0" applyNumberFormat="1" applyFont="1" applyBorder="1" applyAlignment="1">
      <alignment horizontal="center" vertical="center" wrapText="1"/>
    </xf>
    <xf numFmtId="2" fontId="7" fillId="0" borderId="22" xfId="0" applyNumberFormat="1" applyFont="1" applyBorder="1" applyAlignment="1">
      <alignment horizontal="center" vertical="center" wrapText="1"/>
    </xf>
    <xf numFmtId="0" fontId="7" fillId="0" borderId="42" xfId="0" applyFont="1" applyBorder="1" applyAlignment="1">
      <alignment horizontal="center" vertical="center" wrapText="1"/>
    </xf>
    <xf numFmtId="0" fontId="4" fillId="24" borderId="8" xfId="0" applyFont="1" applyFill="1" applyBorder="1" applyAlignment="1">
      <alignment horizontal="left" vertical="center" wrapText="1"/>
    </xf>
    <xf numFmtId="0" fontId="16" fillId="24" borderId="8" xfId="0" applyFont="1" applyFill="1" applyBorder="1" applyAlignment="1">
      <alignment horizontal="center" vertical="center" wrapText="1"/>
    </xf>
    <xf numFmtId="165" fontId="3" fillId="0" borderId="0" xfId="0" applyNumberFormat="1" applyFont="1" applyAlignment="1">
      <alignment vertical="center" wrapText="1"/>
    </xf>
    <xf numFmtId="0" fontId="4" fillId="20" borderId="8" xfId="0" applyFont="1" applyFill="1" applyBorder="1" applyAlignment="1">
      <alignment horizontal="center" vertical="center" wrapText="1"/>
    </xf>
    <xf numFmtId="0" fontId="4" fillId="4" borderId="0" xfId="0" applyFont="1" applyFill="1" applyBorder="1" applyAlignment="1">
      <alignment horizontal="center" vertical="center" wrapText="1"/>
    </xf>
    <xf numFmtId="0" fontId="4" fillId="4" borderId="0" xfId="0" applyFont="1" applyFill="1" applyBorder="1" applyAlignment="1">
      <alignment horizontal="right" vertical="center" wrapText="1"/>
    </xf>
    <xf numFmtId="0" fontId="4" fillId="21" borderId="8" xfId="0" applyFont="1" applyFill="1" applyBorder="1" applyAlignment="1">
      <alignment horizontal="center" vertical="center" wrapText="1"/>
    </xf>
    <xf numFmtId="0" fontId="4" fillId="21" borderId="8" xfId="0" applyFont="1" applyFill="1" applyBorder="1" applyAlignment="1">
      <alignment horizontal="right" vertical="center" wrapText="1"/>
    </xf>
    <xf numFmtId="168" fontId="4" fillId="21" borderId="8" xfId="0" applyNumberFormat="1" applyFont="1" applyFill="1" applyBorder="1" applyAlignment="1">
      <alignment horizontal="right" vertical="center" wrapText="1"/>
    </xf>
    <xf numFmtId="0" fontId="3" fillId="4" borderId="0" xfId="0" applyFont="1" applyFill="1" applyBorder="1" applyAlignment="1">
      <alignment horizontal="center" vertical="center" wrapText="1"/>
    </xf>
    <xf numFmtId="3" fontId="6" fillId="0" borderId="8" xfId="0" applyNumberFormat="1" applyFont="1" applyBorder="1" applyAlignment="1">
      <alignment horizontal="center" vertical="center" wrapText="1"/>
    </xf>
    <xf numFmtId="168" fontId="4" fillId="20" borderId="8" xfId="0" applyNumberFormat="1" applyFont="1" applyFill="1" applyBorder="1" applyAlignment="1">
      <alignment horizontal="right" vertical="center" wrapText="1"/>
    </xf>
    <xf numFmtId="0" fontId="6" fillId="4" borderId="8" xfId="0" applyFont="1" applyFill="1" applyBorder="1" applyAlignment="1">
      <alignment horizontal="center" vertical="center" wrapText="1"/>
    </xf>
    <xf numFmtId="4" fontId="4" fillId="0" borderId="8" xfId="0" applyNumberFormat="1" applyFont="1" applyBorder="1" applyAlignment="1">
      <alignment horizontal="right" vertical="center" wrapText="1"/>
    </xf>
    <xf numFmtId="0" fontId="0" fillId="0" borderId="0" xfId="0" applyAlignment="1">
      <alignment wrapText="1"/>
    </xf>
    <xf numFmtId="4" fontId="4" fillId="20" borderId="0" xfId="0" applyNumberFormat="1" applyFont="1" applyFill="1" applyBorder="1" applyAlignment="1">
      <alignment vertical="center" wrapText="1"/>
    </xf>
    <xf numFmtId="0" fontId="4" fillId="20" borderId="0" xfId="0" applyFont="1" applyFill="1" applyBorder="1" applyAlignment="1">
      <alignment horizontal="left" vertical="center" wrapText="1"/>
    </xf>
    <xf numFmtId="0" fontId="19" fillId="0" borderId="32" xfId="0" applyFont="1" applyBorder="1" applyAlignment="1">
      <alignment horizontal="center" vertical="center" wrapText="1"/>
    </xf>
    <xf numFmtId="0" fontId="19" fillId="0" borderId="33" xfId="0" applyFont="1" applyBorder="1" applyAlignment="1">
      <alignment horizontal="left" vertical="center" wrapText="1"/>
    </xf>
    <xf numFmtId="0" fontId="19" fillId="0" borderId="34" xfId="0" applyFont="1" applyBorder="1" applyAlignment="1">
      <alignment horizontal="left" vertical="center" wrapText="1"/>
    </xf>
    <xf numFmtId="0" fontId="19" fillId="0" borderId="35" xfId="0" applyFont="1" applyBorder="1" applyAlignment="1">
      <alignment horizontal="center" vertical="center" wrapText="1"/>
    </xf>
    <xf numFmtId="0" fontId="19" fillId="0" borderId="32" xfId="0" applyFont="1" applyBorder="1" applyAlignment="1">
      <alignment horizontal="left" vertical="center" wrapText="1"/>
    </xf>
    <xf numFmtId="0" fontId="4" fillId="0" borderId="35" xfId="0" applyFont="1" applyBorder="1" applyAlignment="1">
      <alignment horizontal="right" vertical="center" wrapText="1"/>
    </xf>
    <xf numFmtId="168" fontId="4" fillId="0" borderId="35" xfId="0" applyNumberFormat="1" applyFont="1" applyBorder="1" applyAlignment="1">
      <alignment horizontal="right" vertical="center" wrapText="1"/>
    </xf>
    <xf numFmtId="0" fontId="4" fillId="0" borderId="32"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34" xfId="0" applyFont="1" applyBorder="1" applyAlignment="1">
      <alignment horizontal="center" vertical="center" wrapText="1"/>
    </xf>
    <xf numFmtId="168" fontId="4" fillId="0" borderId="35" xfId="0" applyNumberFormat="1" applyFont="1" applyBorder="1" applyAlignment="1">
      <alignment vertical="center" wrapText="1"/>
    </xf>
    <xf numFmtId="4" fontId="19" fillId="0" borderId="35" xfId="0" applyNumberFormat="1" applyFont="1" applyBorder="1" applyAlignment="1">
      <alignment horizontal="center" vertical="center" wrapText="1"/>
    </xf>
    <xf numFmtId="4" fontId="19" fillId="0" borderId="32" xfId="0" applyNumberFormat="1" applyFont="1" applyBorder="1" applyAlignment="1">
      <alignment horizontal="center" vertical="center" wrapText="1"/>
    </xf>
    <xf numFmtId="4" fontId="19" fillId="0" borderId="34" xfId="0" applyNumberFormat="1" applyFont="1" applyBorder="1" applyAlignment="1">
      <alignment horizontal="center" vertical="center" wrapText="1"/>
    </xf>
    <xf numFmtId="0" fontId="19" fillId="0" borderId="35" xfId="0" applyFont="1" applyBorder="1" applyAlignment="1">
      <alignment horizontal="left" vertical="center" wrapText="1"/>
    </xf>
    <xf numFmtId="49" fontId="4" fillId="0" borderId="35" xfId="0" applyNumberFormat="1" applyFont="1" applyBorder="1" applyAlignment="1">
      <alignment horizontal="right" vertical="center" wrapText="1"/>
    </xf>
    <xf numFmtId="0" fontId="6" fillId="0" borderId="8" xfId="0" applyFont="1" applyBorder="1" applyAlignment="1">
      <alignment horizontal="right" vertical="center" wrapText="1"/>
    </xf>
    <xf numFmtId="3" fontId="6" fillId="4" borderId="8" xfId="0" applyNumberFormat="1" applyFont="1" applyFill="1" applyBorder="1" applyAlignment="1">
      <alignment horizontal="center" vertical="center" wrapText="1"/>
    </xf>
    <xf numFmtId="49" fontId="6" fillId="0" borderId="19" xfId="0" applyNumberFormat="1" applyFont="1" applyBorder="1" applyAlignment="1">
      <alignment horizontal="center" vertical="center" wrapText="1"/>
    </xf>
    <xf numFmtId="4" fontId="4" fillId="4" borderId="0" xfId="0" applyNumberFormat="1" applyFont="1" applyFill="1" applyBorder="1" applyAlignment="1">
      <alignment horizontal="right" vertical="center" wrapText="1"/>
    </xf>
    <xf numFmtId="0" fontId="0" fillId="0" borderId="30" xfId="0" applyFont="1" applyBorder="1" applyAlignment="1">
      <alignment vertical="center" wrapText="1"/>
    </xf>
    <xf numFmtId="0" fontId="0" fillId="0" borderId="0" xfId="0" applyFont="1" applyBorder="1" applyAlignment="1">
      <alignment vertical="center" wrapText="1"/>
    </xf>
    <xf numFmtId="0" fontId="0" fillId="0" borderId="17" xfId="0" applyFont="1" applyBorder="1" applyAlignment="1">
      <alignment vertical="center" wrapText="1"/>
    </xf>
    <xf numFmtId="0" fontId="27" fillId="9" borderId="8" xfId="0" applyFont="1" applyFill="1" applyBorder="1" applyAlignment="1">
      <alignment horizontal="center" vertical="center" wrapText="1"/>
    </xf>
    <xf numFmtId="0" fontId="27" fillId="16" borderId="8" xfId="0" applyFont="1" applyFill="1" applyBorder="1" applyAlignment="1">
      <alignment horizontal="center" vertical="center" wrapText="1"/>
    </xf>
    <xf numFmtId="0" fontId="27" fillId="12" borderId="8" xfId="0" applyFont="1" applyFill="1" applyBorder="1" applyAlignment="1">
      <alignment horizontal="center" vertical="center" wrapText="1"/>
    </xf>
    <xf numFmtId="0" fontId="27" fillId="17" borderId="22" xfId="0" applyFont="1" applyFill="1" applyBorder="1" applyAlignment="1">
      <alignment horizontal="center" vertical="center" wrapText="1"/>
    </xf>
    <xf numFmtId="0" fontId="21" fillId="0" borderId="8" xfId="0" applyNumberFormat="1" applyFont="1" applyBorder="1" applyAlignment="1">
      <alignment horizontal="center" vertical="center" wrapText="1"/>
    </xf>
    <xf numFmtId="0" fontId="4" fillId="0" borderId="0" xfId="0" applyFont="1" applyBorder="1" applyAlignment="1">
      <alignment horizontal="center" vertical="center" wrapText="1"/>
    </xf>
    <xf numFmtId="0" fontId="5" fillId="0" borderId="0" xfId="0" applyFont="1" applyBorder="1" applyAlignment="1">
      <alignment horizontal="center" vertical="center" wrapText="1"/>
    </xf>
    <xf numFmtId="0" fontId="4" fillId="2" borderId="2" xfId="0" applyFont="1" applyFill="1" applyBorder="1" applyAlignment="1">
      <alignment horizontal="center" vertical="center" wrapText="1"/>
    </xf>
    <xf numFmtId="0" fontId="4" fillId="4" borderId="5" xfId="0" applyFont="1" applyFill="1" applyBorder="1" applyAlignment="1">
      <alignment horizontal="center" vertical="center" wrapText="1"/>
    </xf>
    <xf numFmtId="49" fontId="6" fillId="4" borderId="5" xfId="0" applyNumberFormat="1" applyFont="1" applyFill="1" applyBorder="1" applyAlignment="1">
      <alignment horizontal="center" vertical="center" wrapText="1"/>
    </xf>
    <xf numFmtId="165" fontId="6" fillId="4" borderId="5" xfId="0" applyNumberFormat="1" applyFont="1" applyFill="1" applyBorder="1" applyAlignment="1">
      <alignment horizontal="center" vertical="center" wrapText="1"/>
    </xf>
    <xf numFmtId="0" fontId="6" fillId="0" borderId="5" xfId="0" applyFont="1" applyBorder="1" applyAlignment="1">
      <alignment horizontal="center" vertical="center" wrapText="1"/>
    </xf>
    <xf numFmtId="0" fontId="4" fillId="0" borderId="5" xfId="0" applyFont="1" applyBorder="1" applyAlignment="1">
      <alignment horizontal="center" vertical="center" wrapText="1"/>
    </xf>
    <xf numFmtId="0" fontId="4" fillId="5" borderId="7"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6" fillId="5" borderId="9" xfId="0" applyFont="1" applyFill="1" applyBorder="1" applyAlignment="1">
      <alignment horizontal="center" vertical="center" wrapText="1"/>
    </xf>
    <xf numFmtId="0" fontId="4" fillId="5" borderId="10" xfId="0" applyFont="1" applyFill="1" applyBorder="1" applyAlignment="1">
      <alignment horizontal="center" vertical="center" wrapText="1"/>
    </xf>
    <xf numFmtId="0" fontId="4" fillId="5" borderId="7" xfId="2" applyFont="1" applyFill="1" applyBorder="1" applyAlignment="1" applyProtection="1">
      <alignment horizontal="center" vertical="center" wrapText="1"/>
    </xf>
    <xf numFmtId="0" fontId="6" fillId="4" borderId="12"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4" fillId="7" borderId="13" xfId="0" applyFont="1" applyFill="1" applyBorder="1" applyAlignment="1">
      <alignment horizontal="center" vertical="center" wrapText="1"/>
    </xf>
    <xf numFmtId="0" fontId="6" fillId="0" borderId="5" xfId="0" applyFont="1" applyBorder="1" applyAlignment="1">
      <alignment horizontal="left" vertical="center" wrapText="1"/>
    </xf>
    <xf numFmtId="0" fontId="4" fillId="7" borderId="6" xfId="0" applyFont="1" applyFill="1" applyBorder="1" applyAlignment="1">
      <alignment horizontal="left" vertical="center" wrapText="1"/>
    </xf>
    <xf numFmtId="0" fontId="6" fillId="4" borderId="5" xfId="0" applyFont="1" applyFill="1" applyBorder="1" applyAlignment="1">
      <alignment horizontal="left" vertical="center" wrapText="1"/>
    </xf>
    <xf numFmtId="0" fontId="4" fillId="7" borderId="11" xfId="0" applyFont="1" applyFill="1" applyBorder="1" applyAlignment="1">
      <alignment horizontal="left" vertical="center" wrapText="1"/>
    </xf>
    <xf numFmtId="0" fontId="4" fillId="5" borderId="6" xfId="0" applyFont="1" applyFill="1" applyBorder="1" applyAlignment="1">
      <alignment horizontal="center" vertical="center" wrapText="1"/>
    </xf>
    <xf numFmtId="0" fontId="4" fillId="5" borderId="11" xfId="0" applyFont="1" applyFill="1" applyBorder="1" applyAlignment="1">
      <alignment horizontal="center" vertical="center" wrapText="1"/>
    </xf>
    <xf numFmtId="10" fontId="6" fillId="4" borderId="5" xfId="0" applyNumberFormat="1" applyFont="1" applyFill="1" applyBorder="1" applyAlignment="1">
      <alignment horizontal="center" vertical="center" wrapText="1"/>
    </xf>
    <xf numFmtId="0" fontId="4" fillId="7" borderId="10" xfId="0" applyFont="1" applyFill="1" applyBorder="1" applyAlignment="1">
      <alignment horizontal="center" vertical="center" wrapText="1"/>
    </xf>
    <xf numFmtId="168" fontId="6" fillId="4" borderId="5" xfId="0" applyNumberFormat="1" applyFont="1" applyFill="1" applyBorder="1" applyAlignment="1">
      <alignment horizontal="center" vertical="center" wrapText="1"/>
    </xf>
    <xf numFmtId="9" fontId="6" fillId="4" borderId="12" xfId="0" applyNumberFormat="1" applyFont="1" applyFill="1" applyBorder="1" applyAlignment="1">
      <alignment horizontal="center" vertical="center" wrapText="1"/>
    </xf>
    <xf numFmtId="0" fontId="4" fillId="5" borderId="10" xfId="2" applyFont="1" applyFill="1" applyBorder="1" applyAlignment="1" applyProtection="1">
      <alignment horizontal="center" vertical="center" wrapText="1"/>
    </xf>
    <xf numFmtId="10" fontId="6" fillId="4" borderId="5" xfId="2" applyNumberFormat="1" applyFont="1" applyFill="1" applyBorder="1" applyAlignment="1" applyProtection="1">
      <alignment horizontal="center" vertical="center" wrapText="1"/>
      <protection locked="0"/>
    </xf>
    <xf numFmtId="10" fontId="6" fillId="4" borderId="12" xfId="2" applyNumberFormat="1" applyFont="1" applyFill="1" applyBorder="1" applyAlignment="1" applyProtection="1">
      <alignment horizontal="center" vertical="center" wrapText="1"/>
      <protection locked="0"/>
    </xf>
    <xf numFmtId="10" fontId="6" fillId="4" borderId="12" xfId="0" applyNumberFormat="1" applyFont="1" applyFill="1" applyBorder="1" applyAlignment="1">
      <alignment horizontal="center" vertical="center" wrapText="1"/>
    </xf>
    <xf numFmtId="0" fontId="6" fillId="0" borderId="0" xfId="0" applyFont="1" applyBorder="1" applyAlignment="1">
      <alignment horizontal="center" vertical="center" wrapText="1"/>
    </xf>
    <xf numFmtId="0" fontId="7" fillId="0" borderId="0" xfId="0" applyFont="1" applyBorder="1" applyAlignment="1">
      <alignment horizontal="center" vertical="center" wrapText="1"/>
    </xf>
    <xf numFmtId="0" fontId="4" fillId="8" borderId="8" xfId="0" applyFont="1" applyFill="1" applyBorder="1" applyAlignment="1">
      <alignment horizontal="right" vertical="center" wrapText="1"/>
    </xf>
    <xf numFmtId="0" fontId="4" fillId="8" borderId="18" xfId="0" applyFont="1" applyFill="1" applyBorder="1" applyAlignment="1">
      <alignment horizontal="right" vertical="center" wrapText="1"/>
    </xf>
    <xf numFmtId="0" fontId="4" fillId="8" borderId="21" xfId="0" applyFont="1" applyFill="1" applyBorder="1" applyAlignment="1">
      <alignment horizontal="right" vertical="center" wrapText="1"/>
    </xf>
    <xf numFmtId="0" fontId="7" fillId="8" borderId="8" xfId="0" applyFont="1" applyFill="1" applyBorder="1" applyAlignment="1">
      <alignment horizontal="center" vertical="center" wrapText="1"/>
    </xf>
    <xf numFmtId="168" fontId="3" fillId="9" borderId="8" xfId="0" applyNumberFormat="1" applyFont="1" applyFill="1" applyBorder="1" applyAlignment="1">
      <alignment horizontal="right" vertical="center" wrapText="1"/>
    </xf>
    <xf numFmtId="168" fontId="4" fillId="8" borderId="8" xfId="0" applyNumberFormat="1" applyFont="1" applyFill="1" applyBorder="1" applyAlignment="1">
      <alignment horizontal="right" vertical="center" wrapText="1"/>
    </xf>
    <xf numFmtId="4" fontId="3" fillId="0" borderId="8" xfId="0" applyNumberFormat="1" applyFont="1" applyBorder="1" applyAlignment="1">
      <alignment horizontal="center" vertical="center" wrapText="1"/>
    </xf>
    <xf numFmtId="169" fontId="3" fillId="0" borderId="8" xfId="0" applyNumberFormat="1" applyFont="1" applyBorder="1" applyAlignment="1">
      <alignment horizontal="right" vertical="center" wrapText="1"/>
    </xf>
    <xf numFmtId="4" fontId="4" fillId="0" borderId="8" xfId="0" applyNumberFormat="1" applyFont="1" applyBorder="1" applyAlignment="1">
      <alignment horizontal="center" vertical="center" wrapText="1"/>
    </xf>
    <xf numFmtId="0" fontId="3" fillId="3" borderId="8" xfId="0" applyFont="1" applyFill="1" applyBorder="1" applyAlignment="1">
      <alignment horizontal="left" vertical="center" wrapText="1"/>
    </xf>
    <xf numFmtId="0" fontId="4" fillId="8" borderId="8" xfId="0" applyFont="1" applyFill="1" applyBorder="1" applyAlignment="1">
      <alignment horizontal="center" vertical="center" wrapText="1"/>
    </xf>
    <xf numFmtId="0" fontId="3" fillId="10" borderId="8" xfId="0" applyFont="1" applyFill="1" applyBorder="1" applyAlignment="1">
      <alignment vertical="center" wrapText="1"/>
    </xf>
    <xf numFmtId="0" fontId="3" fillId="11" borderId="8" xfId="0" applyFont="1" applyFill="1" applyBorder="1" applyAlignment="1">
      <alignment horizontal="center" vertical="center" wrapText="1"/>
    </xf>
    <xf numFmtId="0" fontId="3" fillId="12" borderId="8" xfId="0" applyFont="1" applyFill="1" applyBorder="1" applyAlignment="1">
      <alignment horizontal="center" vertical="center" wrapText="1"/>
    </xf>
    <xf numFmtId="0" fontId="4" fillId="12" borderId="18" xfId="0" applyFont="1" applyFill="1" applyBorder="1" applyAlignment="1">
      <alignment horizontal="center" vertical="center" wrapText="1"/>
    </xf>
    <xf numFmtId="1" fontId="4" fillId="13" borderId="8" xfId="0" applyNumberFormat="1" applyFont="1" applyFill="1" applyBorder="1" applyAlignment="1">
      <alignment horizontal="center" vertical="center" wrapText="1"/>
    </xf>
    <xf numFmtId="172" fontId="4" fillId="13" borderId="8" xfId="0" applyNumberFormat="1" applyFont="1" applyFill="1" applyBorder="1" applyAlignment="1">
      <alignment horizontal="center" vertical="center" wrapText="1"/>
    </xf>
    <xf numFmtId="172" fontId="4" fillId="0" borderId="8" xfId="0" applyNumberFormat="1" applyFont="1" applyBorder="1" applyAlignment="1">
      <alignment horizontal="center" vertical="center" wrapText="1"/>
    </xf>
    <xf numFmtId="1" fontId="4" fillId="0" borderId="8" xfId="0" applyNumberFormat="1" applyFont="1" applyBorder="1" applyAlignment="1">
      <alignment horizontal="center" vertical="center" wrapText="1"/>
    </xf>
    <xf numFmtId="169" fontId="4" fillId="0" borderId="8" xfId="0" applyNumberFormat="1" applyFont="1" applyBorder="1" applyAlignment="1">
      <alignment horizontal="center" vertical="center" wrapText="1"/>
    </xf>
    <xf numFmtId="1" fontId="4" fillId="7" borderId="8" xfId="0" applyNumberFormat="1" applyFont="1" applyFill="1" applyBorder="1" applyAlignment="1">
      <alignment horizontal="center" vertical="center" wrapText="1"/>
    </xf>
    <xf numFmtId="172" fontId="4" fillId="3" borderId="8" xfId="0" applyNumberFormat="1" applyFont="1" applyFill="1" applyBorder="1" applyAlignment="1">
      <alignment horizontal="center" vertical="center" wrapText="1"/>
    </xf>
    <xf numFmtId="169" fontId="4" fillId="3" borderId="8" xfId="0" applyNumberFormat="1" applyFont="1" applyFill="1" applyBorder="1" applyAlignment="1">
      <alignment horizontal="center" vertical="center" wrapText="1"/>
    </xf>
    <xf numFmtId="1" fontId="4" fillId="6" borderId="8" xfId="0" applyNumberFormat="1" applyFont="1" applyFill="1" applyBorder="1" applyAlignment="1">
      <alignment horizontal="center" vertical="center" wrapText="1"/>
    </xf>
    <xf numFmtId="172" fontId="4" fillId="6" borderId="8" xfId="0" applyNumberFormat="1" applyFont="1" applyFill="1" applyBorder="1" applyAlignment="1">
      <alignment horizontal="center" vertical="center" wrapText="1"/>
    </xf>
    <xf numFmtId="169" fontId="4" fillId="6" borderId="8" xfId="0" applyNumberFormat="1" applyFont="1" applyFill="1" applyBorder="1" applyAlignment="1">
      <alignment horizontal="center" vertical="center" wrapText="1"/>
    </xf>
    <xf numFmtId="172" fontId="16" fillId="0" borderId="22" xfId="0" applyNumberFormat="1" applyFont="1" applyBorder="1" applyAlignment="1">
      <alignment horizontal="center" vertical="center" wrapText="1"/>
    </xf>
    <xf numFmtId="169" fontId="16" fillId="0" borderId="22" xfId="0" applyNumberFormat="1" applyFont="1" applyBorder="1" applyAlignment="1">
      <alignment vertical="center" wrapText="1"/>
    </xf>
    <xf numFmtId="1" fontId="4" fillId="7" borderId="18" xfId="0" applyNumberFormat="1" applyFont="1" applyFill="1" applyBorder="1" applyAlignment="1">
      <alignment horizontal="center" vertical="center" wrapText="1"/>
    </xf>
    <xf numFmtId="169" fontId="4" fillId="7" borderId="8" xfId="0" applyNumberFormat="1" applyFont="1" applyFill="1" applyBorder="1" applyAlignment="1">
      <alignment horizontal="center" vertical="center" wrapText="1"/>
    </xf>
    <xf numFmtId="172" fontId="4" fillId="0" borderId="22" xfId="0" applyNumberFormat="1" applyFont="1" applyBorder="1" applyAlignment="1">
      <alignment horizontal="center" vertical="center" wrapText="1"/>
    </xf>
    <xf numFmtId="1" fontId="4" fillId="0" borderId="19" xfId="0" applyNumberFormat="1" applyFont="1" applyBorder="1" applyAlignment="1">
      <alignment horizontal="center" vertical="center" wrapText="1"/>
    </xf>
    <xf numFmtId="172" fontId="4" fillId="0" borderId="19" xfId="0" applyNumberFormat="1" applyFont="1" applyBorder="1" applyAlignment="1">
      <alignment horizontal="center" vertical="center" wrapText="1"/>
    </xf>
    <xf numFmtId="1" fontId="4" fillId="0" borderId="22" xfId="0" applyNumberFormat="1" applyFont="1" applyBorder="1" applyAlignment="1">
      <alignment horizontal="center" vertical="center" wrapText="1"/>
    </xf>
    <xf numFmtId="1" fontId="4" fillId="7" borderId="19" xfId="0" applyNumberFormat="1" applyFont="1" applyFill="1" applyBorder="1" applyAlignment="1">
      <alignment horizontal="center" vertical="center" wrapText="1"/>
    </xf>
    <xf numFmtId="172" fontId="4" fillId="3" borderId="19" xfId="0" applyNumberFormat="1" applyFont="1" applyFill="1" applyBorder="1" applyAlignment="1">
      <alignment horizontal="center" vertical="center" wrapText="1"/>
    </xf>
    <xf numFmtId="169" fontId="4" fillId="3" borderId="19" xfId="0" applyNumberFormat="1" applyFont="1" applyFill="1" applyBorder="1" applyAlignment="1">
      <alignment horizontal="center" vertical="center" wrapText="1"/>
    </xf>
    <xf numFmtId="169" fontId="4" fillId="0" borderId="19" xfId="0" applyNumberFormat="1" applyFont="1" applyBorder="1" applyAlignment="1">
      <alignment horizontal="center" vertical="center" wrapText="1"/>
    </xf>
    <xf numFmtId="1" fontId="4" fillId="14" borderId="8" xfId="0" applyNumberFormat="1" applyFont="1" applyFill="1" applyBorder="1" applyAlignment="1">
      <alignment horizontal="center" vertical="center" wrapText="1"/>
    </xf>
    <xf numFmtId="0" fontId="5" fillId="4" borderId="0" xfId="0" applyFont="1" applyFill="1" applyBorder="1" applyAlignment="1">
      <alignment horizontal="center" vertical="center" wrapText="1"/>
    </xf>
    <xf numFmtId="0" fontId="4" fillId="12" borderId="8" xfId="0" applyFont="1" applyFill="1" applyBorder="1" applyAlignment="1">
      <alignment horizontal="center" vertical="center" wrapText="1"/>
    </xf>
    <xf numFmtId="0" fontId="27" fillId="8" borderId="8" xfId="0" applyFont="1" applyFill="1" applyBorder="1" applyAlignment="1">
      <alignment horizontal="center" vertical="center" wrapText="1"/>
    </xf>
    <xf numFmtId="0" fontId="27" fillId="16" borderId="8" xfId="0" applyFont="1" applyFill="1" applyBorder="1" applyAlignment="1">
      <alignment horizontal="center" vertical="center" wrapText="1"/>
    </xf>
    <xf numFmtId="0" fontId="4" fillId="12" borderId="20" xfId="0" applyFont="1" applyFill="1" applyBorder="1" applyAlignment="1">
      <alignment horizontal="center" vertical="center" wrapText="1"/>
    </xf>
    <xf numFmtId="0" fontId="4" fillId="12" borderId="19" xfId="0" applyFont="1" applyFill="1" applyBorder="1" applyAlignment="1">
      <alignment horizontal="right" vertical="center" wrapText="1"/>
    </xf>
    <xf numFmtId="0" fontId="4" fillId="18" borderId="19" xfId="0" applyFont="1" applyFill="1" applyBorder="1" applyAlignment="1">
      <alignment horizontal="right" vertical="center" wrapText="1"/>
    </xf>
    <xf numFmtId="173" fontId="6" fillId="18" borderId="8" xfId="0" applyNumberFormat="1" applyFont="1" applyFill="1" applyBorder="1" applyAlignment="1">
      <alignment horizontal="center" vertical="center" wrapText="1"/>
    </xf>
    <xf numFmtId="0" fontId="3" fillId="0" borderId="23" xfId="0" applyFont="1" applyBorder="1" applyAlignment="1">
      <alignment horizontal="center" vertical="center" wrapText="1"/>
    </xf>
    <xf numFmtId="0" fontId="3" fillId="0" borderId="26" xfId="0" applyFont="1" applyBorder="1" applyAlignment="1">
      <alignment vertical="center" wrapText="1"/>
    </xf>
    <xf numFmtId="0" fontId="4" fillId="19" borderId="19" xfId="0" applyFont="1" applyFill="1" applyBorder="1" applyAlignment="1">
      <alignment vertical="center" wrapText="1"/>
    </xf>
    <xf numFmtId="0" fontId="3" fillId="0" borderId="23" xfId="0" applyFont="1" applyBorder="1" applyAlignment="1">
      <alignment horizontal="left" vertical="center" wrapText="1"/>
    </xf>
    <xf numFmtId="0" fontId="10" fillId="0" borderId="24" xfId="0" applyFont="1" applyBorder="1" applyAlignment="1">
      <alignment horizontal="left" vertical="center" wrapText="1"/>
    </xf>
    <xf numFmtId="0" fontId="10" fillId="0" borderId="0" xfId="0" applyFont="1" applyBorder="1" applyAlignment="1">
      <alignment horizontal="left" vertical="center" wrapText="1"/>
    </xf>
    <xf numFmtId="0" fontId="10" fillId="0" borderId="25" xfId="0" applyFont="1" applyBorder="1" applyAlignment="1">
      <alignment horizontal="left" vertical="center" wrapText="1"/>
    </xf>
    <xf numFmtId="0" fontId="3" fillId="19" borderId="23" xfId="0" applyFont="1" applyFill="1" applyBorder="1" applyAlignment="1">
      <alignment horizontal="left" vertical="center" wrapText="1"/>
    </xf>
    <xf numFmtId="0" fontId="4" fillId="9" borderId="8" xfId="0" applyFont="1" applyFill="1" applyBorder="1" applyAlignment="1">
      <alignment horizontal="center" vertical="center" wrapText="1"/>
    </xf>
    <xf numFmtId="0" fontId="4" fillId="9" borderId="20" xfId="0" applyFont="1" applyFill="1" applyBorder="1" applyAlignment="1">
      <alignment horizontal="center" vertical="center" wrapText="1"/>
    </xf>
    <xf numFmtId="173" fontId="6" fillId="9" borderId="8" xfId="0" applyNumberFormat="1" applyFont="1" applyFill="1" applyBorder="1" applyAlignment="1">
      <alignment horizontal="center" vertical="center" wrapText="1"/>
    </xf>
    <xf numFmtId="0" fontId="6" fillId="0" borderId="22" xfId="0" applyFont="1" applyBorder="1" applyAlignment="1">
      <alignment horizontal="left" vertical="center" wrapText="1"/>
    </xf>
    <xf numFmtId="0" fontId="3" fillId="0" borderId="0" xfId="0" applyFont="1" applyBorder="1" applyAlignment="1">
      <alignment horizontal="left" vertical="center" wrapText="1"/>
    </xf>
    <xf numFmtId="0" fontId="27" fillId="9" borderId="19" xfId="0" applyFont="1" applyFill="1" applyBorder="1" applyAlignment="1">
      <alignment horizontal="center" vertical="center" wrapText="1"/>
    </xf>
    <xf numFmtId="0" fontId="4" fillId="9" borderId="8" xfId="0" applyFont="1" applyFill="1" applyBorder="1" applyAlignment="1">
      <alignment horizontal="right" vertical="center" wrapText="1"/>
    </xf>
    <xf numFmtId="0" fontId="3" fillId="0" borderId="0" xfId="0" applyFont="1" applyBorder="1" applyAlignment="1">
      <alignment vertical="center" wrapText="1"/>
    </xf>
    <xf numFmtId="0" fontId="15" fillId="0" borderId="0" xfId="0" applyFont="1" applyBorder="1" applyAlignment="1">
      <alignment vertical="center" wrapText="1"/>
    </xf>
    <xf numFmtId="0" fontId="3" fillId="0" borderId="22" xfId="0" applyFont="1" applyBorder="1" applyAlignment="1">
      <alignment horizontal="left" vertical="center" wrapText="1"/>
    </xf>
    <xf numFmtId="0" fontId="4" fillId="20" borderId="8" xfId="0" applyFont="1" applyFill="1" applyBorder="1" applyAlignment="1">
      <alignment horizontal="center" vertical="center" wrapText="1"/>
    </xf>
    <xf numFmtId="0" fontId="3" fillId="20" borderId="28" xfId="0" applyFont="1" applyFill="1" applyBorder="1" applyAlignment="1">
      <alignment horizontal="right" vertical="center" wrapText="1"/>
    </xf>
    <xf numFmtId="0" fontId="4" fillId="20" borderId="29" xfId="0" applyFont="1" applyFill="1" applyBorder="1" applyAlignment="1">
      <alignment horizontal="left" vertical="center" wrapText="1"/>
    </xf>
    <xf numFmtId="0" fontId="3" fillId="20" borderId="24" xfId="0" applyFont="1" applyFill="1" applyBorder="1" applyAlignment="1">
      <alignment horizontal="right" vertical="center" wrapText="1"/>
    </xf>
    <xf numFmtId="0" fontId="3" fillId="20" borderId="25" xfId="0" applyFont="1" applyFill="1" applyBorder="1" applyAlignment="1">
      <alignment horizontal="left" vertical="center" wrapText="1"/>
    </xf>
    <xf numFmtId="0" fontId="6" fillId="20" borderId="29" xfId="0" applyFont="1" applyFill="1" applyBorder="1" applyAlignment="1">
      <alignment horizontal="left" vertical="center" wrapText="1"/>
    </xf>
    <xf numFmtId="49" fontId="6" fillId="20" borderId="29" xfId="0" applyNumberFormat="1" applyFont="1" applyFill="1" applyBorder="1" applyAlignment="1">
      <alignment horizontal="center" vertical="center" wrapText="1"/>
    </xf>
    <xf numFmtId="0" fontId="6" fillId="20" borderId="18" xfId="0" applyFont="1" applyFill="1" applyBorder="1" applyAlignment="1">
      <alignment horizontal="left" vertical="center" wrapText="1"/>
    </xf>
    <xf numFmtId="0" fontId="6" fillId="20" borderId="18" xfId="0" applyFont="1" applyFill="1" applyBorder="1" applyAlignment="1">
      <alignment horizontal="right" vertical="center" wrapText="1"/>
    </xf>
    <xf numFmtId="0" fontId="6" fillId="20" borderId="18" xfId="0" applyFont="1" applyFill="1" applyBorder="1" applyAlignment="1">
      <alignment vertical="center" wrapText="1"/>
    </xf>
    <xf numFmtId="175" fontId="6" fillId="20" borderId="18" xfId="0" applyNumberFormat="1" applyFont="1" applyFill="1" applyBorder="1" applyAlignment="1">
      <alignment horizontal="right" vertical="center" wrapText="1"/>
    </xf>
    <xf numFmtId="0" fontId="4" fillId="4" borderId="0" xfId="0" applyFont="1" applyFill="1" applyBorder="1" applyAlignment="1">
      <alignment horizontal="right" vertical="center" wrapText="1"/>
    </xf>
    <xf numFmtId="0" fontId="4" fillId="4" borderId="0" xfId="0" applyFont="1" applyFill="1" applyBorder="1" applyAlignment="1">
      <alignment horizontal="left" vertical="center" wrapText="1"/>
    </xf>
    <xf numFmtId="0" fontId="4" fillId="20" borderId="8" xfId="2" applyFont="1" applyFill="1" applyBorder="1" applyAlignment="1">
      <alignment horizontal="center" vertical="center" wrapText="1"/>
    </xf>
    <xf numFmtId="0" fontId="6" fillId="20" borderId="8" xfId="0" applyFont="1" applyFill="1" applyBorder="1" applyAlignment="1">
      <alignment horizontal="center" vertical="center" wrapText="1"/>
    </xf>
    <xf numFmtId="0" fontId="4" fillId="21" borderId="8" xfId="0" applyFont="1" applyFill="1" applyBorder="1" applyAlignment="1">
      <alignment horizontal="left" vertical="center" wrapText="1"/>
    </xf>
    <xf numFmtId="165" fontId="6" fillId="21" borderId="8" xfId="0" applyNumberFormat="1" applyFont="1" applyFill="1" applyBorder="1" applyAlignment="1">
      <alignment horizontal="center" vertical="center" wrapText="1"/>
    </xf>
    <xf numFmtId="0" fontId="6" fillId="21" borderId="8" xfId="0" applyFont="1" applyFill="1" applyBorder="1" applyAlignment="1">
      <alignment horizontal="center" vertical="center" wrapText="1"/>
    </xf>
    <xf numFmtId="0" fontId="4" fillId="21" borderId="8" xfId="0" applyFont="1" applyFill="1" applyBorder="1" applyAlignment="1">
      <alignment horizontal="center" vertical="center" wrapText="1"/>
    </xf>
    <xf numFmtId="0" fontId="3" fillId="0" borderId="8" xfId="0" applyFont="1" applyBorder="1" applyAlignment="1">
      <alignment horizontal="left" vertical="center" wrapText="1"/>
    </xf>
    <xf numFmtId="0" fontId="3" fillId="0" borderId="8" xfId="0" applyFont="1" applyBorder="1" applyAlignment="1">
      <alignment horizontal="center" vertical="center" wrapText="1"/>
    </xf>
    <xf numFmtId="2" fontId="4" fillId="0" borderId="8" xfId="0" applyNumberFormat="1" applyFont="1" applyBorder="1" applyAlignment="1">
      <alignment horizontal="right" vertical="center" wrapText="1"/>
    </xf>
    <xf numFmtId="4" fontId="4" fillId="0" borderId="8" xfId="0" applyNumberFormat="1" applyFont="1" applyBorder="1" applyAlignment="1">
      <alignment horizontal="right" vertical="center" wrapText="1"/>
    </xf>
    <xf numFmtId="0" fontId="4" fillId="21" borderId="8" xfId="0" applyFont="1" applyFill="1" applyBorder="1" applyAlignment="1">
      <alignment horizontal="right" vertical="center" wrapText="1"/>
    </xf>
    <xf numFmtId="4" fontId="4" fillId="21" borderId="8" xfId="0" applyNumberFormat="1" applyFont="1" applyFill="1" applyBorder="1" applyAlignment="1">
      <alignment horizontal="right" vertical="center" wrapText="1"/>
    </xf>
    <xf numFmtId="4" fontId="3" fillId="0" borderId="8" xfId="0" applyNumberFormat="1" applyFont="1" applyBorder="1" applyAlignment="1">
      <alignment horizontal="right" vertical="center" wrapText="1"/>
    </xf>
    <xf numFmtId="0" fontId="4" fillId="0" borderId="31" xfId="0" applyFont="1" applyBorder="1" applyAlignment="1">
      <alignment horizontal="center" vertical="center" wrapText="1"/>
    </xf>
    <xf numFmtId="0" fontId="4" fillId="22" borderId="8" xfId="0" applyFont="1" applyFill="1" applyBorder="1" applyAlignment="1">
      <alignment horizontal="left" vertical="center" wrapText="1"/>
    </xf>
    <xf numFmtId="0" fontId="6" fillId="22" borderId="8" xfId="0" applyFont="1" applyFill="1" applyBorder="1" applyAlignment="1">
      <alignment horizontal="right" vertical="center" wrapText="1"/>
    </xf>
    <xf numFmtId="170" fontId="6" fillId="22" borderId="8" xfId="0" applyNumberFormat="1" applyFont="1" applyFill="1" applyBorder="1" applyAlignment="1">
      <alignment horizontal="right" vertical="center" wrapText="1"/>
    </xf>
    <xf numFmtId="165" fontId="6" fillId="22" borderId="8" xfId="0" applyNumberFormat="1" applyFont="1" applyFill="1" applyBorder="1" applyAlignment="1">
      <alignment horizontal="right" vertical="center" wrapText="1"/>
    </xf>
    <xf numFmtId="0" fontId="19" fillId="22" borderId="8" xfId="0" applyFont="1" applyFill="1" applyBorder="1" applyAlignment="1">
      <alignment horizontal="left" vertical="center" wrapText="1"/>
    </xf>
    <xf numFmtId="0" fontId="4" fillId="21" borderId="20" xfId="0" applyFont="1" applyFill="1" applyBorder="1" applyAlignment="1">
      <alignment horizontal="left" vertical="center" wrapText="1"/>
    </xf>
    <xf numFmtId="0" fontId="6" fillId="21" borderId="18" xfId="0" applyFont="1" applyFill="1" applyBorder="1" applyAlignment="1">
      <alignment horizontal="left" vertical="center" wrapText="1"/>
    </xf>
    <xf numFmtId="0" fontId="4" fillId="20" borderId="8" xfId="0" applyFont="1" applyFill="1" applyBorder="1" applyAlignment="1">
      <alignment horizontal="right" vertical="center" wrapText="1"/>
    </xf>
    <xf numFmtId="0" fontId="19" fillId="0" borderId="8" xfId="0" applyFont="1" applyBorder="1" applyAlignment="1">
      <alignment horizontal="left" vertical="center" wrapText="1"/>
    </xf>
    <xf numFmtId="0" fontId="28" fillId="21" borderId="8" xfId="0" applyFont="1" applyFill="1" applyBorder="1" applyAlignment="1">
      <alignment horizontal="left" vertical="center" wrapText="1"/>
    </xf>
    <xf numFmtId="168" fontId="4" fillId="21" borderId="8" xfId="0" applyNumberFormat="1" applyFont="1" applyFill="1" applyBorder="1" applyAlignment="1">
      <alignment horizontal="right" vertical="center" wrapText="1"/>
    </xf>
    <xf numFmtId="0" fontId="3" fillId="21" borderId="8" xfId="0" applyFont="1" applyFill="1" applyBorder="1" applyAlignment="1">
      <alignment horizontal="left" vertical="center" wrapText="1"/>
    </xf>
    <xf numFmtId="168" fontId="6" fillId="21" borderId="21" xfId="0" applyNumberFormat="1" applyFont="1" applyFill="1" applyBorder="1" applyAlignment="1">
      <alignment horizontal="center" vertical="center" wrapText="1"/>
    </xf>
    <xf numFmtId="168" fontId="6" fillId="21" borderId="18" xfId="0" applyNumberFormat="1" applyFont="1" applyFill="1" applyBorder="1" applyAlignment="1">
      <alignment horizontal="center" vertical="center" wrapText="1"/>
    </xf>
    <xf numFmtId="0" fontId="3" fillId="0" borderId="35" xfId="0" applyFont="1" applyBorder="1" applyAlignment="1">
      <alignment horizontal="left" vertical="center" wrapText="1"/>
    </xf>
    <xf numFmtId="0" fontId="4" fillId="0" borderId="35" xfId="0" applyFont="1" applyBorder="1" applyAlignment="1">
      <alignment horizontal="center" vertical="center" wrapText="1"/>
    </xf>
    <xf numFmtId="0" fontId="4" fillId="20" borderId="8" xfId="0" applyFont="1" applyFill="1" applyBorder="1" applyAlignment="1">
      <alignment horizontal="left" vertical="center" wrapText="1"/>
    </xf>
    <xf numFmtId="0" fontId="3" fillId="4" borderId="0" xfId="0" applyFont="1" applyFill="1" applyBorder="1" applyAlignment="1">
      <alignment horizontal="center" vertical="center" wrapText="1"/>
    </xf>
    <xf numFmtId="4" fontId="19" fillId="0" borderId="8" xfId="0" applyNumberFormat="1" applyFont="1" applyBorder="1" applyAlignment="1">
      <alignment horizontal="center" vertical="center" wrapText="1"/>
    </xf>
    <xf numFmtId="0" fontId="23" fillId="25" borderId="28" xfId="0" applyFont="1" applyFill="1" applyBorder="1" applyAlignment="1" applyProtection="1">
      <alignment horizontal="center" vertical="center" wrapText="1"/>
    </xf>
    <xf numFmtId="0" fontId="23" fillId="25" borderId="30" xfId="0" applyFont="1" applyFill="1" applyBorder="1" applyAlignment="1" applyProtection="1">
      <alignment horizontal="center" vertical="center" wrapText="1"/>
    </xf>
    <xf numFmtId="0" fontId="23" fillId="25" borderId="24" xfId="0" applyFont="1" applyFill="1" applyBorder="1" applyAlignment="1" applyProtection="1">
      <alignment horizontal="center" vertical="center" wrapText="1"/>
    </xf>
    <xf numFmtId="0" fontId="23" fillId="25" borderId="0" xfId="0" applyFont="1" applyFill="1" applyBorder="1" applyAlignment="1" applyProtection="1">
      <alignment horizontal="center" vertical="center" wrapText="1"/>
    </xf>
    <xf numFmtId="0" fontId="23" fillId="25" borderId="26" xfId="0" applyFont="1" applyFill="1" applyBorder="1" applyAlignment="1" applyProtection="1">
      <alignment horizontal="center" vertical="center" wrapText="1"/>
    </xf>
    <xf numFmtId="0" fontId="23" fillId="25" borderId="17" xfId="0" applyFont="1" applyFill="1" applyBorder="1" applyAlignment="1" applyProtection="1">
      <alignment horizontal="center" vertical="center" wrapText="1"/>
    </xf>
    <xf numFmtId="0" fontId="24" fillId="25" borderId="28" xfId="0" applyFont="1" applyFill="1" applyBorder="1" applyAlignment="1" applyProtection="1">
      <alignment horizontal="center" vertical="center" wrapText="1"/>
    </xf>
    <xf numFmtId="0" fontId="24" fillId="25" borderId="30" xfId="0" applyFont="1" applyFill="1" applyBorder="1" applyAlignment="1" applyProtection="1">
      <alignment horizontal="center" vertical="center" wrapText="1"/>
    </xf>
    <xf numFmtId="0" fontId="24" fillId="25" borderId="24" xfId="0" applyFont="1" applyFill="1" applyBorder="1" applyAlignment="1" applyProtection="1">
      <alignment horizontal="center" vertical="center" wrapText="1"/>
    </xf>
    <xf numFmtId="0" fontId="24" fillId="25" borderId="0" xfId="0" applyFont="1" applyFill="1" applyBorder="1" applyAlignment="1" applyProtection="1">
      <alignment horizontal="center" vertical="center" wrapText="1"/>
    </xf>
    <xf numFmtId="0" fontId="24" fillId="25" borderId="26" xfId="0" applyFont="1" applyFill="1" applyBorder="1" applyAlignment="1" applyProtection="1">
      <alignment horizontal="center" vertical="center" wrapText="1"/>
    </xf>
    <xf numFmtId="0" fontId="24" fillId="25" borderId="17" xfId="0" applyFont="1" applyFill="1" applyBorder="1" applyAlignment="1" applyProtection="1">
      <alignment horizontal="center" vertical="center" wrapText="1"/>
    </xf>
    <xf numFmtId="0" fontId="23" fillId="25" borderId="30" xfId="0" applyFont="1" applyFill="1" applyBorder="1" applyAlignment="1" applyProtection="1">
      <alignment horizontal="left" vertical="center" wrapText="1"/>
    </xf>
    <xf numFmtId="0" fontId="23" fillId="25" borderId="29" xfId="0" applyFont="1" applyFill="1" applyBorder="1" applyAlignment="1" applyProtection="1">
      <alignment horizontal="left" vertical="center" wrapText="1"/>
    </xf>
    <xf numFmtId="0" fontId="23" fillId="25" borderId="0" xfId="0" applyFont="1" applyFill="1" applyBorder="1" applyAlignment="1" applyProtection="1">
      <alignment horizontal="left" vertical="center" wrapText="1"/>
    </xf>
    <xf numFmtId="0" fontId="23" fillId="25" borderId="25" xfId="0" applyFont="1" applyFill="1" applyBorder="1" applyAlignment="1" applyProtection="1">
      <alignment horizontal="left" vertical="center" wrapText="1"/>
    </xf>
    <xf numFmtId="0" fontId="23" fillId="25" borderId="17" xfId="0" applyFont="1" applyFill="1" applyBorder="1" applyAlignment="1" applyProtection="1">
      <alignment horizontal="left" vertical="center" wrapText="1"/>
    </xf>
    <xf numFmtId="0" fontId="23" fillId="25" borderId="27" xfId="0" applyFont="1" applyFill="1" applyBorder="1" applyAlignment="1" applyProtection="1">
      <alignment horizontal="left" vertical="center" wrapText="1"/>
    </xf>
    <xf numFmtId="4" fontId="26" fillId="0" borderId="19" xfId="0" applyNumberFormat="1" applyFont="1" applyBorder="1" applyAlignment="1">
      <alignment horizontal="center" vertical="center" wrapText="1"/>
    </xf>
    <xf numFmtId="4" fontId="26" fillId="0" borderId="23" xfId="0" applyNumberFormat="1" applyFont="1" applyBorder="1" applyAlignment="1">
      <alignment horizontal="center" vertical="center" wrapText="1"/>
    </xf>
    <xf numFmtId="4" fontId="26" fillId="0" borderId="22" xfId="0" applyNumberFormat="1" applyFont="1" applyBorder="1" applyAlignment="1">
      <alignment horizontal="center" vertical="center" wrapText="1"/>
    </xf>
    <xf numFmtId="49" fontId="4" fillId="20" borderId="8" xfId="0" applyNumberFormat="1" applyFont="1" applyFill="1" applyBorder="1" applyAlignment="1">
      <alignment horizontal="center" vertical="center" wrapText="1"/>
    </xf>
    <xf numFmtId="49" fontId="4" fillId="20" borderId="8" xfId="0" applyNumberFormat="1" applyFont="1" applyFill="1" applyBorder="1" applyAlignment="1">
      <alignment horizontal="left" vertical="center" wrapText="1"/>
    </xf>
    <xf numFmtId="49" fontId="4" fillId="21" borderId="8" xfId="0" applyNumberFormat="1" applyFont="1" applyFill="1" applyBorder="1" applyAlignment="1">
      <alignment horizontal="left" vertical="center" wrapText="1"/>
    </xf>
    <xf numFmtId="49" fontId="4" fillId="20" borderId="8" xfId="0" applyNumberFormat="1" applyFont="1" applyFill="1" applyBorder="1" applyAlignment="1">
      <alignment horizontal="right" vertical="center" wrapText="1"/>
    </xf>
    <xf numFmtId="49" fontId="4" fillId="20" borderId="20" xfId="0" applyNumberFormat="1" applyFont="1" applyFill="1" applyBorder="1" applyAlignment="1">
      <alignment horizontal="right" vertical="center" wrapText="1"/>
    </xf>
    <xf numFmtId="0" fontId="4" fillId="0" borderId="8" xfId="0" applyFont="1" applyBorder="1" applyAlignment="1">
      <alignment horizontal="left" vertical="center" wrapText="1"/>
    </xf>
    <xf numFmtId="170" fontId="6" fillId="0" borderId="8" xfId="0" applyNumberFormat="1" applyFont="1" applyBorder="1" applyAlignment="1">
      <alignment horizontal="center" vertical="center" wrapText="1"/>
    </xf>
    <xf numFmtId="170" fontId="6" fillId="0" borderId="8" xfId="0" applyNumberFormat="1" applyFont="1" applyBorder="1" applyAlignment="1">
      <alignment horizontal="right" vertical="center" wrapText="1"/>
    </xf>
    <xf numFmtId="3" fontId="6" fillId="0" borderId="8" xfId="0" applyNumberFormat="1" applyFont="1" applyBorder="1" applyAlignment="1">
      <alignment horizontal="center" vertical="center" wrapText="1"/>
    </xf>
    <xf numFmtId="170" fontId="4" fillId="20" borderId="8" xfId="0" applyNumberFormat="1" applyFont="1" applyFill="1" applyBorder="1" applyAlignment="1">
      <alignment horizontal="right" vertical="center" wrapText="1"/>
    </xf>
    <xf numFmtId="168" fontId="6" fillId="0" borderId="8" xfId="0" applyNumberFormat="1" applyFont="1" applyBorder="1" applyAlignment="1">
      <alignment horizontal="center" vertical="center" wrapText="1"/>
    </xf>
    <xf numFmtId="0" fontId="4" fillId="4" borderId="0" xfId="0" applyFont="1" applyFill="1" applyBorder="1" applyAlignment="1">
      <alignment horizontal="center" vertical="center" wrapText="1"/>
    </xf>
    <xf numFmtId="0" fontId="3" fillId="4" borderId="8" xfId="0" applyFont="1" applyFill="1" applyBorder="1" applyAlignment="1">
      <alignment horizontal="left" vertical="center" wrapText="1"/>
    </xf>
    <xf numFmtId="170" fontId="6" fillId="4" borderId="8" xfId="0" applyNumberFormat="1" applyFont="1" applyFill="1" applyBorder="1" applyAlignment="1">
      <alignment horizontal="center" vertical="center" wrapText="1"/>
    </xf>
    <xf numFmtId="170" fontId="6" fillId="4" borderId="8" xfId="0" applyNumberFormat="1" applyFont="1" applyFill="1" applyBorder="1" applyAlignment="1">
      <alignment horizontal="right" vertical="center" wrapText="1"/>
    </xf>
    <xf numFmtId="3" fontId="6" fillId="4" borderId="8" xfId="0" applyNumberFormat="1" applyFont="1" applyFill="1" applyBorder="1" applyAlignment="1">
      <alignment horizontal="center" vertical="center" wrapText="1"/>
    </xf>
    <xf numFmtId="168" fontId="6" fillId="4" borderId="8" xfId="0" applyNumberFormat="1" applyFont="1" applyFill="1" applyBorder="1" applyAlignment="1">
      <alignment horizontal="center" vertical="center" wrapText="1"/>
    </xf>
    <xf numFmtId="0" fontId="3" fillId="0" borderId="19" xfId="0" applyFont="1" applyBorder="1" applyAlignment="1">
      <alignment horizontal="left" vertical="center" wrapText="1"/>
    </xf>
    <xf numFmtId="3" fontId="6" fillId="0" borderId="19" xfId="0" applyNumberFormat="1" applyFont="1" applyBorder="1" applyAlignment="1">
      <alignment horizontal="center" vertical="center" wrapText="1"/>
    </xf>
    <xf numFmtId="170" fontId="6" fillId="0" borderId="19" xfId="0" applyNumberFormat="1" applyFont="1" applyBorder="1" applyAlignment="1">
      <alignment horizontal="center" vertical="center" wrapText="1"/>
    </xf>
    <xf numFmtId="170" fontId="6" fillId="0" borderId="19" xfId="0" applyNumberFormat="1" applyFont="1" applyBorder="1" applyAlignment="1">
      <alignment horizontal="right" vertical="center" wrapText="1"/>
    </xf>
    <xf numFmtId="0" fontId="3" fillId="0" borderId="31" xfId="0" applyFont="1" applyBorder="1" applyAlignment="1">
      <alignment horizontal="left" vertical="center" wrapText="1"/>
    </xf>
    <xf numFmtId="168" fontId="4" fillId="0" borderId="8" xfId="0" applyNumberFormat="1" applyFont="1" applyBorder="1" applyAlignment="1">
      <alignment horizontal="center" vertical="center" wrapText="1"/>
    </xf>
    <xf numFmtId="168" fontId="4" fillId="0" borderId="8" xfId="0" applyNumberFormat="1" applyFont="1" applyBorder="1" applyAlignment="1">
      <alignment horizontal="right" vertical="center" wrapText="1"/>
    </xf>
    <xf numFmtId="170" fontId="4" fillId="0" borderId="8" xfId="0" applyNumberFormat="1" applyFont="1" applyBorder="1" applyAlignment="1">
      <alignment horizontal="center" vertical="center" wrapText="1"/>
    </xf>
    <xf numFmtId="168" fontId="4" fillId="20" borderId="8" xfId="0" applyNumberFormat="1" applyFont="1" applyFill="1" applyBorder="1" applyAlignment="1">
      <alignment horizontal="right" vertical="center" wrapText="1"/>
    </xf>
    <xf numFmtId="170" fontId="4" fillId="0" borderId="8" xfId="0" applyNumberFormat="1" applyFont="1" applyBorder="1" applyAlignment="1">
      <alignment horizontal="right" vertical="center" wrapText="1"/>
    </xf>
    <xf numFmtId="0" fontId="6" fillId="4" borderId="8" xfId="0" applyFont="1" applyFill="1" applyBorder="1" applyAlignment="1">
      <alignment horizontal="center" vertical="center" wrapText="1"/>
    </xf>
    <xf numFmtId="168" fontId="6" fillId="12" borderId="8" xfId="0" applyNumberFormat="1" applyFont="1" applyFill="1" applyBorder="1" applyAlignment="1">
      <alignment horizontal="right" vertical="center" wrapText="1"/>
    </xf>
    <xf numFmtId="0" fontId="6" fillId="0" borderId="8" xfId="0" applyFont="1" applyBorder="1" applyAlignment="1">
      <alignment horizontal="left" vertical="center" wrapText="1"/>
    </xf>
    <xf numFmtId="3" fontId="6" fillId="12" borderId="8" xfId="0" applyNumberFormat="1" applyFont="1" applyFill="1" applyBorder="1" applyAlignment="1">
      <alignment horizontal="right" vertical="center" wrapText="1"/>
    </xf>
    <xf numFmtId="0" fontId="3" fillId="12" borderId="8" xfId="0" applyFont="1" applyFill="1" applyBorder="1" applyAlignment="1">
      <alignment horizontal="left" vertical="center" wrapText="1"/>
    </xf>
    <xf numFmtId="173" fontId="3" fillId="12" borderId="8" xfId="0" applyNumberFormat="1" applyFont="1" applyFill="1" applyBorder="1" applyAlignment="1">
      <alignment horizontal="center" vertical="center" wrapText="1"/>
    </xf>
    <xf numFmtId="0" fontId="3" fillId="20" borderId="26" xfId="0" applyFont="1" applyFill="1" applyBorder="1" applyAlignment="1">
      <alignment horizontal="right" vertical="center" wrapText="1"/>
    </xf>
    <xf numFmtId="0" fontId="3" fillId="20" borderId="27" xfId="0" applyFont="1" applyFill="1" applyBorder="1" applyAlignment="1">
      <alignment horizontal="left" vertical="center" wrapText="1"/>
    </xf>
    <xf numFmtId="0" fontId="15" fillId="0" borderId="36" xfId="0" applyFont="1" applyBorder="1" applyAlignment="1">
      <alignment horizontal="left" vertical="center" wrapText="1"/>
    </xf>
    <xf numFmtId="0" fontId="3" fillId="0" borderId="36" xfId="0" applyFont="1" applyBorder="1" applyAlignment="1">
      <alignment horizontal="left" vertical="center" wrapText="1"/>
    </xf>
    <xf numFmtId="0" fontId="3" fillId="4" borderId="36" xfId="0" applyFont="1" applyFill="1" applyBorder="1" applyAlignment="1">
      <alignment horizontal="left" vertical="center" wrapText="1"/>
    </xf>
    <xf numFmtId="0" fontId="4" fillId="0" borderId="36" xfId="0" applyFont="1" applyBorder="1" applyAlignment="1">
      <alignment horizontal="right" vertical="center" wrapText="1"/>
    </xf>
    <xf numFmtId="0" fontId="4" fillId="0" borderId="36" xfId="0" applyFont="1" applyBorder="1" applyAlignment="1">
      <alignment horizontal="left" vertical="center" wrapText="1"/>
    </xf>
    <xf numFmtId="0" fontId="4" fillId="0" borderId="36" xfId="0" applyFont="1" applyBorder="1" applyAlignment="1">
      <alignment horizontal="center" vertical="center" wrapText="1"/>
    </xf>
    <xf numFmtId="0" fontId="6" fillId="0" borderId="36" xfId="0" applyFont="1" applyBorder="1" applyAlignment="1">
      <alignment horizontal="center" vertical="center" wrapText="1"/>
    </xf>
    <xf numFmtId="0" fontId="4" fillId="0" borderId="20" xfId="0" applyFont="1" applyBorder="1" applyAlignment="1">
      <alignment horizontal="left" vertical="center" wrapText="1"/>
    </xf>
    <xf numFmtId="0" fontId="6" fillId="4" borderId="35" xfId="0" applyFont="1" applyFill="1" applyBorder="1" applyAlignment="1">
      <alignment horizontal="center" vertical="center" wrapText="1"/>
    </xf>
    <xf numFmtId="0" fontId="15" fillId="0" borderId="35" xfId="0" applyFont="1" applyBorder="1" applyAlignment="1">
      <alignment horizontal="left" vertical="center" wrapText="1"/>
    </xf>
    <xf numFmtId="2" fontId="6" fillId="0" borderId="8" xfId="0" applyNumberFormat="1" applyFont="1" applyBorder="1" applyAlignment="1">
      <alignment horizontal="center" vertical="center" wrapText="1"/>
    </xf>
    <xf numFmtId="0" fontId="15" fillId="4" borderId="8" xfId="0" applyFont="1" applyFill="1" applyBorder="1" applyAlignment="1">
      <alignment horizontal="center" vertical="center" wrapText="1"/>
    </xf>
    <xf numFmtId="4" fontId="6" fillId="0" borderId="8" xfId="0" applyNumberFormat="1" applyFont="1" applyBorder="1" applyAlignment="1">
      <alignment horizontal="center" vertical="center" wrapText="1"/>
    </xf>
    <xf numFmtId="0" fontId="4" fillId="20" borderId="31" xfId="0" applyFont="1" applyFill="1" applyBorder="1" applyAlignment="1">
      <alignment horizontal="center" vertical="center" wrapText="1"/>
    </xf>
    <xf numFmtId="0" fontId="6" fillId="0" borderId="37" xfId="0" applyFont="1" applyBorder="1" applyAlignment="1">
      <alignment horizontal="left" vertical="center" wrapText="1"/>
    </xf>
    <xf numFmtId="0" fontId="15" fillId="0" borderId="0" xfId="0" applyFont="1" applyBorder="1" applyAlignment="1">
      <alignment horizontal="left" vertical="center" wrapText="1"/>
    </xf>
    <xf numFmtId="0" fontId="3" fillId="4" borderId="8" xfId="0" applyFont="1" applyFill="1" applyBorder="1" applyAlignment="1">
      <alignment horizontal="center" vertical="center" wrapText="1"/>
    </xf>
    <xf numFmtId="49" fontId="4" fillId="4" borderId="8" xfId="0" applyNumberFormat="1" applyFont="1" applyFill="1" applyBorder="1" applyAlignment="1">
      <alignment horizontal="center" vertical="center" wrapText="1"/>
    </xf>
    <xf numFmtId="0" fontId="6" fillId="12" borderId="8" xfId="0" applyFont="1" applyFill="1" applyBorder="1" applyAlignment="1">
      <alignment horizontal="right" vertical="center" wrapText="1"/>
    </xf>
    <xf numFmtId="0" fontId="4" fillId="9" borderId="39" xfId="0" applyFont="1" applyFill="1" applyBorder="1" applyAlignment="1">
      <alignment horizontal="center" vertical="center" wrapText="1"/>
    </xf>
    <xf numFmtId="168" fontId="3" fillId="23" borderId="41" xfId="0" applyNumberFormat="1" applyFont="1" applyFill="1" applyBorder="1" applyAlignment="1">
      <alignment horizontal="center" vertical="center" wrapText="1"/>
    </xf>
    <xf numFmtId="168" fontId="3" fillId="3" borderId="8" xfId="0" applyNumberFormat="1" applyFont="1" applyFill="1" applyBorder="1" applyAlignment="1">
      <alignment horizontal="center" vertical="center" wrapText="1"/>
    </xf>
    <xf numFmtId="168" fontId="3" fillId="23" borderId="8" xfId="0" applyNumberFormat="1" applyFont="1" applyFill="1" applyBorder="1" applyAlignment="1">
      <alignment horizontal="center" vertical="center" wrapText="1"/>
    </xf>
    <xf numFmtId="168" fontId="3" fillId="9" borderId="43" xfId="0" applyNumberFormat="1" applyFont="1" applyFill="1" applyBorder="1" applyAlignment="1">
      <alignment horizontal="center" vertical="center" wrapText="1"/>
    </xf>
    <xf numFmtId="0" fontId="21" fillId="0" borderId="8" xfId="0" applyFont="1" applyBorder="1" applyAlignment="1">
      <alignment horizontal="left" vertical="center" wrapText="1"/>
    </xf>
    <xf numFmtId="0" fontId="7" fillId="0" borderId="3" xfId="0" applyFont="1" applyBorder="1" applyAlignment="1">
      <alignment horizontal="left" vertical="center" wrapText="1"/>
    </xf>
    <xf numFmtId="168" fontId="4" fillId="24" borderId="15" xfId="0" applyNumberFormat="1" applyFont="1" applyFill="1" applyBorder="1" applyAlignment="1">
      <alignment horizontal="center" vertical="center" wrapText="1"/>
    </xf>
    <xf numFmtId="0" fontId="3" fillId="0" borderId="0" xfId="0" applyFont="1" applyBorder="1" applyAlignment="1">
      <alignment horizontal="center" vertical="center" wrapText="1"/>
    </xf>
    <xf numFmtId="0" fontId="3" fillId="0" borderId="44" xfId="0" applyFont="1" applyBorder="1" applyAlignment="1">
      <alignment horizontal="center" vertical="center" wrapText="1"/>
    </xf>
    <xf numFmtId="165" fontId="3" fillId="0" borderId="0" xfId="0" applyNumberFormat="1" applyFont="1" applyBorder="1" applyAlignment="1">
      <alignment horizontal="left" vertical="center" wrapText="1"/>
    </xf>
  </cellXfs>
  <cellStyles count="4">
    <cellStyle name="Moeda 2" xfId="1"/>
    <cellStyle name="Normal" xfId="0" builtinId="0"/>
    <cellStyle name="Normal 2" xfId="2"/>
    <cellStyle name="Normal 3" xfId="3"/>
  </cellStyles>
  <dxfs count="8">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ont>
        <color rgb="FF000000"/>
      </font>
      <fill>
        <patternFill>
          <bgColor rgb="FF00FFFF"/>
        </patternFill>
      </fill>
    </dxf>
  </dxfs>
  <tableStyles count="0" defaultTableStyle="TableStyleMedium2" defaultPivotStyle="PivotStyleLight16"/>
  <colors>
    <indexedColors>
      <rgbColor rgb="FF000000"/>
      <rgbColor rgb="FFFFFFFF"/>
      <rgbColor rgb="FFFF0000"/>
      <rgbColor rgb="FF00FF66"/>
      <rgbColor rgb="FF0000FF"/>
      <rgbColor rgb="FFFFFF00"/>
      <rgbColor rgb="FFFF00FF"/>
      <rgbColor rgb="FF00FFFF"/>
      <rgbColor rgb="FF800000"/>
      <rgbColor rgb="FF38761D"/>
      <rgbColor rgb="FF000080"/>
      <rgbColor rgb="FF4F6228"/>
      <rgbColor rgb="FF800080"/>
      <rgbColor rgb="FF008080"/>
      <rgbColor rgb="FFBFBFBF"/>
      <rgbColor rgb="FF7F7F7F"/>
      <rgbColor rgb="FFD8D8D8"/>
      <rgbColor rgb="FF993366"/>
      <rgbColor rgb="FFF3F3F3"/>
      <rgbColor rgb="FFCFE2F3"/>
      <rgbColor rgb="FF660066"/>
      <rgbColor rgb="FFD9D9D9"/>
      <rgbColor rgb="FF0066CC"/>
      <rgbColor rgb="FFB8CCE4"/>
      <rgbColor rgb="FF000080"/>
      <rgbColor rgb="FFFF00FF"/>
      <rgbColor rgb="FFC2D69B"/>
      <rgbColor rgb="FFF2F2F2"/>
      <rgbColor rgb="FF800080"/>
      <rgbColor rgb="FF800000"/>
      <rgbColor rgb="FF008080"/>
      <rgbColor rgb="FF0000FF"/>
      <rgbColor rgb="FF00CCFF"/>
      <rgbColor rgb="FFEFEFEF"/>
      <rgbColor rgb="FFD9EAD3"/>
      <rgbColor rgb="FFFFFF99"/>
      <rgbColor rgb="FFB6DDE8"/>
      <rgbColor rgb="FFDDD9C3"/>
      <rgbColor rgb="FFCCCCCC"/>
      <rgbColor rgb="FFFBD4B4"/>
      <rgbColor rgb="FF3366FF"/>
      <rgbColor rgb="FFD7E4BD"/>
      <rgbColor rgb="FF99CC00"/>
      <rgbColor rgb="FFFFCC00"/>
      <rgbColor rgb="FFD6E3BC"/>
      <rgbColor rgb="FFFF3333"/>
      <rgbColor rgb="FF4F6128"/>
      <rgbColor rgb="FFB7B7B7"/>
      <rgbColor rgb="FF003366"/>
      <rgbColor rgb="FF339966"/>
      <rgbColor rgb="FF003300"/>
      <rgbColor rgb="FF222222"/>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76320</xdr:colOff>
      <xdr:row>0</xdr:row>
      <xdr:rowOff>19080</xdr:rowOff>
    </xdr:from>
    <xdr:to>
      <xdr:col>0</xdr:col>
      <xdr:colOff>1142640</xdr:colOff>
      <xdr:row>5</xdr:row>
      <xdr:rowOff>86040</xdr:rowOff>
    </xdr:to>
    <xdr:pic>
      <xdr:nvPicPr>
        <xdr:cNvPr id="2" name="image1.png" descr="novamarca iff">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cstate="print"/>
        <a:stretch/>
      </xdr:blipFill>
      <xdr:spPr>
        <a:xfrm>
          <a:off x="76320" y="19080"/>
          <a:ext cx="1066320" cy="971640"/>
        </a:xfrm>
        <a:prstGeom prst="rect">
          <a:avLst/>
        </a:prstGeom>
        <a:ln w="0">
          <a:noFill/>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47520</xdr:colOff>
      <xdr:row>0</xdr:row>
      <xdr:rowOff>38160</xdr:rowOff>
    </xdr:from>
    <xdr:to>
      <xdr:col>2</xdr:col>
      <xdr:colOff>1142640</xdr:colOff>
      <xdr:row>5</xdr:row>
      <xdr:rowOff>85680</xdr:rowOff>
    </xdr:to>
    <xdr:pic>
      <xdr:nvPicPr>
        <xdr:cNvPr id="9" name="image1.png" descr="novamarca iff">
          <a:extLst>
            <a:ext uri="{FF2B5EF4-FFF2-40B4-BE49-F238E27FC236}">
              <a16:creationId xmlns="" xmlns:a16="http://schemas.microsoft.com/office/drawing/2014/main" id="{00000000-0008-0000-0A00-000009000000}"/>
            </a:ext>
          </a:extLst>
        </xdr:cNvPr>
        <xdr:cNvPicPr/>
      </xdr:nvPicPr>
      <xdr:blipFill>
        <a:blip xmlns:r="http://schemas.openxmlformats.org/officeDocument/2006/relationships" r:embed="rId1" cstate="print"/>
        <a:stretch/>
      </xdr:blipFill>
      <xdr:spPr>
        <a:xfrm>
          <a:off x="389520" y="38160"/>
          <a:ext cx="1095120" cy="99972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66600</xdr:colOff>
      <xdr:row>0</xdr:row>
      <xdr:rowOff>28440</xdr:rowOff>
    </xdr:from>
    <xdr:to>
      <xdr:col>1</xdr:col>
      <xdr:colOff>1132920</xdr:colOff>
      <xdr:row>4</xdr:row>
      <xdr:rowOff>199800</xdr:rowOff>
    </xdr:to>
    <xdr:pic>
      <xdr:nvPicPr>
        <xdr:cNvPr id="2" name="image1.png" descr="novamarca iff">
          <a:extLst>
            <a:ext uri="{FF2B5EF4-FFF2-40B4-BE49-F238E27FC236}">
              <a16:creationId xmlns="" xmlns:a16="http://schemas.microsoft.com/office/drawing/2014/main" id="{00000000-0008-0000-0100-000002000000}"/>
            </a:ext>
          </a:extLst>
        </xdr:cNvPr>
        <xdr:cNvPicPr/>
      </xdr:nvPicPr>
      <xdr:blipFill>
        <a:blip xmlns:r="http://schemas.openxmlformats.org/officeDocument/2006/relationships" r:embed="rId1" cstate="print"/>
        <a:stretch/>
      </xdr:blipFill>
      <xdr:spPr>
        <a:xfrm>
          <a:off x="731160" y="28440"/>
          <a:ext cx="1066320" cy="1123560"/>
        </a:xfrm>
        <a:prstGeom prst="rect">
          <a:avLst/>
        </a:prstGeom>
        <a:ln w="0">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66600</xdr:colOff>
      <xdr:row>0</xdr:row>
      <xdr:rowOff>19080</xdr:rowOff>
    </xdr:from>
    <xdr:to>
      <xdr:col>0</xdr:col>
      <xdr:colOff>1132920</xdr:colOff>
      <xdr:row>5</xdr:row>
      <xdr:rowOff>95040</xdr:rowOff>
    </xdr:to>
    <xdr:pic>
      <xdr:nvPicPr>
        <xdr:cNvPr id="2" name="image1.png" descr="novamarca iff">
          <a:extLst>
            <a:ext uri="{FF2B5EF4-FFF2-40B4-BE49-F238E27FC236}">
              <a16:creationId xmlns="" xmlns:a16="http://schemas.microsoft.com/office/drawing/2014/main" id="{00000000-0008-0000-0300-000002000000}"/>
            </a:ext>
          </a:extLst>
        </xdr:cNvPr>
        <xdr:cNvPicPr/>
      </xdr:nvPicPr>
      <xdr:blipFill>
        <a:blip xmlns:r="http://schemas.openxmlformats.org/officeDocument/2006/relationships" r:embed="rId1" cstate="print"/>
        <a:stretch/>
      </xdr:blipFill>
      <xdr:spPr>
        <a:xfrm>
          <a:off x="66600" y="19080"/>
          <a:ext cx="1066320" cy="980640"/>
        </a:xfrm>
        <a:prstGeom prst="rect">
          <a:avLst/>
        </a:prstGeom>
        <a:ln w="0">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57240</xdr:colOff>
      <xdr:row>0</xdr:row>
      <xdr:rowOff>9360</xdr:rowOff>
    </xdr:from>
    <xdr:to>
      <xdr:col>0</xdr:col>
      <xdr:colOff>857250</xdr:colOff>
      <xdr:row>5</xdr:row>
      <xdr:rowOff>95250</xdr:rowOff>
    </xdr:to>
    <xdr:pic>
      <xdr:nvPicPr>
        <xdr:cNvPr id="3" name="image1.png" descr="novamarca iff">
          <a:extLst>
            <a:ext uri="{FF2B5EF4-FFF2-40B4-BE49-F238E27FC236}">
              <a16:creationId xmlns="" xmlns:a16="http://schemas.microsoft.com/office/drawing/2014/main" id="{00000000-0008-0000-0400-000003000000}"/>
            </a:ext>
          </a:extLst>
        </xdr:cNvPr>
        <xdr:cNvPicPr/>
      </xdr:nvPicPr>
      <xdr:blipFill>
        <a:blip xmlns:r="http://schemas.openxmlformats.org/officeDocument/2006/relationships" r:embed="rId1" cstate="print"/>
        <a:stretch/>
      </xdr:blipFill>
      <xdr:spPr>
        <a:xfrm>
          <a:off x="57240" y="9360"/>
          <a:ext cx="800010" cy="1000290"/>
        </a:xfrm>
        <a:prstGeom prst="rect">
          <a:avLst/>
        </a:prstGeom>
        <a:ln w="0">
          <a:noFill/>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66600</xdr:colOff>
      <xdr:row>0</xdr:row>
      <xdr:rowOff>19080</xdr:rowOff>
    </xdr:from>
    <xdr:to>
      <xdr:col>0</xdr:col>
      <xdr:colOff>1132920</xdr:colOff>
      <xdr:row>5</xdr:row>
      <xdr:rowOff>95040</xdr:rowOff>
    </xdr:to>
    <xdr:pic>
      <xdr:nvPicPr>
        <xdr:cNvPr id="4" name="image1.png" descr="novamarca iff">
          <a:extLst>
            <a:ext uri="{FF2B5EF4-FFF2-40B4-BE49-F238E27FC236}">
              <a16:creationId xmlns="" xmlns:a16="http://schemas.microsoft.com/office/drawing/2014/main" id="{00000000-0008-0000-0500-000004000000}"/>
            </a:ext>
          </a:extLst>
        </xdr:cNvPr>
        <xdr:cNvPicPr/>
      </xdr:nvPicPr>
      <xdr:blipFill>
        <a:blip xmlns:r="http://schemas.openxmlformats.org/officeDocument/2006/relationships" r:embed="rId1" cstate="print"/>
        <a:stretch/>
      </xdr:blipFill>
      <xdr:spPr>
        <a:xfrm>
          <a:off x="66600" y="19080"/>
          <a:ext cx="1066320" cy="980640"/>
        </a:xfrm>
        <a:prstGeom prst="rect">
          <a:avLst/>
        </a:prstGeom>
        <a:ln w="0">
          <a:noFill/>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47520</xdr:colOff>
      <xdr:row>0</xdr:row>
      <xdr:rowOff>19080</xdr:rowOff>
    </xdr:from>
    <xdr:to>
      <xdr:col>0</xdr:col>
      <xdr:colOff>1113840</xdr:colOff>
      <xdr:row>5</xdr:row>
      <xdr:rowOff>47520</xdr:rowOff>
    </xdr:to>
    <xdr:pic>
      <xdr:nvPicPr>
        <xdr:cNvPr id="5" name="image1.png" descr="novamarca iff">
          <a:extLst>
            <a:ext uri="{FF2B5EF4-FFF2-40B4-BE49-F238E27FC236}">
              <a16:creationId xmlns="" xmlns:a16="http://schemas.microsoft.com/office/drawing/2014/main" id="{00000000-0008-0000-0600-000005000000}"/>
            </a:ext>
          </a:extLst>
        </xdr:cNvPr>
        <xdr:cNvPicPr/>
      </xdr:nvPicPr>
      <xdr:blipFill>
        <a:blip xmlns:r="http://schemas.openxmlformats.org/officeDocument/2006/relationships" r:embed="rId1" cstate="print"/>
        <a:stretch/>
      </xdr:blipFill>
      <xdr:spPr>
        <a:xfrm>
          <a:off x="47520" y="19080"/>
          <a:ext cx="1066320" cy="980640"/>
        </a:xfrm>
        <a:prstGeom prst="rect">
          <a:avLst/>
        </a:prstGeom>
        <a:ln w="0">
          <a:noFill/>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66600</xdr:colOff>
      <xdr:row>0</xdr:row>
      <xdr:rowOff>19080</xdr:rowOff>
    </xdr:from>
    <xdr:to>
      <xdr:col>0</xdr:col>
      <xdr:colOff>1132920</xdr:colOff>
      <xdr:row>5</xdr:row>
      <xdr:rowOff>95040</xdr:rowOff>
    </xdr:to>
    <xdr:pic>
      <xdr:nvPicPr>
        <xdr:cNvPr id="6" name="image1.png" descr="novamarca iff">
          <a:extLst>
            <a:ext uri="{FF2B5EF4-FFF2-40B4-BE49-F238E27FC236}">
              <a16:creationId xmlns="" xmlns:a16="http://schemas.microsoft.com/office/drawing/2014/main" id="{00000000-0008-0000-0700-000006000000}"/>
            </a:ext>
          </a:extLst>
        </xdr:cNvPr>
        <xdr:cNvPicPr/>
      </xdr:nvPicPr>
      <xdr:blipFill>
        <a:blip xmlns:r="http://schemas.openxmlformats.org/officeDocument/2006/relationships" r:embed="rId1" cstate="print"/>
        <a:stretch/>
      </xdr:blipFill>
      <xdr:spPr>
        <a:xfrm>
          <a:off x="66600" y="19080"/>
          <a:ext cx="1066320" cy="980640"/>
        </a:xfrm>
        <a:prstGeom prst="rect">
          <a:avLst/>
        </a:prstGeom>
        <a:ln w="0">
          <a:noFill/>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57240</xdr:colOff>
      <xdr:row>0</xdr:row>
      <xdr:rowOff>38160</xdr:rowOff>
    </xdr:from>
    <xdr:to>
      <xdr:col>0</xdr:col>
      <xdr:colOff>1142640</xdr:colOff>
      <xdr:row>6</xdr:row>
      <xdr:rowOff>19080</xdr:rowOff>
    </xdr:to>
    <xdr:pic>
      <xdr:nvPicPr>
        <xdr:cNvPr id="7" name="image1.png" descr="novamarca iff">
          <a:extLst>
            <a:ext uri="{FF2B5EF4-FFF2-40B4-BE49-F238E27FC236}">
              <a16:creationId xmlns="" xmlns:a16="http://schemas.microsoft.com/office/drawing/2014/main" id="{00000000-0008-0000-0800-000007000000}"/>
            </a:ext>
          </a:extLst>
        </xdr:cNvPr>
        <xdr:cNvPicPr/>
      </xdr:nvPicPr>
      <xdr:blipFill>
        <a:blip xmlns:r="http://schemas.openxmlformats.org/officeDocument/2006/relationships" r:embed="rId1" cstate="print"/>
        <a:stretch/>
      </xdr:blipFill>
      <xdr:spPr>
        <a:xfrm>
          <a:off x="57240" y="38160"/>
          <a:ext cx="1085400" cy="1009440"/>
        </a:xfrm>
        <a:prstGeom prst="rect">
          <a:avLst/>
        </a:prstGeom>
        <a:ln w="0">
          <a:noFill/>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66600</xdr:colOff>
      <xdr:row>0</xdr:row>
      <xdr:rowOff>57240</xdr:rowOff>
    </xdr:from>
    <xdr:to>
      <xdr:col>0</xdr:col>
      <xdr:colOff>1161720</xdr:colOff>
      <xdr:row>5</xdr:row>
      <xdr:rowOff>95040</xdr:rowOff>
    </xdr:to>
    <xdr:pic>
      <xdr:nvPicPr>
        <xdr:cNvPr id="8" name="image1.png" descr="novamarca iff">
          <a:extLst>
            <a:ext uri="{FF2B5EF4-FFF2-40B4-BE49-F238E27FC236}">
              <a16:creationId xmlns="" xmlns:a16="http://schemas.microsoft.com/office/drawing/2014/main" id="{00000000-0008-0000-0900-000008000000}"/>
            </a:ext>
          </a:extLst>
        </xdr:cNvPr>
        <xdr:cNvPicPr/>
      </xdr:nvPicPr>
      <xdr:blipFill>
        <a:blip xmlns:r="http://schemas.openxmlformats.org/officeDocument/2006/relationships" r:embed="rId1" cstate="print"/>
        <a:stretch/>
      </xdr:blipFill>
      <xdr:spPr>
        <a:xfrm>
          <a:off x="66600" y="57240"/>
          <a:ext cx="1095120" cy="942480"/>
        </a:xfrm>
        <a:prstGeom prst="rect">
          <a:avLst/>
        </a:prstGeom>
        <a:ln w="0">
          <a:noFill/>
        </a:ln>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9.xml"/><Relationship Id="rId1" Type="http://schemas.openxmlformats.org/officeDocument/2006/relationships/printerSettings" Target="../printerSettings/printerSettings10.bin"/><Relationship Id="rId4" Type="http://schemas.openxmlformats.org/officeDocument/2006/relationships/comments" Target="../comments4.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1.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040"/>
  <sheetViews>
    <sheetView showGridLines="0" tabSelected="1" topLeftCell="A79" zoomScaleNormal="100" workbookViewId="0">
      <selection activeCell="J7" sqref="J7"/>
    </sheetView>
  </sheetViews>
  <sheetFormatPr defaultColWidth="14.42578125" defaultRowHeight="14.25" x14ac:dyDescent="0.2"/>
  <cols>
    <col min="1" max="1" width="26.7109375" style="1" customWidth="1"/>
    <col min="2" max="2" width="81" style="1" customWidth="1"/>
    <col min="3" max="3" width="23.5703125" style="1" customWidth="1"/>
    <col min="4" max="26" width="8" style="1" customWidth="1"/>
    <col min="27" max="1024" width="14.42578125" style="1"/>
  </cols>
  <sheetData>
    <row r="1" spans="1:3" ht="14.25" customHeight="1" x14ac:dyDescent="0.2">
      <c r="A1" s="326" t="s">
        <v>0</v>
      </c>
      <c r="B1" s="326"/>
      <c r="C1" s="326"/>
    </row>
    <row r="2" spans="1:3" ht="14.25" customHeight="1" x14ac:dyDescent="0.2">
      <c r="A2" s="326" t="s">
        <v>1</v>
      </c>
      <c r="B2" s="326"/>
      <c r="C2" s="326"/>
    </row>
    <row r="3" spans="1:3" ht="14.25" customHeight="1" x14ac:dyDescent="0.2">
      <c r="A3" s="326" t="s">
        <v>2</v>
      </c>
      <c r="B3" s="326"/>
      <c r="C3" s="326"/>
    </row>
    <row r="4" spans="1:3" ht="14.25" customHeight="1" x14ac:dyDescent="0.2">
      <c r="A4" s="326" t="s">
        <v>3</v>
      </c>
      <c r="B4" s="326"/>
      <c r="C4" s="326"/>
    </row>
    <row r="5" spans="1:3" ht="14.25" customHeight="1" x14ac:dyDescent="0.2">
      <c r="A5" s="327" t="s">
        <v>4</v>
      </c>
      <c r="B5" s="327"/>
      <c r="C5" s="327"/>
    </row>
    <row r="6" spans="1:3" ht="12.75" customHeight="1" x14ac:dyDescent="0.2">
      <c r="A6" s="2"/>
      <c r="B6" s="2"/>
    </row>
    <row r="7" spans="1:3" ht="12.75" customHeight="1" x14ac:dyDescent="0.2">
      <c r="A7" s="3" t="s">
        <v>5</v>
      </c>
      <c r="B7" s="328" t="s">
        <v>6</v>
      </c>
      <c r="C7" s="328"/>
    </row>
    <row r="8" spans="1:3" ht="12.75" customHeight="1" x14ac:dyDescent="0.2">
      <c r="A8" s="4" t="s">
        <v>7</v>
      </c>
      <c r="B8" s="328"/>
      <c r="C8" s="328"/>
    </row>
    <row r="9" spans="1:3" ht="12.75" customHeight="1" x14ac:dyDescent="0.2">
      <c r="A9" s="4" t="s">
        <v>8</v>
      </c>
      <c r="B9" s="328"/>
      <c r="C9" s="328"/>
    </row>
    <row r="10" spans="1:3" ht="12.75" customHeight="1" x14ac:dyDescent="0.2">
      <c r="A10" s="5" t="s">
        <v>9</v>
      </c>
      <c r="B10" s="328"/>
      <c r="C10" s="328"/>
    </row>
    <row r="11" spans="1:3" ht="12.75" customHeight="1" x14ac:dyDescent="0.2">
      <c r="A11" s="6" t="s">
        <v>10</v>
      </c>
      <c r="B11" s="329" t="s">
        <v>11</v>
      </c>
      <c r="C11" s="329"/>
    </row>
    <row r="12" spans="1:3" ht="12.75" customHeight="1" x14ac:dyDescent="0.2">
      <c r="A12" s="7" t="s">
        <v>12</v>
      </c>
      <c r="B12" s="330" t="s">
        <v>13</v>
      </c>
      <c r="C12" s="330"/>
    </row>
    <row r="13" spans="1:3" ht="12.75" customHeight="1" x14ac:dyDescent="0.2">
      <c r="A13" s="7" t="s">
        <v>14</v>
      </c>
      <c r="B13" s="331"/>
      <c r="C13" s="331"/>
    </row>
    <row r="14" spans="1:3" ht="12.75" customHeight="1" x14ac:dyDescent="0.2">
      <c r="A14" s="7" t="s">
        <v>15</v>
      </c>
      <c r="B14" s="332" t="s">
        <v>16</v>
      </c>
      <c r="C14" s="332"/>
    </row>
    <row r="15" spans="1:3" ht="12.75" customHeight="1" x14ac:dyDescent="0.2">
      <c r="A15" s="7" t="s">
        <v>17</v>
      </c>
      <c r="B15" s="332" t="s">
        <v>886</v>
      </c>
      <c r="C15" s="332"/>
    </row>
    <row r="16" spans="1:3" ht="12.75" customHeight="1" x14ac:dyDescent="0.2">
      <c r="A16" s="7" t="s">
        <v>18</v>
      </c>
      <c r="B16" s="333" t="s">
        <v>887</v>
      </c>
      <c r="C16" s="333"/>
    </row>
    <row r="17" spans="1:3" ht="12.75" customHeight="1" x14ac:dyDescent="0.2">
      <c r="A17" s="7" t="s">
        <v>19</v>
      </c>
      <c r="B17" s="333" t="s">
        <v>888</v>
      </c>
      <c r="C17" s="333"/>
    </row>
    <row r="18" spans="1:3" ht="12.75" customHeight="1" x14ac:dyDescent="0.2">
      <c r="A18" s="7" t="s">
        <v>20</v>
      </c>
      <c r="B18" s="333" t="s">
        <v>889</v>
      </c>
      <c r="C18" s="333"/>
    </row>
    <row r="19" spans="1:3" ht="12.75" customHeight="1" x14ac:dyDescent="0.2">
      <c r="A19" s="7" t="s">
        <v>21</v>
      </c>
      <c r="B19" s="333" t="s">
        <v>890</v>
      </c>
      <c r="C19" s="333"/>
    </row>
    <row r="20" spans="1:3" ht="15.75" customHeight="1" x14ac:dyDescent="0.2">
      <c r="A20" s="334" t="s">
        <v>22</v>
      </c>
      <c r="B20" s="334"/>
      <c r="C20" s="334"/>
    </row>
    <row r="21" spans="1:3" ht="51" customHeight="1" x14ac:dyDescent="0.2">
      <c r="A21" s="9" t="s">
        <v>23</v>
      </c>
      <c r="B21" s="10" t="s">
        <v>24</v>
      </c>
      <c r="C21" s="11" t="s">
        <v>25</v>
      </c>
    </row>
    <row r="22" spans="1:3" ht="15" customHeight="1" x14ac:dyDescent="0.2">
      <c r="A22" s="335" t="s">
        <v>26</v>
      </c>
      <c r="B22" s="12" t="s">
        <v>27</v>
      </c>
      <c r="C22" s="13">
        <v>1200</v>
      </c>
    </row>
    <row r="23" spans="1:3" ht="15" customHeight="1" x14ac:dyDescent="0.2">
      <c r="A23" s="335"/>
      <c r="B23" s="12" t="s">
        <v>28</v>
      </c>
      <c r="C23" s="13">
        <v>1200</v>
      </c>
    </row>
    <row r="24" spans="1:3" ht="15" customHeight="1" x14ac:dyDescent="0.2">
      <c r="A24" s="335"/>
      <c r="B24" s="12" t="s">
        <v>29</v>
      </c>
      <c r="C24" s="13">
        <v>450</v>
      </c>
    </row>
    <row r="25" spans="1:3" ht="15" customHeight="1" x14ac:dyDescent="0.2">
      <c r="A25" s="335"/>
      <c r="B25" s="12" t="s">
        <v>30</v>
      </c>
      <c r="C25" s="13">
        <v>2500</v>
      </c>
    </row>
    <row r="26" spans="1:3" ht="15" customHeight="1" x14ac:dyDescent="0.2">
      <c r="A26" s="335"/>
      <c r="B26" s="12" t="s">
        <v>31</v>
      </c>
      <c r="C26" s="13">
        <v>1800</v>
      </c>
    </row>
    <row r="27" spans="1:3" ht="15" customHeight="1" x14ac:dyDescent="0.2">
      <c r="A27" s="335"/>
      <c r="B27" s="12" t="s">
        <v>32</v>
      </c>
      <c r="C27" s="13">
        <v>1500</v>
      </c>
    </row>
    <row r="28" spans="1:3" ht="15" customHeight="1" x14ac:dyDescent="0.2">
      <c r="A28" s="335"/>
      <c r="B28" s="12" t="s">
        <v>33</v>
      </c>
      <c r="C28" s="13">
        <v>1200</v>
      </c>
    </row>
    <row r="29" spans="1:3" ht="15" hidden="1" customHeight="1" x14ac:dyDescent="0.2">
      <c r="A29" s="335"/>
      <c r="B29" s="12" t="s">
        <v>34</v>
      </c>
      <c r="C29" s="14">
        <v>800</v>
      </c>
    </row>
    <row r="30" spans="1:3" ht="15" hidden="1" customHeight="1" x14ac:dyDescent="0.2">
      <c r="A30" s="335"/>
      <c r="B30" s="12" t="s">
        <v>35</v>
      </c>
      <c r="C30" s="14">
        <v>450</v>
      </c>
    </row>
    <row r="31" spans="1:3" ht="15" customHeight="1" x14ac:dyDescent="0.2">
      <c r="A31" s="335" t="s">
        <v>36</v>
      </c>
      <c r="B31" s="12" t="s">
        <v>37</v>
      </c>
      <c r="C31" s="13">
        <v>2700</v>
      </c>
    </row>
    <row r="32" spans="1:3" ht="15" hidden="1" customHeight="1" x14ac:dyDescent="0.2">
      <c r="A32" s="335"/>
      <c r="B32" s="15" t="s">
        <v>38</v>
      </c>
      <c r="C32" s="16">
        <v>800</v>
      </c>
    </row>
    <row r="33" spans="1:3" ht="15" hidden="1" customHeight="1" x14ac:dyDescent="0.2">
      <c r="A33" s="335"/>
      <c r="B33" s="15" t="s">
        <v>39</v>
      </c>
      <c r="C33" s="16">
        <v>450</v>
      </c>
    </row>
    <row r="34" spans="1:3" ht="15" customHeight="1" x14ac:dyDescent="0.2">
      <c r="A34" s="335"/>
      <c r="B34" s="12" t="s">
        <v>40</v>
      </c>
      <c r="C34" s="16">
        <v>9000</v>
      </c>
    </row>
    <row r="35" spans="1:3" ht="15" customHeight="1" x14ac:dyDescent="0.2">
      <c r="A35" s="335"/>
      <c r="B35" s="12" t="s">
        <v>41</v>
      </c>
      <c r="C35" s="16">
        <v>2700</v>
      </c>
    </row>
    <row r="36" spans="1:3" ht="15" customHeight="1" x14ac:dyDescent="0.2">
      <c r="A36" s="335"/>
      <c r="B36" s="12" t="s">
        <v>42</v>
      </c>
      <c r="C36" s="16">
        <v>2700</v>
      </c>
    </row>
    <row r="37" spans="1:3" ht="15" customHeight="1" x14ac:dyDescent="0.2">
      <c r="A37" s="335"/>
      <c r="B37" s="12" t="s">
        <v>43</v>
      </c>
      <c r="C37" s="16">
        <v>2700</v>
      </c>
    </row>
    <row r="38" spans="1:3" ht="15" customHeight="1" x14ac:dyDescent="0.2">
      <c r="A38" s="335"/>
      <c r="B38" s="12" t="s">
        <v>44</v>
      </c>
      <c r="C38" s="16">
        <v>100000</v>
      </c>
    </row>
    <row r="39" spans="1:3" ht="15" customHeight="1" x14ac:dyDescent="0.2">
      <c r="A39" s="335" t="s">
        <v>45</v>
      </c>
      <c r="B39" s="12" t="s">
        <v>46</v>
      </c>
      <c r="C39" s="16">
        <v>300</v>
      </c>
    </row>
    <row r="40" spans="1:3" ht="15" customHeight="1" x14ac:dyDescent="0.2">
      <c r="A40" s="335"/>
      <c r="B40" s="15" t="s">
        <v>47</v>
      </c>
      <c r="C40" s="16">
        <v>800</v>
      </c>
    </row>
    <row r="41" spans="1:3" ht="15" customHeight="1" x14ac:dyDescent="0.2">
      <c r="A41" s="335"/>
      <c r="B41" s="15" t="s">
        <v>48</v>
      </c>
      <c r="C41" s="16">
        <v>450</v>
      </c>
    </row>
    <row r="42" spans="1:3" ht="15" customHeight="1" x14ac:dyDescent="0.2">
      <c r="A42" s="335" t="s">
        <v>49</v>
      </c>
      <c r="B42" s="12" t="s">
        <v>50</v>
      </c>
      <c r="C42" s="13">
        <v>160</v>
      </c>
    </row>
    <row r="43" spans="1:3" ht="15" customHeight="1" x14ac:dyDescent="0.2">
      <c r="A43" s="335"/>
      <c r="B43" s="12" t="s">
        <v>51</v>
      </c>
      <c r="C43" s="13">
        <v>380</v>
      </c>
    </row>
    <row r="44" spans="1:3" ht="15" customHeight="1" x14ac:dyDescent="0.2">
      <c r="A44" s="335"/>
      <c r="B44" s="12" t="s">
        <v>52</v>
      </c>
      <c r="C44" s="13">
        <v>380</v>
      </c>
    </row>
    <row r="45" spans="1:3" ht="25.5" customHeight="1" x14ac:dyDescent="0.2">
      <c r="A45" s="10" t="s">
        <v>53</v>
      </c>
      <c r="B45" s="12" t="s">
        <v>54</v>
      </c>
      <c r="C45" s="17">
        <v>160</v>
      </c>
    </row>
    <row r="46" spans="1:3" ht="25.5" customHeight="1" x14ac:dyDescent="0.2">
      <c r="A46" s="10" t="s">
        <v>55</v>
      </c>
      <c r="B46" s="12" t="s">
        <v>56</v>
      </c>
      <c r="C46" s="17">
        <v>450</v>
      </c>
    </row>
    <row r="47" spans="1:3" ht="54.75" customHeight="1" x14ac:dyDescent="0.2">
      <c r="A47" s="336" t="s">
        <v>891</v>
      </c>
      <c r="B47" s="336"/>
      <c r="C47" s="336"/>
    </row>
    <row r="48" spans="1:3" ht="12.75" customHeight="1" x14ac:dyDescent="0.2"/>
    <row r="49" spans="1:26" ht="14.25" customHeight="1" x14ac:dyDescent="0.2">
      <c r="A49" s="337" t="s">
        <v>57</v>
      </c>
      <c r="B49" s="337"/>
      <c r="C49" s="337"/>
      <c r="D49" s="18"/>
      <c r="E49" s="18"/>
      <c r="F49" s="18"/>
      <c r="G49" s="18"/>
      <c r="H49" s="18"/>
      <c r="I49" s="18"/>
      <c r="J49" s="18"/>
      <c r="K49" s="18"/>
      <c r="L49" s="18"/>
      <c r="M49" s="18"/>
      <c r="N49" s="18"/>
      <c r="O49" s="18"/>
      <c r="P49" s="18"/>
      <c r="Q49" s="18"/>
      <c r="R49" s="18"/>
      <c r="S49" s="18"/>
      <c r="T49" s="18"/>
      <c r="U49" s="18"/>
      <c r="V49" s="18"/>
      <c r="W49" s="18"/>
      <c r="X49" s="18"/>
      <c r="Y49" s="18"/>
      <c r="Z49" s="18"/>
    </row>
    <row r="50" spans="1:26" ht="33.75" customHeight="1" x14ac:dyDescent="0.2">
      <c r="A50" s="338" t="s">
        <v>58</v>
      </c>
      <c r="B50" s="338"/>
      <c r="C50" s="338"/>
      <c r="D50" s="18"/>
      <c r="E50" s="18"/>
      <c r="F50" s="18"/>
      <c r="G50" s="18"/>
      <c r="H50" s="18"/>
      <c r="I50" s="18"/>
      <c r="J50" s="18"/>
      <c r="K50" s="18"/>
      <c r="L50" s="18"/>
      <c r="M50" s="18"/>
      <c r="N50" s="18"/>
      <c r="O50" s="18"/>
      <c r="P50" s="18"/>
      <c r="Q50" s="18"/>
      <c r="R50" s="18"/>
      <c r="S50" s="18"/>
      <c r="T50" s="18"/>
      <c r="U50" s="18"/>
      <c r="V50" s="18"/>
      <c r="W50" s="18"/>
      <c r="X50" s="18"/>
      <c r="Y50" s="18"/>
      <c r="Z50" s="18"/>
    </row>
    <row r="51" spans="1:26" ht="15" x14ac:dyDescent="0.2">
      <c r="A51" s="19" t="s">
        <v>59</v>
      </c>
      <c r="B51" s="339">
        <v>1</v>
      </c>
      <c r="C51" s="339"/>
      <c r="D51" s="18"/>
      <c r="E51" s="18"/>
      <c r="F51" s="18"/>
      <c r="G51" s="18"/>
      <c r="H51" s="18"/>
      <c r="I51" s="18"/>
      <c r="J51" s="18"/>
      <c r="K51" s="18"/>
      <c r="L51" s="18"/>
      <c r="M51" s="18"/>
      <c r="N51" s="18"/>
      <c r="O51" s="18"/>
      <c r="P51" s="18"/>
      <c r="Q51" s="18"/>
      <c r="R51" s="18"/>
      <c r="S51" s="18"/>
      <c r="T51" s="18"/>
      <c r="U51" s="18"/>
      <c r="V51" s="18"/>
      <c r="W51" s="18"/>
      <c r="X51" s="18"/>
      <c r="Y51" s="18"/>
      <c r="Z51" s="18"/>
    </row>
    <row r="52" spans="1:26" ht="15" x14ac:dyDescent="0.2">
      <c r="A52" s="20"/>
      <c r="B52" s="20"/>
      <c r="C52" s="20"/>
      <c r="D52" s="18"/>
      <c r="E52" s="18"/>
      <c r="F52" s="18"/>
      <c r="G52" s="18"/>
      <c r="H52" s="18"/>
      <c r="I52" s="18"/>
      <c r="J52" s="18"/>
      <c r="K52" s="18"/>
      <c r="L52" s="18"/>
      <c r="M52" s="18"/>
      <c r="N52" s="18"/>
      <c r="O52" s="18"/>
      <c r="P52" s="18"/>
      <c r="Q52" s="18"/>
      <c r="R52" s="18"/>
      <c r="S52" s="18"/>
      <c r="T52" s="18"/>
      <c r="U52" s="18"/>
      <c r="V52" s="18"/>
      <c r="W52" s="18"/>
      <c r="X52" s="18"/>
      <c r="Y52" s="18"/>
      <c r="Z52" s="18"/>
    </row>
    <row r="53" spans="1:26" ht="14.25" customHeight="1" x14ac:dyDescent="0.2">
      <c r="A53" s="337" t="s">
        <v>60</v>
      </c>
      <c r="B53" s="337"/>
      <c r="C53" s="337"/>
      <c r="D53" s="18"/>
      <c r="E53" s="18"/>
      <c r="F53" s="18"/>
      <c r="G53" s="18"/>
      <c r="H53" s="18"/>
      <c r="I53" s="18"/>
      <c r="J53" s="18"/>
      <c r="K53" s="18"/>
      <c r="L53" s="18"/>
      <c r="M53" s="18"/>
      <c r="N53" s="18"/>
      <c r="O53" s="18"/>
      <c r="P53" s="18"/>
      <c r="Q53" s="18"/>
      <c r="R53" s="18"/>
      <c r="S53" s="18"/>
      <c r="T53" s="18"/>
      <c r="U53" s="18"/>
      <c r="V53" s="18"/>
      <c r="W53" s="18"/>
      <c r="X53" s="18"/>
      <c r="Y53" s="18"/>
      <c r="Z53" s="18"/>
    </row>
    <row r="54" spans="1:26" ht="15" x14ac:dyDescent="0.2">
      <c r="A54" s="9" t="s">
        <v>61</v>
      </c>
      <c r="B54" s="331">
        <f ca="1">TODAY()</f>
        <v>44609</v>
      </c>
      <c r="C54" s="331"/>
      <c r="D54" s="18"/>
      <c r="E54" s="18"/>
      <c r="F54" s="18"/>
      <c r="G54" s="18"/>
      <c r="H54" s="18"/>
      <c r="I54" s="18"/>
      <c r="J54" s="18"/>
      <c r="K54" s="18"/>
      <c r="L54" s="18"/>
      <c r="M54" s="18"/>
      <c r="N54" s="18"/>
      <c r="O54" s="18"/>
      <c r="P54" s="18"/>
      <c r="Q54" s="18"/>
      <c r="R54" s="18"/>
      <c r="S54" s="18"/>
      <c r="T54" s="18"/>
      <c r="U54" s="18"/>
      <c r="V54" s="18"/>
      <c r="W54" s="18"/>
      <c r="X54" s="18"/>
      <c r="Y54" s="18"/>
      <c r="Z54" s="18"/>
    </row>
    <row r="55" spans="1:26" ht="14.1" customHeight="1" x14ac:dyDescent="0.2">
      <c r="A55" s="9" t="s">
        <v>62</v>
      </c>
      <c r="B55" s="340" t="s">
        <v>63</v>
      </c>
      <c r="C55" s="340"/>
      <c r="D55" s="18"/>
      <c r="E55" s="18"/>
      <c r="F55" s="18"/>
      <c r="G55" s="18"/>
      <c r="H55" s="18"/>
      <c r="I55" s="18"/>
      <c r="J55" s="18"/>
      <c r="K55" s="18"/>
      <c r="L55" s="18"/>
      <c r="M55" s="18"/>
      <c r="N55" s="18"/>
      <c r="O55" s="18"/>
      <c r="P55" s="18"/>
      <c r="Q55" s="18"/>
      <c r="R55" s="18"/>
      <c r="S55" s="18"/>
      <c r="T55" s="18"/>
      <c r="U55" s="18"/>
      <c r="V55" s="18"/>
      <c r="W55" s="18"/>
      <c r="X55" s="18"/>
      <c r="Y55" s="18"/>
      <c r="Z55" s="18"/>
    </row>
    <row r="56" spans="1:26" ht="14.1" customHeight="1" x14ac:dyDescent="0.2">
      <c r="A56" s="9" t="s">
        <v>64</v>
      </c>
      <c r="B56" s="340" t="s">
        <v>894</v>
      </c>
      <c r="C56" s="340"/>
      <c r="D56" s="18"/>
      <c r="E56" s="18"/>
      <c r="F56" s="18"/>
      <c r="G56" s="18"/>
      <c r="H56" s="18"/>
      <c r="I56" s="18"/>
      <c r="J56" s="18"/>
      <c r="K56" s="18"/>
      <c r="L56" s="18"/>
      <c r="M56" s="18"/>
      <c r="N56" s="18"/>
      <c r="O56" s="18"/>
      <c r="P56" s="18"/>
      <c r="Q56" s="18"/>
      <c r="R56" s="18"/>
      <c r="S56" s="18"/>
      <c r="T56" s="18"/>
      <c r="U56" s="18"/>
      <c r="V56" s="18"/>
      <c r="W56" s="18"/>
      <c r="X56" s="18"/>
      <c r="Y56" s="18"/>
      <c r="Z56" s="18"/>
    </row>
    <row r="57" spans="1:26" ht="30" x14ac:dyDescent="0.2">
      <c r="A57" s="21" t="s">
        <v>65</v>
      </c>
      <c r="B57" s="339">
        <v>20</v>
      </c>
      <c r="C57" s="339"/>
      <c r="D57" s="18"/>
      <c r="E57" s="18"/>
      <c r="F57" s="18"/>
      <c r="G57" s="18"/>
      <c r="H57" s="18"/>
      <c r="I57" s="18"/>
      <c r="J57" s="18"/>
      <c r="K57" s="18"/>
      <c r="L57" s="18"/>
      <c r="M57" s="18"/>
      <c r="N57" s="18"/>
      <c r="O57" s="18"/>
      <c r="P57" s="18"/>
      <c r="Q57" s="18"/>
      <c r="R57" s="18"/>
      <c r="S57" s="18"/>
      <c r="T57" s="18"/>
      <c r="U57" s="18"/>
      <c r="V57" s="18"/>
      <c r="W57" s="18"/>
      <c r="X57" s="18"/>
      <c r="Y57" s="18"/>
      <c r="Z57" s="18"/>
    </row>
    <row r="58" spans="1:26" ht="15" x14ac:dyDescent="0.2">
      <c r="A58" s="20"/>
      <c r="B58" s="20"/>
      <c r="C58" s="20"/>
      <c r="D58" s="18"/>
      <c r="E58" s="18"/>
      <c r="F58" s="18"/>
      <c r="G58" s="18"/>
      <c r="H58" s="18"/>
      <c r="I58" s="18"/>
      <c r="J58" s="18"/>
      <c r="K58" s="18"/>
      <c r="L58" s="18"/>
      <c r="M58" s="18"/>
      <c r="N58" s="18"/>
      <c r="O58" s="18"/>
      <c r="P58" s="18"/>
      <c r="Q58" s="18"/>
      <c r="R58" s="18"/>
      <c r="S58" s="18"/>
      <c r="T58" s="18"/>
      <c r="U58" s="18"/>
      <c r="V58" s="18"/>
      <c r="W58" s="18"/>
      <c r="X58" s="18"/>
      <c r="Y58" s="18"/>
      <c r="Z58" s="18"/>
    </row>
    <row r="59" spans="1:26" ht="14.25" customHeight="1" x14ac:dyDescent="0.2">
      <c r="A59" s="341" t="s">
        <v>66</v>
      </c>
      <c r="B59" s="341"/>
      <c r="C59" s="341"/>
      <c r="D59" s="18"/>
      <c r="E59" s="18"/>
      <c r="F59" s="18"/>
      <c r="G59" s="18"/>
      <c r="H59" s="18"/>
      <c r="I59" s="18"/>
      <c r="J59" s="18"/>
      <c r="K59" s="18"/>
      <c r="L59" s="18"/>
      <c r="M59" s="18"/>
      <c r="N59" s="18"/>
      <c r="O59" s="18"/>
      <c r="P59" s="18"/>
      <c r="Q59" s="18"/>
      <c r="R59" s="18"/>
      <c r="S59" s="18"/>
      <c r="T59" s="18"/>
      <c r="U59" s="18"/>
      <c r="V59" s="18"/>
      <c r="W59" s="18"/>
      <c r="X59" s="18"/>
      <c r="Y59" s="18"/>
      <c r="Z59" s="18"/>
    </row>
    <row r="60" spans="1:26" ht="15" customHeight="1" x14ac:dyDescent="0.2">
      <c r="A60" s="22" t="s">
        <v>67</v>
      </c>
      <c r="B60" s="342" t="s">
        <v>68</v>
      </c>
      <c r="C60" s="342"/>
      <c r="D60" s="24"/>
      <c r="E60" s="24"/>
      <c r="F60" s="24"/>
      <c r="G60" s="24"/>
      <c r="H60" s="20"/>
      <c r="I60" s="20"/>
      <c r="J60" s="20"/>
      <c r="K60" s="18"/>
      <c r="L60" s="18"/>
      <c r="M60" s="18"/>
      <c r="N60" s="18"/>
      <c r="O60" s="18"/>
      <c r="P60" s="18"/>
      <c r="Q60" s="18"/>
      <c r="R60" s="18"/>
      <c r="S60" s="18"/>
      <c r="T60" s="18"/>
      <c r="U60" s="18"/>
      <c r="V60" s="18"/>
      <c r="W60" s="18"/>
      <c r="X60" s="18"/>
      <c r="Y60" s="18"/>
      <c r="Z60" s="18"/>
    </row>
    <row r="61" spans="1:26" ht="15" customHeight="1" x14ac:dyDescent="0.2">
      <c r="A61" s="343" t="s">
        <v>69</v>
      </c>
      <c r="B61" s="343"/>
      <c r="C61" s="8">
        <v>5143</v>
      </c>
      <c r="D61" s="24"/>
      <c r="E61" s="24"/>
      <c r="F61" s="24"/>
      <c r="G61" s="24"/>
      <c r="H61" s="18"/>
      <c r="I61" s="18"/>
      <c r="J61" s="18"/>
      <c r="K61" s="18"/>
      <c r="L61" s="18"/>
      <c r="M61" s="18"/>
      <c r="N61" s="18"/>
      <c r="O61" s="18"/>
      <c r="P61" s="18"/>
      <c r="Q61" s="18"/>
      <c r="R61" s="18"/>
      <c r="S61" s="18"/>
      <c r="T61" s="18"/>
      <c r="U61" s="18"/>
      <c r="V61" s="18"/>
      <c r="W61" s="18"/>
      <c r="X61" s="18"/>
      <c r="Y61" s="18"/>
      <c r="Z61" s="18"/>
    </row>
    <row r="62" spans="1:26" ht="15" customHeight="1" x14ac:dyDescent="0.2">
      <c r="A62" s="22" t="s">
        <v>70</v>
      </c>
      <c r="B62" s="344" t="s">
        <v>895</v>
      </c>
      <c r="C62" s="344"/>
      <c r="D62" s="24"/>
      <c r="E62" s="24"/>
      <c r="F62" s="24"/>
      <c r="G62" s="24"/>
      <c r="H62" s="18"/>
      <c r="I62" s="18"/>
      <c r="J62" s="18"/>
      <c r="K62" s="18"/>
      <c r="L62" s="18"/>
      <c r="M62" s="18"/>
      <c r="N62" s="18"/>
      <c r="O62" s="18"/>
      <c r="P62" s="18"/>
      <c r="Q62" s="18"/>
      <c r="R62" s="18"/>
      <c r="S62" s="18"/>
      <c r="T62" s="18"/>
      <c r="U62" s="18"/>
      <c r="V62" s="18"/>
      <c r="W62" s="18"/>
      <c r="X62" s="18"/>
      <c r="Y62" s="18"/>
      <c r="Z62" s="18"/>
    </row>
    <row r="63" spans="1:26" ht="15" customHeight="1" x14ac:dyDescent="0.2">
      <c r="A63" s="343" t="s">
        <v>71</v>
      </c>
      <c r="B63" s="343"/>
      <c r="C63" s="25">
        <v>1314.09</v>
      </c>
      <c r="D63" s="24"/>
      <c r="E63" s="24"/>
      <c r="F63" s="24"/>
      <c r="G63" s="24"/>
      <c r="H63" s="18"/>
      <c r="I63" s="18"/>
      <c r="J63" s="18"/>
      <c r="K63" s="18"/>
      <c r="L63" s="18"/>
      <c r="M63" s="18"/>
      <c r="N63" s="18"/>
      <c r="O63" s="18"/>
      <c r="P63" s="18"/>
      <c r="Q63" s="18"/>
      <c r="R63" s="18"/>
      <c r="S63" s="18"/>
      <c r="T63" s="18"/>
      <c r="U63" s="18"/>
      <c r="V63" s="18"/>
      <c r="W63" s="18"/>
      <c r="X63" s="18"/>
      <c r="Y63" s="18"/>
      <c r="Z63" s="18"/>
    </row>
    <row r="64" spans="1:26" ht="30" customHeight="1" x14ac:dyDescent="0.2">
      <c r="A64" s="343" t="s">
        <v>72</v>
      </c>
      <c r="B64" s="343"/>
      <c r="C64" s="23" t="s">
        <v>73</v>
      </c>
      <c r="D64" s="24"/>
      <c r="E64" s="24"/>
      <c r="F64" s="24"/>
      <c r="G64" s="24"/>
      <c r="H64" s="18"/>
      <c r="I64" s="18"/>
      <c r="J64" s="18"/>
      <c r="K64" s="18"/>
      <c r="L64" s="18"/>
      <c r="M64" s="18"/>
      <c r="N64" s="18"/>
      <c r="O64" s="18"/>
      <c r="P64" s="18"/>
      <c r="Q64" s="18"/>
      <c r="R64" s="18"/>
      <c r="S64" s="18"/>
      <c r="T64" s="18"/>
      <c r="U64" s="18"/>
      <c r="V64" s="18"/>
      <c r="W64" s="18"/>
      <c r="X64" s="18"/>
      <c r="Y64" s="18"/>
      <c r="Z64" s="18"/>
    </row>
    <row r="65" spans="1:26" ht="15" customHeight="1" x14ac:dyDescent="0.2">
      <c r="A65" s="345" t="s">
        <v>74</v>
      </c>
      <c r="B65" s="345"/>
      <c r="C65" s="26">
        <v>44562</v>
      </c>
      <c r="D65" s="24"/>
      <c r="E65" s="24"/>
      <c r="F65" s="24"/>
      <c r="G65" s="24"/>
      <c r="H65" s="18"/>
      <c r="I65" s="18"/>
      <c r="J65" s="18"/>
      <c r="K65" s="18"/>
      <c r="L65" s="18"/>
      <c r="M65" s="18"/>
      <c r="N65" s="18"/>
      <c r="O65" s="18"/>
      <c r="P65" s="18"/>
      <c r="Q65" s="18"/>
      <c r="R65" s="18"/>
      <c r="S65" s="18"/>
      <c r="T65" s="18"/>
      <c r="U65" s="18"/>
      <c r="V65" s="18"/>
      <c r="W65" s="18"/>
      <c r="X65" s="18"/>
      <c r="Y65" s="18"/>
      <c r="Z65" s="18"/>
    </row>
    <row r="66" spans="1:26" ht="15" x14ac:dyDescent="0.2">
      <c r="A66" s="20"/>
      <c r="B66" s="20"/>
      <c r="C66" s="20"/>
      <c r="D66" s="18"/>
      <c r="E66" s="18"/>
      <c r="F66" s="18"/>
      <c r="G66" s="18"/>
      <c r="H66" s="18"/>
      <c r="I66" s="18"/>
      <c r="J66" s="18"/>
      <c r="K66" s="18"/>
      <c r="L66" s="18"/>
      <c r="M66" s="18"/>
      <c r="N66" s="18"/>
      <c r="O66" s="18"/>
      <c r="P66" s="18"/>
      <c r="Q66" s="18"/>
      <c r="R66" s="18"/>
      <c r="S66" s="18"/>
      <c r="T66" s="18"/>
      <c r="U66" s="18"/>
      <c r="V66" s="18"/>
      <c r="W66" s="18"/>
      <c r="X66" s="18"/>
      <c r="Y66" s="18"/>
      <c r="Z66" s="18"/>
    </row>
    <row r="67" spans="1:26" ht="14.25" customHeight="1" x14ac:dyDescent="0.2">
      <c r="A67" s="337" t="s">
        <v>75</v>
      </c>
      <c r="B67" s="337"/>
      <c r="C67" s="337"/>
      <c r="D67" s="18"/>
      <c r="E67" s="18"/>
      <c r="F67" s="18"/>
      <c r="G67" s="18"/>
      <c r="H67" s="18"/>
      <c r="I67" s="18"/>
      <c r="J67" s="18"/>
      <c r="K67" s="18"/>
      <c r="L67" s="18"/>
      <c r="M67" s="18"/>
      <c r="N67" s="18"/>
      <c r="O67" s="18"/>
      <c r="P67" s="18"/>
      <c r="Q67" s="18"/>
      <c r="R67" s="18"/>
      <c r="S67" s="18"/>
      <c r="T67" s="18"/>
      <c r="U67" s="18"/>
      <c r="V67" s="18"/>
      <c r="W67" s="18"/>
      <c r="X67" s="18"/>
      <c r="Y67" s="18"/>
      <c r="Z67" s="18"/>
    </row>
    <row r="68" spans="1:26" ht="15" customHeight="1" x14ac:dyDescent="0.2">
      <c r="A68" s="346" t="s">
        <v>76</v>
      </c>
      <c r="B68" s="346"/>
      <c r="C68" s="27">
        <v>44</v>
      </c>
      <c r="D68" s="18"/>
      <c r="E68" s="18"/>
      <c r="F68" s="18"/>
      <c r="G68" s="18"/>
      <c r="H68" s="18"/>
      <c r="I68" s="18"/>
      <c r="J68" s="18"/>
      <c r="K68" s="18"/>
      <c r="L68" s="18"/>
      <c r="M68" s="18"/>
      <c r="N68" s="18"/>
      <c r="O68" s="18"/>
      <c r="P68" s="18"/>
      <c r="Q68" s="18"/>
      <c r="R68" s="18"/>
      <c r="S68" s="18"/>
      <c r="T68" s="18"/>
      <c r="U68" s="18"/>
      <c r="V68" s="18"/>
      <c r="W68" s="18"/>
      <c r="X68" s="18"/>
      <c r="Y68" s="18"/>
      <c r="Z68" s="18"/>
    </row>
    <row r="69" spans="1:26" ht="30" x14ac:dyDescent="0.2">
      <c r="A69" s="9" t="s">
        <v>77</v>
      </c>
      <c r="B69" s="28" t="s">
        <v>896</v>
      </c>
      <c r="C69" s="29"/>
      <c r="D69" s="18"/>
      <c r="E69" s="18"/>
      <c r="F69" s="18"/>
      <c r="G69" s="18"/>
      <c r="H69" s="18"/>
      <c r="I69" s="18"/>
      <c r="J69" s="18"/>
      <c r="K69" s="18"/>
      <c r="L69" s="18"/>
      <c r="M69" s="18"/>
      <c r="N69" s="18"/>
      <c r="O69" s="18"/>
      <c r="P69" s="18"/>
      <c r="Q69" s="18"/>
      <c r="R69" s="18"/>
      <c r="S69" s="18"/>
      <c r="T69" s="18"/>
      <c r="U69" s="18"/>
      <c r="V69" s="18"/>
      <c r="W69" s="18"/>
      <c r="X69" s="18"/>
      <c r="Y69" s="18"/>
      <c r="Z69" s="18"/>
    </row>
    <row r="70" spans="1:26" ht="15" customHeight="1" x14ac:dyDescent="0.2">
      <c r="A70" s="346" t="s">
        <v>78</v>
      </c>
      <c r="B70" s="346"/>
      <c r="C70" s="30">
        <v>0.4</v>
      </c>
      <c r="D70" s="18"/>
      <c r="E70" s="18"/>
      <c r="F70" s="18"/>
      <c r="G70" s="18"/>
      <c r="H70" s="18"/>
      <c r="I70" s="18"/>
      <c r="J70" s="18"/>
      <c r="K70" s="18"/>
      <c r="L70" s="18"/>
      <c r="M70" s="18"/>
      <c r="N70" s="18"/>
      <c r="O70" s="18"/>
      <c r="P70" s="18"/>
      <c r="Q70" s="18"/>
      <c r="R70" s="18"/>
      <c r="S70" s="18"/>
      <c r="T70" s="18"/>
      <c r="U70" s="18"/>
      <c r="V70" s="18"/>
      <c r="W70" s="18"/>
      <c r="X70" s="18"/>
      <c r="Y70" s="18"/>
      <c r="Z70" s="18"/>
    </row>
    <row r="71" spans="1:26" ht="15" customHeight="1" x14ac:dyDescent="0.2">
      <c r="A71" s="347" t="s">
        <v>79</v>
      </c>
      <c r="B71" s="347"/>
      <c r="C71" s="31">
        <v>0.2</v>
      </c>
      <c r="D71" s="18"/>
      <c r="E71" s="18"/>
      <c r="F71" s="18"/>
      <c r="G71" s="18"/>
      <c r="H71" s="18"/>
      <c r="I71" s="18"/>
      <c r="J71" s="18"/>
      <c r="K71" s="18"/>
      <c r="L71" s="18"/>
      <c r="M71" s="18"/>
      <c r="N71" s="18"/>
      <c r="O71" s="18"/>
      <c r="P71" s="18"/>
      <c r="Q71" s="18"/>
      <c r="R71" s="18"/>
      <c r="S71" s="18"/>
      <c r="T71" s="18"/>
      <c r="U71" s="18"/>
      <c r="V71" s="18"/>
      <c r="W71" s="18"/>
      <c r="X71" s="18"/>
      <c r="Y71" s="18"/>
      <c r="Z71" s="18"/>
    </row>
    <row r="72" spans="1:26" ht="15" x14ac:dyDescent="0.2">
      <c r="A72" s="20"/>
      <c r="B72" s="20"/>
      <c r="C72" s="20"/>
      <c r="D72" s="18"/>
      <c r="E72" s="18"/>
      <c r="F72" s="18"/>
      <c r="G72" s="18"/>
      <c r="H72" s="18"/>
      <c r="I72" s="18"/>
      <c r="J72" s="18"/>
      <c r="K72" s="18"/>
      <c r="L72" s="18"/>
      <c r="M72" s="18"/>
      <c r="N72" s="18"/>
      <c r="O72" s="18"/>
      <c r="P72" s="18"/>
      <c r="Q72" s="18"/>
      <c r="R72" s="18"/>
      <c r="S72" s="18"/>
      <c r="T72" s="18"/>
      <c r="U72" s="18"/>
      <c r="V72" s="18"/>
      <c r="W72" s="18"/>
      <c r="X72" s="18"/>
      <c r="Y72" s="18"/>
      <c r="Z72" s="18"/>
    </row>
    <row r="73" spans="1:26" ht="15" customHeight="1" x14ac:dyDescent="0.2">
      <c r="A73" s="337" t="s">
        <v>80</v>
      </c>
      <c r="B73" s="337"/>
      <c r="C73" s="337"/>
      <c r="D73" s="20"/>
      <c r="E73" s="20"/>
      <c r="F73" s="20"/>
      <c r="G73" s="20"/>
      <c r="H73" s="20"/>
      <c r="I73" s="20"/>
      <c r="J73" s="18"/>
      <c r="K73" s="18"/>
      <c r="L73" s="18"/>
      <c r="M73" s="18"/>
      <c r="N73" s="18"/>
      <c r="O73" s="18"/>
      <c r="P73" s="18"/>
      <c r="Q73" s="18"/>
      <c r="R73" s="18"/>
      <c r="S73" s="18"/>
      <c r="T73" s="18"/>
      <c r="U73" s="18"/>
      <c r="V73" s="18"/>
      <c r="W73" s="18"/>
      <c r="X73" s="18"/>
      <c r="Y73" s="18"/>
      <c r="Z73" s="18"/>
    </row>
    <row r="74" spans="1:26" ht="15" x14ac:dyDescent="0.2">
      <c r="A74" s="9" t="s">
        <v>81</v>
      </c>
      <c r="B74" s="348">
        <v>0.03</v>
      </c>
      <c r="C74" s="348"/>
      <c r="D74" s="18"/>
      <c r="E74" s="18"/>
      <c r="F74" s="18"/>
      <c r="G74" s="18"/>
      <c r="H74" s="18"/>
      <c r="I74" s="18"/>
      <c r="J74" s="18"/>
      <c r="K74" s="18"/>
      <c r="L74" s="18"/>
      <c r="M74" s="18"/>
      <c r="N74" s="18"/>
      <c r="O74" s="18"/>
      <c r="P74" s="18"/>
      <c r="Q74" s="18"/>
      <c r="R74" s="18"/>
      <c r="S74" s="18"/>
      <c r="T74" s="18"/>
      <c r="U74" s="18"/>
      <c r="V74" s="18"/>
      <c r="W74" s="18"/>
      <c r="X74" s="18"/>
      <c r="Y74" s="18"/>
      <c r="Z74" s="18"/>
    </row>
    <row r="75" spans="1:26" ht="15" x14ac:dyDescent="0.2">
      <c r="A75" s="21" t="s">
        <v>82</v>
      </c>
      <c r="B75" s="339">
        <v>1</v>
      </c>
      <c r="C75" s="339"/>
      <c r="D75" s="18"/>
      <c r="E75" s="18"/>
      <c r="F75" s="18"/>
      <c r="G75" s="18"/>
      <c r="H75" s="18"/>
      <c r="I75" s="18"/>
      <c r="J75" s="18"/>
      <c r="K75" s="18"/>
      <c r="L75" s="18"/>
      <c r="M75" s="18"/>
      <c r="N75" s="18"/>
      <c r="O75" s="18"/>
      <c r="P75" s="18"/>
      <c r="Q75" s="18"/>
      <c r="R75" s="18"/>
      <c r="S75" s="18"/>
      <c r="T75" s="18"/>
      <c r="U75" s="18"/>
      <c r="V75" s="18"/>
      <c r="W75" s="18"/>
      <c r="X75" s="18"/>
      <c r="Y75" s="18"/>
      <c r="Z75" s="18"/>
    </row>
    <row r="76" spans="1:26" ht="15" x14ac:dyDescent="0.2">
      <c r="A76" s="20"/>
      <c r="B76" s="20"/>
      <c r="C76" s="20"/>
      <c r="D76" s="18"/>
      <c r="E76" s="18"/>
      <c r="F76" s="18"/>
      <c r="G76" s="18"/>
      <c r="H76" s="18"/>
      <c r="I76" s="18"/>
      <c r="J76" s="18"/>
      <c r="K76" s="18"/>
      <c r="L76" s="18"/>
      <c r="M76" s="18"/>
      <c r="N76" s="18"/>
      <c r="O76" s="18"/>
      <c r="P76" s="18"/>
      <c r="Q76" s="18"/>
      <c r="R76" s="18"/>
      <c r="S76" s="18"/>
      <c r="T76" s="18"/>
      <c r="U76" s="18"/>
      <c r="V76" s="18"/>
      <c r="W76" s="18"/>
      <c r="X76" s="18"/>
      <c r="Y76" s="18"/>
      <c r="Z76" s="18"/>
    </row>
    <row r="77" spans="1:26" ht="14.25" customHeight="1" x14ac:dyDescent="0.2">
      <c r="A77" s="349" t="s">
        <v>83</v>
      </c>
      <c r="B77" s="349"/>
      <c r="C77" s="349"/>
      <c r="D77" s="18"/>
      <c r="E77" s="18"/>
      <c r="F77" s="18"/>
      <c r="G77" s="18"/>
      <c r="H77" s="18"/>
      <c r="I77" s="18"/>
      <c r="J77" s="18"/>
      <c r="K77" s="18"/>
      <c r="L77" s="18"/>
      <c r="M77" s="18"/>
      <c r="N77" s="18"/>
      <c r="O77" s="18"/>
      <c r="P77" s="18"/>
      <c r="Q77" s="18"/>
      <c r="R77" s="18"/>
      <c r="S77" s="18"/>
      <c r="T77" s="18"/>
      <c r="U77" s="18"/>
      <c r="V77" s="18"/>
      <c r="W77" s="18"/>
      <c r="X77" s="18"/>
      <c r="Y77" s="18"/>
      <c r="Z77" s="18"/>
    </row>
    <row r="78" spans="1:26" ht="15" customHeight="1" x14ac:dyDescent="0.2">
      <c r="A78" s="343" t="s">
        <v>84</v>
      </c>
      <c r="B78" s="343"/>
      <c r="C78" s="32">
        <v>0.2</v>
      </c>
      <c r="D78" s="24"/>
      <c r="E78" s="24"/>
      <c r="F78" s="24"/>
      <c r="G78" s="24"/>
      <c r="H78" s="18"/>
      <c r="I78" s="18"/>
      <c r="J78" s="18"/>
      <c r="K78" s="18"/>
      <c r="L78" s="18"/>
      <c r="M78" s="18"/>
      <c r="N78" s="18"/>
      <c r="O78" s="18"/>
      <c r="P78" s="18"/>
      <c r="Q78" s="18"/>
      <c r="R78" s="18"/>
      <c r="S78" s="18"/>
      <c r="T78" s="18"/>
      <c r="U78" s="18"/>
      <c r="V78" s="18"/>
      <c r="W78" s="18"/>
      <c r="X78" s="18"/>
      <c r="Y78" s="18"/>
      <c r="Z78" s="18"/>
    </row>
    <row r="79" spans="1:26" ht="15" customHeight="1" x14ac:dyDescent="0.2">
      <c r="A79" s="343" t="s">
        <v>85</v>
      </c>
      <c r="B79" s="343"/>
      <c r="C79" s="32">
        <v>2.5000000000000001E-2</v>
      </c>
      <c r="D79" s="24"/>
      <c r="E79" s="24"/>
      <c r="F79" s="24"/>
      <c r="G79" s="24"/>
      <c r="H79" s="18"/>
      <c r="I79" s="18"/>
      <c r="J79" s="18"/>
      <c r="K79" s="18"/>
      <c r="L79" s="18"/>
      <c r="M79" s="18"/>
      <c r="N79" s="18"/>
      <c r="O79" s="18"/>
      <c r="P79" s="18"/>
      <c r="Q79" s="18"/>
      <c r="R79" s="18"/>
      <c r="S79" s="18"/>
      <c r="T79" s="18"/>
      <c r="U79" s="18"/>
      <c r="V79" s="18"/>
      <c r="W79" s="18"/>
      <c r="X79" s="18"/>
      <c r="Y79" s="18"/>
      <c r="Z79" s="18"/>
    </row>
    <row r="80" spans="1:26" ht="15" customHeight="1" x14ac:dyDescent="0.2">
      <c r="A80" s="343" t="s">
        <v>86</v>
      </c>
      <c r="B80" s="343"/>
      <c r="C80" s="33">
        <f>B74*B75</f>
        <v>0.03</v>
      </c>
      <c r="D80" s="34"/>
      <c r="E80" s="35"/>
      <c r="F80" s="34"/>
      <c r="G80" s="36"/>
      <c r="H80" s="18"/>
      <c r="I80" s="18"/>
      <c r="J80" s="18"/>
      <c r="K80" s="18"/>
      <c r="L80" s="18"/>
      <c r="M80" s="18"/>
      <c r="N80" s="18"/>
      <c r="O80" s="18"/>
      <c r="P80" s="18"/>
      <c r="Q80" s="18"/>
      <c r="R80" s="18"/>
      <c r="S80" s="18"/>
      <c r="T80" s="18"/>
      <c r="U80" s="18"/>
      <c r="V80" s="18"/>
      <c r="W80" s="18"/>
      <c r="X80" s="18"/>
      <c r="Y80" s="18"/>
      <c r="Z80" s="18"/>
    </row>
    <row r="81" spans="1:26" ht="15" customHeight="1" x14ac:dyDescent="0.2">
      <c r="A81" s="343" t="s">
        <v>87</v>
      </c>
      <c r="B81" s="343"/>
      <c r="C81" s="32">
        <v>1.4999999999999999E-2</v>
      </c>
      <c r="D81" s="24"/>
      <c r="E81" s="24"/>
      <c r="F81" s="24"/>
      <c r="G81" s="24"/>
      <c r="H81" s="18"/>
      <c r="I81" s="18"/>
      <c r="J81" s="18"/>
      <c r="K81" s="18"/>
      <c r="L81" s="18"/>
      <c r="M81" s="18"/>
      <c r="N81" s="18"/>
      <c r="O81" s="18"/>
      <c r="P81" s="18"/>
      <c r="Q81" s="18"/>
      <c r="R81" s="18"/>
      <c r="S81" s="18"/>
      <c r="T81" s="18"/>
      <c r="U81" s="18"/>
      <c r="V81" s="18"/>
      <c r="W81" s="18"/>
      <c r="X81" s="18"/>
      <c r="Y81" s="18"/>
      <c r="Z81" s="18"/>
    </row>
    <row r="82" spans="1:26" ht="15" customHeight="1" x14ac:dyDescent="0.2">
      <c r="A82" s="343" t="s">
        <v>88</v>
      </c>
      <c r="B82" s="343"/>
      <c r="C82" s="32">
        <v>0.01</v>
      </c>
      <c r="D82" s="24"/>
      <c r="E82" s="24"/>
      <c r="F82" s="24"/>
      <c r="G82" s="24"/>
      <c r="H82" s="18"/>
      <c r="I82" s="18"/>
      <c r="J82" s="18"/>
      <c r="K82" s="18"/>
      <c r="L82" s="18"/>
      <c r="M82" s="18"/>
      <c r="N82" s="18"/>
      <c r="O82" s="18"/>
      <c r="P82" s="18"/>
      <c r="Q82" s="18"/>
      <c r="R82" s="18"/>
      <c r="S82" s="18"/>
      <c r="T82" s="18"/>
      <c r="U82" s="18"/>
      <c r="V82" s="18"/>
      <c r="W82" s="18"/>
      <c r="X82" s="18"/>
      <c r="Y82" s="18"/>
      <c r="Z82" s="18"/>
    </row>
    <row r="83" spans="1:26" ht="15" customHeight="1" x14ac:dyDescent="0.2">
      <c r="A83" s="343" t="s">
        <v>89</v>
      </c>
      <c r="B83" s="343"/>
      <c r="C83" s="32">
        <v>6.0000000000000001E-3</v>
      </c>
      <c r="D83" s="24"/>
      <c r="E83" s="24"/>
      <c r="F83" s="24"/>
      <c r="G83" s="24"/>
      <c r="H83" s="18"/>
      <c r="I83" s="18"/>
      <c r="J83" s="18"/>
      <c r="K83" s="18"/>
      <c r="L83" s="18"/>
      <c r="M83" s="18"/>
      <c r="N83" s="18"/>
      <c r="O83" s="18"/>
      <c r="P83" s="18"/>
      <c r="Q83" s="18"/>
      <c r="R83" s="18"/>
      <c r="S83" s="18"/>
      <c r="T83" s="18"/>
      <c r="U83" s="18"/>
      <c r="V83" s="18"/>
      <c r="W83" s="18"/>
      <c r="X83" s="18"/>
      <c r="Y83" s="18"/>
      <c r="Z83" s="18"/>
    </row>
    <row r="84" spans="1:26" ht="15" customHeight="1" x14ac:dyDescent="0.2">
      <c r="A84" s="343" t="s">
        <v>90</v>
      </c>
      <c r="B84" s="343"/>
      <c r="C84" s="32">
        <v>2E-3</v>
      </c>
      <c r="D84" s="24"/>
      <c r="E84" s="24"/>
      <c r="F84" s="24"/>
      <c r="G84" s="24"/>
      <c r="H84" s="18"/>
      <c r="I84" s="18"/>
      <c r="J84" s="18"/>
      <c r="K84" s="18"/>
      <c r="L84" s="18"/>
      <c r="M84" s="18"/>
      <c r="N84" s="18"/>
      <c r="O84" s="18"/>
      <c r="P84" s="18"/>
      <c r="Q84" s="18"/>
      <c r="R84" s="18"/>
      <c r="S84" s="18"/>
      <c r="T84" s="18"/>
      <c r="U84" s="18"/>
      <c r="V84" s="18"/>
      <c r="W84" s="18"/>
      <c r="X84" s="18"/>
      <c r="Y84" s="18"/>
      <c r="Z84" s="18"/>
    </row>
    <row r="85" spans="1:26" ht="15" customHeight="1" x14ac:dyDescent="0.2">
      <c r="A85" s="345" t="s">
        <v>91</v>
      </c>
      <c r="B85" s="345"/>
      <c r="C85" s="37">
        <v>0.08</v>
      </c>
      <c r="D85" s="24"/>
      <c r="E85" s="24"/>
      <c r="F85" s="24"/>
      <c r="G85" s="24"/>
    </row>
    <row r="86" spans="1:26" ht="12.75" customHeight="1" x14ac:dyDescent="0.2"/>
    <row r="87" spans="1:26" ht="12.75" customHeight="1" x14ac:dyDescent="0.2">
      <c r="A87" s="337" t="s">
        <v>92</v>
      </c>
      <c r="B87" s="337"/>
      <c r="C87" s="337"/>
    </row>
    <row r="88" spans="1:26" ht="12.75" customHeight="1" x14ac:dyDescent="0.2">
      <c r="A88" s="9" t="s">
        <v>93</v>
      </c>
      <c r="B88" s="350">
        <v>0</v>
      </c>
      <c r="C88" s="350"/>
    </row>
    <row r="89" spans="1:26" ht="12.75" customHeight="1" x14ac:dyDescent="0.2">
      <c r="A89" s="9" t="s">
        <v>94</v>
      </c>
      <c r="B89" s="340">
        <v>2</v>
      </c>
      <c r="C89" s="340"/>
    </row>
    <row r="90" spans="1:26" ht="12.75" customHeight="1" x14ac:dyDescent="0.2">
      <c r="A90" s="9" t="s">
        <v>95</v>
      </c>
      <c r="B90" s="340">
        <v>22</v>
      </c>
      <c r="C90" s="340"/>
    </row>
    <row r="91" spans="1:26" ht="12.75" customHeight="1" x14ac:dyDescent="0.2">
      <c r="A91" s="21" t="s">
        <v>96</v>
      </c>
      <c r="B91" s="351">
        <v>0.06</v>
      </c>
      <c r="C91" s="351"/>
    </row>
    <row r="92" spans="1:26" ht="12.75" customHeight="1" x14ac:dyDescent="0.2"/>
    <row r="93" spans="1:26" ht="12.75" customHeight="1" x14ac:dyDescent="0.2">
      <c r="A93" s="337" t="s">
        <v>97</v>
      </c>
      <c r="B93" s="337"/>
      <c r="C93" s="337"/>
    </row>
    <row r="94" spans="1:26" ht="12.75" customHeight="1" x14ac:dyDescent="0.2">
      <c r="A94" s="9" t="s">
        <v>98</v>
      </c>
      <c r="B94" s="350" t="s">
        <v>897</v>
      </c>
      <c r="C94" s="350"/>
    </row>
    <row r="95" spans="1:26" ht="12.75" customHeight="1" x14ac:dyDescent="0.2">
      <c r="A95" s="9" t="s">
        <v>99</v>
      </c>
      <c r="B95" s="350">
        <v>20.18</v>
      </c>
      <c r="C95" s="350"/>
    </row>
    <row r="96" spans="1:26" ht="12.75" customHeight="1" x14ac:dyDescent="0.2">
      <c r="A96" s="9" t="s">
        <v>100</v>
      </c>
      <c r="B96" s="348">
        <v>0.19</v>
      </c>
      <c r="C96" s="348"/>
    </row>
    <row r="97" spans="1:3" ht="12.75" customHeight="1" x14ac:dyDescent="0.2">
      <c r="A97" s="21" t="s">
        <v>95</v>
      </c>
      <c r="B97" s="339">
        <v>22</v>
      </c>
      <c r="C97" s="339"/>
    </row>
    <row r="98" spans="1:3" ht="12.75" customHeight="1" x14ac:dyDescent="0.2"/>
    <row r="99" spans="1:3" ht="12.75" customHeight="1" x14ac:dyDescent="0.2">
      <c r="A99" s="337" t="s">
        <v>101</v>
      </c>
      <c r="B99" s="337"/>
      <c r="C99" s="337"/>
    </row>
    <row r="100" spans="1:3" ht="12.75" customHeight="1" x14ac:dyDescent="0.2">
      <c r="A100" s="21" t="s">
        <v>98</v>
      </c>
      <c r="B100" s="38" t="s">
        <v>898</v>
      </c>
      <c r="C100" s="39">
        <v>17.32</v>
      </c>
    </row>
    <row r="101" spans="1:3" ht="12.75" customHeight="1" x14ac:dyDescent="0.2"/>
    <row r="102" spans="1:3" ht="14.25" customHeight="1" x14ac:dyDescent="0.2">
      <c r="A102" s="337" t="s">
        <v>102</v>
      </c>
      <c r="B102" s="337"/>
      <c r="C102" s="337"/>
    </row>
    <row r="103" spans="1:3" ht="15" x14ac:dyDescent="0.2">
      <c r="A103" s="9" t="s">
        <v>103</v>
      </c>
      <c r="B103" s="348">
        <v>0.06</v>
      </c>
      <c r="C103" s="348"/>
    </row>
    <row r="104" spans="1:3" ht="15" x14ac:dyDescent="0.2">
      <c r="A104" s="9" t="s">
        <v>104</v>
      </c>
      <c r="B104" s="348">
        <v>6.7900000000000002E-2</v>
      </c>
      <c r="C104" s="348"/>
    </row>
    <row r="105" spans="1:3" ht="15" x14ac:dyDescent="0.2">
      <c r="A105" s="21" t="s">
        <v>105</v>
      </c>
      <c r="B105" s="355">
        <v>0.03</v>
      </c>
      <c r="C105" s="355"/>
    </row>
    <row r="106" spans="1:3" ht="12.75" customHeight="1" x14ac:dyDescent="0.2"/>
    <row r="107" spans="1:3" ht="14.25" customHeight="1" x14ac:dyDescent="0.2">
      <c r="A107" s="337" t="s">
        <v>106</v>
      </c>
      <c r="B107" s="337"/>
      <c r="C107" s="337"/>
    </row>
    <row r="108" spans="1:3" ht="15" x14ac:dyDescent="0.2">
      <c r="A108" s="9" t="s">
        <v>107</v>
      </c>
      <c r="B108" s="348">
        <v>0</v>
      </c>
      <c r="C108" s="348"/>
    </row>
    <row r="109" spans="1:3" ht="15" x14ac:dyDescent="0.2">
      <c r="A109" s="21" t="s">
        <v>108</v>
      </c>
      <c r="B109" s="355">
        <v>0</v>
      </c>
      <c r="C109" s="355"/>
    </row>
    <row r="110" spans="1:3" ht="12.75" customHeight="1" x14ac:dyDescent="0.2"/>
    <row r="111" spans="1:3" ht="12.75" customHeight="1" x14ac:dyDescent="0.2">
      <c r="A111" s="352" t="s">
        <v>109</v>
      </c>
      <c r="B111" s="352"/>
      <c r="C111" s="352"/>
    </row>
    <row r="112" spans="1:3" ht="12.75" customHeight="1" x14ac:dyDescent="0.2">
      <c r="A112" s="40" t="s">
        <v>107</v>
      </c>
      <c r="B112" s="353">
        <v>0</v>
      </c>
      <c r="C112" s="353"/>
    </row>
    <row r="113" spans="1:3" ht="12.75" customHeight="1" x14ac:dyDescent="0.2">
      <c r="A113" s="41" t="s">
        <v>108</v>
      </c>
      <c r="B113" s="354">
        <v>0</v>
      </c>
      <c r="C113" s="354"/>
    </row>
    <row r="114" spans="1:3" ht="12.75" customHeight="1" x14ac:dyDescent="0.2"/>
    <row r="115" spans="1:3" ht="12.75" customHeight="1" x14ac:dyDescent="0.2"/>
    <row r="116" spans="1:3" ht="12.75" customHeight="1" x14ac:dyDescent="0.2"/>
    <row r="117" spans="1:3" ht="12.75" customHeight="1" x14ac:dyDescent="0.2"/>
    <row r="118" spans="1:3" ht="12.75" customHeight="1" x14ac:dyDescent="0.2"/>
    <row r="119" spans="1:3" ht="12.75" customHeight="1" x14ac:dyDescent="0.2"/>
    <row r="120" spans="1:3" ht="12.75" customHeight="1" x14ac:dyDescent="0.2"/>
    <row r="121" spans="1:3" ht="12.75" customHeight="1" x14ac:dyDescent="0.2"/>
    <row r="122" spans="1:3" ht="12.75" customHeight="1" x14ac:dyDescent="0.2"/>
    <row r="123" spans="1:3" ht="12.75" customHeight="1" x14ac:dyDescent="0.2"/>
    <row r="124" spans="1:3" ht="12.75" customHeight="1" x14ac:dyDescent="0.2"/>
    <row r="125" spans="1:3" ht="12.75" customHeight="1" x14ac:dyDescent="0.2"/>
    <row r="126" spans="1:3" ht="12.75" customHeight="1" x14ac:dyDescent="0.2"/>
    <row r="127" spans="1:3" ht="12.75" customHeight="1" x14ac:dyDescent="0.2"/>
    <row r="128" spans="1:3"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row r="1001" ht="12.75" customHeight="1" x14ac:dyDescent="0.2"/>
    <row r="1002" ht="12.75" customHeight="1" x14ac:dyDescent="0.2"/>
    <row r="1003" ht="12.75" customHeight="1" x14ac:dyDescent="0.2"/>
    <row r="1004" ht="12.75" customHeight="1" x14ac:dyDescent="0.2"/>
    <row r="1005" ht="12.75" customHeight="1" x14ac:dyDescent="0.2"/>
    <row r="1006" ht="12.75" customHeight="1" x14ac:dyDescent="0.2"/>
    <row r="1007" ht="12.75" customHeight="1" x14ac:dyDescent="0.2"/>
    <row r="1008" ht="12.75" customHeight="1" x14ac:dyDescent="0.2"/>
    <row r="1009" ht="12.75" customHeight="1" x14ac:dyDescent="0.2"/>
    <row r="1010" ht="12.75" customHeight="1" x14ac:dyDescent="0.2"/>
    <row r="1011" ht="12.75" customHeight="1" x14ac:dyDescent="0.2"/>
    <row r="1012" ht="12.75" customHeight="1" x14ac:dyDescent="0.2"/>
    <row r="1013" ht="12.75" customHeight="1" x14ac:dyDescent="0.2"/>
    <row r="1014" ht="12.75" customHeight="1" x14ac:dyDescent="0.2"/>
    <row r="1015" ht="12.75" customHeight="1" x14ac:dyDescent="0.2"/>
    <row r="1016" ht="12.75" customHeight="1" x14ac:dyDescent="0.2"/>
    <row r="1017" ht="12.75" customHeight="1" x14ac:dyDescent="0.2"/>
    <row r="1018" ht="12.75" customHeight="1" x14ac:dyDescent="0.2"/>
    <row r="1019" ht="12.75" customHeight="1" x14ac:dyDescent="0.2"/>
    <row r="1020" ht="12.75" customHeight="1" x14ac:dyDescent="0.2"/>
    <row r="1021" ht="12.75" customHeight="1" x14ac:dyDescent="0.2"/>
    <row r="1022" ht="12.75" customHeight="1" x14ac:dyDescent="0.2"/>
    <row r="1023" ht="12.75" customHeight="1" x14ac:dyDescent="0.2"/>
    <row r="1024" ht="12.75" customHeight="1" x14ac:dyDescent="0.2"/>
    <row r="1025" ht="12.75" customHeight="1" x14ac:dyDescent="0.2"/>
    <row r="1026" ht="12.75" customHeight="1" x14ac:dyDescent="0.2"/>
    <row r="1027" ht="12.75" customHeight="1" x14ac:dyDescent="0.2"/>
    <row r="1028" ht="12.75" customHeight="1" x14ac:dyDescent="0.2"/>
    <row r="1029" ht="12.75" customHeight="1" x14ac:dyDescent="0.2"/>
    <row r="1030" ht="12.75" customHeight="1" x14ac:dyDescent="0.2"/>
    <row r="1031" ht="12.75" customHeight="1" x14ac:dyDescent="0.2"/>
    <row r="1032" ht="12.75" customHeight="1" x14ac:dyDescent="0.2"/>
    <row r="1033" ht="12.75" customHeight="1" x14ac:dyDescent="0.2"/>
    <row r="1034" ht="12.75" customHeight="1" x14ac:dyDescent="0.2"/>
    <row r="1035" ht="12.75" customHeight="1" x14ac:dyDescent="0.2"/>
    <row r="1036" ht="12.75" customHeight="1" x14ac:dyDescent="0.2"/>
    <row r="1037" ht="12.75" customHeight="1" x14ac:dyDescent="0.2"/>
    <row r="1038" ht="12.75" customHeight="1" x14ac:dyDescent="0.2"/>
    <row r="1039" ht="12.75" customHeight="1" x14ac:dyDescent="0.2"/>
    <row r="1040" ht="12.75" customHeight="1" x14ac:dyDescent="0.2"/>
  </sheetData>
  <mergeCells count="73">
    <mergeCell ref="A111:C111"/>
    <mergeCell ref="B112:C112"/>
    <mergeCell ref="B113:C113"/>
    <mergeCell ref="B104:C104"/>
    <mergeCell ref="B105:C105"/>
    <mergeCell ref="A107:C107"/>
    <mergeCell ref="B108:C108"/>
    <mergeCell ref="B109:C109"/>
    <mergeCell ref="B96:C96"/>
    <mergeCell ref="B97:C97"/>
    <mergeCell ref="A99:C99"/>
    <mergeCell ref="A102:C102"/>
    <mergeCell ref="B103:C103"/>
    <mergeCell ref="B90:C90"/>
    <mergeCell ref="B91:C91"/>
    <mergeCell ref="A93:C93"/>
    <mergeCell ref="B94:C94"/>
    <mergeCell ref="B95:C95"/>
    <mergeCell ref="A84:B84"/>
    <mergeCell ref="A85:B85"/>
    <mergeCell ref="A87:C87"/>
    <mergeCell ref="B88:C88"/>
    <mergeCell ref="B89:C89"/>
    <mergeCell ref="A79:B79"/>
    <mergeCell ref="A80:B80"/>
    <mergeCell ref="A81:B81"/>
    <mergeCell ref="A82:B82"/>
    <mergeCell ref="A83:B83"/>
    <mergeCell ref="A73:C73"/>
    <mergeCell ref="B74:C74"/>
    <mergeCell ref="B75:C75"/>
    <mergeCell ref="A77:C77"/>
    <mergeCell ref="A78:B78"/>
    <mergeCell ref="A65:B65"/>
    <mergeCell ref="A67:C67"/>
    <mergeCell ref="A68:B68"/>
    <mergeCell ref="A70:B70"/>
    <mergeCell ref="A71:B71"/>
    <mergeCell ref="B60:C60"/>
    <mergeCell ref="A61:B61"/>
    <mergeCell ref="B62:C62"/>
    <mergeCell ref="A63:B63"/>
    <mergeCell ref="A64:B64"/>
    <mergeCell ref="B54:C54"/>
    <mergeCell ref="B55:C55"/>
    <mergeCell ref="B56:C56"/>
    <mergeCell ref="B57:C57"/>
    <mergeCell ref="A59:C59"/>
    <mergeCell ref="A47:C47"/>
    <mergeCell ref="A49:C49"/>
    <mergeCell ref="A50:C50"/>
    <mergeCell ref="B51:C51"/>
    <mergeCell ref="A53:C53"/>
    <mergeCell ref="A20:C20"/>
    <mergeCell ref="A22:A30"/>
    <mergeCell ref="A31:A38"/>
    <mergeCell ref="A39:A41"/>
    <mergeCell ref="A42:A44"/>
    <mergeCell ref="B15:C15"/>
    <mergeCell ref="B16:C16"/>
    <mergeCell ref="B17:C17"/>
    <mergeCell ref="B18:C18"/>
    <mergeCell ref="B19:C19"/>
    <mergeCell ref="B7:C10"/>
    <mergeCell ref="B11:C11"/>
    <mergeCell ref="B12:C12"/>
    <mergeCell ref="B13:C13"/>
    <mergeCell ref="B14:C14"/>
    <mergeCell ref="A1:C1"/>
    <mergeCell ref="A2:C2"/>
    <mergeCell ref="A3:C3"/>
    <mergeCell ref="A4:C4"/>
    <mergeCell ref="A5:C5"/>
  </mergeCells>
  <printOptions horizontalCentered="1"/>
  <pageMargins left="0" right="0" top="0.39370078740157483" bottom="0" header="0" footer="0.51181102362204722"/>
  <pageSetup paperSize="9" scale="65" firstPageNumber="0" orientation="portrait" r:id="rId1"/>
  <headerFooter>
    <oddHeader>&amp;R&amp;P de &amp;N</oddHeader>
    <oddFooter>&amp;L&amp;F - &amp;A&amp;CPágina &amp;P de &amp;N</oddFooter>
  </headerFooter>
  <rowBreaks count="1" manualBreakCount="1">
    <brk id="75" max="16383" man="1"/>
  </rowBreaks>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AMJ993"/>
  <sheetViews>
    <sheetView showGridLines="0" view="pageBreakPreview" topLeftCell="A38" zoomScale="60" zoomScaleNormal="100" workbookViewId="0">
      <selection activeCell="J7" sqref="J7"/>
    </sheetView>
  </sheetViews>
  <sheetFormatPr defaultColWidth="14.42578125" defaultRowHeight="14.25" x14ac:dyDescent="0.2"/>
  <cols>
    <col min="1" max="1" width="17.28515625" style="1" customWidth="1"/>
    <col min="2" max="2" width="8" style="1" customWidth="1"/>
    <col min="3" max="3" width="17.28515625" style="1" customWidth="1"/>
    <col min="4" max="7" width="15.42578125" style="1" customWidth="1"/>
    <col min="8" max="8" width="12.28515625" style="1" customWidth="1"/>
    <col min="9" max="10" width="20.42578125" style="1" customWidth="1"/>
    <col min="11" max="11" width="11.42578125" style="1" customWidth="1"/>
    <col min="12" max="12" width="11.7109375" style="1" customWidth="1"/>
    <col min="13" max="26" width="8" style="1" customWidth="1"/>
    <col min="27" max="1024" width="14.42578125" style="1"/>
  </cols>
  <sheetData>
    <row r="1" spans="1:26" ht="14.25" customHeight="1" x14ac:dyDescent="0.2">
      <c r="A1" s="326" t="s">
        <v>0</v>
      </c>
      <c r="B1" s="326"/>
      <c r="C1" s="326"/>
      <c r="D1" s="326"/>
      <c r="E1" s="326"/>
      <c r="F1" s="326"/>
      <c r="G1" s="326"/>
      <c r="H1" s="326"/>
      <c r="I1" s="326"/>
      <c r="J1" s="326"/>
    </row>
    <row r="2" spans="1:26" ht="14.25" customHeight="1" x14ac:dyDescent="0.2">
      <c r="A2" s="326" t="s">
        <v>1</v>
      </c>
      <c r="B2" s="326"/>
      <c r="C2" s="326"/>
      <c r="D2" s="326"/>
      <c r="E2" s="326"/>
      <c r="F2" s="326"/>
      <c r="G2" s="326"/>
      <c r="H2" s="326"/>
      <c r="I2" s="326"/>
      <c r="J2" s="326"/>
    </row>
    <row r="3" spans="1:26" ht="14.25" customHeight="1" x14ac:dyDescent="0.2">
      <c r="A3" s="326" t="s">
        <v>2</v>
      </c>
      <c r="B3" s="326"/>
      <c r="C3" s="326"/>
      <c r="D3" s="326"/>
      <c r="E3" s="326"/>
      <c r="F3" s="326"/>
      <c r="G3" s="326"/>
      <c r="H3" s="326"/>
      <c r="I3" s="326"/>
      <c r="J3" s="326"/>
    </row>
    <row r="4" spans="1:26" ht="15" x14ac:dyDescent="0.2">
      <c r="A4" s="356" t="str">
        <f>'1. SA ABA DE CARREGAMENTO'!A4</f>
        <v>CAMPUS SANTO AUGUSTO</v>
      </c>
      <c r="B4" s="356"/>
      <c r="C4" s="356"/>
      <c r="D4" s="356"/>
      <c r="E4" s="356"/>
      <c r="F4" s="356"/>
      <c r="G4" s="356"/>
      <c r="H4" s="356"/>
      <c r="I4" s="356"/>
      <c r="J4" s="356"/>
    </row>
    <row r="5" spans="1:26" ht="14.25" customHeight="1" x14ac:dyDescent="0.2">
      <c r="A5" s="397" t="s">
        <v>510</v>
      </c>
      <c r="B5" s="397"/>
      <c r="C5" s="397"/>
      <c r="D5" s="397"/>
      <c r="E5" s="397"/>
      <c r="F5" s="397"/>
      <c r="G5" s="397"/>
      <c r="H5" s="397"/>
      <c r="I5" s="397"/>
      <c r="J5" s="397"/>
    </row>
    <row r="6" spans="1:26" ht="9.75" customHeight="1" x14ac:dyDescent="0.2">
      <c r="A6" s="20"/>
      <c r="B6" s="20"/>
      <c r="C6" s="20"/>
      <c r="D6" s="20"/>
      <c r="E6" s="20"/>
      <c r="F6" s="20"/>
      <c r="G6" s="20"/>
      <c r="H6" s="20"/>
      <c r="I6" s="20"/>
      <c r="J6" s="20"/>
      <c r="K6" s="18"/>
      <c r="L6" s="18"/>
      <c r="M6" s="18"/>
      <c r="N6" s="18"/>
      <c r="O6" s="18"/>
      <c r="P6" s="18"/>
      <c r="Q6" s="18"/>
      <c r="R6" s="18"/>
      <c r="S6" s="18"/>
      <c r="T6" s="18"/>
      <c r="U6" s="18"/>
      <c r="V6" s="18"/>
      <c r="W6" s="18"/>
      <c r="X6" s="18"/>
      <c r="Y6" s="18"/>
      <c r="Z6" s="18"/>
    </row>
    <row r="7" spans="1:26" ht="15" x14ac:dyDescent="0.2">
      <c r="A7" s="423" t="str">
        <f>'7. SA Planilha área geral'!A7:J7</f>
        <v>IN/MPDG Nº 05/2017 - Anexo VII-D</v>
      </c>
      <c r="B7" s="423"/>
      <c r="C7" s="423"/>
      <c r="D7" s="423"/>
      <c r="E7" s="423"/>
      <c r="F7" s="423"/>
      <c r="G7" s="423"/>
      <c r="H7" s="423"/>
      <c r="I7" s="423"/>
      <c r="J7" s="423"/>
    </row>
    <row r="8" spans="1:26" ht="9.75" customHeight="1" x14ac:dyDescent="0.2">
      <c r="A8" s="501"/>
      <c r="B8" s="501"/>
      <c r="C8" s="501"/>
      <c r="D8" s="501"/>
      <c r="E8" s="501"/>
      <c r="F8" s="501"/>
      <c r="G8" s="501"/>
      <c r="H8" s="501"/>
      <c r="I8" s="501"/>
      <c r="J8" s="501"/>
      <c r="K8" s="18"/>
      <c r="L8" s="18"/>
      <c r="M8" s="18"/>
      <c r="N8" s="18"/>
      <c r="O8" s="18"/>
      <c r="P8" s="18"/>
      <c r="Q8" s="18"/>
      <c r="R8" s="18"/>
      <c r="S8" s="18"/>
      <c r="T8" s="18"/>
      <c r="U8" s="18"/>
      <c r="V8" s="18"/>
      <c r="W8" s="18"/>
      <c r="X8" s="18"/>
      <c r="Y8" s="18"/>
      <c r="Z8" s="18"/>
    </row>
    <row r="9" spans="1:26" ht="19.5" customHeight="1" x14ac:dyDescent="0.2">
      <c r="A9" s="423" t="s">
        <v>841</v>
      </c>
      <c r="B9" s="423"/>
      <c r="C9" s="423"/>
      <c r="D9" s="424" t="s">
        <v>842</v>
      </c>
      <c r="E9" s="424"/>
      <c r="F9" s="424"/>
      <c r="G9" s="424"/>
      <c r="H9" s="424"/>
      <c r="I9" s="425" t="str">
        <f>'1. SA ABA DE CARREGAMENTO'!A4</f>
        <v>CAMPUS SANTO AUGUSTO</v>
      </c>
      <c r="J9" s="425"/>
    </row>
    <row r="10" spans="1:26" ht="19.5" customHeight="1" x14ac:dyDescent="0.2">
      <c r="A10" s="423"/>
      <c r="B10" s="423"/>
      <c r="C10" s="423"/>
      <c r="D10" s="523" t="s">
        <v>843</v>
      </c>
      <c r="E10" s="523"/>
      <c r="F10" s="523"/>
      <c r="G10" s="192">
        <f>'4. SA Cál DEMO Limpeza Geral'!D26+'5. SA Cál. DEMO Banheiros'!D11+'6. SA Cálc. DEMO Esq. e Fach'!D12</f>
        <v>18582.666881818179</v>
      </c>
      <c r="H10" s="193" t="s">
        <v>515</v>
      </c>
      <c r="I10" s="524" t="s">
        <v>516</v>
      </c>
      <c r="J10" s="524"/>
    </row>
    <row r="11" spans="1:26" ht="25.5" customHeight="1" x14ac:dyDescent="0.2">
      <c r="A11" s="194" t="s">
        <v>517</v>
      </c>
      <c r="B11" s="428" t="str">
        <f>'1. SA ABA DE CARREGAMENTO'!B11</f>
        <v>23243.000810/2021-41</v>
      </c>
      <c r="C11" s="428"/>
      <c r="D11" s="194" t="s">
        <v>518</v>
      </c>
      <c r="E11" s="429" t="str">
        <f>'1. SA ABA DE CARREGAMENTO'!B12</f>
        <v>33 / 2021</v>
      </c>
      <c r="F11" s="429"/>
      <c r="G11" s="194" t="s">
        <v>14</v>
      </c>
      <c r="H11" s="195">
        <f>'1. SA ABA DE CARREGAMENTO'!B13</f>
        <v>0</v>
      </c>
      <c r="I11" s="196" t="s">
        <v>15</v>
      </c>
      <c r="J11" s="197" t="str">
        <f>'1. SA ABA DE CARREGAMENTO'!B14</f>
        <v>09h (Horário de Brasília)</v>
      </c>
    </row>
    <row r="12" spans="1:26" ht="19.5" customHeight="1" x14ac:dyDescent="0.2">
      <c r="A12" s="198" t="s">
        <v>17</v>
      </c>
      <c r="B12" s="430" t="str">
        <f>'1. SA ABA DE CARREGAMENTO'!B15</f>
        <v>xxxx xxxx xxxx</v>
      </c>
      <c r="C12" s="430"/>
      <c r="D12" s="430"/>
      <c r="E12" s="430"/>
      <c r="F12" s="430"/>
      <c r="G12" s="430"/>
      <c r="H12" s="199" t="s">
        <v>519</v>
      </c>
      <c r="I12" s="431" t="str">
        <f>'1. SA ABA DE CARREGAMENTO'!B16</f>
        <v>zz.zzz.zzz/zzzz-zz</v>
      </c>
      <c r="J12" s="431"/>
    </row>
    <row r="13" spans="1:26" ht="19.5" customHeight="1" x14ac:dyDescent="0.2">
      <c r="A13" s="198" t="s">
        <v>520</v>
      </c>
      <c r="B13" s="430" t="str">
        <f>'1. SA ABA DE CARREGAMENTO'!B17</f>
        <v>Nome Completo</v>
      </c>
      <c r="C13" s="430"/>
      <c r="D13" s="430"/>
      <c r="E13" s="198" t="s">
        <v>521</v>
      </c>
      <c r="F13" s="432" t="str">
        <f>'1. SA ABA DE CARREGAMENTO'!B18</f>
        <v>yyy.yyy.yyy-yy</v>
      </c>
      <c r="G13" s="432"/>
      <c r="H13" s="198" t="s">
        <v>522</v>
      </c>
      <c r="I13" s="433" t="str">
        <f>'1. SA ABA DE CARREGAMENTO'!B19</f>
        <v>tttt tttt tttt</v>
      </c>
      <c r="J13" s="433"/>
    </row>
    <row r="14" spans="1:26" ht="15" x14ac:dyDescent="0.2">
      <c r="A14" s="434" t="str">
        <f>IF('1. SA ABA DE CARREGAMENTO'!B15="","PLANILHA CUSTOS E FORMAÇÃO DE PREÇOS DA ADMINISTRAÇÃO DO","")</f>
        <v/>
      </c>
      <c r="B14" s="434"/>
      <c r="C14" s="434"/>
      <c r="D14" s="434"/>
      <c r="E14" s="434"/>
      <c r="F14" s="434"/>
      <c r="G14" s="434"/>
      <c r="H14" s="435" t="str">
        <f>IF('1. SA ABA DE CARREGAMENTO'!B15="",'1. SA ABA DE CARREGAMENTO'!A4,"")</f>
        <v/>
      </c>
      <c r="I14" s="435"/>
      <c r="J14" s="435"/>
    </row>
    <row r="15" spans="1:26" ht="33" customHeight="1" x14ac:dyDescent="0.2">
      <c r="A15" s="436" t="s">
        <v>523</v>
      </c>
      <c r="B15" s="436"/>
      <c r="C15" s="436"/>
      <c r="D15" s="436"/>
      <c r="E15" s="436"/>
      <c r="F15" s="436"/>
      <c r="G15" s="436"/>
      <c r="H15" s="191">
        <f>'1. SA ABA DE CARREGAMENTO'!B51</f>
        <v>1</v>
      </c>
      <c r="I15" s="437" t="str">
        <f>IF(H15=1,"LUCRO REAL",IF(H15=2,"LUCRO PRESUMIDO",IF(H15=3,"SIMPLES-Anexo III",IF(H15=4,"SIMPLES-Anexo IV",IF(H15=5,"LUCRO REAL - PIS/COFINS Não Cumulativo","RT Inválido")))))</f>
        <v>LUCRO REAL</v>
      </c>
      <c r="J15" s="437"/>
    </row>
    <row r="16" spans="1:26" ht="9" customHeight="1" x14ac:dyDescent="0.2">
      <c r="A16" s="20"/>
      <c r="B16" s="20"/>
      <c r="C16" s="20"/>
      <c r="D16" s="20"/>
      <c r="E16" s="20"/>
      <c r="F16" s="20"/>
      <c r="G16" s="20"/>
      <c r="H16" s="20"/>
      <c r="I16" s="20"/>
      <c r="J16" s="20"/>
      <c r="K16" s="18"/>
      <c r="L16" s="18"/>
      <c r="M16" s="18"/>
      <c r="N16" s="18"/>
      <c r="O16" s="18"/>
      <c r="P16" s="18"/>
      <c r="Q16" s="18"/>
      <c r="R16" s="18"/>
      <c r="S16" s="18"/>
      <c r="T16" s="18"/>
      <c r="U16" s="18"/>
      <c r="V16" s="18"/>
      <c r="W16" s="18"/>
      <c r="X16" s="18"/>
      <c r="Y16" s="18"/>
      <c r="Z16" s="18"/>
    </row>
    <row r="17" spans="1:26" ht="20.25" customHeight="1" x14ac:dyDescent="0.2">
      <c r="A17" s="423" t="s">
        <v>524</v>
      </c>
      <c r="B17" s="423"/>
      <c r="C17" s="423"/>
      <c r="D17" s="423"/>
      <c r="E17" s="423"/>
      <c r="F17" s="423"/>
      <c r="G17" s="423"/>
      <c r="H17" s="423"/>
      <c r="I17" s="423"/>
      <c r="J17" s="423"/>
    </row>
    <row r="18" spans="1:26" ht="20.25" customHeight="1" x14ac:dyDescent="0.2">
      <c r="A18" s="200" t="s">
        <v>525</v>
      </c>
      <c r="B18" s="438" t="s">
        <v>526</v>
      </c>
      <c r="C18" s="438"/>
      <c r="D18" s="438"/>
      <c r="E18" s="438"/>
      <c r="F18" s="438"/>
      <c r="G18" s="438"/>
      <c r="H18" s="439">
        <f ca="1">'1. SA ABA DE CARREGAMENTO'!B54</f>
        <v>44609</v>
      </c>
      <c r="I18" s="439"/>
      <c r="J18" s="439"/>
    </row>
    <row r="19" spans="1:26" ht="20.25" customHeight="1" x14ac:dyDescent="0.2">
      <c r="A19" s="200" t="s">
        <v>527</v>
      </c>
      <c r="B19" s="438" t="s">
        <v>62</v>
      </c>
      <c r="C19" s="438"/>
      <c r="D19" s="438"/>
      <c r="E19" s="438"/>
      <c r="F19" s="438"/>
      <c r="G19" s="438"/>
      <c r="H19" s="439" t="str">
        <f>'1. SA ABA DE CARREGAMENTO'!B55</f>
        <v>Santo Augusto/RS</v>
      </c>
      <c r="I19" s="439"/>
      <c r="J19" s="439"/>
    </row>
    <row r="20" spans="1:26" ht="30" customHeight="1" x14ac:dyDescent="0.2">
      <c r="A20" s="200" t="s">
        <v>528</v>
      </c>
      <c r="B20" s="438" t="s">
        <v>529</v>
      </c>
      <c r="C20" s="438"/>
      <c r="D20" s="438"/>
      <c r="E20" s="438"/>
      <c r="F20" s="438"/>
      <c r="G20" s="438"/>
      <c r="H20" s="439" t="str">
        <f>'1. SA ABA DE CARREGAMENTO'!B56</f>
        <v>CCT Sindasseio 2022/2022 - Registro MTE: RS005021/2021</v>
      </c>
      <c r="I20" s="439"/>
      <c r="J20" s="439"/>
    </row>
    <row r="21" spans="1:26" ht="20.25" customHeight="1" x14ac:dyDescent="0.2">
      <c r="A21" s="200" t="s">
        <v>530</v>
      </c>
      <c r="B21" s="438" t="s">
        <v>531</v>
      </c>
      <c r="C21" s="438"/>
      <c r="D21" s="438"/>
      <c r="E21" s="438"/>
      <c r="F21" s="438"/>
      <c r="G21" s="438"/>
      <c r="H21" s="440">
        <f>'1. SA ABA DE CARREGAMENTO'!B57</f>
        <v>20</v>
      </c>
      <c r="I21" s="440"/>
      <c r="J21" s="440"/>
    </row>
    <row r="22" spans="1:26" ht="15" x14ac:dyDescent="0.2">
      <c r="A22" s="20"/>
      <c r="B22" s="20"/>
      <c r="C22" s="20"/>
      <c r="D22" s="20"/>
      <c r="E22" s="20"/>
      <c r="F22" s="20"/>
      <c r="G22" s="20"/>
      <c r="H22" s="20"/>
      <c r="I22" s="20"/>
      <c r="J22" s="20"/>
      <c r="K22" s="18"/>
      <c r="L22" s="18"/>
      <c r="M22" s="18"/>
      <c r="N22" s="18"/>
      <c r="O22" s="18"/>
      <c r="P22" s="18"/>
      <c r="Q22" s="18"/>
      <c r="R22" s="18"/>
      <c r="S22" s="18"/>
      <c r="T22" s="18"/>
      <c r="U22" s="18"/>
      <c r="V22" s="18"/>
      <c r="W22" s="18"/>
      <c r="X22" s="18"/>
      <c r="Y22" s="18"/>
      <c r="Z22" s="18"/>
    </row>
    <row r="23" spans="1:26" ht="20.25" customHeight="1" x14ac:dyDescent="0.2">
      <c r="A23" s="423" t="s">
        <v>532</v>
      </c>
      <c r="B23" s="423"/>
      <c r="C23" s="423"/>
      <c r="D23" s="423"/>
      <c r="E23" s="423"/>
      <c r="F23" s="423"/>
      <c r="G23" s="423"/>
      <c r="H23" s="423"/>
      <c r="I23" s="423"/>
      <c r="J23" s="423"/>
    </row>
    <row r="24" spans="1:26" ht="20.25" customHeight="1" x14ac:dyDescent="0.2">
      <c r="A24" s="423" t="s">
        <v>533</v>
      </c>
      <c r="B24" s="423"/>
      <c r="C24" s="423"/>
      <c r="D24" s="423"/>
      <c r="E24" s="423"/>
      <c r="F24" s="423"/>
      <c r="G24" s="423" t="s">
        <v>534</v>
      </c>
      <c r="H24" s="423"/>
      <c r="I24" s="423" t="s">
        <v>535</v>
      </c>
      <c r="J24" s="423"/>
    </row>
    <row r="25" spans="1:26" ht="20.25" customHeight="1" x14ac:dyDescent="0.2">
      <c r="A25" s="466" t="s">
        <v>844</v>
      </c>
      <c r="B25" s="466"/>
      <c r="C25" s="466"/>
      <c r="D25" s="466"/>
      <c r="E25" s="466"/>
      <c r="F25" s="466"/>
      <c r="G25" s="423" t="s">
        <v>845</v>
      </c>
      <c r="H25" s="423"/>
      <c r="I25" s="423">
        <v>1</v>
      </c>
      <c r="J25" s="423"/>
    </row>
    <row r="26" spans="1:26" ht="9.75" customHeight="1" x14ac:dyDescent="0.2">
      <c r="A26" s="540"/>
      <c r="B26" s="540"/>
      <c r="C26" s="540"/>
      <c r="D26" s="540"/>
      <c r="E26" s="540"/>
      <c r="F26" s="540"/>
      <c r="G26" s="540"/>
      <c r="H26" s="540"/>
      <c r="I26" s="540"/>
      <c r="J26" s="540"/>
    </row>
    <row r="27" spans="1:26" ht="18" customHeight="1" x14ac:dyDescent="0.2">
      <c r="A27" s="423" t="s">
        <v>561</v>
      </c>
      <c r="B27" s="423"/>
      <c r="C27" s="423"/>
      <c r="D27" s="423"/>
      <c r="E27" s="423"/>
      <c r="F27" s="423"/>
      <c r="G27" s="423"/>
      <c r="H27" s="423"/>
      <c r="I27" s="423"/>
      <c r="J27" s="423"/>
    </row>
    <row r="28" spans="1:26" ht="18" customHeight="1" x14ac:dyDescent="0.2">
      <c r="A28" s="423" t="s">
        <v>562</v>
      </c>
      <c r="B28" s="423"/>
      <c r="C28" s="423"/>
      <c r="D28" s="423"/>
      <c r="E28" s="423"/>
      <c r="F28" s="423"/>
      <c r="G28" s="423"/>
      <c r="H28" s="423"/>
      <c r="I28" s="423"/>
      <c r="J28" s="423"/>
    </row>
    <row r="29" spans="1:26" ht="18" customHeight="1" x14ac:dyDescent="0.2">
      <c r="A29" s="423" t="s">
        <v>563</v>
      </c>
      <c r="B29" s="423"/>
      <c r="C29" s="423"/>
      <c r="D29" s="423"/>
      <c r="E29" s="423"/>
      <c r="F29" s="423"/>
      <c r="G29" s="423"/>
      <c r="H29" s="423"/>
      <c r="I29" s="423"/>
      <c r="J29" s="423"/>
    </row>
    <row r="30" spans="1:26" ht="18" customHeight="1" x14ac:dyDescent="0.2">
      <c r="A30" s="203">
        <v>1</v>
      </c>
      <c r="B30" s="450" t="s">
        <v>67</v>
      </c>
      <c r="C30" s="450"/>
      <c r="D30" s="450"/>
      <c r="E30" s="450"/>
      <c r="F30" s="450"/>
      <c r="G30" s="450"/>
      <c r="H30" s="451" t="str">
        <f>'1. SA ABA DE CARREGAMENTO'!B60</f>
        <v>Limpeza, Asseio e Conservação</v>
      </c>
      <c r="I30" s="451"/>
      <c r="J30" s="451"/>
    </row>
    <row r="31" spans="1:26" ht="18" customHeight="1" x14ac:dyDescent="0.2">
      <c r="A31" s="203">
        <v>2</v>
      </c>
      <c r="B31" s="450" t="s">
        <v>69</v>
      </c>
      <c r="C31" s="450"/>
      <c r="D31" s="450"/>
      <c r="E31" s="450"/>
      <c r="F31" s="450"/>
      <c r="G31" s="450"/>
      <c r="H31" s="451">
        <f>'1. SA ABA DE CARREGAMENTO'!C61</f>
        <v>5143</v>
      </c>
      <c r="I31" s="451"/>
      <c r="J31" s="451"/>
    </row>
    <row r="32" spans="1:26" ht="18" customHeight="1" x14ac:dyDescent="0.2">
      <c r="A32" s="203">
        <v>3</v>
      </c>
      <c r="B32" s="450" t="s">
        <v>71</v>
      </c>
      <c r="C32" s="450"/>
      <c r="D32" s="450"/>
      <c r="E32" s="450"/>
      <c r="F32" s="450"/>
      <c r="G32" s="450"/>
      <c r="H32" s="452">
        <f>'1. SA ABA DE CARREGAMENTO'!C63</f>
        <v>1314.09</v>
      </c>
      <c r="I32" s="452"/>
      <c r="J32" s="452"/>
    </row>
    <row r="33" spans="1:10" ht="18" customHeight="1" x14ac:dyDescent="0.2">
      <c r="A33" s="203">
        <v>4</v>
      </c>
      <c r="B33" s="450" t="s">
        <v>72</v>
      </c>
      <c r="C33" s="450"/>
      <c r="D33" s="450"/>
      <c r="E33" s="450"/>
      <c r="F33" s="450"/>
      <c r="G33" s="450"/>
      <c r="H33" s="451" t="str">
        <f>'1. SA ABA DE CARREGAMENTO'!C64</f>
        <v>Servente de Limpeza</v>
      </c>
      <c r="I33" s="451"/>
      <c r="J33" s="451"/>
    </row>
    <row r="34" spans="1:10" ht="18" customHeight="1" x14ac:dyDescent="0.2">
      <c r="A34" s="203">
        <v>5</v>
      </c>
      <c r="B34" s="450" t="s">
        <v>74</v>
      </c>
      <c r="C34" s="450"/>
      <c r="D34" s="450"/>
      <c r="E34" s="450"/>
      <c r="F34" s="450"/>
      <c r="G34" s="450"/>
      <c r="H34" s="453">
        <f>'1. SA ABA DE CARREGAMENTO'!C65</f>
        <v>44562</v>
      </c>
      <c r="I34" s="453"/>
      <c r="J34" s="453"/>
    </row>
    <row r="35" spans="1:10" ht="18" customHeight="1" x14ac:dyDescent="0.2">
      <c r="A35" s="204" t="s">
        <v>564</v>
      </c>
      <c r="B35" s="454" t="s">
        <v>565</v>
      </c>
      <c r="C35" s="454"/>
      <c r="D35" s="454"/>
      <c r="E35" s="454"/>
      <c r="F35" s="454"/>
      <c r="G35" s="454"/>
      <c r="H35" s="454"/>
      <c r="I35" s="454"/>
      <c r="J35" s="454"/>
    </row>
    <row r="36" spans="1:10" x14ac:dyDescent="0.2">
      <c r="A36" s="526"/>
      <c r="B36" s="526"/>
      <c r="C36" s="526"/>
      <c r="D36" s="526"/>
      <c r="E36" s="526"/>
      <c r="F36" s="526"/>
      <c r="G36" s="526"/>
      <c r="H36" s="526"/>
      <c r="I36" s="526"/>
      <c r="J36" s="526"/>
    </row>
    <row r="37" spans="1:10" ht="21" customHeight="1" x14ac:dyDescent="0.2">
      <c r="A37" s="423" t="s">
        <v>566</v>
      </c>
      <c r="B37" s="423"/>
      <c r="C37" s="423"/>
      <c r="D37" s="423"/>
      <c r="E37" s="423"/>
      <c r="F37" s="423"/>
      <c r="G37" s="423"/>
      <c r="H37" s="423"/>
      <c r="I37" s="423"/>
      <c r="J37" s="423"/>
    </row>
    <row r="38" spans="1:10" ht="21" customHeight="1" x14ac:dyDescent="0.2">
      <c r="A38" s="191">
        <v>1</v>
      </c>
      <c r="B38" s="423" t="s">
        <v>567</v>
      </c>
      <c r="C38" s="423"/>
      <c r="D38" s="423"/>
      <c r="E38" s="423"/>
      <c r="F38" s="423"/>
      <c r="G38" s="423"/>
      <c r="H38" s="423"/>
      <c r="I38" s="206" t="s">
        <v>568</v>
      </c>
      <c r="J38" s="191" t="s">
        <v>569</v>
      </c>
    </row>
    <row r="39" spans="1:10" ht="30.75" customHeight="1" x14ac:dyDescent="0.2">
      <c r="A39" s="200" t="s">
        <v>525</v>
      </c>
      <c r="B39" s="455" t="s">
        <v>570</v>
      </c>
      <c r="C39" s="455"/>
      <c r="D39" s="455"/>
      <c r="E39" s="207">
        <f>'1. SA ABA DE CARREGAMENTO'!C68</f>
        <v>44</v>
      </c>
      <c r="F39" s="208" t="s">
        <v>571</v>
      </c>
      <c r="G39" s="456" t="str">
        <f>'1. SA ABA DE CARREGAMENTO'!B62</f>
        <v>Cláusula Quarta da CCT 2022/2022</v>
      </c>
      <c r="H39" s="456"/>
      <c r="I39" s="456"/>
      <c r="J39" s="209">
        <f>H32/44*'1. SA ABA DE CARREGAMENTO'!C68</f>
        <v>1314.09</v>
      </c>
    </row>
    <row r="40" spans="1:10" ht="29.25" customHeight="1" x14ac:dyDescent="0.2">
      <c r="A40" s="200" t="s">
        <v>527</v>
      </c>
      <c r="B40" s="455" t="s">
        <v>572</v>
      </c>
      <c r="C40" s="455"/>
      <c r="D40" s="456" t="str">
        <f>'1. SA ABA DE CARREGAMENTO'!B69</f>
        <v>Cláusula Décima Sétima da CCT 2022/2022</v>
      </c>
      <c r="E40" s="456"/>
      <c r="F40" s="456"/>
      <c r="G40" s="456"/>
      <c r="H40" s="456"/>
      <c r="I40" s="210">
        <f>'1. SA ABA DE CARREGAMENTO'!C71</f>
        <v>0.2</v>
      </c>
      <c r="J40" s="209">
        <f>ROUND(I40*J39,2)</f>
        <v>262.82</v>
      </c>
    </row>
    <row r="41" spans="1:10" ht="21" customHeight="1" x14ac:dyDescent="0.2">
      <c r="A41" s="200" t="s">
        <v>528</v>
      </c>
      <c r="B41" s="438" t="s">
        <v>573</v>
      </c>
      <c r="C41" s="438"/>
      <c r="D41" s="438"/>
      <c r="E41" s="438"/>
      <c r="F41" s="438"/>
      <c r="G41" s="438"/>
      <c r="H41" s="438"/>
      <c r="I41" s="438"/>
      <c r="J41" s="209">
        <v>0</v>
      </c>
    </row>
    <row r="42" spans="1:10" ht="21" customHeight="1" x14ac:dyDescent="0.2">
      <c r="A42" s="457" t="s">
        <v>574</v>
      </c>
      <c r="B42" s="457"/>
      <c r="C42" s="457"/>
      <c r="D42" s="457"/>
      <c r="E42" s="457"/>
      <c r="F42" s="457"/>
      <c r="G42" s="457"/>
      <c r="H42" s="457"/>
      <c r="I42" s="457"/>
      <c r="J42" s="211">
        <f>SUM(J39:J41)</f>
        <v>1576.9099999999999</v>
      </c>
    </row>
    <row r="43" spans="1:10" ht="14.25" customHeight="1" x14ac:dyDescent="0.2">
      <c r="A43" s="212" t="s">
        <v>575</v>
      </c>
      <c r="B43" s="458" t="s">
        <v>778</v>
      </c>
      <c r="C43" s="458"/>
      <c r="D43" s="458"/>
      <c r="E43" s="458"/>
      <c r="F43" s="458"/>
      <c r="G43" s="458"/>
      <c r="H43" s="458"/>
      <c r="I43" s="458"/>
      <c r="J43" s="458"/>
    </row>
    <row r="44" spans="1:10" ht="15" x14ac:dyDescent="0.2">
      <c r="A44" s="530"/>
      <c r="B44" s="530"/>
      <c r="C44" s="530"/>
      <c r="D44" s="530"/>
      <c r="E44" s="530"/>
      <c r="F44" s="530"/>
      <c r="G44" s="530"/>
      <c r="H44" s="530"/>
      <c r="I44" s="530"/>
      <c r="J44" s="530"/>
    </row>
    <row r="45" spans="1:10" ht="21.75" customHeight="1" x14ac:dyDescent="0.2">
      <c r="A45" s="423" t="s">
        <v>577</v>
      </c>
      <c r="B45" s="423"/>
      <c r="C45" s="423"/>
      <c r="D45" s="423"/>
      <c r="E45" s="423"/>
      <c r="F45" s="423"/>
      <c r="G45" s="423"/>
      <c r="H45" s="423"/>
      <c r="I45" s="423"/>
      <c r="J45" s="423"/>
    </row>
    <row r="46" spans="1:10" ht="21.75" customHeight="1" x14ac:dyDescent="0.2">
      <c r="A46" s="191" t="s">
        <v>578</v>
      </c>
      <c r="B46" s="423" t="s">
        <v>579</v>
      </c>
      <c r="C46" s="423"/>
      <c r="D46" s="423"/>
      <c r="E46" s="423"/>
      <c r="F46" s="423"/>
      <c r="G46" s="423"/>
      <c r="H46" s="423"/>
      <c r="I46" s="423"/>
      <c r="J46" s="191" t="s">
        <v>580</v>
      </c>
    </row>
    <row r="47" spans="1:10" ht="21.75" customHeight="1" x14ac:dyDescent="0.2">
      <c r="A47" s="200" t="s">
        <v>525</v>
      </c>
      <c r="B47" s="438" t="s">
        <v>581</v>
      </c>
      <c r="C47" s="438"/>
      <c r="D47" s="438"/>
      <c r="E47" s="438"/>
      <c r="F47" s="438"/>
      <c r="G47" s="438"/>
      <c r="H47" s="438"/>
      <c r="I47" s="438"/>
      <c r="J47" s="213">
        <f>ROUND(J42/12,2)</f>
        <v>131.41</v>
      </c>
    </row>
    <row r="48" spans="1:10" ht="21.75" customHeight="1" x14ac:dyDescent="0.2">
      <c r="A48" s="200" t="s">
        <v>527</v>
      </c>
      <c r="B48" s="459" t="s">
        <v>892</v>
      </c>
      <c r="C48" s="459"/>
      <c r="D48" s="459"/>
      <c r="E48" s="459"/>
      <c r="F48" s="459"/>
      <c r="G48" s="459"/>
      <c r="H48" s="459"/>
      <c r="I48" s="459"/>
      <c r="J48" s="213">
        <f>ROUND(J42*3.025%,2)</f>
        <v>47.7</v>
      </c>
    </row>
    <row r="49" spans="1:10" ht="21.75" customHeight="1" x14ac:dyDescent="0.2">
      <c r="A49" s="457" t="s">
        <v>582</v>
      </c>
      <c r="B49" s="457"/>
      <c r="C49" s="457"/>
      <c r="D49" s="457"/>
      <c r="E49" s="457"/>
      <c r="F49" s="457"/>
      <c r="G49" s="457"/>
      <c r="H49" s="457"/>
      <c r="I49" s="457"/>
      <c r="J49" s="214">
        <f>SUM(J47:J48)</f>
        <v>179.11</v>
      </c>
    </row>
    <row r="50" spans="1:10" ht="30.75" customHeight="1" x14ac:dyDescent="0.2">
      <c r="A50" s="212" t="s">
        <v>583</v>
      </c>
      <c r="B50" s="458" t="s">
        <v>584</v>
      </c>
      <c r="C50" s="458"/>
      <c r="D50" s="458"/>
      <c r="E50" s="458"/>
      <c r="F50" s="458"/>
      <c r="G50" s="458"/>
      <c r="H50" s="458"/>
      <c r="I50" s="458"/>
      <c r="J50" s="458"/>
    </row>
    <row r="51" spans="1:10" ht="15" x14ac:dyDescent="0.2">
      <c r="A51" s="528"/>
      <c r="B51" s="528"/>
      <c r="C51" s="528"/>
      <c r="D51" s="528"/>
      <c r="E51" s="528"/>
      <c r="F51" s="528"/>
      <c r="G51" s="528"/>
      <c r="H51" s="528"/>
      <c r="I51" s="528"/>
      <c r="J51" s="215"/>
    </row>
    <row r="52" spans="1:10" ht="42" customHeight="1" x14ac:dyDescent="0.2">
      <c r="A52" s="191" t="s">
        <v>585</v>
      </c>
      <c r="B52" s="423" t="s">
        <v>846</v>
      </c>
      <c r="C52" s="423"/>
      <c r="D52" s="423"/>
      <c r="E52" s="423"/>
      <c r="F52" s="423"/>
      <c r="G52" s="423"/>
      <c r="H52" s="423"/>
      <c r="I52" s="423"/>
      <c r="J52" s="423"/>
    </row>
    <row r="53" spans="1:10" ht="22.5" customHeight="1" x14ac:dyDescent="0.2">
      <c r="A53" s="191"/>
      <c r="B53" s="423" t="s">
        <v>587</v>
      </c>
      <c r="C53" s="423"/>
      <c r="D53" s="423"/>
      <c r="E53" s="423"/>
      <c r="F53" s="423"/>
      <c r="G53" s="423"/>
      <c r="H53" s="423"/>
      <c r="I53" s="191" t="s">
        <v>568</v>
      </c>
      <c r="J53" s="191" t="s">
        <v>580</v>
      </c>
    </row>
    <row r="54" spans="1:10" ht="22.5" customHeight="1" x14ac:dyDescent="0.2">
      <c r="A54" s="200" t="s">
        <v>525</v>
      </c>
      <c r="B54" s="438" t="s">
        <v>84</v>
      </c>
      <c r="C54" s="438"/>
      <c r="D54" s="438"/>
      <c r="E54" s="438"/>
      <c r="F54" s="438"/>
      <c r="G54" s="438"/>
      <c r="H54" s="438"/>
      <c r="I54" s="216">
        <f>'1. SA ABA DE CARREGAMENTO'!C78</f>
        <v>0.2</v>
      </c>
      <c r="J54" s="213">
        <f>ROUND((J42+J49)*I54,2)</f>
        <v>351.2</v>
      </c>
    </row>
    <row r="55" spans="1:10" ht="22.5" customHeight="1" x14ac:dyDescent="0.2">
      <c r="A55" s="200" t="s">
        <v>527</v>
      </c>
      <c r="B55" s="438" t="s">
        <v>85</v>
      </c>
      <c r="C55" s="438"/>
      <c r="D55" s="438"/>
      <c r="E55" s="438"/>
      <c r="F55" s="438"/>
      <c r="G55" s="438"/>
      <c r="H55" s="438"/>
      <c r="I55" s="216">
        <f>IF($H$15=1,'1. SA ABA DE CARREGAMENTO'!C79,IF($H$15=2,'1. SA ABA DE CARREGAMENTO'!C79,0))</f>
        <v>2.5000000000000001E-2</v>
      </c>
      <c r="J55" s="213">
        <f>ROUND((J42+J49)*I55,2)</f>
        <v>43.9</v>
      </c>
    </row>
    <row r="56" spans="1:10" ht="36" customHeight="1" x14ac:dyDescent="0.2">
      <c r="A56" s="200" t="s">
        <v>528</v>
      </c>
      <c r="B56" s="438" t="s">
        <v>86</v>
      </c>
      <c r="C56" s="438"/>
      <c r="D56" s="438"/>
      <c r="E56" s="201" t="s">
        <v>588</v>
      </c>
      <c r="F56" s="216">
        <f>'1. SA ABA DE CARREGAMENTO'!$B$74</f>
        <v>0.03</v>
      </c>
      <c r="G56" s="201" t="s">
        <v>589</v>
      </c>
      <c r="H56" s="217">
        <f>'1. SA ABA DE CARREGAMENTO'!$B$75</f>
        <v>1</v>
      </c>
      <c r="I56" s="216">
        <f>'1. SA ABA DE CARREGAMENTO'!C80</f>
        <v>0.03</v>
      </c>
      <c r="J56" s="213">
        <f>ROUND((J42+J49)*I56,2)</f>
        <v>52.68</v>
      </c>
    </row>
    <row r="57" spans="1:10" ht="22.5" customHeight="1" x14ac:dyDescent="0.2">
      <c r="A57" s="200" t="s">
        <v>530</v>
      </c>
      <c r="B57" s="438" t="s">
        <v>87</v>
      </c>
      <c r="C57" s="438"/>
      <c r="D57" s="438"/>
      <c r="E57" s="438"/>
      <c r="F57" s="438"/>
      <c r="G57" s="438"/>
      <c r="H57" s="438"/>
      <c r="I57" s="216">
        <f>IF($H$15=1,'1. SA ABA DE CARREGAMENTO'!C81,IF($H$15=2,'1. SA ABA DE CARREGAMENTO'!C81,0))</f>
        <v>1.4999999999999999E-2</v>
      </c>
      <c r="J57" s="213">
        <f>ROUND((J42+J49)*I57,2)</f>
        <v>26.34</v>
      </c>
    </row>
    <row r="58" spans="1:10" ht="22.5" customHeight="1" x14ac:dyDescent="0.2">
      <c r="A58" s="200" t="s">
        <v>590</v>
      </c>
      <c r="B58" s="438" t="s">
        <v>88</v>
      </c>
      <c r="C58" s="438"/>
      <c r="D58" s="438"/>
      <c r="E58" s="438"/>
      <c r="F58" s="438"/>
      <c r="G58" s="438"/>
      <c r="H58" s="438"/>
      <c r="I58" s="216">
        <f>IF($H$15=1,'1. SA ABA DE CARREGAMENTO'!C82,IF($H$15=2,'1. SA ABA DE CARREGAMENTO'!C82,0))</f>
        <v>0.01</v>
      </c>
      <c r="J58" s="213">
        <f>ROUND((J42+J49)*I58,2)</f>
        <v>17.559999999999999</v>
      </c>
    </row>
    <row r="59" spans="1:10" ht="22.5" customHeight="1" x14ac:dyDescent="0.2">
      <c r="A59" s="200" t="s">
        <v>591</v>
      </c>
      <c r="B59" s="438" t="s">
        <v>89</v>
      </c>
      <c r="C59" s="438"/>
      <c r="D59" s="438"/>
      <c r="E59" s="438"/>
      <c r="F59" s="438"/>
      <c r="G59" s="438"/>
      <c r="H59" s="438"/>
      <c r="I59" s="216">
        <f>IF($H$15=1,'1. SA ABA DE CARREGAMENTO'!C83,IF($H$15=2,'1. SA ABA DE CARREGAMENTO'!C83,0))</f>
        <v>6.0000000000000001E-3</v>
      </c>
      <c r="J59" s="213">
        <f>ROUND((J42+J49)*I59,2)</f>
        <v>10.54</v>
      </c>
    </row>
    <row r="60" spans="1:10" ht="22.5" customHeight="1" x14ac:dyDescent="0.2">
      <c r="A60" s="200" t="s">
        <v>592</v>
      </c>
      <c r="B60" s="438" t="s">
        <v>90</v>
      </c>
      <c r="C60" s="438"/>
      <c r="D60" s="438"/>
      <c r="E60" s="438"/>
      <c r="F60" s="438"/>
      <c r="G60" s="438"/>
      <c r="H60" s="438"/>
      <c r="I60" s="216">
        <f>IF($H$15=1,'1. SA ABA DE CARREGAMENTO'!C84,IF($H$15=2,'1. SA ABA DE CARREGAMENTO'!C84,0))</f>
        <v>2E-3</v>
      </c>
      <c r="J60" s="213">
        <f>ROUND((J42+J49)*I60,2)</f>
        <v>3.51</v>
      </c>
    </row>
    <row r="61" spans="1:10" ht="22.5" customHeight="1" x14ac:dyDescent="0.2">
      <c r="A61" s="200" t="s">
        <v>593</v>
      </c>
      <c r="B61" s="438" t="s">
        <v>91</v>
      </c>
      <c r="C61" s="438"/>
      <c r="D61" s="438"/>
      <c r="E61" s="438"/>
      <c r="F61" s="438"/>
      <c r="G61" s="438"/>
      <c r="H61" s="438"/>
      <c r="I61" s="216">
        <f>'1. SA ABA DE CARREGAMENTO'!C85</f>
        <v>0.08</v>
      </c>
      <c r="J61" s="213">
        <f>ROUND((J42+J49)*I61,2)</f>
        <v>140.47999999999999</v>
      </c>
    </row>
    <row r="62" spans="1:10" ht="22.5" customHeight="1" x14ac:dyDescent="0.2">
      <c r="A62" s="457" t="s">
        <v>594</v>
      </c>
      <c r="B62" s="457"/>
      <c r="C62" s="457"/>
      <c r="D62" s="457"/>
      <c r="E62" s="457"/>
      <c r="F62" s="457"/>
      <c r="G62" s="457"/>
      <c r="H62" s="457"/>
      <c r="I62" s="218">
        <f>SUM(I54:I61)</f>
        <v>0.36800000000000005</v>
      </c>
      <c r="J62" s="214">
        <f>SUM(J54:J61)</f>
        <v>646.20999999999992</v>
      </c>
    </row>
    <row r="63" spans="1:10" ht="14.25" customHeight="1" x14ac:dyDescent="0.2">
      <c r="A63" s="212" t="s">
        <v>595</v>
      </c>
      <c r="B63" s="458" t="s">
        <v>596</v>
      </c>
      <c r="C63" s="458"/>
      <c r="D63" s="458"/>
      <c r="E63" s="458"/>
      <c r="F63" s="458"/>
      <c r="G63" s="458"/>
      <c r="H63" s="458"/>
      <c r="I63" s="458"/>
      <c r="J63" s="458"/>
    </row>
    <row r="64" spans="1:10" ht="14.25" customHeight="1" x14ac:dyDescent="0.2">
      <c r="A64" s="212" t="s">
        <v>597</v>
      </c>
      <c r="B64" s="458" t="s">
        <v>598</v>
      </c>
      <c r="C64" s="458"/>
      <c r="D64" s="458"/>
      <c r="E64" s="458"/>
      <c r="F64" s="458"/>
      <c r="G64" s="458"/>
      <c r="H64" s="458"/>
      <c r="I64" s="458"/>
      <c r="J64" s="458"/>
    </row>
    <row r="65" spans="1:10" x14ac:dyDescent="0.2">
      <c r="A65" s="219"/>
      <c r="B65" s="220"/>
      <c r="C65" s="220"/>
      <c r="D65" s="220"/>
      <c r="E65" s="220"/>
      <c r="F65" s="220"/>
      <c r="G65" s="220"/>
      <c r="H65" s="220"/>
      <c r="I65" s="220"/>
      <c r="J65" s="220"/>
    </row>
    <row r="66" spans="1:10" ht="22.5" customHeight="1" x14ac:dyDescent="0.2">
      <c r="A66" s="221" t="s">
        <v>599</v>
      </c>
      <c r="B66" s="423" t="s">
        <v>600</v>
      </c>
      <c r="C66" s="423"/>
      <c r="D66" s="423"/>
      <c r="E66" s="423"/>
      <c r="F66" s="423"/>
      <c r="G66" s="423"/>
      <c r="H66" s="423"/>
      <c r="I66" s="423"/>
      <c r="J66" s="423"/>
    </row>
    <row r="67" spans="1:10" ht="22.5" customHeight="1" x14ac:dyDescent="0.2">
      <c r="A67" s="191"/>
      <c r="B67" s="423" t="s">
        <v>600</v>
      </c>
      <c r="C67" s="423"/>
      <c r="D67" s="423"/>
      <c r="E67" s="423"/>
      <c r="F67" s="423"/>
      <c r="G67" s="423"/>
      <c r="H67" s="423"/>
      <c r="I67" s="423"/>
      <c r="J67" s="191" t="s">
        <v>580</v>
      </c>
    </row>
    <row r="68" spans="1:10" ht="22.5" customHeight="1" x14ac:dyDescent="0.2">
      <c r="A68" s="441" t="s">
        <v>525</v>
      </c>
      <c r="B68" s="438" t="s">
        <v>601</v>
      </c>
      <c r="C68" s="438"/>
      <c r="D68" s="438"/>
      <c r="E68" s="438"/>
      <c r="F68" s="438"/>
      <c r="G68" s="438"/>
      <c r="H68" s="438"/>
      <c r="I68" s="438"/>
      <c r="J68" s="460">
        <f>IF(ROUND((I71*I69*I70)-(J39*0.06),2)&lt;0,0,ROUND((I71*I69*I70)-(J39*0.06),2))*1+(I69*I70*21.726-0.06*J39)*0</f>
        <v>0</v>
      </c>
    </row>
    <row r="69" spans="1:10" ht="22.5" customHeight="1" x14ac:dyDescent="0.2">
      <c r="A69" s="441"/>
      <c r="B69" s="461" t="s">
        <v>602</v>
      </c>
      <c r="C69" s="461"/>
      <c r="D69" s="461"/>
      <c r="E69" s="461"/>
      <c r="F69" s="461"/>
      <c r="G69" s="461"/>
      <c r="H69" s="461"/>
      <c r="I69" s="222">
        <f>'1. SA ABA DE CARREGAMENTO'!$B$88</f>
        <v>0</v>
      </c>
      <c r="J69" s="460"/>
    </row>
    <row r="70" spans="1:10" ht="22.5" customHeight="1" x14ac:dyDescent="0.2">
      <c r="A70" s="441"/>
      <c r="B70" s="461" t="s">
        <v>603</v>
      </c>
      <c r="C70" s="461"/>
      <c r="D70" s="461"/>
      <c r="E70" s="461"/>
      <c r="F70" s="461"/>
      <c r="G70" s="461"/>
      <c r="H70" s="461"/>
      <c r="I70" s="223">
        <f>'1. SA ABA DE CARREGAMENTO'!$B$89</f>
        <v>2</v>
      </c>
      <c r="J70" s="460"/>
    </row>
    <row r="71" spans="1:10" ht="22.5" customHeight="1" x14ac:dyDescent="0.2">
      <c r="A71" s="441"/>
      <c r="B71" s="461" t="s">
        <v>604</v>
      </c>
      <c r="C71" s="461"/>
      <c r="D71" s="461"/>
      <c r="E71" s="461"/>
      <c r="F71" s="461"/>
      <c r="G71" s="461"/>
      <c r="H71" s="461"/>
      <c r="I71" s="223">
        <f>'1. SA ABA DE CARREGAMENTO'!$B$90</f>
        <v>22</v>
      </c>
      <c r="J71" s="460"/>
    </row>
    <row r="72" spans="1:10" ht="22.5" customHeight="1" x14ac:dyDescent="0.2">
      <c r="A72" s="441"/>
      <c r="B72" s="461" t="s">
        <v>605</v>
      </c>
      <c r="C72" s="461"/>
      <c r="D72" s="461"/>
      <c r="E72" s="461"/>
      <c r="F72" s="461"/>
      <c r="G72" s="461"/>
      <c r="H72" s="461"/>
      <c r="I72" s="224">
        <f>'1. SA ABA DE CARREGAMENTO'!B91</f>
        <v>0.06</v>
      </c>
      <c r="J72" s="460"/>
    </row>
    <row r="73" spans="1:10" ht="22.5" customHeight="1" x14ac:dyDescent="0.2">
      <c r="A73" s="441" t="s">
        <v>527</v>
      </c>
      <c r="B73" s="455" t="s">
        <v>606</v>
      </c>
      <c r="C73" s="455"/>
      <c r="D73" s="455"/>
      <c r="E73" s="462" t="str">
        <f>'1. SA ABA DE CARREGAMENTO'!B94</f>
        <v>Cláusula Décima Oitava da CCT 2022/2022</v>
      </c>
      <c r="F73" s="462"/>
      <c r="G73" s="462"/>
      <c r="H73" s="462"/>
      <c r="I73" s="463"/>
      <c r="J73" s="460">
        <f>ROUND((I74*I75)-((I74*I75)*I76),2)</f>
        <v>359.61</v>
      </c>
    </row>
    <row r="74" spans="1:10" ht="22.5" customHeight="1" x14ac:dyDescent="0.2">
      <c r="A74" s="441"/>
      <c r="B74" s="461" t="s">
        <v>607</v>
      </c>
      <c r="C74" s="461"/>
      <c r="D74" s="461"/>
      <c r="E74" s="461"/>
      <c r="F74" s="461"/>
      <c r="G74" s="461"/>
      <c r="H74" s="461"/>
      <c r="I74" s="225">
        <f>'1. SA ABA DE CARREGAMENTO'!B95</f>
        <v>20.18</v>
      </c>
      <c r="J74" s="460"/>
    </row>
    <row r="75" spans="1:10" ht="22.5" customHeight="1" x14ac:dyDescent="0.2">
      <c r="A75" s="441"/>
      <c r="B75" s="461" t="s">
        <v>608</v>
      </c>
      <c r="C75" s="461"/>
      <c r="D75" s="461"/>
      <c r="E75" s="461"/>
      <c r="F75" s="461"/>
      <c r="G75" s="461"/>
      <c r="H75" s="461"/>
      <c r="I75" s="223">
        <f>'1. SA ABA DE CARREGAMENTO'!B97</f>
        <v>22</v>
      </c>
      <c r="J75" s="460"/>
    </row>
    <row r="76" spans="1:10" ht="22.5" customHeight="1" x14ac:dyDescent="0.2">
      <c r="A76" s="441"/>
      <c r="B76" s="461" t="s">
        <v>609</v>
      </c>
      <c r="C76" s="461"/>
      <c r="D76" s="461"/>
      <c r="E76" s="461"/>
      <c r="F76" s="461"/>
      <c r="G76" s="461"/>
      <c r="H76" s="461"/>
      <c r="I76" s="226">
        <f>'1. SA ABA DE CARREGAMENTO'!B96</f>
        <v>0.19</v>
      </c>
      <c r="J76" s="460"/>
    </row>
    <row r="77" spans="1:10" ht="22.5" customHeight="1" x14ac:dyDescent="0.2">
      <c r="A77" s="200" t="s">
        <v>528</v>
      </c>
      <c r="B77" s="455" t="s">
        <v>610</v>
      </c>
      <c r="C77" s="455"/>
      <c r="D77" s="455"/>
      <c r="E77" s="462" t="str">
        <f>'1. SA ABA DE CARREGAMENTO'!B100</f>
        <v>Cláusula Vigésima Nona da CCT 2022/2022</v>
      </c>
      <c r="F77" s="462"/>
      <c r="G77" s="462"/>
      <c r="H77" s="462"/>
      <c r="I77" s="463"/>
      <c r="J77" s="227">
        <f>'1. SA ABA DE CARREGAMENTO'!C100</f>
        <v>17.32</v>
      </c>
    </row>
    <row r="78" spans="1:10" ht="22.5" customHeight="1" x14ac:dyDescent="0.2">
      <c r="A78" s="200" t="s">
        <v>530</v>
      </c>
      <c r="B78" s="438" t="s">
        <v>611</v>
      </c>
      <c r="C78" s="438"/>
      <c r="D78" s="438"/>
      <c r="E78" s="438"/>
      <c r="F78" s="438"/>
      <c r="G78" s="438"/>
      <c r="H78" s="438"/>
      <c r="I78" s="438"/>
      <c r="J78" s="213">
        <v>0</v>
      </c>
    </row>
    <row r="79" spans="1:10" ht="22.5" customHeight="1" x14ac:dyDescent="0.2">
      <c r="A79" s="457" t="s">
        <v>612</v>
      </c>
      <c r="B79" s="457"/>
      <c r="C79" s="457"/>
      <c r="D79" s="457"/>
      <c r="E79" s="457"/>
      <c r="F79" s="457"/>
      <c r="G79" s="457"/>
      <c r="H79" s="457"/>
      <c r="I79" s="457"/>
      <c r="J79" s="214">
        <f>SUM(J68:J77)</f>
        <v>376.93</v>
      </c>
    </row>
    <row r="80" spans="1:10" ht="14.25" customHeight="1" x14ac:dyDescent="0.2">
      <c r="A80" s="212" t="s">
        <v>613</v>
      </c>
      <c r="B80" s="458" t="s">
        <v>614</v>
      </c>
      <c r="C80" s="458"/>
      <c r="D80" s="458"/>
      <c r="E80" s="458"/>
      <c r="F80" s="458"/>
      <c r="G80" s="458"/>
      <c r="H80" s="458"/>
      <c r="I80" s="458"/>
      <c r="J80" s="458"/>
    </row>
    <row r="81" spans="1:10" ht="35.25" customHeight="1" x14ac:dyDescent="0.2">
      <c r="A81" s="212" t="s">
        <v>615</v>
      </c>
      <c r="B81" s="458" t="s">
        <v>616</v>
      </c>
      <c r="C81" s="458"/>
      <c r="D81" s="458"/>
      <c r="E81" s="458"/>
      <c r="F81" s="458"/>
      <c r="G81" s="458"/>
      <c r="H81" s="458"/>
      <c r="I81" s="458"/>
      <c r="J81" s="458"/>
    </row>
    <row r="82" spans="1:10" x14ac:dyDescent="0.2">
      <c r="A82" s="219"/>
      <c r="B82" s="220"/>
      <c r="C82" s="220"/>
      <c r="D82" s="220"/>
      <c r="E82" s="220"/>
      <c r="F82" s="220"/>
      <c r="G82" s="220"/>
      <c r="H82" s="220"/>
      <c r="I82" s="220"/>
      <c r="J82" s="220"/>
    </row>
    <row r="83" spans="1:10" ht="20.25" customHeight="1" x14ac:dyDescent="0.2">
      <c r="A83" s="423" t="s">
        <v>617</v>
      </c>
      <c r="B83" s="423"/>
      <c r="C83" s="423"/>
      <c r="D83" s="423"/>
      <c r="E83" s="423"/>
      <c r="F83" s="423"/>
      <c r="G83" s="423"/>
      <c r="H83" s="423"/>
      <c r="I83" s="423"/>
      <c r="J83" s="423"/>
    </row>
    <row r="84" spans="1:10" ht="20.25" customHeight="1" x14ac:dyDescent="0.2">
      <c r="A84" s="191" t="s">
        <v>618</v>
      </c>
      <c r="B84" s="423" t="s">
        <v>619</v>
      </c>
      <c r="C84" s="423"/>
      <c r="D84" s="423"/>
      <c r="E84" s="423"/>
      <c r="F84" s="423"/>
      <c r="G84" s="423"/>
      <c r="H84" s="423"/>
      <c r="I84" s="423"/>
      <c r="J84" s="191" t="s">
        <v>580</v>
      </c>
    </row>
    <row r="85" spans="1:10" ht="20.25" customHeight="1" x14ac:dyDescent="0.2">
      <c r="A85" s="200" t="s">
        <v>620</v>
      </c>
      <c r="B85" s="461" t="s">
        <v>621</v>
      </c>
      <c r="C85" s="461"/>
      <c r="D85" s="461"/>
      <c r="E85" s="461"/>
      <c r="F85" s="461"/>
      <c r="G85" s="461"/>
      <c r="H85" s="461"/>
      <c r="I85" s="461"/>
      <c r="J85" s="213">
        <f>J49</f>
        <v>179.11</v>
      </c>
    </row>
    <row r="86" spans="1:10" ht="20.25" customHeight="1" x14ac:dyDescent="0.2">
      <c r="A86" s="200" t="s">
        <v>585</v>
      </c>
      <c r="B86" s="461" t="s">
        <v>622</v>
      </c>
      <c r="C86" s="461"/>
      <c r="D86" s="461"/>
      <c r="E86" s="461"/>
      <c r="F86" s="461"/>
      <c r="G86" s="461"/>
      <c r="H86" s="461"/>
      <c r="I86" s="461"/>
      <c r="J86" s="213">
        <f>J62</f>
        <v>646.20999999999992</v>
      </c>
    </row>
    <row r="87" spans="1:10" ht="20.25" customHeight="1" x14ac:dyDescent="0.2">
      <c r="A87" s="200" t="s">
        <v>623</v>
      </c>
      <c r="B87" s="461" t="s">
        <v>624</v>
      </c>
      <c r="C87" s="461"/>
      <c r="D87" s="461"/>
      <c r="E87" s="461"/>
      <c r="F87" s="461"/>
      <c r="G87" s="461"/>
      <c r="H87" s="461"/>
      <c r="I87" s="461"/>
      <c r="J87" s="213">
        <f>J79</f>
        <v>376.93</v>
      </c>
    </row>
    <row r="88" spans="1:10" ht="20.25" customHeight="1" x14ac:dyDescent="0.2">
      <c r="A88" s="457" t="s">
        <v>625</v>
      </c>
      <c r="B88" s="457"/>
      <c r="C88" s="457"/>
      <c r="D88" s="457"/>
      <c r="E88" s="457"/>
      <c r="F88" s="457"/>
      <c r="G88" s="457"/>
      <c r="H88" s="457"/>
      <c r="I88" s="457"/>
      <c r="J88" s="214">
        <f>SUM(J85+J86+J87)</f>
        <v>1202.25</v>
      </c>
    </row>
    <row r="89" spans="1:10" ht="15" x14ac:dyDescent="0.2">
      <c r="A89" s="34"/>
      <c r="B89" s="34"/>
      <c r="C89" s="34"/>
      <c r="D89" s="34"/>
      <c r="E89" s="34"/>
      <c r="F89" s="34"/>
      <c r="G89" s="34"/>
      <c r="H89" s="34"/>
      <c r="I89" s="34"/>
      <c r="J89" s="228"/>
    </row>
    <row r="90" spans="1:10" ht="24" customHeight="1" x14ac:dyDescent="0.2">
      <c r="A90" s="423" t="s">
        <v>626</v>
      </c>
      <c r="B90" s="423"/>
      <c r="C90" s="423"/>
      <c r="D90" s="423"/>
      <c r="E90" s="423"/>
      <c r="F90" s="423"/>
      <c r="G90" s="423"/>
      <c r="H90" s="423"/>
      <c r="I90" s="423"/>
      <c r="J90" s="423"/>
    </row>
    <row r="91" spans="1:10" ht="24" customHeight="1" x14ac:dyDescent="0.2">
      <c r="A91" s="191"/>
      <c r="B91" s="423" t="s">
        <v>619</v>
      </c>
      <c r="C91" s="423"/>
      <c r="D91" s="423"/>
      <c r="E91" s="423"/>
      <c r="F91" s="423"/>
      <c r="G91" s="423"/>
      <c r="H91" s="423"/>
      <c r="I91" s="423"/>
      <c r="J91" s="191" t="s">
        <v>627</v>
      </c>
    </row>
    <row r="92" spans="1:10" ht="24" customHeight="1" x14ac:dyDescent="0.2">
      <c r="A92" s="200" t="s">
        <v>525</v>
      </c>
      <c r="B92" s="438" t="s">
        <v>628</v>
      </c>
      <c r="C92" s="438"/>
      <c r="D92" s="438"/>
      <c r="E92" s="438"/>
      <c r="F92" s="438"/>
      <c r="G92" s="438"/>
      <c r="H92" s="438"/>
      <c r="I92" s="438"/>
      <c r="J92" s="213">
        <f>ROUND((($J$42/12)+($J$47/12)+($J$42/12/12)+($J$48/12))*(30/30)*0.05,2)</f>
        <v>7.86</v>
      </c>
    </row>
    <row r="93" spans="1:10" ht="24" customHeight="1" x14ac:dyDescent="0.2">
      <c r="A93" s="200" t="s">
        <v>527</v>
      </c>
      <c r="B93" s="438" t="s">
        <v>629</v>
      </c>
      <c r="C93" s="438"/>
      <c r="D93" s="438"/>
      <c r="E93" s="438"/>
      <c r="F93" s="438"/>
      <c r="G93" s="438"/>
      <c r="H93" s="438"/>
      <c r="I93" s="438"/>
      <c r="J93" s="213">
        <f>ROUND($J$92*I61,2)</f>
        <v>0.63</v>
      </c>
    </row>
    <row r="94" spans="1:10" ht="24" customHeight="1" x14ac:dyDescent="0.2">
      <c r="A94" s="200" t="s">
        <v>528</v>
      </c>
      <c r="B94" s="438" t="s">
        <v>630</v>
      </c>
      <c r="C94" s="438"/>
      <c r="D94" s="438"/>
      <c r="E94" s="438"/>
      <c r="F94" s="438"/>
      <c r="G94" s="438"/>
      <c r="H94" s="438"/>
      <c r="I94" s="438"/>
      <c r="J94" s="213">
        <f>ROUND(0.08*0.4*($J$42+$J$47+$J$48)*0.05,2)</f>
        <v>2.81</v>
      </c>
    </row>
    <row r="95" spans="1:10" ht="24" customHeight="1" x14ac:dyDescent="0.2">
      <c r="A95" s="200" t="s">
        <v>530</v>
      </c>
      <c r="B95" s="438" t="s">
        <v>631</v>
      </c>
      <c r="C95" s="438"/>
      <c r="D95" s="438"/>
      <c r="E95" s="438"/>
      <c r="F95" s="438"/>
      <c r="G95" s="438"/>
      <c r="H95" s="438"/>
      <c r="I95" s="438"/>
      <c r="J95" s="213">
        <f>ROUND(((($J$42/30)*7)/$H$21)*1,2)</f>
        <v>18.399999999999999</v>
      </c>
    </row>
    <row r="96" spans="1:10" ht="24" customHeight="1" x14ac:dyDescent="0.2">
      <c r="A96" s="200" t="s">
        <v>590</v>
      </c>
      <c r="B96" s="438" t="s">
        <v>632</v>
      </c>
      <c r="C96" s="438"/>
      <c r="D96" s="438"/>
      <c r="E96" s="438"/>
      <c r="F96" s="438"/>
      <c r="G96" s="438"/>
      <c r="H96" s="438"/>
      <c r="I96" s="438"/>
      <c r="J96" s="213">
        <f>ROUND($I$62*J95,2)</f>
        <v>6.77</v>
      </c>
    </row>
    <row r="97" spans="1:10" ht="24" customHeight="1" x14ac:dyDescent="0.2">
      <c r="A97" s="200" t="s">
        <v>591</v>
      </c>
      <c r="B97" s="438" t="s">
        <v>633</v>
      </c>
      <c r="C97" s="438"/>
      <c r="D97" s="438"/>
      <c r="E97" s="438"/>
      <c r="F97" s="438"/>
      <c r="G97" s="438"/>
      <c r="H97" s="438"/>
      <c r="I97" s="438"/>
      <c r="J97" s="213">
        <f>ROUND(0.08*0.4*($J$42+$J$47+$J$48)*0.9,2)</f>
        <v>50.57</v>
      </c>
    </row>
    <row r="98" spans="1:10" ht="24" customHeight="1" x14ac:dyDescent="0.2">
      <c r="A98" s="457" t="s">
        <v>634</v>
      </c>
      <c r="B98" s="457"/>
      <c r="C98" s="457"/>
      <c r="D98" s="457"/>
      <c r="E98" s="457"/>
      <c r="F98" s="457"/>
      <c r="G98" s="457"/>
      <c r="H98" s="457"/>
      <c r="I98" s="457"/>
      <c r="J98" s="214">
        <f>SUM(J92:J97)</f>
        <v>87.039999999999992</v>
      </c>
    </row>
    <row r="99" spans="1:10" ht="15" x14ac:dyDescent="0.2">
      <c r="A99" s="34"/>
      <c r="B99" s="34"/>
      <c r="C99" s="34"/>
      <c r="D99" s="34"/>
      <c r="E99" s="34"/>
      <c r="F99" s="34"/>
      <c r="G99" s="34"/>
      <c r="H99" s="34"/>
      <c r="I99" s="34"/>
      <c r="J99" s="228"/>
    </row>
    <row r="100" spans="1:10" ht="21" customHeight="1" x14ac:dyDescent="0.2">
      <c r="A100" s="423" t="s">
        <v>635</v>
      </c>
      <c r="B100" s="423"/>
      <c r="C100" s="423"/>
      <c r="D100" s="423"/>
      <c r="E100" s="423"/>
      <c r="F100" s="423"/>
      <c r="G100" s="423"/>
      <c r="H100" s="423"/>
      <c r="I100" s="423"/>
      <c r="J100" s="423"/>
    </row>
    <row r="101" spans="1:10" ht="35.25" customHeight="1" x14ac:dyDescent="0.2">
      <c r="A101" s="423" t="s">
        <v>874</v>
      </c>
      <c r="B101" s="423"/>
      <c r="C101" s="423"/>
      <c r="D101" s="423"/>
      <c r="E101" s="423"/>
      <c r="F101" s="423"/>
      <c r="G101" s="423"/>
      <c r="H101" s="423"/>
      <c r="I101" s="423"/>
      <c r="J101" s="423"/>
    </row>
    <row r="102" spans="1:10" ht="33.75" customHeight="1" x14ac:dyDescent="0.2">
      <c r="A102" s="423" t="s">
        <v>637</v>
      </c>
      <c r="B102" s="423"/>
      <c r="C102" s="229">
        <f>J42</f>
        <v>1576.9099999999999</v>
      </c>
      <c r="D102" s="423" t="s">
        <v>847</v>
      </c>
      <c r="E102" s="423"/>
      <c r="F102" s="229">
        <f>J88-J73-J68</f>
        <v>842.64</v>
      </c>
      <c r="G102" s="423" t="s">
        <v>639</v>
      </c>
      <c r="H102" s="423"/>
      <c r="I102" s="229">
        <f>J98</f>
        <v>87.039999999999992</v>
      </c>
      <c r="J102" s="214">
        <f>ROUND((J42+(J88-J73-J68)+J98),2)</f>
        <v>2506.59</v>
      </c>
    </row>
    <row r="103" spans="1:10" ht="21" customHeight="1" x14ac:dyDescent="0.2">
      <c r="A103" s="423" t="s">
        <v>640</v>
      </c>
      <c r="B103" s="423"/>
      <c r="C103" s="423"/>
      <c r="D103" s="423"/>
      <c r="E103" s="423"/>
      <c r="F103" s="423"/>
      <c r="G103" s="423" t="s">
        <v>641</v>
      </c>
      <c r="H103" s="423"/>
      <c r="I103" s="423"/>
      <c r="J103" s="211">
        <f>ROUND(J102/30,2)</f>
        <v>83.55</v>
      </c>
    </row>
    <row r="104" spans="1:10" ht="15" x14ac:dyDescent="0.2">
      <c r="A104" s="42"/>
      <c r="B104" s="42"/>
      <c r="C104" s="42"/>
      <c r="D104" s="42"/>
      <c r="E104" s="42"/>
      <c r="F104" s="42"/>
      <c r="G104" s="42"/>
      <c r="H104" s="42"/>
      <c r="I104" s="42"/>
      <c r="J104" s="247"/>
    </row>
    <row r="105" spans="1:10" ht="23.25" customHeight="1" x14ac:dyDescent="0.2">
      <c r="A105" s="191" t="s">
        <v>642</v>
      </c>
      <c r="B105" s="423" t="s">
        <v>643</v>
      </c>
      <c r="C105" s="423"/>
      <c r="D105" s="423"/>
      <c r="E105" s="423"/>
      <c r="F105" s="423"/>
      <c r="G105" s="423"/>
      <c r="H105" s="423"/>
      <c r="I105" s="423"/>
      <c r="J105" s="191" t="s">
        <v>580</v>
      </c>
    </row>
    <row r="106" spans="1:10" ht="23.25" customHeight="1" x14ac:dyDescent="0.2">
      <c r="A106" s="200" t="s">
        <v>525</v>
      </c>
      <c r="B106" s="459" t="s">
        <v>893</v>
      </c>
      <c r="C106" s="459"/>
      <c r="D106" s="459"/>
      <c r="E106" s="459"/>
      <c r="F106" s="459"/>
      <c r="G106" s="459"/>
      <c r="H106" s="459"/>
      <c r="I106" s="459"/>
      <c r="J106" s="213">
        <f>ROUND(J42*9.075%,2)</f>
        <v>143.1</v>
      </c>
    </row>
    <row r="107" spans="1:10" ht="23.25" customHeight="1" x14ac:dyDescent="0.2">
      <c r="A107" s="200" t="s">
        <v>527</v>
      </c>
      <c r="B107" s="438" t="s">
        <v>644</v>
      </c>
      <c r="C107" s="438"/>
      <c r="D107" s="438"/>
      <c r="E107" s="438"/>
      <c r="F107" s="438"/>
      <c r="G107" s="438"/>
      <c r="H107" s="438"/>
      <c r="I107" s="438"/>
      <c r="J107" s="209">
        <f>ROUND((($J$102/30)*1)/12,2)</f>
        <v>6.96</v>
      </c>
    </row>
    <row r="108" spans="1:10" ht="23.25" customHeight="1" x14ac:dyDescent="0.2">
      <c r="A108" s="200" t="s">
        <v>528</v>
      </c>
      <c r="B108" s="438" t="s">
        <v>645</v>
      </c>
      <c r="C108" s="438"/>
      <c r="D108" s="438"/>
      <c r="E108" s="438"/>
      <c r="F108" s="438"/>
      <c r="G108" s="438"/>
      <c r="H108" s="438"/>
      <c r="I108" s="438"/>
      <c r="J108" s="209">
        <f>ROUND((($J$102/30)*5)/12*0.015,2)</f>
        <v>0.52</v>
      </c>
    </row>
    <row r="109" spans="1:10" ht="23.25" customHeight="1" x14ac:dyDescent="0.2">
      <c r="A109" s="200" t="s">
        <v>530</v>
      </c>
      <c r="B109" s="438" t="s">
        <v>646</v>
      </c>
      <c r="C109" s="438"/>
      <c r="D109" s="438"/>
      <c r="E109" s="438"/>
      <c r="F109" s="438"/>
      <c r="G109" s="438"/>
      <c r="H109" s="438"/>
      <c r="I109" s="438"/>
      <c r="J109" s="213">
        <f>ROUND(((($J$102/30)*15)/12)*0.0078,2)</f>
        <v>0.81</v>
      </c>
    </row>
    <row r="110" spans="1:10" ht="23.25" customHeight="1" x14ac:dyDescent="0.2">
      <c r="A110" s="200" t="s">
        <v>590</v>
      </c>
      <c r="B110" s="438" t="s">
        <v>647</v>
      </c>
      <c r="C110" s="438"/>
      <c r="D110" s="438"/>
      <c r="E110" s="438"/>
      <c r="F110" s="438"/>
      <c r="G110" s="438"/>
      <c r="H110" s="438"/>
      <c r="I110" s="438"/>
      <c r="J110" s="213">
        <f>ROUND((((J42+J42/3)/12+(J62+J79-J73-J68+J98))*4/12)*0.02,2)</f>
        <v>6.17</v>
      </c>
    </row>
    <row r="111" spans="1:10" ht="23.25" customHeight="1" x14ac:dyDescent="0.2">
      <c r="A111" s="200" t="s">
        <v>591</v>
      </c>
      <c r="B111" s="438" t="s">
        <v>648</v>
      </c>
      <c r="C111" s="438"/>
      <c r="D111" s="438"/>
      <c r="E111" s="438"/>
      <c r="F111" s="438"/>
      <c r="G111" s="438"/>
      <c r="H111" s="438"/>
      <c r="I111" s="438"/>
      <c r="J111" s="213">
        <f>ROUND(((($J$102/30)*5)/12),2)</f>
        <v>34.81</v>
      </c>
    </row>
    <row r="112" spans="1:10" ht="23.25" customHeight="1" x14ac:dyDescent="0.2">
      <c r="A112" s="457" t="s">
        <v>649</v>
      </c>
      <c r="B112" s="457"/>
      <c r="C112" s="457"/>
      <c r="D112" s="457"/>
      <c r="E112" s="457"/>
      <c r="F112" s="457"/>
      <c r="G112" s="457"/>
      <c r="H112" s="457"/>
      <c r="I112" s="457"/>
      <c r="J112" s="214">
        <f>SUM(J106:J111)</f>
        <v>192.37</v>
      </c>
    </row>
    <row r="113" spans="1:10" ht="15" x14ac:dyDescent="0.2">
      <c r="A113" s="528"/>
      <c r="B113" s="528"/>
      <c r="C113" s="528"/>
      <c r="D113" s="528"/>
      <c r="E113" s="528"/>
      <c r="F113" s="528"/>
      <c r="G113" s="528"/>
      <c r="H113" s="528"/>
      <c r="I113" s="528"/>
      <c r="J113" s="215"/>
    </row>
    <row r="114" spans="1:10" ht="18.75" customHeight="1" x14ac:dyDescent="0.2">
      <c r="A114" s="191" t="s">
        <v>650</v>
      </c>
      <c r="B114" s="423" t="s">
        <v>651</v>
      </c>
      <c r="C114" s="423"/>
      <c r="D114" s="423"/>
      <c r="E114" s="423"/>
      <c r="F114" s="423"/>
      <c r="G114" s="423"/>
      <c r="H114" s="423"/>
      <c r="I114" s="423"/>
      <c r="J114" s="191" t="s">
        <v>580</v>
      </c>
    </row>
    <row r="115" spans="1:10" ht="18.75" customHeight="1" x14ac:dyDescent="0.2">
      <c r="A115" s="200" t="s">
        <v>525</v>
      </c>
      <c r="B115" s="438" t="s">
        <v>652</v>
      </c>
      <c r="C115" s="438"/>
      <c r="D115" s="438"/>
      <c r="E115" s="438"/>
      <c r="F115" s="438"/>
      <c r="G115" s="438"/>
      <c r="H115" s="438"/>
      <c r="I115" s="438"/>
      <c r="J115" s="213">
        <v>0</v>
      </c>
    </row>
    <row r="116" spans="1:10" ht="18.75" customHeight="1" x14ac:dyDescent="0.2">
      <c r="A116" s="457" t="s">
        <v>653</v>
      </c>
      <c r="B116" s="457"/>
      <c r="C116" s="457"/>
      <c r="D116" s="457"/>
      <c r="E116" s="457"/>
      <c r="F116" s="457"/>
      <c r="G116" s="457"/>
      <c r="H116" s="457"/>
      <c r="I116" s="457"/>
      <c r="J116" s="214">
        <f>SUM(J115)</f>
        <v>0</v>
      </c>
    </row>
    <row r="117" spans="1:10" ht="15" x14ac:dyDescent="0.2">
      <c r="A117" s="528"/>
      <c r="B117" s="528"/>
      <c r="C117" s="528"/>
      <c r="D117" s="528"/>
      <c r="E117" s="528"/>
      <c r="F117" s="528"/>
      <c r="G117" s="528"/>
      <c r="H117" s="528"/>
      <c r="I117" s="528"/>
      <c r="J117" s="215"/>
    </row>
    <row r="118" spans="1:10" ht="17.25" customHeight="1" x14ac:dyDescent="0.2">
      <c r="A118" s="423" t="s">
        <v>654</v>
      </c>
      <c r="B118" s="423"/>
      <c r="C118" s="423"/>
      <c r="D118" s="423"/>
      <c r="E118" s="423"/>
      <c r="F118" s="423"/>
      <c r="G118" s="423"/>
      <c r="H118" s="423"/>
      <c r="I118" s="423"/>
      <c r="J118" s="423"/>
    </row>
    <row r="119" spans="1:10" ht="17.25" customHeight="1" x14ac:dyDescent="0.2">
      <c r="A119" s="191" t="s">
        <v>655</v>
      </c>
      <c r="B119" s="423" t="s">
        <v>619</v>
      </c>
      <c r="C119" s="423"/>
      <c r="D119" s="423"/>
      <c r="E119" s="423"/>
      <c r="F119" s="423"/>
      <c r="G119" s="423"/>
      <c r="H119" s="423"/>
      <c r="I119" s="423"/>
      <c r="J119" s="231" t="s">
        <v>580</v>
      </c>
    </row>
    <row r="120" spans="1:10" ht="17.25" customHeight="1" x14ac:dyDescent="0.2">
      <c r="A120" s="200" t="s">
        <v>642</v>
      </c>
      <c r="B120" s="438" t="s">
        <v>643</v>
      </c>
      <c r="C120" s="438"/>
      <c r="D120" s="438"/>
      <c r="E120" s="438"/>
      <c r="F120" s="438"/>
      <c r="G120" s="438"/>
      <c r="H120" s="438"/>
      <c r="I120" s="438"/>
      <c r="J120" s="213">
        <f>J112</f>
        <v>192.37</v>
      </c>
    </row>
    <row r="121" spans="1:10" ht="17.25" customHeight="1" x14ac:dyDescent="0.2">
      <c r="A121" s="200" t="s">
        <v>656</v>
      </c>
      <c r="B121" s="438" t="s">
        <v>651</v>
      </c>
      <c r="C121" s="438"/>
      <c r="D121" s="438"/>
      <c r="E121" s="438"/>
      <c r="F121" s="438"/>
      <c r="G121" s="438"/>
      <c r="H121" s="438"/>
      <c r="I121" s="438"/>
      <c r="J121" s="213">
        <f>J116</f>
        <v>0</v>
      </c>
    </row>
    <row r="122" spans="1:10" ht="17.25" customHeight="1" x14ac:dyDescent="0.2">
      <c r="A122" s="457" t="s">
        <v>657</v>
      </c>
      <c r="B122" s="457"/>
      <c r="C122" s="457"/>
      <c r="D122" s="457"/>
      <c r="E122" s="457"/>
      <c r="F122" s="457"/>
      <c r="G122" s="457"/>
      <c r="H122" s="457"/>
      <c r="I122" s="457"/>
      <c r="J122" s="214">
        <f>SUM(J120+J121)</f>
        <v>192.37</v>
      </c>
    </row>
    <row r="123" spans="1:10" ht="30.75" customHeight="1" x14ac:dyDescent="0.2">
      <c r="A123" s="212" t="s">
        <v>658</v>
      </c>
      <c r="B123" s="458" t="s">
        <v>659</v>
      </c>
      <c r="C123" s="458"/>
      <c r="D123" s="458"/>
      <c r="E123" s="458"/>
      <c r="F123" s="458"/>
      <c r="G123" s="458"/>
      <c r="H123" s="458"/>
      <c r="I123" s="458"/>
      <c r="J123" s="458"/>
    </row>
    <row r="124" spans="1:10" ht="17.25" customHeight="1" x14ac:dyDescent="0.2">
      <c r="A124" s="219"/>
      <c r="B124" s="220"/>
      <c r="C124" s="220"/>
      <c r="D124" s="220"/>
      <c r="E124" s="220"/>
      <c r="F124" s="220"/>
      <c r="G124" s="220"/>
      <c r="H124" s="220"/>
      <c r="I124" s="220"/>
      <c r="J124" s="220"/>
    </row>
    <row r="125" spans="1:10" ht="17.25" customHeight="1" x14ac:dyDescent="0.2">
      <c r="A125" s="423" t="s">
        <v>660</v>
      </c>
      <c r="B125" s="423"/>
      <c r="C125" s="423"/>
      <c r="D125" s="423"/>
      <c r="E125" s="423"/>
      <c r="F125" s="423"/>
      <c r="G125" s="423"/>
      <c r="H125" s="423"/>
      <c r="I125" s="423"/>
      <c r="J125" s="423"/>
    </row>
    <row r="126" spans="1:10" ht="17.25" customHeight="1" x14ac:dyDescent="0.2">
      <c r="A126" s="191"/>
      <c r="B126" s="423" t="s">
        <v>619</v>
      </c>
      <c r="C126" s="423"/>
      <c r="D126" s="423"/>
      <c r="E126" s="423"/>
      <c r="F126" s="423"/>
      <c r="G126" s="423"/>
      <c r="H126" s="423"/>
      <c r="I126" s="423"/>
      <c r="J126" s="191" t="s">
        <v>580</v>
      </c>
    </row>
    <row r="127" spans="1:10" ht="17.25" customHeight="1" x14ac:dyDescent="0.2">
      <c r="A127" s="200" t="s">
        <v>525</v>
      </c>
      <c r="B127" s="438" t="s">
        <v>661</v>
      </c>
      <c r="C127" s="438"/>
      <c r="D127" s="438"/>
      <c r="E127" s="438"/>
      <c r="F127" s="438"/>
      <c r="G127" s="438"/>
      <c r="H127" s="438"/>
      <c r="I127" s="438"/>
      <c r="J127" s="213">
        <f>'2. SA INSUMOS'!G103</f>
        <v>92.830833333333317</v>
      </c>
    </row>
    <row r="128" spans="1:10" ht="17.25" customHeight="1" x14ac:dyDescent="0.2">
      <c r="A128" s="200" t="s">
        <v>527</v>
      </c>
      <c r="B128" s="438" t="s">
        <v>662</v>
      </c>
      <c r="C128" s="438"/>
      <c r="D128" s="438"/>
      <c r="E128" s="438"/>
      <c r="F128" s="438"/>
      <c r="G128" s="438"/>
      <c r="H128" s="438"/>
      <c r="I128" s="438"/>
      <c r="J128" s="213">
        <v>0</v>
      </c>
    </row>
    <row r="129" spans="1:12" ht="17.25" customHeight="1" x14ac:dyDescent="0.2">
      <c r="A129" s="200" t="s">
        <v>528</v>
      </c>
      <c r="B129" s="438" t="s">
        <v>663</v>
      </c>
      <c r="C129" s="438"/>
      <c r="D129" s="438"/>
      <c r="E129" s="438"/>
      <c r="F129" s="438"/>
      <c r="G129" s="438"/>
      <c r="H129" s="438"/>
      <c r="I129" s="438"/>
      <c r="J129" s="213">
        <v>0</v>
      </c>
    </row>
    <row r="130" spans="1:12" ht="17.25" customHeight="1" x14ac:dyDescent="0.2">
      <c r="A130" s="200" t="s">
        <v>530</v>
      </c>
      <c r="B130" s="438" t="s">
        <v>810</v>
      </c>
      <c r="C130" s="438"/>
      <c r="D130" s="438"/>
      <c r="E130" s="438"/>
      <c r="F130" s="438"/>
      <c r="G130" s="438"/>
      <c r="H130" s="438"/>
      <c r="I130" s="438"/>
      <c r="J130" s="213" t="s">
        <v>665</v>
      </c>
    </row>
    <row r="131" spans="1:12" ht="17.25" customHeight="1" x14ac:dyDescent="0.2">
      <c r="A131" s="457" t="s">
        <v>782</v>
      </c>
      <c r="B131" s="457"/>
      <c r="C131" s="457"/>
      <c r="D131" s="457"/>
      <c r="E131" s="457"/>
      <c r="F131" s="457"/>
      <c r="G131" s="457"/>
      <c r="H131" s="457"/>
      <c r="I131" s="457"/>
      <c r="J131" s="214">
        <f>SUM(J127:J130)</f>
        <v>92.830833333333317</v>
      </c>
    </row>
    <row r="132" spans="1:12" ht="17.25" customHeight="1" x14ac:dyDescent="0.2">
      <c r="A132" s="212" t="s">
        <v>667</v>
      </c>
      <c r="B132" s="458" t="s">
        <v>668</v>
      </c>
      <c r="C132" s="458"/>
      <c r="D132" s="458"/>
      <c r="E132" s="458"/>
      <c r="F132" s="458"/>
      <c r="G132" s="458"/>
      <c r="H132" s="458"/>
      <c r="I132" s="458"/>
      <c r="J132" s="458"/>
    </row>
    <row r="133" spans="1:12" ht="17.25" customHeight="1" x14ac:dyDescent="0.2">
      <c r="A133" s="526"/>
      <c r="B133" s="526"/>
      <c r="C133" s="526"/>
      <c r="D133" s="526"/>
      <c r="E133" s="526"/>
      <c r="F133" s="526"/>
      <c r="G133" s="526"/>
      <c r="H133" s="526"/>
      <c r="I133" s="526"/>
      <c r="J133" s="526"/>
    </row>
    <row r="134" spans="1:12" ht="17.25" customHeight="1" x14ac:dyDescent="0.2">
      <c r="A134" s="423" t="s">
        <v>669</v>
      </c>
      <c r="B134" s="423"/>
      <c r="C134" s="423"/>
      <c r="D134" s="423"/>
      <c r="E134" s="423"/>
      <c r="F134" s="423"/>
      <c r="G134" s="423"/>
      <c r="H134" s="423"/>
      <c r="I134" s="423"/>
      <c r="J134" s="423"/>
    </row>
    <row r="135" spans="1:12" ht="17.25" customHeight="1" x14ac:dyDescent="0.2">
      <c r="A135" s="191"/>
      <c r="B135" s="423" t="s">
        <v>670</v>
      </c>
      <c r="C135" s="423"/>
      <c r="D135" s="423"/>
      <c r="E135" s="423"/>
      <c r="F135" s="423"/>
      <c r="G135" s="423"/>
      <c r="H135" s="423"/>
      <c r="I135" s="191" t="s">
        <v>568</v>
      </c>
      <c r="J135" s="231" t="s">
        <v>580</v>
      </c>
    </row>
    <row r="136" spans="1:12" ht="40.5" customHeight="1" x14ac:dyDescent="0.2">
      <c r="A136" s="438" t="s">
        <v>671</v>
      </c>
      <c r="B136" s="438"/>
      <c r="C136" s="438"/>
      <c r="D136" s="438"/>
      <c r="E136" s="438"/>
      <c r="F136" s="438"/>
      <c r="G136" s="438"/>
      <c r="H136" s="438"/>
      <c r="I136" s="438"/>
      <c r="J136" s="248">
        <f>SUM(J42+J88+J98+J122+J131)</f>
        <v>3151.4008333333331</v>
      </c>
    </row>
    <row r="137" spans="1:12" ht="17.25" customHeight="1" x14ac:dyDescent="0.2">
      <c r="A137" s="191" t="s">
        <v>525</v>
      </c>
      <c r="B137" s="466" t="s">
        <v>672</v>
      </c>
      <c r="C137" s="466"/>
      <c r="D137" s="466"/>
      <c r="E137" s="466"/>
      <c r="F137" s="466"/>
      <c r="G137" s="466"/>
      <c r="H137" s="466"/>
      <c r="I137" s="233">
        <f>'1. SA ABA DE CARREGAMENTO'!$B$103</f>
        <v>0.06</v>
      </c>
      <c r="J137" s="214">
        <f>ROUND(I137*J136,2)</f>
        <v>189.08</v>
      </c>
    </row>
    <row r="138" spans="1:12" ht="42.75" customHeight="1" x14ac:dyDescent="0.2">
      <c r="A138" s="438" t="s">
        <v>673</v>
      </c>
      <c r="B138" s="438"/>
      <c r="C138" s="438"/>
      <c r="D138" s="438"/>
      <c r="E138" s="438"/>
      <c r="F138" s="438"/>
      <c r="G138" s="438"/>
      <c r="H138" s="438"/>
      <c r="I138" s="438"/>
      <c r="J138" s="227">
        <f>SUM(J42+J88+J98+J122+J131+J137)</f>
        <v>3340.4808333333331</v>
      </c>
    </row>
    <row r="139" spans="1:12" ht="17.25" customHeight="1" x14ac:dyDescent="0.2">
      <c r="A139" s="191" t="s">
        <v>527</v>
      </c>
      <c r="B139" s="466" t="s">
        <v>104</v>
      </c>
      <c r="C139" s="466"/>
      <c r="D139" s="466"/>
      <c r="E139" s="466"/>
      <c r="F139" s="466"/>
      <c r="G139" s="466"/>
      <c r="H139" s="466"/>
      <c r="I139" s="233">
        <f>'1. SA ABA DE CARREGAMENTO'!$B$104</f>
        <v>6.7900000000000002E-2</v>
      </c>
      <c r="J139" s="214">
        <f>ROUND(I139*J138,2)</f>
        <v>226.82</v>
      </c>
    </row>
    <row r="140" spans="1:12" ht="45.75" customHeight="1" x14ac:dyDescent="0.2">
      <c r="A140" s="438" t="s">
        <v>674</v>
      </c>
      <c r="B140" s="438"/>
      <c r="C140" s="438"/>
      <c r="D140" s="438"/>
      <c r="E140" s="438"/>
      <c r="F140" s="438"/>
      <c r="G140" s="438"/>
      <c r="H140" s="438"/>
      <c r="I140" s="438"/>
      <c r="J140" s="227">
        <f>SUM(J42+J88+J98+J122+J131+J137+J139)</f>
        <v>3567.3008333333332</v>
      </c>
    </row>
    <row r="141" spans="1:12" ht="17.25" customHeight="1" x14ac:dyDescent="0.2">
      <c r="A141" s="191" t="s">
        <v>528</v>
      </c>
      <c r="B141" s="466" t="s">
        <v>675</v>
      </c>
      <c r="C141" s="466"/>
      <c r="D141" s="466"/>
      <c r="E141" s="466"/>
      <c r="F141" s="466"/>
      <c r="G141" s="466"/>
      <c r="H141" s="466"/>
      <c r="I141" s="233">
        <f>SUM(I142:I145)</f>
        <v>0.1225</v>
      </c>
      <c r="J141" s="214">
        <f>SUM(J142:J145)</f>
        <v>497.99999999999994</v>
      </c>
      <c r="K141" s="467"/>
      <c r="L141" s="467"/>
    </row>
    <row r="142" spans="1:12" ht="17.25" customHeight="1" x14ac:dyDescent="0.2">
      <c r="A142" s="441" t="s">
        <v>676</v>
      </c>
      <c r="B142" s="438" t="s">
        <v>677</v>
      </c>
      <c r="C142" s="438"/>
      <c r="D142" s="438"/>
      <c r="E142" s="438"/>
      <c r="F142" s="438" t="s">
        <v>107</v>
      </c>
      <c r="G142" s="438"/>
      <c r="H142" s="438"/>
      <c r="I142" s="216">
        <f>IF(H15=1,0.0165,IF(H15=2,0.0065,IF(H15=3,'1. SA ABA DE CARREGAMENTO'!B108,IF(H15=4,'1. SA ABA DE CARREGAMENTO'!B108,IF(H15=5,'1. SA ABA DE CARREGAMENTO'!B112,"RT Indefinido")))))</f>
        <v>1.6500000000000001E-2</v>
      </c>
      <c r="J142" s="227">
        <f>ROUND(($J$140/(1-$I$141))*I142,2)</f>
        <v>67.08</v>
      </c>
      <c r="K142" s="134"/>
      <c r="L142" s="234"/>
    </row>
    <row r="143" spans="1:12" ht="17.25" customHeight="1" x14ac:dyDescent="0.2">
      <c r="A143" s="441"/>
      <c r="B143" s="438"/>
      <c r="C143" s="438"/>
      <c r="D143" s="438"/>
      <c r="E143" s="438"/>
      <c r="F143" s="438" t="s">
        <v>108</v>
      </c>
      <c r="G143" s="438"/>
      <c r="H143" s="438"/>
      <c r="I143" s="216">
        <f>IF(H15=1,0.076,IF(H15=2,0.03,IF(H15=3,'1. SA ABA DE CARREGAMENTO'!B109,IF(H15=4,'1. SA ABA DE CARREGAMENTO'!B109,IF(H15=5,'1. SA ABA DE CARREGAMENTO'!B113,"RT Indefinido")))))</f>
        <v>7.5999999999999998E-2</v>
      </c>
      <c r="J143" s="227">
        <f>ROUND(($J$140/(1-$I$141))*I143,2)</f>
        <v>308.95999999999998</v>
      </c>
      <c r="K143" s="134"/>
      <c r="L143" s="234"/>
    </row>
    <row r="144" spans="1:12" ht="17.25" customHeight="1" x14ac:dyDescent="0.2">
      <c r="A144" s="200" t="s">
        <v>678</v>
      </c>
      <c r="B144" s="438" t="s">
        <v>679</v>
      </c>
      <c r="C144" s="438"/>
      <c r="D144" s="438"/>
      <c r="E144" s="438"/>
      <c r="F144" s="438" t="s">
        <v>680</v>
      </c>
      <c r="G144" s="438"/>
      <c r="H144" s="438"/>
      <c r="I144" s="216">
        <v>0</v>
      </c>
      <c r="J144" s="213">
        <v>0</v>
      </c>
      <c r="K144" s="134"/>
      <c r="L144" s="234"/>
    </row>
    <row r="145" spans="1:10" ht="17.25" customHeight="1" x14ac:dyDescent="0.2">
      <c r="A145" s="200" t="s">
        <v>681</v>
      </c>
      <c r="B145" s="438" t="s">
        <v>682</v>
      </c>
      <c r="C145" s="438"/>
      <c r="D145" s="438"/>
      <c r="E145" s="438"/>
      <c r="F145" s="438" t="s">
        <v>683</v>
      </c>
      <c r="G145" s="438"/>
      <c r="H145" s="438"/>
      <c r="I145" s="216">
        <f>'1. SA ABA DE CARREGAMENTO'!$B$105</f>
        <v>0.03</v>
      </c>
      <c r="J145" s="227">
        <f>ROUND(($J$140/(1-$I$141))*I145,2)</f>
        <v>121.96</v>
      </c>
    </row>
    <row r="146" spans="1:10" ht="17.25" customHeight="1" x14ac:dyDescent="0.2">
      <c r="A146" s="457" t="s">
        <v>684</v>
      </c>
      <c r="B146" s="457"/>
      <c r="C146" s="457"/>
      <c r="D146" s="457"/>
      <c r="E146" s="457"/>
      <c r="F146" s="457"/>
      <c r="G146" s="457"/>
      <c r="H146" s="457"/>
      <c r="I146" s="457"/>
      <c r="J146" s="214">
        <f>SUM(J137+J139+J141)</f>
        <v>913.89999999999986</v>
      </c>
    </row>
    <row r="147" spans="1:10" ht="17.25" customHeight="1" x14ac:dyDescent="0.2">
      <c r="A147" s="212" t="s">
        <v>685</v>
      </c>
      <c r="B147" s="458" t="s">
        <v>686</v>
      </c>
      <c r="C147" s="458"/>
      <c r="D147" s="458"/>
      <c r="E147" s="458"/>
      <c r="F147" s="458"/>
      <c r="G147" s="458"/>
      <c r="H147" s="458"/>
      <c r="I147" s="458"/>
      <c r="J147" s="458"/>
    </row>
    <row r="148" spans="1:10" ht="14.25" customHeight="1" x14ac:dyDescent="0.2">
      <c r="A148" s="468" t="s">
        <v>687</v>
      </c>
      <c r="B148" s="469" t="s">
        <v>688</v>
      </c>
      <c r="C148" s="470"/>
      <c r="D148" s="475" t="s">
        <v>881</v>
      </c>
      <c r="E148" s="476"/>
      <c r="F148" s="476"/>
      <c r="G148" s="481" t="s">
        <v>882</v>
      </c>
      <c r="H148" s="482"/>
      <c r="I148" s="318"/>
      <c r="J148" s="487"/>
    </row>
    <row r="149" spans="1:10" ht="14.25" customHeight="1" x14ac:dyDescent="0.2">
      <c r="A149" s="468"/>
      <c r="B149" s="471"/>
      <c r="C149" s="472"/>
      <c r="D149" s="477"/>
      <c r="E149" s="478"/>
      <c r="F149" s="478"/>
      <c r="G149" s="483"/>
      <c r="H149" s="484"/>
      <c r="I149" s="319"/>
      <c r="J149" s="488"/>
    </row>
    <row r="150" spans="1:10" ht="14.25" customHeight="1" x14ac:dyDescent="0.2">
      <c r="A150" s="468"/>
      <c r="B150" s="473"/>
      <c r="C150" s="474"/>
      <c r="D150" s="479"/>
      <c r="E150" s="480"/>
      <c r="F150" s="480"/>
      <c r="G150" s="485"/>
      <c r="H150" s="486"/>
      <c r="I150" s="320"/>
      <c r="J150" s="489"/>
    </row>
    <row r="151" spans="1:10" x14ac:dyDescent="0.2">
      <c r="A151" s="526"/>
      <c r="B151" s="526"/>
      <c r="C151" s="526"/>
      <c r="D151" s="526"/>
      <c r="E151" s="526"/>
      <c r="F151" s="526"/>
      <c r="G151" s="526"/>
      <c r="H151" s="526"/>
      <c r="I151" s="526"/>
      <c r="J151" s="526"/>
    </row>
    <row r="152" spans="1:10" ht="21.75" customHeight="1" x14ac:dyDescent="0.2">
      <c r="A152" s="490" t="s">
        <v>689</v>
      </c>
      <c r="B152" s="490"/>
      <c r="C152" s="490"/>
      <c r="D152" s="490"/>
      <c r="E152" s="490"/>
      <c r="F152" s="490"/>
      <c r="G152" s="490"/>
      <c r="H152" s="490"/>
      <c r="I152" s="490"/>
      <c r="J152" s="490"/>
    </row>
    <row r="153" spans="1:10" ht="21.75" customHeight="1" x14ac:dyDescent="0.2">
      <c r="A153" s="491" t="s">
        <v>690</v>
      </c>
      <c r="B153" s="491"/>
      <c r="C153" s="491"/>
      <c r="D153" s="491"/>
      <c r="E153" s="491"/>
      <c r="F153" s="491"/>
      <c r="G153" s="491"/>
      <c r="H153" s="491"/>
      <c r="I153" s="491"/>
      <c r="J153" s="191" t="s">
        <v>580</v>
      </c>
    </row>
    <row r="154" spans="1:10" ht="21.75" customHeight="1" x14ac:dyDescent="0.2">
      <c r="A154" s="235" t="s">
        <v>525</v>
      </c>
      <c r="B154" s="492" t="s">
        <v>691</v>
      </c>
      <c r="C154" s="492"/>
      <c r="D154" s="492"/>
      <c r="E154" s="492"/>
      <c r="F154" s="492"/>
      <c r="G154" s="492"/>
      <c r="H154" s="492"/>
      <c r="I154" s="492"/>
      <c r="J154" s="213">
        <f>J42</f>
        <v>1576.9099999999999</v>
      </c>
    </row>
    <row r="155" spans="1:10" ht="21.75" customHeight="1" x14ac:dyDescent="0.2">
      <c r="A155" s="235" t="s">
        <v>527</v>
      </c>
      <c r="B155" s="492" t="s">
        <v>692</v>
      </c>
      <c r="C155" s="492"/>
      <c r="D155" s="492"/>
      <c r="E155" s="492"/>
      <c r="F155" s="492"/>
      <c r="G155" s="492"/>
      <c r="H155" s="492"/>
      <c r="I155" s="492"/>
      <c r="J155" s="213">
        <f>J88</f>
        <v>1202.25</v>
      </c>
    </row>
    <row r="156" spans="1:10" ht="21.75" customHeight="1" x14ac:dyDescent="0.2">
      <c r="A156" s="235" t="s">
        <v>528</v>
      </c>
      <c r="B156" s="492" t="s">
        <v>693</v>
      </c>
      <c r="C156" s="492"/>
      <c r="D156" s="492"/>
      <c r="E156" s="492"/>
      <c r="F156" s="492"/>
      <c r="G156" s="492"/>
      <c r="H156" s="492"/>
      <c r="I156" s="492"/>
      <c r="J156" s="213">
        <f>J98</f>
        <v>87.039999999999992</v>
      </c>
    </row>
    <row r="157" spans="1:10" ht="21.75" customHeight="1" x14ac:dyDescent="0.2">
      <c r="A157" s="235" t="s">
        <v>530</v>
      </c>
      <c r="B157" s="492" t="s">
        <v>694</v>
      </c>
      <c r="C157" s="492"/>
      <c r="D157" s="492"/>
      <c r="E157" s="492"/>
      <c r="F157" s="492"/>
      <c r="G157" s="492"/>
      <c r="H157" s="492"/>
      <c r="I157" s="492"/>
      <c r="J157" s="213">
        <f>J122</f>
        <v>192.37</v>
      </c>
    </row>
    <row r="158" spans="1:10" ht="21.75" customHeight="1" x14ac:dyDescent="0.2">
      <c r="A158" s="235" t="s">
        <v>590</v>
      </c>
      <c r="B158" s="492" t="s">
        <v>695</v>
      </c>
      <c r="C158" s="492"/>
      <c r="D158" s="492"/>
      <c r="E158" s="492"/>
      <c r="F158" s="492"/>
      <c r="G158" s="492"/>
      <c r="H158" s="492"/>
      <c r="I158" s="492"/>
      <c r="J158" s="213">
        <f>J131</f>
        <v>92.830833333333317</v>
      </c>
    </row>
    <row r="159" spans="1:10" ht="21.75" customHeight="1" x14ac:dyDescent="0.2">
      <c r="A159" s="493" t="s">
        <v>696</v>
      </c>
      <c r="B159" s="493"/>
      <c r="C159" s="493"/>
      <c r="D159" s="493"/>
      <c r="E159" s="493"/>
      <c r="F159" s="493"/>
      <c r="G159" s="493"/>
      <c r="H159" s="493"/>
      <c r="I159" s="493"/>
      <c r="J159" s="214">
        <f>SUM(J154:J158)</f>
        <v>3151.4008333333331</v>
      </c>
    </row>
    <row r="160" spans="1:10" ht="21.75" customHeight="1" x14ac:dyDescent="0.2">
      <c r="A160" s="235" t="s">
        <v>591</v>
      </c>
      <c r="B160" s="492" t="s">
        <v>697</v>
      </c>
      <c r="C160" s="492"/>
      <c r="D160" s="492"/>
      <c r="E160" s="492"/>
      <c r="F160" s="492"/>
      <c r="G160" s="492"/>
      <c r="H160" s="492"/>
      <c r="I160" s="492"/>
      <c r="J160" s="213">
        <f>J146</f>
        <v>913.89999999999986</v>
      </c>
    </row>
    <row r="161" spans="1:26" ht="21.75" customHeight="1" x14ac:dyDescent="0.2">
      <c r="A161" s="494" t="s">
        <v>698</v>
      </c>
      <c r="B161" s="494"/>
      <c r="C161" s="494"/>
      <c r="D161" s="494"/>
      <c r="E161" s="494"/>
      <c r="F161" s="494"/>
      <c r="G161" s="494"/>
      <c r="H161" s="236">
        <f>'1. SA ABA DE CARREGAMENTO'!C68</f>
        <v>44</v>
      </c>
      <c r="I161" s="237" t="s">
        <v>571</v>
      </c>
      <c r="J161" s="214">
        <f>SUM(J159:J160)</f>
        <v>4065.3008333333328</v>
      </c>
    </row>
    <row r="162" spans="1:26" ht="15" x14ac:dyDescent="0.2">
      <c r="A162" s="542"/>
      <c r="B162" s="542"/>
      <c r="C162" s="542"/>
      <c r="D162" s="542"/>
      <c r="E162" s="542"/>
      <c r="F162" s="542"/>
      <c r="G162" s="542"/>
      <c r="H162" s="542"/>
      <c r="I162" s="542"/>
      <c r="J162" s="542"/>
      <c r="K162" s="18"/>
      <c r="L162" s="18"/>
      <c r="M162" s="18"/>
      <c r="N162" s="18"/>
      <c r="O162" s="18"/>
      <c r="P162" s="18"/>
      <c r="Q162" s="18"/>
      <c r="R162" s="18"/>
      <c r="S162" s="18"/>
      <c r="T162" s="18"/>
      <c r="U162" s="18"/>
      <c r="V162" s="18"/>
      <c r="W162" s="18"/>
      <c r="X162" s="18"/>
      <c r="Y162" s="18"/>
      <c r="Z162" s="18"/>
    </row>
    <row r="163" spans="1:26" ht="21.75" customHeight="1" x14ac:dyDescent="0.2">
      <c r="A163" s="466" t="s">
        <v>764</v>
      </c>
      <c r="B163" s="466"/>
      <c r="C163" s="466"/>
      <c r="D163" s="466"/>
      <c r="E163" s="466"/>
      <c r="F163" s="466"/>
      <c r="G163" s="466"/>
      <c r="H163" s="466"/>
      <c r="I163" s="518">
        <f>J161</f>
        <v>4065.3008333333328</v>
      </c>
      <c r="J163" s="518"/>
    </row>
    <row r="164" spans="1:26" x14ac:dyDescent="0.2">
      <c r="A164" s="541"/>
      <c r="B164" s="541"/>
      <c r="C164" s="541"/>
      <c r="D164" s="541"/>
      <c r="E164" s="541"/>
      <c r="F164" s="541"/>
      <c r="G164" s="541"/>
      <c r="H164" s="541"/>
      <c r="I164" s="541"/>
      <c r="J164" s="541"/>
      <c r="K164" s="18"/>
      <c r="L164" s="18"/>
      <c r="M164" s="18"/>
      <c r="N164" s="18"/>
      <c r="O164" s="18"/>
      <c r="P164" s="18"/>
      <c r="Q164" s="18"/>
      <c r="R164" s="18"/>
      <c r="S164" s="18"/>
      <c r="T164" s="18"/>
      <c r="U164" s="18"/>
      <c r="V164" s="18"/>
      <c r="W164" s="18"/>
      <c r="X164" s="18"/>
      <c r="Y164" s="18"/>
      <c r="Z164" s="18"/>
    </row>
    <row r="165" spans="1:26" ht="21.75" customHeight="1" x14ac:dyDescent="0.2">
      <c r="A165" s="466" t="s">
        <v>765</v>
      </c>
      <c r="B165" s="466"/>
      <c r="C165" s="466"/>
      <c r="D165" s="466"/>
      <c r="E165" s="466"/>
      <c r="F165" s="466"/>
      <c r="G165" s="466"/>
      <c r="H165" s="466"/>
      <c r="I165" s="543">
        <f>H21</f>
        <v>20</v>
      </c>
      <c r="J165" s="543"/>
    </row>
    <row r="166" spans="1:26" x14ac:dyDescent="0.2">
      <c r="A166" s="541"/>
      <c r="B166" s="541"/>
      <c r="C166" s="541"/>
      <c r="D166" s="541"/>
      <c r="E166" s="541"/>
      <c r="F166" s="541"/>
      <c r="G166" s="541"/>
      <c r="H166" s="541"/>
      <c r="I166" s="541"/>
      <c r="J166" s="541"/>
      <c r="K166" s="18"/>
      <c r="L166" s="18"/>
      <c r="M166" s="18"/>
      <c r="N166" s="18"/>
      <c r="O166" s="18"/>
      <c r="P166" s="18"/>
      <c r="Q166" s="18"/>
      <c r="R166" s="18"/>
      <c r="S166" s="18"/>
      <c r="T166" s="18"/>
      <c r="U166" s="18"/>
      <c r="V166" s="18"/>
      <c r="W166" s="18"/>
      <c r="X166" s="18"/>
      <c r="Y166" s="18"/>
      <c r="Z166" s="18"/>
    </row>
    <row r="167" spans="1:26" ht="21.75" customHeight="1" x14ac:dyDescent="0.2">
      <c r="A167" s="466" t="s">
        <v>766</v>
      </c>
      <c r="B167" s="466"/>
      <c r="C167" s="466"/>
      <c r="D167" s="466"/>
      <c r="E167" s="466"/>
      <c r="F167" s="466"/>
      <c r="G167" s="466"/>
      <c r="H167" s="466"/>
      <c r="I167" s="518">
        <f>ROUND(I163*I165,2)</f>
        <v>81306.02</v>
      </c>
      <c r="J167" s="518"/>
    </row>
    <row r="168" spans="1:26" x14ac:dyDescent="0.2">
      <c r="A168" s="541"/>
      <c r="B168" s="541"/>
      <c r="C168" s="541"/>
      <c r="D168" s="541"/>
      <c r="E168" s="541"/>
      <c r="F168" s="541"/>
      <c r="G168" s="541"/>
      <c r="H168" s="541"/>
      <c r="I168" s="541"/>
      <c r="J168" s="541"/>
      <c r="K168" s="18"/>
      <c r="L168" s="18"/>
      <c r="M168" s="18"/>
      <c r="N168" s="18"/>
      <c r="O168" s="18"/>
      <c r="P168" s="18"/>
      <c r="Q168" s="18"/>
      <c r="R168" s="18"/>
      <c r="S168" s="18"/>
      <c r="T168" s="18"/>
      <c r="U168" s="18"/>
      <c r="V168" s="18"/>
      <c r="W168" s="18"/>
      <c r="X168" s="18"/>
      <c r="Y168" s="18"/>
      <c r="Z168" s="18"/>
    </row>
    <row r="169" spans="1:26" ht="21.75" customHeight="1" x14ac:dyDescent="0.2">
      <c r="A169" s="466" t="s">
        <v>767</v>
      </c>
      <c r="B169" s="466"/>
      <c r="C169" s="466"/>
      <c r="D169" s="466"/>
      <c r="E169" s="466"/>
      <c r="F169" s="466"/>
      <c r="G169" s="466"/>
      <c r="H169" s="466"/>
      <c r="I169" s="466"/>
      <c r="J169" s="466"/>
    </row>
    <row r="170" spans="1:26" ht="21.75" customHeight="1" x14ac:dyDescent="0.2">
      <c r="A170" s="423" t="s">
        <v>768</v>
      </c>
      <c r="B170" s="423"/>
      <c r="C170" s="423"/>
      <c r="D170" s="423"/>
      <c r="E170" s="423"/>
      <c r="F170" s="423"/>
      <c r="G170" s="423" t="s">
        <v>769</v>
      </c>
      <c r="H170" s="423"/>
      <c r="I170" s="423"/>
      <c r="J170" s="423"/>
    </row>
    <row r="171" spans="1:26" ht="21.75" customHeight="1" x14ac:dyDescent="0.2">
      <c r="A171" s="521" t="s">
        <v>848</v>
      </c>
      <c r="B171" s="521"/>
      <c r="C171" s="521"/>
      <c r="D171" s="521"/>
      <c r="E171" s="521"/>
      <c r="F171" s="521"/>
      <c r="G171" s="371">
        <f>I25</f>
        <v>1</v>
      </c>
      <c r="H171" s="371"/>
      <c r="I171" s="371"/>
      <c r="J171" s="371"/>
    </row>
    <row r="172" spans="1:26" ht="33" customHeight="1" x14ac:dyDescent="0.2">
      <c r="A172" s="539" t="s">
        <v>840</v>
      </c>
      <c r="B172" s="539"/>
      <c r="C172" s="539"/>
      <c r="D172" s="539"/>
      <c r="E172" s="539"/>
      <c r="F172" s="539"/>
      <c r="G172" s="539"/>
      <c r="H172" s="539"/>
      <c r="I172" s="539"/>
      <c r="J172" s="539"/>
    </row>
    <row r="173" spans="1:26" ht="12.75" customHeight="1" x14ac:dyDescent="0.2"/>
    <row r="174" spans="1:26" ht="12.75" customHeight="1" x14ac:dyDescent="0.2"/>
    <row r="175" spans="1:26" ht="12.75" customHeight="1" x14ac:dyDescent="0.2"/>
    <row r="176" spans="1:2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sheetData>
  <mergeCells count="208">
    <mergeCell ref="A168:J168"/>
    <mergeCell ref="A169:J169"/>
    <mergeCell ref="A170:F170"/>
    <mergeCell ref="G170:J170"/>
    <mergeCell ref="A171:F171"/>
    <mergeCell ref="G171:J171"/>
    <mergeCell ref="A172:J172"/>
    <mergeCell ref="E73:I73"/>
    <mergeCell ref="E77:I77"/>
    <mergeCell ref="A162:J162"/>
    <mergeCell ref="A163:H163"/>
    <mergeCell ref="I163:J163"/>
    <mergeCell ref="A164:J164"/>
    <mergeCell ref="A165:H165"/>
    <mergeCell ref="I165:J165"/>
    <mergeCell ref="A166:J166"/>
    <mergeCell ref="A167:H167"/>
    <mergeCell ref="I167:J167"/>
    <mergeCell ref="A153:I153"/>
    <mergeCell ref="B154:I154"/>
    <mergeCell ref="B155:I155"/>
    <mergeCell ref="B156:I156"/>
    <mergeCell ref="B157:I157"/>
    <mergeCell ref="B158:I158"/>
    <mergeCell ref="A159:I159"/>
    <mergeCell ref="B160:I160"/>
    <mergeCell ref="A161:G161"/>
    <mergeCell ref="A146:I146"/>
    <mergeCell ref="B147:J147"/>
    <mergeCell ref="A148:A150"/>
    <mergeCell ref="B148:C150"/>
    <mergeCell ref="A151:J151"/>
    <mergeCell ref="A152:J152"/>
    <mergeCell ref="D148:F150"/>
    <mergeCell ref="G148:H150"/>
    <mergeCell ref="J148:J150"/>
    <mergeCell ref="K141:L141"/>
    <mergeCell ref="A142:A143"/>
    <mergeCell ref="B142:E143"/>
    <mergeCell ref="F142:H142"/>
    <mergeCell ref="F143:H143"/>
    <mergeCell ref="B144:E144"/>
    <mergeCell ref="F144:H144"/>
    <mergeCell ref="B145:E145"/>
    <mergeCell ref="F145:H145"/>
    <mergeCell ref="A133:J133"/>
    <mergeCell ref="A134:J134"/>
    <mergeCell ref="B135:H135"/>
    <mergeCell ref="A136:I136"/>
    <mergeCell ref="B137:H137"/>
    <mergeCell ref="A138:I138"/>
    <mergeCell ref="B139:H139"/>
    <mergeCell ref="A140:I140"/>
    <mergeCell ref="B141:H141"/>
    <mergeCell ref="B123:J123"/>
    <mergeCell ref="A125:J125"/>
    <mergeCell ref="B126:I126"/>
    <mergeCell ref="B127:I127"/>
    <mergeCell ref="B128:I128"/>
    <mergeCell ref="B129:I129"/>
    <mergeCell ref="B130:I130"/>
    <mergeCell ref="A131:I131"/>
    <mergeCell ref="B132:J132"/>
    <mergeCell ref="B114:I114"/>
    <mergeCell ref="B115:I115"/>
    <mergeCell ref="A116:I116"/>
    <mergeCell ref="A117:I117"/>
    <mergeCell ref="A118:J118"/>
    <mergeCell ref="B119:I119"/>
    <mergeCell ref="B120:I120"/>
    <mergeCell ref="B121:I121"/>
    <mergeCell ref="A122:I122"/>
    <mergeCell ref="B105:I105"/>
    <mergeCell ref="B106:I106"/>
    <mergeCell ref="B107:I107"/>
    <mergeCell ref="B108:I108"/>
    <mergeCell ref="B109:I109"/>
    <mergeCell ref="B110:I110"/>
    <mergeCell ref="B111:I111"/>
    <mergeCell ref="A112:I112"/>
    <mergeCell ref="A113:I113"/>
    <mergeCell ref="B97:I97"/>
    <mergeCell ref="A98:I98"/>
    <mergeCell ref="A100:J100"/>
    <mergeCell ref="A101:J101"/>
    <mergeCell ref="A102:B102"/>
    <mergeCell ref="D102:E102"/>
    <mergeCell ref="G102:H102"/>
    <mergeCell ref="A103:F103"/>
    <mergeCell ref="G103:I103"/>
    <mergeCell ref="B87:I87"/>
    <mergeCell ref="A88:I88"/>
    <mergeCell ref="A90:J90"/>
    <mergeCell ref="B91:I91"/>
    <mergeCell ref="B92:I92"/>
    <mergeCell ref="B93:I93"/>
    <mergeCell ref="B94:I94"/>
    <mergeCell ref="B95:I95"/>
    <mergeCell ref="B96:I96"/>
    <mergeCell ref="B77:D77"/>
    <mergeCell ref="B78:I78"/>
    <mergeCell ref="A79:I79"/>
    <mergeCell ref="B80:J80"/>
    <mergeCell ref="B81:J81"/>
    <mergeCell ref="A83:J83"/>
    <mergeCell ref="B84:I84"/>
    <mergeCell ref="B85:I85"/>
    <mergeCell ref="B86:I86"/>
    <mergeCell ref="B67:I67"/>
    <mergeCell ref="A68:A72"/>
    <mergeCell ref="B68:I68"/>
    <mergeCell ref="J68:J72"/>
    <mergeCell ref="B69:H69"/>
    <mergeCell ref="B70:H70"/>
    <mergeCell ref="B71:H71"/>
    <mergeCell ref="B72:H72"/>
    <mergeCell ref="A73:A76"/>
    <mergeCell ref="B73:D73"/>
    <mergeCell ref="J73:J76"/>
    <mergeCell ref="B74:H74"/>
    <mergeCell ref="B75:H75"/>
    <mergeCell ref="B76:H76"/>
    <mergeCell ref="B57:H57"/>
    <mergeCell ref="B58:H58"/>
    <mergeCell ref="B59:H59"/>
    <mergeCell ref="B60:H60"/>
    <mergeCell ref="B61:H61"/>
    <mergeCell ref="A62:H62"/>
    <mergeCell ref="B63:J63"/>
    <mergeCell ref="B64:J64"/>
    <mergeCell ref="B66:J66"/>
    <mergeCell ref="B48:I48"/>
    <mergeCell ref="A49:I49"/>
    <mergeCell ref="B50:J50"/>
    <mergeCell ref="A51:I51"/>
    <mergeCell ref="B52:J52"/>
    <mergeCell ref="B53:H53"/>
    <mergeCell ref="B54:H54"/>
    <mergeCell ref="B55:H55"/>
    <mergeCell ref="B56:D56"/>
    <mergeCell ref="B40:C40"/>
    <mergeCell ref="D40:H40"/>
    <mergeCell ref="B41:I41"/>
    <mergeCell ref="A42:I42"/>
    <mergeCell ref="B43:J43"/>
    <mergeCell ref="A44:J44"/>
    <mergeCell ref="A45:J45"/>
    <mergeCell ref="B46:I46"/>
    <mergeCell ref="B47:I47"/>
    <mergeCell ref="B33:G33"/>
    <mergeCell ref="H33:J33"/>
    <mergeCell ref="B34:G34"/>
    <mergeCell ref="H34:J34"/>
    <mergeCell ref="B35:J35"/>
    <mergeCell ref="A36:J36"/>
    <mergeCell ref="A37:J37"/>
    <mergeCell ref="B38:H38"/>
    <mergeCell ref="B39:D39"/>
    <mergeCell ref="G39:I39"/>
    <mergeCell ref="A26:J26"/>
    <mergeCell ref="A27:J27"/>
    <mergeCell ref="A28:J28"/>
    <mergeCell ref="A29:J29"/>
    <mergeCell ref="B30:G30"/>
    <mergeCell ref="H30:J30"/>
    <mergeCell ref="B31:G31"/>
    <mergeCell ref="H31:J31"/>
    <mergeCell ref="B32:G32"/>
    <mergeCell ref="H32:J32"/>
    <mergeCell ref="B21:G21"/>
    <mergeCell ref="H21:J21"/>
    <mergeCell ref="A23:J23"/>
    <mergeCell ref="A24:F24"/>
    <mergeCell ref="G24:H24"/>
    <mergeCell ref="I24:J24"/>
    <mergeCell ref="A25:F25"/>
    <mergeCell ref="G25:H25"/>
    <mergeCell ref="I25:J25"/>
    <mergeCell ref="A15:G15"/>
    <mergeCell ref="I15:J15"/>
    <mergeCell ref="A17:J17"/>
    <mergeCell ref="B18:G18"/>
    <mergeCell ref="H18:J18"/>
    <mergeCell ref="B19:G19"/>
    <mergeCell ref="H19:J19"/>
    <mergeCell ref="B20:G20"/>
    <mergeCell ref="H20:J20"/>
    <mergeCell ref="B11:C11"/>
    <mergeCell ref="E11:F11"/>
    <mergeCell ref="B12:G12"/>
    <mergeCell ref="I12:J12"/>
    <mergeCell ref="B13:D13"/>
    <mergeCell ref="F13:G13"/>
    <mergeCell ref="I13:J13"/>
    <mergeCell ref="A14:G14"/>
    <mergeCell ref="H14:J14"/>
    <mergeCell ref="A1:J1"/>
    <mergeCell ref="A2:J2"/>
    <mergeCell ref="A3:J3"/>
    <mergeCell ref="A4:J4"/>
    <mergeCell ref="A5:J5"/>
    <mergeCell ref="A7:J7"/>
    <mergeCell ref="A8:J8"/>
    <mergeCell ref="A9:C10"/>
    <mergeCell ref="D9:H9"/>
    <mergeCell ref="I9:J9"/>
    <mergeCell ref="D10:F10"/>
    <mergeCell ref="I10:J10"/>
  </mergeCells>
  <conditionalFormatting sqref="A14:G14">
    <cfRule type="expression" dxfId="1" priority="2">
      <formula>LEN(TRIM(A14))&gt;0</formula>
    </cfRule>
  </conditionalFormatting>
  <conditionalFormatting sqref="H14:J14">
    <cfRule type="expression" dxfId="0" priority="3">
      <formula>LEN(TRIM(H14))&gt;0</formula>
    </cfRule>
  </conditionalFormatting>
  <printOptions horizontalCentered="1"/>
  <pageMargins left="0" right="0" top="0.39370078740157483" bottom="0" header="0" footer="0.51181102362204722"/>
  <pageSetup paperSize="9" scale="49" firstPageNumber="0" pageOrder="overThenDown" orientation="portrait" r:id="rId1"/>
  <headerFooter>
    <oddHeader>&amp;R&amp;P de &amp;N</oddHeader>
    <oddFooter>&amp;L&amp;F - &amp;A&amp;CPágina &amp;P de &amp;N</oddFooter>
  </headerFooter>
  <rowBreaks count="2" manualBreakCount="2">
    <brk id="82" max="9" man="1"/>
    <brk id="150" max="9" man="1"/>
  </rowBreaks>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00"/>
  </sheetPr>
  <dimension ref="A1:AMJ996"/>
  <sheetViews>
    <sheetView showGridLines="0" zoomScaleNormal="100" workbookViewId="0">
      <selection activeCell="J7" sqref="J7"/>
    </sheetView>
  </sheetViews>
  <sheetFormatPr defaultColWidth="14.42578125" defaultRowHeight="14.25" x14ac:dyDescent="0.2"/>
  <cols>
    <col min="1" max="1" width="1.140625" style="1" customWidth="1"/>
    <col min="2" max="2" width="3.7109375" style="1" customWidth="1"/>
    <col min="3" max="3" width="45.42578125" style="1" customWidth="1"/>
    <col min="4" max="4" width="23.7109375" style="1" customWidth="1"/>
    <col min="5" max="5" width="13.7109375" style="1" customWidth="1"/>
    <col min="6" max="6" width="14.42578125" style="1"/>
    <col min="7" max="7" width="24" style="1" customWidth="1"/>
    <col min="8" max="8" width="1.42578125" style="1" customWidth="1"/>
    <col min="9" max="9" width="17.85546875" style="1" customWidth="1"/>
    <col min="10" max="10" width="16" style="1" customWidth="1"/>
    <col min="11" max="11" width="13.42578125" style="1" customWidth="1"/>
    <col min="12" max="26" width="8" style="1" customWidth="1"/>
    <col min="27" max="1024" width="14.42578125" style="1"/>
  </cols>
  <sheetData>
    <row r="1" spans="3:11" ht="15" customHeight="1" x14ac:dyDescent="0.2">
      <c r="C1" s="326" t="s">
        <v>0</v>
      </c>
      <c r="D1" s="326"/>
      <c r="E1" s="326"/>
      <c r="F1" s="326"/>
      <c r="G1" s="326"/>
      <c r="H1" s="165"/>
    </row>
    <row r="2" spans="3:11" ht="15" customHeight="1" x14ac:dyDescent="0.2">
      <c r="C2" s="326" t="s">
        <v>1</v>
      </c>
      <c r="D2" s="326"/>
      <c r="E2" s="326"/>
      <c r="F2" s="326"/>
      <c r="G2" s="326"/>
      <c r="H2" s="165"/>
    </row>
    <row r="3" spans="3:11" ht="15" customHeight="1" x14ac:dyDescent="0.2">
      <c r="C3" s="326" t="s">
        <v>2</v>
      </c>
      <c r="D3" s="326"/>
      <c r="E3" s="326"/>
      <c r="F3" s="326"/>
      <c r="G3" s="326"/>
      <c r="H3" s="165"/>
    </row>
    <row r="4" spans="3:11" ht="15" x14ac:dyDescent="0.2">
      <c r="C4" s="356" t="str">
        <f>'1. SA ABA DE CARREGAMENTO'!A4</f>
        <v>CAMPUS SANTO AUGUSTO</v>
      </c>
      <c r="D4" s="356"/>
      <c r="E4" s="356"/>
      <c r="F4" s="356"/>
      <c r="G4" s="356"/>
      <c r="H4" s="260"/>
    </row>
    <row r="5" spans="3:11" ht="15" customHeight="1" x14ac:dyDescent="0.2">
      <c r="C5" s="357" t="s">
        <v>849</v>
      </c>
      <c r="D5" s="357"/>
      <c r="E5" s="357"/>
      <c r="F5" s="357"/>
      <c r="G5" s="357"/>
      <c r="H5" s="165"/>
    </row>
    <row r="6" spans="3:11" ht="13.5" customHeight="1" x14ac:dyDescent="0.2"/>
    <row r="7" spans="3:11" ht="48" customHeight="1" x14ac:dyDescent="0.2">
      <c r="C7" s="261" t="s">
        <v>850</v>
      </c>
      <c r="D7" s="262" t="s">
        <v>851</v>
      </c>
      <c r="E7" s="544" t="s">
        <v>852</v>
      </c>
      <c r="F7" s="544"/>
      <c r="G7" s="263" t="s">
        <v>853</v>
      </c>
    </row>
    <row r="8" spans="3:11" ht="30" x14ac:dyDescent="0.2">
      <c r="C8" s="264" t="str">
        <f>'7. SA Planilha área geral'!$D$9</f>
        <v xml:space="preserve">Prestação de serviços de limpeza geral (exceto banheiros) para o IFFAR  </v>
      </c>
      <c r="D8" s="265">
        <f>'4. SA Cál DEMO Limpeza Geral'!$L$28</f>
        <v>16.587675836969691</v>
      </c>
      <c r="E8" s="545">
        <f>'7. SA Planilha área geral'!$I$279</f>
        <v>77876.98</v>
      </c>
      <c r="F8" s="545"/>
      <c r="G8" s="266">
        <f>'7. SA Planilha área geral'!$I$281</f>
        <v>1557539.6</v>
      </c>
      <c r="K8" s="267"/>
    </row>
    <row r="9" spans="3:11" ht="30" x14ac:dyDescent="0.2">
      <c r="C9" s="268" t="str">
        <f>'8. SA Planilha área Banheiros'!$D$9</f>
        <v xml:space="preserve">Prestação de serviços de limpeza de banheiros para o IFFAR  </v>
      </c>
      <c r="D9" s="269">
        <f>'5. SA Cál. DEMO Banheiros'!$L$13</f>
        <v>5.5287262424242432</v>
      </c>
      <c r="E9" s="546">
        <f>'8. SA Planilha área Banheiros'!$I$195</f>
        <v>29157.97</v>
      </c>
      <c r="F9" s="546"/>
      <c r="G9" s="270">
        <f>'8. SA Planilha área Banheiros'!$I$197</f>
        <v>583159.4</v>
      </c>
    </row>
    <row r="10" spans="3:11" ht="30" x14ac:dyDescent="0.2">
      <c r="C10" s="271" t="str">
        <f>'9. SA Planilha Área Esq e Fach'!$D$9</f>
        <v xml:space="preserve">Serviços de limpeza de esquadrias e fachadas envidraçadas para o IFFAR  </v>
      </c>
      <c r="D10" s="272">
        <f>'6. SA Cálc. DEMO Esq. e Fach'!$L$14</f>
        <v>1.542245541267943</v>
      </c>
      <c r="E10" s="547">
        <f>'9. SA Planilha Área Esq e Fach'!$I$202</f>
        <v>7243.64</v>
      </c>
      <c r="F10" s="547"/>
      <c r="G10" s="273">
        <f>'9. SA Planilha Área Esq e Fach'!$I$204</f>
        <v>144872.79999999999</v>
      </c>
    </row>
    <row r="11" spans="3:11" ht="30" x14ac:dyDescent="0.2">
      <c r="C11" s="268" t="str">
        <f>'10. SA Planilha Encarregado'!$D$9</f>
        <v xml:space="preserve">Prestação de serviços de encarregado da limpeza geral para o IFFAR  </v>
      </c>
      <c r="D11" s="269">
        <f>'10. SA Planilha Encarregado'!G171</f>
        <v>1</v>
      </c>
      <c r="E11" s="546">
        <f>'10. SA Planilha Encarregado'!I163</f>
        <v>4065.3008333333328</v>
      </c>
      <c r="F11" s="546"/>
      <c r="G11" s="270">
        <f>'10. SA Planilha Encarregado'!I167</f>
        <v>81306.02</v>
      </c>
      <c r="I11" s="2"/>
    </row>
    <row r="12" spans="3:11" ht="15" x14ac:dyDescent="0.2">
      <c r="C12" s="274" t="s">
        <v>854</v>
      </c>
      <c r="D12" s="275">
        <f>SUM(D8:D11)</f>
        <v>24.658647620661878</v>
      </c>
      <c r="E12" s="548">
        <f>SUM(E8:E11)</f>
        <v>118343.89083333332</v>
      </c>
      <c r="F12" s="548"/>
      <c r="G12" s="276">
        <f>SUM(G8:G11)</f>
        <v>2366877.8199999998</v>
      </c>
      <c r="K12" s="267"/>
    </row>
    <row r="13" spans="3:11" ht="15" customHeight="1" x14ac:dyDescent="0.2">
      <c r="C13" s="2"/>
      <c r="D13" s="277"/>
      <c r="E13" s="2"/>
      <c r="F13" s="277"/>
      <c r="G13" s="277"/>
    </row>
    <row r="14" spans="3:11" ht="66.75" customHeight="1" x14ac:dyDescent="0.2">
      <c r="C14" s="549" t="s">
        <v>855</v>
      </c>
      <c r="D14" s="549"/>
      <c r="E14" s="549"/>
      <c r="F14" s="325">
        <f>SUM(D8:D10)</f>
        <v>23.658647620661878</v>
      </c>
      <c r="G14" s="278" t="s">
        <v>856</v>
      </c>
    </row>
    <row r="15" spans="3:11" ht="63.75" customHeight="1" x14ac:dyDescent="0.2">
      <c r="C15" s="550" t="str">
        <f>'2. SA INSUMOS'!$B$107</f>
        <v>Quantidade de mão de obra alocada na prestação dos serviços (informação oriunda da aba 'Resumo da Proposta' - Quantidade de Postos/Mão de Obra a ser alocados) + posto do encarregado</v>
      </c>
      <c r="D15" s="550"/>
      <c r="E15" s="550"/>
      <c r="F15" s="279">
        <f>D12</f>
        <v>24.658647620661878</v>
      </c>
      <c r="G15" s="280" t="s">
        <v>857</v>
      </c>
    </row>
    <row r="16" spans="3:11" ht="50.25" customHeight="1" x14ac:dyDescent="0.2">
      <c r="C16" s="281" t="s">
        <v>858</v>
      </c>
      <c r="D16" s="282">
        <f>'1. SA ABA DE CARREGAMENTO'!B57</f>
        <v>20</v>
      </c>
      <c r="E16" s="282" t="s">
        <v>859</v>
      </c>
      <c r="F16" s="551">
        <f>G12</f>
        <v>2366877.8199999998</v>
      </c>
      <c r="G16" s="551"/>
    </row>
    <row r="17" spans="3:7" ht="15" customHeight="1" x14ac:dyDescent="0.2">
      <c r="C17" s="2"/>
      <c r="D17" s="277"/>
      <c r="E17" s="2"/>
      <c r="F17" s="277"/>
      <c r="G17" s="277"/>
    </row>
    <row r="18" spans="3:7" ht="15.75" customHeight="1" x14ac:dyDescent="0.2">
      <c r="C18" s="165" t="s">
        <v>860</v>
      </c>
    </row>
    <row r="19" spans="3:7" ht="15" customHeight="1" x14ac:dyDescent="0.2">
      <c r="C19" s="417" t="s">
        <v>861</v>
      </c>
      <c r="D19" s="417"/>
      <c r="E19" s="417"/>
      <c r="F19" s="417"/>
      <c r="G19" s="417"/>
    </row>
    <row r="20" spans="3:7" ht="15" customHeight="1" x14ac:dyDescent="0.2">
      <c r="C20" s="417" t="s">
        <v>862</v>
      </c>
      <c r="D20" s="417"/>
      <c r="E20" s="417"/>
      <c r="F20" s="417"/>
      <c r="G20" s="417"/>
    </row>
    <row r="21" spans="3:7" ht="15" customHeight="1" x14ac:dyDescent="0.2">
      <c r="C21" s="417" t="s">
        <v>863</v>
      </c>
      <c r="D21" s="417"/>
      <c r="E21" s="417"/>
      <c r="F21" s="417"/>
      <c r="G21" s="417"/>
    </row>
    <row r="22" spans="3:7" ht="15" customHeight="1" x14ac:dyDescent="0.2">
      <c r="C22" s="417" t="s">
        <v>864</v>
      </c>
      <c r="D22" s="417"/>
      <c r="E22" s="417"/>
      <c r="F22" s="417"/>
      <c r="G22" s="417"/>
    </row>
    <row r="23" spans="3:7" ht="15" customHeight="1" x14ac:dyDescent="0.2">
      <c r="C23" s="417" t="s">
        <v>865</v>
      </c>
      <c r="D23" s="417"/>
      <c r="E23" s="417"/>
      <c r="F23" s="417"/>
      <c r="G23" s="417"/>
    </row>
    <row r="24" spans="3:7" ht="15" customHeight="1" x14ac:dyDescent="0.2">
      <c r="C24" s="417" t="s">
        <v>866</v>
      </c>
      <c r="D24" s="417"/>
      <c r="E24" s="417"/>
      <c r="F24" s="417"/>
      <c r="G24" s="417"/>
    </row>
    <row r="26" spans="3:7" ht="15.75" customHeight="1" x14ac:dyDescent="0.2">
      <c r="C26" s="24" t="s">
        <v>17</v>
      </c>
      <c r="D26" s="417" t="str">
        <f>'1. SA ABA DE CARREGAMENTO'!$B$15</f>
        <v>xxxx xxxx xxxx</v>
      </c>
      <c r="E26" s="417"/>
      <c r="F26" s="417"/>
      <c r="G26" s="417"/>
    </row>
    <row r="27" spans="3:7" ht="15.75" customHeight="1" x14ac:dyDescent="0.2">
      <c r="C27" s="24" t="s">
        <v>18</v>
      </c>
      <c r="D27" s="417" t="str">
        <f>'1. SA ABA DE CARREGAMENTO'!$B$16</f>
        <v>zz.zzz.zzz/zzzz-zz</v>
      </c>
      <c r="E27" s="417"/>
    </row>
    <row r="28" spans="3:7" ht="15" customHeight="1" x14ac:dyDescent="0.2">
      <c r="G28" s="283"/>
    </row>
    <row r="29" spans="3:7" ht="15" customHeight="1" x14ac:dyDescent="0.2">
      <c r="F29" s="552" t="s">
        <v>867</v>
      </c>
      <c r="G29" s="552"/>
    </row>
    <row r="31" spans="3:7" ht="15" customHeight="1" x14ac:dyDescent="0.2">
      <c r="F31" s="553"/>
      <c r="G31" s="553"/>
    </row>
    <row r="32" spans="3:7" ht="15" customHeight="1" x14ac:dyDescent="0.2">
      <c r="F32" s="553"/>
      <c r="G32" s="553"/>
    </row>
    <row r="33" spans="3:7" ht="15" customHeight="1" x14ac:dyDescent="0.2">
      <c r="C33" s="552" t="s">
        <v>868</v>
      </c>
      <c r="D33" s="552"/>
      <c r="E33" s="552"/>
      <c r="F33" s="553"/>
      <c r="G33" s="553"/>
    </row>
    <row r="34" spans="3:7" ht="15" customHeight="1" x14ac:dyDescent="0.2">
      <c r="C34" s="1" t="s">
        <v>869</v>
      </c>
      <c r="D34" s="417" t="str">
        <f>'1. SA ABA DE CARREGAMENTO'!$B$17</f>
        <v>Nome Completo</v>
      </c>
      <c r="E34" s="417"/>
      <c r="F34" s="553"/>
      <c r="G34" s="553"/>
    </row>
    <row r="35" spans="3:7" ht="15" customHeight="1" x14ac:dyDescent="0.2">
      <c r="C35" s="1" t="s">
        <v>870</v>
      </c>
      <c r="D35" s="417" t="str">
        <f>'1. SA ABA DE CARREGAMENTO'!$B$18</f>
        <v>yyy.yyy.yyy-yy</v>
      </c>
      <c r="E35" s="417"/>
      <c r="F35" s="553"/>
      <c r="G35" s="553"/>
    </row>
    <row r="36" spans="3:7" ht="15" customHeight="1" x14ac:dyDescent="0.2">
      <c r="C36" s="1" t="s">
        <v>871</v>
      </c>
      <c r="D36" s="417" t="str">
        <f>'1. SA ABA DE CARREGAMENTO'!$B$19</f>
        <v>tttt tttt tttt</v>
      </c>
      <c r="E36" s="417"/>
      <c r="F36" s="553"/>
      <c r="G36" s="553"/>
    </row>
    <row r="37" spans="3:7" ht="15" customHeight="1" x14ac:dyDescent="0.2">
      <c r="C37" s="1" t="s">
        <v>872</v>
      </c>
      <c r="D37" s="417" t="str">
        <f>'1. SA ABA DE CARREGAMENTO'!B55</f>
        <v>Santo Augusto/RS</v>
      </c>
      <c r="E37" s="417"/>
      <c r="F37" s="553"/>
      <c r="G37" s="553"/>
    </row>
    <row r="38" spans="3:7" ht="15" customHeight="1" x14ac:dyDescent="0.2">
      <c r="C38" s="1" t="s">
        <v>873</v>
      </c>
      <c r="D38" s="554">
        <f ca="1">NOW()</f>
        <v>44609.604411921297</v>
      </c>
      <c r="E38" s="554"/>
      <c r="F38" s="553"/>
      <c r="G38" s="553"/>
    </row>
    <row r="39" spans="3:7" ht="12.75" customHeight="1" x14ac:dyDescent="0.2"/>
    <row r="40" spans="3:7" ht="12.75" customHeight="1" x14ac:dyDescent="0.2"/>
    <row r="41" spans="3:7" ht="12.75" customHeight="1" x14ac:dyDescent="0.2"/>
    <row r="42" spans="3:7" ht="12.75" customHeight="1" x14ac:dyDescent="0.2"/>
    <row r="43" spans="3:7" ht="12.75" customHeight="1" x14ac:dyDescent="0.2"/>
    <row r="44" spans="3:7" ht="12.75" customHeight="1" x14ac:dyDescent="0.2"/>
    <row r="45" spans="3:7" ht="12.75" customHeight="1" x14ac:dyDescent="0.2"/>
    <row r="46" spans="3:7" ht="12.75" customHeight="1" x14ac:dyDescent="0.2"/>
    <row r="47" spans="3:7" ht="12.75" customHeight="1" x14ac:dyDescent="0.2"/>
    <row r="48" spans="3:7"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sheetData>
  <mergeCells count="30">
    <mergeCell ref="D26:G26"/>
    <mergeCell ref="D27:E27"/>
    <mergeCell ref="F29:G29"/>
    <mergeCell ref="F31:G38"/>
    <mergeCell ref="C33:E33"/>
    <mergeCell ref="D34:E34"/>
    <mergeCell ref="D35:E35"/>
    <mergeCell ref="D36:E36"/>
    <mergeCell ref="D37:E37"/>
    <mergeCell ref="D38:E38"/>
    <mergeCell ref="C20:G20"/>
    <mergeCell ref="C21:G21"/>
    <mergeCell ref="C22:G22"/>
    <mergeCell ref="C23:G23"/>
    <mergeCell ref="C24:G24"/>
    <mergeCell ref="E12:F12"/>
    <mergeCell ref="C14:E14"/>
    <mergeCell ref="C15:E15"/>
    <mergeCell ref="F16:G16"/>
    <mergeCell ref="C19:G19"/>
    <mergeCell ref="E7:F7"/>
    <mergeCell ref="E8:F8"/>
    <mergeCell ref="E9:F9"/>
    <mergeCell ref="E10:F10"/>
    <mergeCell ref="E11:F11"/>
    <mergeCell ref="C1:G1"/>
    <mergeCell ref="C2:G2"/>
    <mergeCell ref="C3:G3"/>
    <mergeCell ref="C4:G4"/>
    <mergeCell ref="C5:G5"/>
  </mergeCells>
  <printOptions horizontalCentered="1"/>
  <pageMargins left="0.59055118110236227" right="0.39370078740157483" top="0.59055118110236227" bottom="0" header="0" footer="0"/>
  <pageSetup paperSize="9" scale="65" firstPageNumber="0" pageOrder="overThenDown" orientation="portrait" r:id="rId1"/>
  <headerFooter>
    <oddHeader>&amp;R&amp;P de &amp;N</oddHeader>
    <oddFooter>&amp;L&amp;F - &amp;A&amp;CPágina &amp;P de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sheetPr>
  <dimension ref="A1:AMJ1007"/>
  <sheetViews>
    <sheetView showGridLines="0" view="pageBreakPreview" topLeftCell="A34" zoomScale="60" zoomScaleNormal="100" workbookViewId="0">
      <selection activeCell="J7" sqref="J7"/>
    </sheetView>
  </sheetViews>
  <sheetFormatPr defaultColWidth="14.42578125" defaultRowHeight="14.25" x14ac:dyDescent="0.2"/>
  <cols>
    <col min="1" max="1" width="9.42578125" style="1" customWidth="1"/>
    <col min="2" max="2" width="49.42578125" style="1" customWidth="1"/>
    <col min="3" max="3" width="12.140625" style="1" customWidth="1"/>
    <col min="4" max="4" width="13.5703125" style="1" customWidth="1"/>
    <col min="5" max="5" width="12.42578125" style="1" customWidth="1"/>
    <col min="6" max="6" width="14.7109375" style="1" customWidth="1"/>
    <col min="7" max="7" width="21.7109375" style="1" customWidth="1"/>
    <col min="8" max="8" width="14" style="1" customWidth="1"/>
    <col min="9" max="9" width="13.42578125" style="1" customWidth="1"/>
    <col min="10" max="12" width="9" style="1" customWidth="1"/>
    <col min="13" max="27" width="8" style="1" customWidth="1"/>
    <col min="28" max="1024" width="14.42578125" style="1"/>
  </cols>
  <sheetData>
    <row r="1" spans="1:9" ht="18.75" customHeight="1" x14ac:dyDescent="0.2">
      <c r="A1" s="42"/>
      <c r="B1" s="326" t="s">
        <v>0</v>
      </c>
      <c r="C1" s="326"/>
      <c r="D1" s="326"/>
      <c r="E1" s="326"/>
      <c r="F1" s="326"/>
      <c r="G1" s="326"/>
      <c r="H1" s="326"/>
      <c r="I1" s="326"/>
    </row>
    <row r="2" spans="1:9" ht="18.75" customHeight="1" x14ac:dyDescent="0.2">
      <c r="A2" s="42"/>
      <c r="B2" s="326" t="s">
        <v>1</v>
      </c>
      <c r="C2" s="326"/>
      <c r="D2" s="326"/>
      <c r="E2" s="326"/>
      <c r="F2" s="326"/>
      <c r="G2" s="326"/>
      <c r="H2" s="326"/>
      <c r="I2" s="326"/>
    </row>
    <row r="3" spans="1:9" ht="18.75" customHeight="1" x14ac:dyDescent="0.2">
      <c r="A3" s="42"/>
      <c r="B3" s="326" t="s">
        <v>2</v>
      </c>
      <c r="C3" s="326"/>
      <c r="D3" s="326"/>
      <c r="E3" s="326"/>
      <c r="F3" s="326"/>
      <c r="G3" s="326"/>
      <c r="H3" s="326"/>
      <c r="I3" s="326"/>
    </row>
    <row r="4" spans="1:9" ht="18.75" customHeight="1" x14ac:dyDescent="0.2">
      <c r="A4" s="43"/>
      <c r="B4" s="356" t="str">
        <f>'1. SA ABA DE CARREGAMENTO'!A4</f>
        <v>CAMPUS SANTO AUGUSTO</v>
      </c>
      <c r="C4" s="356"/>
      <c r="D4" s="356"/>
      <c r="E4" s="356"/>
      <c r="F4" s="356"/>
      <c r="G4" s="356"/>
      <c r="H4" s="356"/>
      <c r="I4" s="356"/>
    </row>
    <row r="5" spans="1:9" ht="18.75" customHeight="1" x14ac:dyDescent="0.2">
      <c r="A5" s="44"/>
      <c r="B5" s="357" t="s">
        <v>110</v>
      </c>
      <c r="C5" s="357"/>
      <c r="D5" s="357"/>
      <c r="E5" s="357"/>
      <c r="F5" s="357"/>
      <c r="G5" s="357"/>
      <c r="H5" s="357"/>
      <c r="I5" s="357"/>
    </row>
    <row r="6" spans="1:9" ht="14.25" customHeight="1" x14ac:dyDescent="0.2">
      <c r="A6" s="45"/>
      <c r="B6" s="45"/>
    </row>
    <row r="7" spans="1:9" ht="31.5" customHeight="1" x14ac:dyDescent="0.2">
      <c r="A7" s="46" t="s">
        <v>111</v>
      </c>
      <c r="B7" s="47" t="s">
        <v>112</v>
      </c>
      <c r="C7" s="48" t="s">
        <v>113</v>
      </c>
      <c r="D7" s="48" t="s">
        <v>114</v>
      </c>
      <c r="E7" s="48" t="s">
        <v>115</v>
      </c>
      <c r="F7" s="49" t="s">
        <v>116</v>
      </c>
      <c r="G7" s="49" t="s">
        <v>117</v>
      </c>
    </row>
    <row r="8" spans="1:9" ht="28.5" x14ac:dyDescent="0.2">
      <c r="A8" s="50">
        <v>1</v>
      </c>
      <c r="B8" s="51" t="s">
        <v>118</v>
      </c>
      <c r="C8" s="50" t="s">
        <v>119</v>
      </c>
      <c r="D8" s="50">
        <v>8</v>
      </c>
      <c r="E8" s="50">
        <f t="shared" ref="E8:E26" si="0">D8*12</f>
        <v>96</v>
      </c>
      <c r="F8" s="52">
        <v>20.94</v>
      </c>
      <c r="G8" s="53">
        <f t="shared" ref="G8:G26" si="1">E8*F8</f>
        <v>2010.2400000000002</v>
      </c>
    </row>
    <row r="9" spans="1:9" ht="114" x14ac:dyDescent="0.2">
      <c r="A9" s="54">
        <v>2</v>
      </c>
      <c r="B9" s="51" t="s">
        <v>120</v>
      </c>
      <c r="C9" s="50" t="s">
        <v>119</v>
      </c>
      <c r="D9" s="50">
        <v>78</v>
      </c>
      <c r="E9" s="50">
        <f t="shared" si="0"/>
        <v>936</v>
      </c>
      <c r="F9" s="52">
        <v>9.9700000000000006</v>
      </c>
      <c r="G9" s="53">
        <f t="shared" si="1"/>
        <v>9331.92</v>
      </c>
    </row>
    <row r="10" spans="1:9" ht="71.25" x14ac:dyDescent="0.2">
      <c r="A10" s="54">
        <v>3</v>
      </c>
      <c r="B10" s="55" t="s">
        <v>121</v>
      </c>
      <c r="C10" s="50" t="s">
        <v>119</v>
      </c>
      <c r="D10" s="50">
        <v>5</v>
      </c>
      <c r="E10" s="50">
        <f t="shared" si="0"/>
        <v>60</v>
      </c>
      <c r="F10" s="52">
        <v>12.84</v>
      </c>
      <c r="G10" s="53">
        <f t="shared" si="1"/>
        <v>770.4</v>
      </c>
    </row>
    <row r="11" spans="1:9" ht="85.5" x14ac:dyDescent="0.2">
      <c r="A11" s="50">
        <v>4</v>
      </c>
      <c r="B11" s="55" t="s">
        <v>122</v>
      </c>
      <c r="C11" s="50" t="s">
        <v>123</v>
      </c>
      <c r="D11" s="50">
        <v>8</v>
      </c>
      <c r="E11" s="50">
        <f t="shared" si="0"/>
        <v>96</v>
      </c>
      <c r="F11" s="52">
        <v>13.09</v>
      </c>
      <c r="G11" s="53">
        <f t="shared" si="1"/>
        <v>1256.6399999999999</v>
      </c>
    </row>
    <row r="12" spans="1:9" ht="100.5" customHeight="1" x14ac:dyDescent="0.2">
      <c r="A12" s="54">
        <v>5</v>
      </c>
      <c r="B12" s="51" t="s">
        <v>124</v>
      </c>
      <c r="C12" s="50" t="s">
        <v>125</v>
      </c>
      <c r="D12" s="50">
        <v>10</v>
      </c>
      <c r="E12" s="50">
        <f t="shared" si="0"/>
        <v>120</v>
      </c>
      <c r="F12" s="52">
        <v>3.87</v>
      </c>
      <c r="G12" s="53">
        <f t="shared" si="1"/>
        <v>464.40000000000003</v>
      </c>
    </row>
    <row r="13" spans="1:9" ht="71.25" x14ac:dyDescent="0.2">
      <c r="A13" s="56">
        <v>6</v>
      </c>
      <c r="B13" s="57" t="s">
        <v>126</v>
      </c>
      <c r="C13" s="50" t="s">
        <v>127</v>
      </c>
      <c r="D13" s="50">
        <v>42</v>
      </c>
      <c r="E13" s="50">
        <f t="shared" si="0"/>
        <v>504</v>
      </c>
      <c r="F13" s="52">
        <v>6.8</v>
      </c>
      <c r="G13" s="53">
        <f t="shared" si="1"/>
        <v>3427.2</v>
      </c>
    </row>
    <row r="14" spans="1:9" ht="71.25" x14ac:dyDescent="0.2">
      <c r="A14" s="54">
        <v>7</v>
      </c>
      <c r="B14" s="51" t="s">
        <v>128</v>
      </c>
      <c r="C14" s="50" t="s">
        <v>127</v>
      </c>
      <c r="D14" s="50">
        <v>10</v>
      </c>
      <c r="E14" s="50">
        <f t="shared" si="0"/>
        <v>120</v>
      </c>
      <c r="F14" s="52">
        <v>13.76</v>
      </c>
      <c r="G14" s="53">
        <f t="shared" si="1"/>
        <v>1651.2</v>
      </c>
    </row>
    <row r="15" spans="1:9" ht="99.75" x14ac:dyDescent="0.2">
      <c r="A15" s="54">
        <v>8</v>
      </c>
      <c r="B15" s="51" t="s">
        <v>129</v>
      </c>
      <c r="C15" s="50" t="s">
        <v>130</v>
      </c>
      <c r="D15" s="50">
        <v>8</v>
      </c>
      <c r="E15" s="50">
        <f t="shared" si="0"/>
        <v>96</v>
      </c>
      <c r="F15" s="52">
        <v>6.03</v>
      </c>
      <c r="G15" s="53">
        <f t="shared" si="1"/>
        <v>578.88</v>
      </c>
    </row>
    <row r="16" spans="1:9" ht="42.75" x14ac:dyDescent="0.2">
      <c r="A16" s="54">
        <v>9</v>
      </c>
      <c r="B16" s="55" t="s">
        <v>131</v>
      </c>
      <c r="C16" s="50" t="s">
        <v>125</v>
      </c>
      <c r="D16" s="50">
        <v>0.5</v>
      </c>
      <c r="E16" s="50">
        <f t="shared" si="0"/>
        <v>6</v>
      </c>
      <c r="F16" s="52">
        <v>12.62</v>
      </c>
      <c r="G16" s="53">
        <f t="shared" si="1"/>
        <v>75.72</v>
      </c>
    </row>
    <row r="17" spans="1:7" ht="57" x14ac:dyDescent="0.2">
      <c r="A17" s="54">
        <v>10</v>
      </c>
      <c r="B17" s="51" t="s">
        <v>132</v>
      </c>
      <c r="C17" s="50" t="s">
        <v>127</v>
      </c>
      <c r="D17" s="50">
        <v>4</v>
      </c>
      <c r="E17" s="50">
        <f t="shared" si="0"/>
        <v>48</v>
      </c>
      <c r="F17" s="52">
        <v>2.63</v>
      </c>
      <c r="G17" s="53">
        <f t="shared" si="1"/>
        <v>126.24</v>
      </c>
    </row>
    <row r="18" spans="1:7" ht="71.25" x14ac:dyDescent="0.2">
      <c r="A18" s="54">
        <v>11</v>
      </c>
      <c r="B18" s="51" t="s">
        <v>133</v>
      </c>
      <c r="C18" s="50" t="s">
        <v>134</v>
      </c>
      <c r="D18" s="50">
        <v>24</v>
      </c>
      <c r="E18" s="50">
        <f t="shared" si="0"/>
        <v>288</v>
      </c>
      <c r="F18" s="52">
        <v>7.56</v>
      </c>
      <c r="G18" s="53">
        <f t="shared" si="1"/>
        <v>2177.2799999999997</v>
      </c>
    </row>
    <row r="19" spans="1:7" ht="42.75" x14ac:dyDescent="0.2">
      <c r="A19" s="50">
        <v>12</v>
      </c>
      <c r="B19" s="55" t="s">
        <v>135</v>
      </c>
      <c r="C19" s="50" t="s">
        <v>136</v>
      </c>
      <c r="D19" s="50">
        <v>80</v>
      </c>
      <c r="E19" s="50">
        <f t="shared" si="0"/>
        <v>960</v>
      </c>
      <c r="F19" s="52">
        <v>51.47</v>
      </c>
      <c r="G19" s="53">
        <f t="shared" si="1"/>
        <v>49411.199999999997</v>
      </c>
    </row>
    <row r="20" spans="1:7" ht="57" x14ac:dyDescent="0.2">
      <c r="A20" s="50">
        <v>13</v>
      </c>
      <c r="B20" s="55" t="s">
        <v>137</v>
      </c>
      <c r="C20" s="50" t="s">
        <v>136</v>
      </c>
      <c r="D20" s="50">
        <v>0.5</v>
      </c>
      <c r="E20" s="50">
        <f t="shared" si="0"/>
        <v>6</v>
      </c>
      <c r="F20" s="52">
        <v>105</v>
      </c>
      <c r="G20" s="53">
        <f t="shared" si="1"/>
        <v>630</v>
      </c>
    </row>
    <row r="21" spans="1:7" ht="71.25" x14ac:dyDescent="0.2">
      <c r="A21" s="50">
        <v>14</v>
      </c>
      <c r="B21" s="55" t="s">
        <v>138</v>
      </c>
      <c r="C21" s="50" t="s">
        <v>139</v>
      </c>
      <c r="D21" s="50">
        <v>400</v>
      </c>
      <c r="E21" s="50">
        <f t="shared" si="0"/>
        <v>4800</v>
      </c>
      <c r="F21" s="52">
        <v>8.84</v>
      </c>
      <c r="G21" s="53">
        <f t="shared" si="1"/>
        <v>42432</v>
      </c>
    </row>
    <row r="22" spans="1:7" ht="57.75" x14ac:dyDescent="0.2">
      <c r="A22" s="50">
        <v>15</v>
      </c>
      <c r="B22" s="55" t="s">
        <v>140</v>
      </c>
      <c r="C22" s="50" t="s">
        <v>136</v>
      </c>
      <c r="D22" s="50">
        <v>5</v>
      </c>
      <c r="E22" s="50">
        <f t="shared" si="0"/>
        <v>60</v>
      </c>
      <c r="F22" s="52">
        <v>11.35</v>
      </c>
      <c r="G22" s="53">
        <f t="shared" si="1"/>
        <v>681</v>
      </c>
    </row>
    <row r="23" spans="1:7" ht="42.75" x14ac:dyDescent="0.2">
      <c r="A23" s="50">
        <v>16</v>
      </c>
      <c r="B23" s="55" t="s">
        <v>141</v>
      </c>
      <c r="C23" s="50" t="s">
        <v>142</v>
      </c>
      <c r="D23" s="50">
        <v>0.5</v>
      </c>
      <c r="E23" s="50">
        <f t="shared" si="0"/>
        <v>6</v>
      </c>
      <c r="F23" s="52">
        <v>23.51</v>
      </c>
      <c r="G23" s="53">
        <f t="shared" si="1"/>
        <v>141.06</v>
      </c>
    </row>
    <row r="24" spans="1:7" ht="57" x14ac:dyDescent="0.2">
      <c r="A24" s="50">
        <v>17</v>
      </c>
      <c r="B24" s="58" t="s">
        <v>143</v>
      </c>
      <c r="C24" s="50" t="s">
        <v>144</v>
      </c>
      <c r="D24" s="50">
        <v>5</v>
      </c>
      <c r="E24" s="50">
        <f t="shared" si="0"/>
        <v>60</v>
      </c>
      <c r="F24" s="52">
        <v>2.99</v>
      </c>
      <c r="G24" s="53">
        <f t="shared" si="1"/>
        <v>179.4</v>
      </c>
    </row>
    <row r="25" spans="1:7" ht="71.25" x14ac:dyDescent="0.2">
      <c r="A25" s="54">
        <v>18</v>
      </c>
      <c r="B25" s="55" t="s">
        <v>145</v>
      </c>
      <c r="C25" s="50" t="s">
        <v>144</v>
      </c>
      <c r="D25" s="50">
        <v>5</v>
      </c>
      <c r="E25" s="50">
        <f t="shared" si="0"/>
        <v>60</v>
      </c>
      <c r="F25" s="52">
        <v>3.3</v>
      </c>
      <c r="G25" s="53">
        <f t="shared" si="1"/>
        <v>198</v>
      </c>
    </row>
    <row r="26" spans="1:7" ht="85.5" x14ac:dyDescent="0.2">
      <c r="A26" s="54">
        <v>19</v>
      </c>
      <c r="B26" s="58" t="s">
        <v>146</v>
      </c>
      <c r="C26" s="50" t="s">
        <v>144</v>
      </c>
      <c r="D26" s="50">
        <v>90</v>
      </c>
      <c r="E26" s="50">
        <f t="shared" si="0"/>
        <v>1080</v>
      </c>
      <c r="F26" s="52">
        <v>1.33</v>
      </c>
      <c r="G26" s="53">
        <f t="shared" si="1"/>
        <v>1436.4</v>
      </c>
    </row>
    <row r="27" spans="1:7" ht="14.25" customHeight="1" x14ac:dyDescent="0.2">
      <c r="A27" s="59"/>
      <c r="B27" s="358" t="s">
        <v>147</v>
      </c>
      <c r="C27" s="358"/>
      <c r="D27" s="358"/>
      <c r="E27" s="358"/>
      <c r="F27" s="358"/>
      <c r="G27" s="61">
        <f>SUM(G8:G26)</f>
        <v>116979.18</v>
      </c>
    </row>
    <row r="28" spans="1:7" ht="14.25" customHeight="1" x14ac:dyDescent="0.2">
      <c r="A28" s="59"/>
      <c r="B28" s="358" t="s">
        <v>148</v>
      </c>
      <c r="C28" s="358"/>
      <c r="D28" s="358"/>
      <c r="E28" s="358"/>
      <c r="F28" s="358"/>
      <c r="G28" s="61">
        <f>G27/12</f>
        <v>9748.2649999999994</v>
      </c>
    </row>
    <row r="29" spans="1:7" ht="12.75" customHeight="1" x14ac:dyDescent="0.2">
      <c r="A29" s="24"/>
      <c r="B29" s="24"/>
      <c r="C29" s="62"/>
      <c r="D29" s="62"/>
      <c r="E29" s="62"/>
      <c r="F29" s="63"/>
    </row>
    <row r="30" spans="1:7" ht="32.25" customHeight="1" x14ac:dyDescent="0.2">
      <c r="A30" s="46" t="s">
        <v>111</v>
      </c>
      <c r="B30" s="47" t="s">
        <v>149</v>
      </c>
      <c r="C30" s="48" t="s">
        <v>113</v>
      </c>
      <c r="D30" s="48" t="s">
        <v>114</v>
      </c>
      <c r="E30" s="48" t="s">
        <v>115</v>
      </c>
      <c r="F30" s="49" t="s">
        <v>116</v>
      </c>
      <c r="G30" s="49" t="s">
        <v>117</v>
      </c>
    </row>
    <row r="31" spans="1:7" ht="71.25" x14ac:dyDescent="0.2">
      <c r="A31" s="54">
        <v>1</v>
      </c>
      <c r="B31" s="55" t="s">
        <v>150</v>
      </c>
      <c r="C31" s="50" t="s">
        <v>151</v>
      </c>
      <c r="D31" s="50">
        <v>24</v>
      </c>
      <c r="E31" s="50">
        <f t="shared" ref="E31:E37" si="2">D31*12</f>
        <v>288</v>
      </c>
      <c r="F31" s="64">
        <v>10.19</v>
      </c>
      <c r="G31" s="53">
        <f t="shared" ref="G31:G37" si="3">E31*F31</f>
        <v>2934.72</v>
      </c>
    </row>
    <row r="32" spans="1:7" ht="85.5" x14ac:dyDescent="0.2">
      <c r="A32" s="54">
        <v>2</v>
      </c>
      <c r="B32" s="55" t="s">
        <v>152</v>
      </c>
      <c r="C32" s="50" t="s">
        <v>153</v>
      </c>
      <c r="D32" s="50">
        <v>90</v>
      </c>
      <c r="E32" s="50">
        <f t="shared" si="2"/>
        <v>1080</v>
      </c>
      <c r="F32" s="65">
        <v>3.65</v>
      </c>
      <c r="G32" s="53">
        <f t="shared" si="3"/>
        <v>3942</v>
      </c>
    </row>
    <row r="33" spans="1:8" ht="71.25" x14ac:dyDescent="0.2">
      <c r="A33" s="54">
        <v>3</v>
      </c>
      <c r="B33" s="55" t="s">
        <v>154</v>
      </c>
      <c r="C33" s="50" t="s">
        <v>153</v>
      </c>
      <c r="D33" s="50">
        <v>4</v>
      </c>
      <c r="E33" s="50">
        <f t="shared" si="2"/>
        <v>48</v>
      </c>
      <c r="F33" s="65">
        <v>5.59</v>
      </c>
      <c r="G33" s="53">
        <f t="shared" si="3"/>
        <v>268.32</v>
      </c>
    </row>
    <row r="34" spans="1:8" ht="71.25" x14ac:dyDescent="0.2">
      <c r="A34" s="50">
        <v>4</v>
      </c>
      <c r="B34" s="55" t="s">
        <v>155</v>
      </c>
      <c r="C34" s="50" t="s">
        <v>153</v>
      </c>
      <c r="D34" s="50">
        <v>4</v>
      </c>
      <c r="E34" s="50">
        <f t="shared" si="2"/>
        <v>48</v>
      </c>
      <c r="F34" s="66">
        <v>3.17</v>
      </c>
      <c r="G34" s="53">
        <f t="shared" si="3"/>
        <v>152.16</v>
      </c>
    </row>
    <row r="35" spans="1:8" ht="85.5" x14ac:dyDescent="0.2">
      <c r="A35" s="50">
        <v>5</v>
      </c>
      <c r="B35" s="55" t="s">
        <v>156</v>
      </c>
      <c r="C35" s="50" t="s">
        <v>157</v>
      </c>
      <c r="D35" s="50">
        <v>1</v>
      </c>
      <c r="E35" s="50">
        <f t="shared" si="2"/>
        <v>12</v>
      </c>
      <c r="F35" s="66">
        <v>3.17</v>
      </c>
      <c r="G35" s="53">
        <f t="shared" si="3"/>
        <v>38.04</v>
      </c>
    </row>
    <row r="36" spans="1:8" ht="85.5" x14ac:dyDescent="0.2">
      <c r="A36" s="50">
        <v>6</v>
      </c>
      <c r="B36" s="55" t="s">
        <v>158</v>
      </c>
      <c r="C36" s="50" t="s">
        <v>157</v>
      </c>
      <c r="D36" s="50">
        <v>1</v>
      </c>
      <c r="E36" s="50">
        <f t="shared" si="2"/>
        <v>12</v>
      </c>
      <c r="F36" s="66">
        <v>3.17</v>
      </c>
      <c r="G36" s="53">
        <f t="shared" si="3"/>
        <v>38.04</v>
      </c>
    </row>
    <row r="37" spans="1:8" ht="71.25" x14ac:dyDescent="0.2">
      <c r="A37" s="50">
        <v>7</v>
      </c>
      <c r="B37" s="67" t="s">
        <v>159</v>
      </c>
      <c r="C37" s="68" t="s">
        <v>160</v>
      </c>
      <c r="D37" s="68">
        <v>125</v>
      </c>
      <c r="E37" s="68">
        <f t="shared" si="2"/>
        <v>1500</v>
      </c>
      <c r="F37" s="69">
        <v>3.16</v>
      </c>
      <c r="G37" s="70">
        <f t="shared" si="3"/>
        <v>4740</v>
      </c>
    </row>
    <row r="38" spans="1:8" ht="14.25" customHeight="1" x14ac:dyDescent="0.2">
      <c r="A38" s="59"/>
      <c r="B38" s="358" t="s">
        <v>161</v>
      </c>
      <c r="C38" s="358"/>
      <c r="D38" s="358"/>
      <c r="E38" s="358"/>
      <c r="F38" s="358"/>
      <c r="G38" s="61">
        <f>SUM(G31:G37)</f>
        <v>12113.279999999999</v>
      </c>
    </row>
    <row r="39" spans="1:8" ht="14.25" customHeight="1" x14ac:dyDescent="0.2">
      <c r="A39" s="59"/>
      <c r="B39" s="358" t="s">
        <v>162</v>
      </c>
      <c r="C39" s="358"/>
      <c r="D39" s="358"/>
      <c r="E39" s="358"/>
      <c r="F39" s="358"/>
      <c r="G39" s="71">
        <f>G38/12</f>
        <v>1009.4399999999999</v>
      </c>
    </row>
    <row r="40" spans="1:8" ht="12.75" customHeight="1" x14ac:dyDescent="0.2">
      <c r="A40" s="45"/>
      <c r="B40" s="45"/>
      <c r="C40" s="2"/>
      <c r="D40" s="2"/>
      <c r="E40" s="2"/>
      <c r="F40" s="72"/>
      <c r="G40" s="72"/>
    </row>
    <row r="41" spans="1:8" ht="27" customHeight="1" x14ac:dyDescent="0.2">
      <c r="A41" s="46" t="s">
        <v>111</v>
      </c>
      <c r="B41" s="47" t="s">
        <v>163</v>
      </c>
      <c r="C41" s="48" t="s">
        <v>113</v>
      </c>
      <c r="D41" s="48" t="s">
        <v>164</v>
      </c>
      <c r="E41" s="48" t="s">
        <v>165</v>
      </c>
      <c r="F41" s="48" t="s">
        <v>115</v>
      </c>
      <c r="G41" s="49" t="s">
        <v>116</v>
      </c>
      <c r="H41" s="49" t="s">
        <v>117</v>
      </c>
    </row>
    <row r="42" spans="1:8" ht="85.5" x14ac:dyDescent="0.2">
      <c r="A42" s="50">
        <v>1</v>
      </c>
      <c r="B42" s="55" t="s">
        <v>885</v>
      </c>
      <c r="C42" s="50" t="s">
        <v>166</v>
      </c>
      <c r="D42" s="50">
        <v>20</v>
      </c>
      <c r="E42" s="50">
        <v>4</v>
      </c>
      <c r="F42" s="73">
        <f t="shared" ref="F42:F65" si="4">12/E42*D42</f>
        <v>60</v>
      </c>
      <c r="G42" s="64">
        <v>3.34</v>
      </c>
      <c r="H42" s="53">
        <f t="shared" ref="H42:H65" si="5">F42*G42</f>
        <v>200.39999999999998</v>
      </c>
    </row>
    <row r="43" spans="1:8" ht="71.25" x14ac:dyDescent="0.2">
      <c r="A43" s="50">
        <v>2</v>
      </c>
      <c r="B43" s="55" t="s">
        <v>167</v>
      </c>
      <c r="C43" s="50" t="s">
        <v>153</v>
      </c>
      <c r="D43" s="50">
        <v>5</v>
      </c>
      <c r="E43" s="50">
        <v>1</v>
      </c>
      <c r="F43" s="73">
        <f t="shared" si="4"/>
        <v>60</v>
      </c>
      <c r="G43" s="65">
        <v>1.32</v>
      </c>
      <c r="H43" s="53">
        <f t="shared" si="5"/>
        <v>79.2</v>
      </c>
    </row>
    <row r="44" spans="1:8" ht="57" x14ac:dyDescent="0.2">
      <c r="A44" s="50">
        <v>3</v>
      </c>
      <c r="B44" s="55" t="s">
        <v>168</v>
      </c>
      <c r="C44" s="50" t="s">
        <v>169</v>
      </c>
      <c r="D44" s="50">
        <v>10</v>
      </c>
      <c r="E44" s="50">
        <v>1</v>
      </c>
      <c r="F44" s="73">
        <f t="shared" si="4"/>
        <v>120</v>
      </c>
      <c r="G44" s="65">
        <v>1.27</v>
      </c>
      <c r="H44" s="53">
        <f t="shared" si="5"/>
        <v>152.4</v>
      </c>
    </row>
    <row r="45" spans="1:8" ht="28.5" x14ac:dyDescent="0.2">
      <c r="A45" s="50">
        <v>4</v>
      </c>
      <c r="B45" s="55" t="s">
        <v>170</v>
      </c>
      <c r="C45" s="50" t="s">
        <v>153</v>
      </c>
      <c r="D45" s="50">
        <v>6</v>
      </c>
      <c r="E45" s="50">
        <v>4</v>
      </c>
      <c r="F45" s="73">
        <f t="shared" si="4"/>
        <v>18</v>
      </c>
      <c r="G45" s="65">
        <v>2.58</v>
      </c>
      <c r="H45" s="53">
        <f t="shared" si="5"/>
        <v>46.44</v>
      </c>
    </row>
    <row r="46" spans="1:8" ht="142.5" x14ac:dyDescent="0.2">
      <c r="A46" s="50">
        <v>5</v>
      </c>
      <c r="B46" s="55" t="s">
        <v>171</v>
      </c>
      <c r="C46" s="50" t="s">
        <v>166</v>
      </c>
      <c r="D46" s="50">
        <v>4</v>
      </c>
      <c r="E46" s="50">
        <v>6</v>
      </c>
      <c r="F46" s="73">
        <f t="shared" si="4"/>
        <v>8</v>
      </c>
      <c r="G46" s="65">
        <v>27.44</v>
      </c>
      <c r="H46" s="53">
        <f t="shared" si="5"/>
        <v>219.52</v>
      </c>
    </row>
    <row r="47" spans="1:8" ht="85.5" x14ac:dyDescent="0.2">
      <c r="A47" s="50">
        <v>6</v>
      </c>
      <c r="B47" s="55" t="s">
        <v>172</v>
      </c>
      <c r="C47" s="50" t="s">
        <v>166</v>
      </c>
      <c r="D47" s="50">
        <v>16</v>
      </c>
      <c r="E47" s="50">
        <v>2</v>
      </c>
      <c r="F47" s="73">
        <f t="shared" si="4"/>
        <v>96</v>
      </c>
      <c r="G47" s="65">
        <v>6.12</v>
      </c>
      <c r="H47" s="53">
        <f t="shared" si="5"/>
        <v>587.52</v>
      </c>
    </row>
    <row r="48" spans="1:8" ht="42.75" x14ac:dyDescent="0.2">
      <c r="A48" s="50">
        <v>7</v>
      </c>
      <c r="B48" s="58" t="s">
        <v>173</v>
      </c>
      <c r="C48" s="50" t="s">
        <v>169</v>
      </c>
      <c r="D48" s="50">
        <v>15</v>
      </c>
      <c r="E48" s="50">
        <v>6</v>
      </c>
      <c r="F48" s="73">
        <f t="shared" si="4"/>
        <v>30</v>
      </c>
      <c r="G48" s="74">
        <v>11.32</v>
      </c>
      <c r="H48" s="53">
        <f t="shared" si="5"/>
        <v>339.6</v>
      </c>
    </row>
    <row r="49" spans="1:8" ht="63.75" customHeight="1" x14ac:dyDescent="0.2">
      <c r="A49" s="50">
        <v>8</v>
      </c>
      <c r="B49" s="55" t="s">
        <v>174</v>
      </c>
      <c r="C49" s="50" t="s">
        <v>166</v>
      </c>
      <c r="D49" s="50">
        <v>25</v>
      </c>
      <c r="E49" s="50">
        <v>12</v>
      </c>
      <c r="F49" s="73">
        <f t="shared" si="4"/>
        <v>25</v>
      </c>
      <c r="G49" s="65">
        <v>3.75</v>
      </c>
      <c r="H49" s="53">
        <f t="shared" si="5"/>
        <v>93.75</v>
      </c>
    </row>
    <row r="50" spans="1:8" ht="111.75" customHeight="1" x14ac:dyDescent="0.2">
      <c r="A50" s="50">
        <v>9</v>
      </c>
      <c r="B50" s="55" t="s">
        <v>175</v>
      </c>
      <c r="C50" s="50" t="s">
        <v>166</v>
      </c>
      <c r="D50" s="50">
        <v>11</v>
      </c>
      <c r="E50" s="50">
        <v>12</v>
      </c>
      <c r="F50" s="73">
        <f t="shared" si="4"/>
        <v>11</v>
      </c>
      <c r="G50" s="65">
        <v>5.75</v>
      </c>
      <c r="H50" s="53">
        <f t="shared" si="5"/>
        <v>63.25</v>
      </c>
    </row>
    <row r="51" spans="1:8" ht="85.5" x14ac:dyDescent="0.2">
      <c r="A51" s="50">
        <v>10</v>
      </c>
      <c r="B51" s="55" t="s">
        <v>176</v>
      </c>
      <c r="C51" s="50" t="s">
        <v>166</v>
      </c>
      <c r="D51" s="50">
        <v>11</v>
      </c>
      <c r="E51" s="50">
        <v>12</v>
      </c>
      <c r="F51" s="73">
        <f t="shared" si="4"/>
        <v>11</v>
      </c>
      <c r="G51" s="65">
        <v>2.74</v>
      </c>
      <c r="H51" s="53">
        <f t="shared" si="5"/>
        <v>30.14</v>
      </c>
    </row>
    <row r="52" spans="1:8" ht="28.5" x14ac:dyDescent="0.2">
      <c r="A52" s="50">
        <v>11</v>
      </c>
      <c r="B52" s="55" t="s">
        <v>177</v>
      </c>
      <c r="C52" s="50" t="s">
        <v>166</v>
      </c>
      <c r="D52" s="50">
        <v>4</v>
      </c>
      <c r="E52" s="50">
        <v>6</v>
      </c>
      <c r="F52" s="73">
        <f t="shared" si="4"/>
        <v>8</v>
      </c>
      <c r="G52" s="65">
        <v>31.15</v>
      </c>
      <c r="H52" s="53">
        <f t="shared" si="5"/>
        <v>249.2</v>
      </c>
    </row>
    <row r="53" spans="1:8" ht="71.25" x14ac:dyDescent="0.2">
      <c r="A53" s="50">
        <v>12</v>
      </c>
      <c r="B53" s="55" t="s">
        <v>178</v>
      </c>
      <c r="C53" s="50" t="s">
        <v>166</v>
      </c>
      <c r="D53" s="50">
        <v>13</v>
      </c>
      <c r="E53" s="50">
        <v>6</v>
      </c>
      <c r="F53" s="73">
        <f t="shared" si="4"/>
        <v>26</v>
      </c>
      <c r="G53" s="65">
        <v>14.8</v>
      </c>
      <c r="H53" s="53">
        <f t="shared" si="5"/>
        <v>384.8</v>
      </c>
    </row>
    <row r="54" spans="1:8" ht="42.75" x14ac:dyDescent="0.2">
      <c r="A54" s="50">
        <v>13</v>
      </c>
      <c r="B54" s="55" t="s">
        <v>179</v>
      </c>
      <c r="C54" s="50" t="s">
        <v>169</v>
      </c>
      <c r="D54" s="50">
        <v>5</v>
      </c>
      <c r="E54" s="50">
        <v>12</v>
      </c>
      <c r="F54" s="73">
        <f t="shared" si="4"/>
        <v>5</v>
      </c>
      <c r="G54" s="65">
        <v>189.23</v>
      </c>
      <c r="H54" s="53">
        <f t="shared" si="5"/>
        <v>946.15</v>
      </c>
    </row>
    <row r="55" spans="1:8" ht="71.25" x14ac:dyDescent="0.2">
      <c r="A55" s="50">
        <v>14</v>
      </c>
      <c r="B55" s="55" t="s">
        <v>180</v>
      </c>
      <c r="C55" s="50" t="s">
        <v>169</v>
      </c>
      <c r="D55" s="50">
        <v>20</v>
      </c>
      <c r="E55" s="50">
        <v>12</v>
      </c>
      <c r="F55" s="73">
        <f t="shared" si="4"/>
        <v>20</v>
      </c>
      <c r="G55" s="65">
        <v>53.62</v>
      </c>
      <c r="H55" s="53">
        <f t="shared" si="5"/>
        <v>1072.3999999999999</v>
      </c>
    </row>
    <row r="56" spans="1:8" ht="42.75" x14ac:dyDescent="0.2">
      <c r="A56" s="50">
        <v>15</v>
      </c>
      <c r="B56" s="55" t="s">
        <v>181</v>
      </c>
      <c r="C56" s="50" t="s">
        <v>169</v>
      </c>
      <c r="D56" s="50">
        <v>10</v>
      </c>
      <c r="E56" s="50">
        <v>12</v>
      </c>
      <c r="F56" s="73">
        <f t="shared" si="4"/>
        <v>10</v>
      </c>
      <c r="G56" s="65">
        <v>169.75</v>
      </c>
      <c r="H56" s="53">
        <f t="shared" si="5"/>
        <v>1697.5</v>
      </c>
    </row>
    <row r="57" spans="1:8" ht="57" x14ac:dyDescent="0.2">
      <c r="A57" s="50">
        <v>16</v>
      </c>
      <c r="B57" s="55" t="s">
        <v>182</v>
      </c>
      <c r="C57" s="50" t="s">
        <v>169</v>
      </c>
      <c r="D57" s="50">
        <v>15</v>
      </c>
      <c r="E57" s="50">
        <v>1</v>
      </c>
      <c r="F57" s="73">
        <f t="shared" si="4"/>
        <v>180</v>
      </c>
      <c r="G57" s="65">
        <v>3.78</v>
      </c>
      <c r="H57" s="53">
        <f t="shared" si="5"/>
        <v>680.4</v>
      </c>
    </row>
    <row r="58" spans="1:8" ht="71.25" x14ac:dyDescent="0.2">
      <c r="A58" s="50">
        <v>17</v>
      </c>
      <c r="B58" s="55" t="s">
        <v>183</v>
      </c>
      <c r="C58" s="50" t="s">
        <v>169</v>
      </c>
      <c r="D58" s="50">
        <v>11</v>
      </c>
      <c r="E58" s="50">
        <v>6</v>
      </c>
      <c r="F58" s="73">
        <f t="shared" si="4"/>
        <v>22</v>
      </c>
      <c r="G58" s="65">
        <v>11.43</v>
      </c>
      <c r="H58" s="53">
        <f t="shared" si="5"/>
        <v>251.45999999999998</v>
      </c>
    </row>
    <row r="59" spans="1:8" ht="42.75" x14ac:dyDescent="0.2">
      <c r="A59" s="50">
        <v>18</v>
      </c>
      <c r="B59" s="75" t="s">
        <v>184</v>
      </c>
      <c r="C59" s="50" t="s">
        <v>169</v>
      </c>
      <c r="D59" s="50">
        <v>10</v>
      </c>
      <c r="E59" s="50">
        <v>12</v>
      </c>
      <c r="F59" s="73">
        <f t="shared" si="4"/>
        <v>10</v>
      </c>
      <c r="G59" s="74">
        <v>2.75</v>
      </c>
      <c r="H59" s="53">
        <f t="shared" si="5"/>
        <v>27.5</v>
      </c>
    </row>
    <row r="60" spans="1:8" ht="57" x14ac:dyDescent="0.2">
      <c r="A60" s="50">
        <v>19</v>
      </c>
      <c r="B60" s="75" t="s">
        <v>185</v>
      </c>
      <c r="C60" s="50" t="s">
        <v>169</v>
      </c>
      <c r="D60" s="50">
        <v>7</v>
      </c>
      <c r="E60" s="50">
        <v>12</v>
      </c>
      <c r="F60" s="73">
        <f t="shared" si="4"/>
        <v>7</v>
      </c>
      <c r="G60" s="74">
        <v>23.48</v>
      </c>
      <c r="H60" s="53">
        <f t="shared" si="5"/>
        <v>164.36</v>
      </c>
    </row>
    <row r="61" spans="1:8" ht="57.75" x14ac:dyDescent="0.2">
      <c r="A61" s="50">
        <v>20</v>
      </c>
      <c r="B61" s="75" t="s">
        <v>186</v>
      </c>
      <c r="C61" s="50" t="s">
        <v>169</v>
      </c>
      <c r="D61" s="50">
        <v>10</v>
      </c>
      <c r="E61" s="50">
        <v>1</v>
      </c>
      <c r="F61" s="73">
        <f t="shared" si="4"/>
        <v>120</v>
      </c>
      <c r="G61" s="74">
        <v>2.84</v>
      </c>
      <c r="H61" s="53">
        <f t="shared" si="5"/>
        <v>340.79999999999995</v>
      </c>
    </row>
    <row r="62" spans="1:8" ht="71.25" x14ac:dyDescent="0.2">
      <c r="A62" s="50">
        <v>21</v>
      </c>
      <c r="B62" s="75" t="s">
        <v>187</v>
      </c>
      <c r="C62" s="50" t="s">
        <v>169</v>
      </c>
      <c r="D62" s="50">
        <v>3</v>
      </c>
      <c r="E62" s="50">
        <v>6</v>
      </c>
      <c r="F62" s="73">
        <f t="shared" si="4"/>
        <v>6</v>
      </c>
      <c r="G62" s="74">
        <v>131.38</v>
      </c>
      <c r="H62" s="53">
        <f t="shared" si="5"/>
        <v>788.28</v>
      </c>
    </row>
    <row r="63" spans="1:8" ht="15" x14ac:dyDescent="0.2">
      <c r="A63" s="50">
        <v>22</v>
      </c>
      <c r="B63" s="55" t="s">
        <v>188</v>
      </c>
      <c r="C63" s="50" t="s">
        <v>166</v>
      </c>
      <c r="D63" s="50">
        <v>2</v>
      </c>
      <c r="E63" s="50">
        <v>12</v>
      </c>
      <c r="F63" s="73">
        <f t="shared" si="4"/>
        <v>2</v>
      </c>
      <c r="G63" s="65">
        <v>114.42</v>
      </c>
      <c r="H63" s="53">
        <f t="shared" si="5"/>
        <v>228.84</v>
      </c>
    </row>
    <row r="64" spans="1:8" ht="87" x14ac:dyDescent="0.2">
      <c r="A64" s="50">
        <v>23</v>
      </c>
      <c r="B64" s="55" t="s">
        <v>189</v>
      </c>
      <c r="C64" s="50" t="s">
        <v>166</v>
      </c>
      <c r="D64" s="50">
        <v>15</v>
      </c>
      <c r="E64" s="50">
        <v>12</v>
      </c>
      <c r="F64" s="73">
        <f t="shared" si="4"/>
        <v>15</v>
      </c>
      <c r="G64" s="64">
        <v>36.28</v>
      </c>
      <c r="H64" s="53">
        <f t="shared" si="5"/>
        <v>544.20000000000005</v>
      </c>
    </row>
    <row r="65" spans="1:9" ht="15" x14ac:dyDescent="0.2">
      <c r="A65" s="2">
        <v>24</v>
      </c>
      <c r="B65" s="67" t="s">
        <v>190</v>
      </c>
      <c r="C65" s="50" t="s">
        <v>166</v>
      </c>
      <c r="D65" s="50">
        <v>6</v>
      </c>
      <c r="E65" s="50">
        <v>1</v>
      </c>
      <c r="F65" s="73">
        <f t="shared" si="4"/>
        <v>72</v>
      </c>
      <c r="G65" s="65">
        <v>4.5</v>
      </c>
      <c r="H65" s="53">
        <f t="shared" si="5"/>
        <v>324</v>
      </c>
    </row>
    <row r="66" spans="1:9" ht="14.25" customHeight="1" x14ac:dyDescent="0.2">
      <c r="A66" s="60"/>
      <c r="B66" s="359" t="s">
        <v>191</v>
      </c>
      <c r="C66" s="359"/>
      <c r="D66" s="359"/>
      <c r="E66" s="359"/>
      <c r="F66" s="359"/>
      <c r="G66" s="359"/>
      <c r="H66" s="61">
        <f>SUM(H42:H65)</f>
        <v>9512.11</v>
      </c>
    </row>
    <row r="67" spans="1:9" ht="14.25" customHeight="1" x14ac:dyDescent="0.2">
      <c r="A67" s="60"/>
      <c r="B67" s="359" t="s">
        <v>192</v>
      </c>
      <c r="C67" s="359"/>
      <c r="D67" s="359"/>
      <c r="E67" s="359"/>
      <c r="F67" s="359"/>
      <c r="G67" s="359"/>
      <c r="H67" s="61">
        <f>H66/12</f>
        <v>792.67583333333334</v>
      </c>
    </row>
    <row r="68" spans="1:9" ht="12.75" customHeight="1" x14ac:dyDescent="0.2">
      <c r="A68" s="45"/>
      <c r="B68" s="45"/>
      <c r="C68" s="2"/>
      <c r="D68" s="2"/>
      <c r="E68" s="2"/>
      <c r="F68" s="72"/>
      <c r="G68" s="72"/>
    </row>
    <row r="69" spans="1:9" ht="25.5" customHeight="1" x14ac:dyDescent="0.2">
      <c r="A69" s="46" t="s">
        <v>111</v>
      </c>
      <c r="B69" s="47" t="s">
        <v>193</v>
      </c>
      <c r="C69" s="48" t="s">
        <v>113</v>
      </c>
      <c r="D69" s="48" t="s">
        <v>164</v>
      </c>
      <c r="E69" s="48" t="s">
        <v>194</v>
      </c>
      <c r="F69" s="48" t="s">
        <v>115</v>
      </c>
      <c r="G69" s="49" t="s">
        <v>116</v>
      </c>
      <c r="H69" s="49" t="s">
        <v>117</v>
      </c>
    </row>
    <row r="70" spans="1:9" ht="57" x14ac:dyDescent="0.2">
      <c r="A70" s="50">
        <v>1</v>
      </c>
      <c r="B70" s="55" t="s">
        <v>195</v>
      </c>
      <c r="C70" s="50" t="s">
        <v>166</v>
      </c>
      <c r="D70" s="50">
        <v>2</v>
      </c>
      <c r="E70" s="76">
        <v>60</v>
      </c>
      <c r="F70" s="77">
        <f>12/E70*D70</f>
        <v>0.4</v>
      </c>
      <c r="G70" s="66">
        <v>410.75</v>
      </c>
      <c r="H70" s="53">
        <f>F70*G70</f>
        <v>164.3</v>
      </c>
    </row>
    <row r="71" spans="1:9" ht="71.25" x14ac:dyDescent="0.2">
      <c r="A71" s="50">
        <v>2</v>
      </c>
      <c r="B71" s="55" t="s">
        <v>196</v>
      </c>
      <c r="C71" s="50" t="s">
        <v>166</v>
      </c>
      <c r="D71" s="50">
        <v>1</v>
      </c>
      <c r="E71" s="76">
        <v>60</v>
      </c>
      <c r="F71" s="77">
        <f>12/E71*D71</f>
        <v>0.2</v>
      </c>
      <c r="G71" s="66">
        <v>166.2</v>
      </c>
      <c r="H71" s="53">
        <f>F71*G71</f>
        <v>33.24</v>
      </c>
    </row>
    <row r="72" spans="1:9" ht="15" x14ac:dyDescent="0.2">
      <c r="A72" s="78">
        <v>3</v>
      </c>
      <c r="B72" s="55" t="s">
        <v>197</v>
      </c>
      <c r="C72" s="50" t="s">
        <v>166</v>
      </c>
      <c r="D72" s="50">
        <v>2</v>
      </c>
      <c r="E72" s="76">
        <v>60</v>
      </c>
      <c r="F72" s="77">
        <f>12/E72*D72</f>
        <v>0.4</v>
      </c>
      <c r="G72" s="66">
        <v>612.41999999999996</v>
      </c>
      <c r="H72" s="53">
        <f>F72*G72</f>
        <v>244.96799999999999</v>
      </c>
    </row>
    <row r="73" spans="1:9" ht="12.75" customHeight="1" x14ac:dyDescent="0.2">
      <c r="A73" s="60"/>
      <c r="B73" s="359" t="s">
        <v>198</v>
      </c>
      <c r="C73" s="359"/>
      <c r="D73" s="359"/>
      <c r="E73" s="359"/>
      <c r="F73" s="359"/>
      <c r="G73" s="359"/>
      <c r="H73" s="71">
        <f>SUM(H70:H72)</f>
        <v>442.50800000000004</v>
      </c>
    </row>
    <row r="74" spans="1:9" ht="12.75" customHeight="1" x14ac:dyDescent="0.2">
      <c r="A74" s="60"/>
      <c r="B74" s="359" t="s">
        <v>199</v>
      </c>
      <c r="C74" s="359"/>
      <c r="D74" s="359"/>
      <c r="E74" s="359"/>
      <c r="F74" s="359"/>
      <c r="G74" s="359"/>
      <c r="H74" s="71">
        <f>H73/12</f>
        <v>36.875666666666667</v>
      </c>
    </row>
    <row r="75" spans="1:9" ht="12.75" customHeight="1" x14ac:dyDescent="0.2">
      <c r="A75" s="45"/>
      <c r="B75" s="45"/>
      <c r="C75" s="2"/>
      <c r="D75" s="2"/>
      <c r="E75" s="2"/>
      <c r="F75" s="72"/>
      <c r="G75" s="72"/>
    </row>
    <row r="76" spans="1:9" ht="44.25" customHeight="1" x14ac:dyDescent="0.2">
      <c r="A76" s="46" t="s">
        <v>111</v>
      </c>
      <c r="B76" s="47" t="s">
        <v>200</v>
      </c>
      <c r="C76" s="48" t="s">
        <v>113</v>
      </c>
      <c r="D76" s="48" t="s">
        <v>115</v>
      </c>
      <c r="E76" s="79" t="s">
        <v>116</v>
      </c>
      <c r="F76" s="49" t="s">
        <v>117</v>
      </c>
      <c r="G76" s="80"/>
      <c r="H76" s="81"/>
      <c r="I76" s="82"/>
    </row>
    <row r="77" spans="1:9" ht="71.25" x14ac:dyDescent="0.2">
      <c r="A77" s="83">
        <v>1</v>
      </c>
      <c r="B77" s="55" t="s">
        <v>201</v>
      </c>
      <c r="C77" s="50" t="s">
        <v>202</v>
      </c>
      <c r="D77" s="73">
        <v>2</v>
      </c>
      <c r="E77" s="84">
        <v>59.95</v>
      </c>
      <c r="F77" s="53">
        <f t="shared" ref="F77:F91" si="6">D77*E77</f>
        <v>119.9</v>
      </c>
      <c r="G77" s="81"/>
      <c r="H77" s="81"/>
    </row>
    <row r="78" spans="1:9" ht="28.5" x14ac:dyDescent="0.2">
      <c r="A78" s="85">
        <v>2</v>
      </c>
      <c r="B78" s="55" t="s">
        <v>203</v>
      </c>
      <c r="C78" s="50" t="s">
        <v>166</v>
      </c>
      <c r="D78" s="73">
        <v>2</v>
      </c>
      <c r="E78" s="86">
        <v>15.77</v>
      </c>
      <c r="F78" s="53">
        <f t="shared" si="6"/>
        <v>31.54</v>
      </c>
      <c r="G78" s="81"/>
      <c r="H78" s="81"/>
    </row>
    <row r="79" spans="1:9" ht="28.5" x14ac:dyDescent="0.2">
      <c r="A79" s="85">
        <v>3</v>
      </c>
      <c r="B79" s="55" t="s">
        <v>204</v>
      </c>
      <c r="C79" s="50" t="s">
        <v>166</v>
      </c>
      <c r="D79" s="73">
        <v>2</v>
      </c>
      <c r="E79" s="86">
        <v>11.06</v>
      </c>
      <c r="F79" s="53">
        <f t="shared" si="6"/>
        <v>22.12</v>
      </c>
      <c r="G79" s="81"/>
      <c r="H79" s="81"/>
    </row>
    <row r="80" spans="1:9" ht="28.5" x14ac:dyDescent="0.2">
      <c r="A80" s="85">
        <v>4</v>
      </c>
      <c r="B80" s="55" t="s">
        <v>205</v>
      </c>
      <c r="C80" s="50" t="s">
        <v>206</v>
      </c>
      <c r="D80" s="73">
        <f>30/15</f>
        <v>2</v>
      </c>
      <c r="E80" s="86">
        <v>33.75</v>
      </c>
      <c r="F80" s="53">
        <f t="shared" si="6"/>
        <v>67.5</v>
      </c>
      <c r="G80" s="81"/>
      <c r="H80" s="81"/>
    </row>
    <row r="81" spans="1:9" ht="15" x14ac:dyDescent="0.2">
      <c r="A81" s="85">
        <v>5</v>
      </c>
      <c r="B81" s="55" t="s">
        <v>207</v>
      </c>
      <c r="C81" s="50" t="s">
        <v>166</v>
      </c>
      <c r="D81" s="73">
        <f>30/15</f>
        <v>2</v>
      </c>
      <c r="E81" s="86">
        <v>22.06</v>
      </c>
      <c r="F81" s="53">
        <f t="shared" si="6"/>
        <v>44.12</v>
      </c>
      <c r="G81" s="81"/>
      <c r="H81" s="81"/>
    </row>
    <row r="82" spans="1:9" ht="99.75" x14ac:dyDescent="0.2">
      <c r="A82" s="85">
        <v>6</v>
      </c>
      <c r="B82" s="55" t="s">
        <v>208</v>
      </c>
      <c r="C82" s="50" t="s">
        <v>166</v>
      </c>
      <c r="D82" s="73">
        <f>15/15</f>
        <v>1</v>
      </c>
      <c r="E82" s="86">
        <v>151.35</v>
      </c>
      <c r="F82" s="53">
        <f t="shared" si="6"/>
        <v>151.35</v>
      </c>
      <c r="G82" s="81"/>
      <c r="H82" s="81"/>
    </row>
    <row r="83" spans="1:9" ht="15" x14ac:dyDescent="0.2">
      <c r="A83" s="85">
        <v>7</v>
      </c>
      <c r="B83" s="55" t="s">
        <v>209</v>
      </c>
      <c r="C83" s="50" t="s">
        <v>166</v>
      </c>
      <c r="D83" s="73">
        <v>2</v>
      </c>
      <c r="E83" s="86">
        <v>54.66</v>
      </c>
      <c r="F83" s="53">
        <f t="shared" si="6"/>
        <v>109.32</v>
      </c>
      <c r="G83" s="81"/>
      <c r="H83" s="81"/>
    </row>
    <row r="84" spans="1:9" ht="15" x14ac:dyDescent="0.2">
      <c r="A84" s="85">
        <v>8</v>
      </c>
      <c r="B84" s="55" t="s">
        <v>210</v>
      </c>
      <c r="C84" s="50" t="s">
        <v>202</v>
      </c>
      <c r="D84" s="50">
        <v>4</v>
      </c>
      <c r="E84" s="86">
        <v>6.47</v>
      </c>
      <c r="F84" s="53">
        <f t="shared" si="6"/>
        <v>25.88</v>
      </c>
      <c r="G84" s="81"/>
      <c r="H84" s="81"/>
    </row>
    <row r="85" spans="1:9" ht="192.75" customHeight="1" x14ac:dyDescent="0.2">
      <c r="A85" s="85">
        <v>9</v>
      </c>
      <c r="B85" s="55" t="s">
        <v>211</v>
      </c>
      <c r="C85" s="50" t="s">
        <v>166</v>
      </c>
      <c r="D85" s="50">
        <v>1056</v>
      </c>
      <c r="E85" s="86">
        <v>7.0000000000000007E-2</v>
      </c>
      <c r="F85" s="53">
        <f t="shared" si="6"/>
        <v>73.92</v>
      </c>
      <c r="G85" s="87"/>
      <c r="H85" s="81"/>
    </row>
    <row r="86" spans="1:9" ht="85.5" x14ac:dyDescent="0.2">
      <c r="A86" s="85">
        <v>10</v>
      </c>
      <c r="B86" s="55" t="s">
        <v>212</v>
      </c>
      <c r="C86" s="50" t="s">
        <v>166</v>
      </c>
      <c r="D86" s="73">
        <v>1</v>
      </c>
      <c r="E86" s="86">
        <v>6.25</v>
      </c>
      <c r="F86" s="53">
        <f t="shared" si="6"/>
        <v>6.25</v>
      </c>
      <c r="G86" s="81"/>
      <c r="H86" s="81"/>
    </row>
    <row r="87" spans="1:9" ht="108" customHeight="1" x14ac:dyDescent="0.2">
      <c r="A87" s="85">
        <v>11</v>
      </c>
      <c r="B87" s="55" t="s">
        <v>213</v>
      </c>
      <c r="C87" s="50" t="s">
        <v>166</v>
      </c>
      <c r="D87" s="73">
        <v>1</v>
      </c>
      <c r="E87" s="86">
        <v>63.17</v>
      </c>
      <c r="F87" s="53">
        <f t="shared" si="6"/>
        <v>63.17</v>
      </c>
      <c r="G87" s="81"/>
      <c r="H87" s="81"/>
    </row>
    <row r="88" spans="1:9" ht="42.75" x14ac:dyDescent="0.2">
      <c r="A88" s="85">
        <v>12</v>
      </c>
      <c r="B88" s="55" t="s">
        <v>214</v>
      </c>
      <c r="C88" s="50" t="s">
        <v>202</v>
      </c>
      <c r="D88" s="73">
        <v>2</v>
      </c>
      <c r="E88" s="86">
        <v>80.17</v>
      </c>
      <c r="F88" s="53">
        <f t="shared" si="6"/>
        <v>160.34</v>
      </c>
      <c r="G88" s="81"/>
      <c r="H88" s="81"/>
    </row>
    <row r="89" spans="1:9" ht="42.75" x14ac:dyDescent="0.2">
      <c r="A89" s="85">
        <v>13</v>
      </c>
      <c r="B89" s="55" t="s">
        <v>215</v>
      </c>
      <c r="C89" s="50" t="s">
        <v>202</v>
      </c>
      <c r="D89" s="73">
        <v>20</v>
      </c>
      <c r="E89" s="86">
        <v>4.38</v>
      </c>
      <c r="F89" s="53">
        <f t="shared" si="6"/>
        <v>87.6</v>
      </c>
      <c r="G89" s="81"/>
      <c r="H89" s="81"/>
    </row>
    <row r="90" spans="1:9" ht="85.5" x14ac:dyDescent="0.2">
      <c r="A90" s="85">
        <v>14</v>
      </c>
      <c r="B90" s="55" t="s">
        <v>216</v>
      </c>
      <c r="C90" s="50" t="s">
        <v>166</v>
      </c>
      <c r="D90" s="73">
        <v>2</v>
      </c>
      <c r="E90" s="86">
        <v>18.54</v>
      </c>
      <c r="F90" s="53">
        <f t="shared" si="6"/>
        <v>37.08</v>
      </c>
      <c r="G90" s="81"/>
      <c r="H90" s="81"/>
    </row>
    <row r="91" spans="1:9" ht="142.5" x14ac:dyDescent="0.2">
      <c r="A91" s="88">
        <v>15</v>
      </c>
      <c r="B91" s="55" t="s">
        <v>217</v>
      </c>
      <c r="C91" s="50" t="s">
        <v>166</v>
      </c>
      <c r="D91" s="73">
        <v>52</v>
      </c>
      <c r="E91" s="86">
        <v>2.19</v>
      </c>
      <c r="F91" s="53">
        <f t="shared" si="6"/>
        <v>113.88</v>
      </c>
      <c r="G91" s="87"/>
      <c r="H91" s="81"/>
    </row>
    <row r="92" spans="1:9" ht="12.75" customHeight="1" x14ac:dyDescent="0.2">
      <c r="A92" s="60"/>
      <c r="B92" s="360" t="s">
        <v>218</v>
      </c>
      <c r="C92" s="360"/>
      <c r="D92" s="360"/>
      <c r="E92" s="360"/>
      <c r="F92" s="61">
        <f>SUM(F77:F91)</f>
        <v>1113.9699999999998</v>
      </c>
    </row>
    <row r="93" spans="1:9" ht="12.75" customHeight="1" x14ac:dyDescent="0.2">
      <c r="A93" s="60"/>
      <c r="B93" s="360" t="s">
        <v>219</v>
      </c>
      <c r="C93" s="360"/>
      <c r="D93" s="360"/>
      <c r="E93" s="360"/>
      <c r="F93" s="61">
        <f>F92/12</f>
        <v>92.830833333333317</v>
      </c>
      <c r="G93" s="72"/>
    </row>
    <row r="94" spans="1:9" ht="12.75" customHeight="1" x14ac:dyDescent="0.2">
      <c r="A94" s="45"/>
      <c r="B94" s="45"/>
      <c r="C94" s="2"/>
      <c r="D94" s="2"/>
      <c r="E94" s="2"/>
      <c r="F94" s="72"/>
      <c r="G94" s="72"/>
    </row>
    <row r="95" spans="1:9" ht="38.25" customHeight="1" x14ac:dyDescent="0.2">
      <c r="A95" s="89"/>
      <c r="B95" s="90" t="s">
        <v>220</v>
      </c>
      <c r="C95" s="361" t="s">
        <v>221</v>
      </c>
      <c r="D95" s="361"/>
      <c r="E95" s="361" t="s">
        <v>222</v>
      </c>
      <c r="F95" s="361"/>
      <c r="G95" s="361" t="s">
        <v>223</v>
      </c>
      <c r="H95" s="361"/>
      <c r="I95" s="361"/>
    </row>
    <row r="96" spans="1:9" ht="28.5" x14ac:dyDescent="0.2">
      <c r="A96" s="91"/>
      <c r="B96" s="92" t="s">
        <v>224</v>
      </c>
      <c r="C96" s="362">
        <f>G27</f>
        <v>116979.18</v>
      </c>
      <c r="D96" s="362"/>
      <c r="E96" s="362">
        <f>C96/12</f>
        <v>9748.2649999999994</v>
      </c>
      <c r="F96" s="362"/>
      <c r="G96" s="362">
        <f>E96/'11. SA Resumo da Proposta'!F14</f>
        <v>412.03813321461865</v>
      </c>
      <c r="H96" s="362"/>
      <c r="I96" s="362"/>
    </row>
    <row r="97" spans="1:12" x14ac:dyDescent="0.2">
      <c r="A97" s="91"/>
      <c r="B97" s="92" t="s">
        <v>149</v>
      </c>
      <c r="C97" s="362">
        <f>G38</f>
        <v>12113.279999999999</v>
      </c>
      <c r="D97" s="362"/>
      <c r="E97" s="362">
        <f>C97/12</f>
        <v>1009.4399999999999</v>
      </c>
      <c r="F97" s="362"/>
      <c r="G97" s="362">
        <f>E97/'11. SA Resumo da Proposta'!F14</f>
        <v>42.666851300427787</v>
      </c>
      <c r="H97" s="362"/>
      <c r="I97" s="362"/>
    </row>
    <row r="98" spans="1:12" x14ac:dyDescent="0.2">
      <c r="A98" s="91"/>
      <c r="B98" s="92" t="s">
        <v>225</v>
      </c>
      <c r="C98" s="362">
        <f>H66</f>
        <v>9512.11</v>
      </c>
      <c r="D98" s="362"/>
      <c r="E98" s="362">
        <f>C98/12</f>
        <v>792.67583333333334</v>
      </c>
      <c r="F98" s="362"/>
      <c r="G98" s="362">
        <f>E98/'11. SA Resumo da Proposta'!F14</f>
        <v>33.50469756525996</v>
      </c>
      <c r="H98" s="362"/>
      <c r="I98" s="362"/>
    </row>
    <row r="99" spans="1:12" ht="15" x14ac:dyDescent="0.2">
      <c r="A99" s="93"/>
      <c r="B99" s="94" t="s">
        <v>226</v>
      </c>
      <c r="C99" s="363">
        <f>SUM(C96:C98)</f>
        <v>138604.57</v>
      </c>
      <c r="D99" s="363"/>
      <c r="E99" s="363">
        <f>C99/12</f>
        <v>11550.380833333335</v>
      </c>
      <c r="F99" s="363"/>
      <c r="G99" s="363">
        <f>G96+G97+G98</f>
        <v>488.20968208030638</v>
      </c>
      <c r="H99" s="363"/>
      <c r="I99" s="363"/>
      <c r="J99" s="95"/>
    </row>
    <row r="100" spans="1:12" ht="12.75" customHeight="1" x14ac:dyDescent="0.2">
      <c r="A100" s="96"/>
      <c r="B100" s="364"/>
      <c r="C100" s="364"/>
      <c r="D100" s="364"/>
      <c r="E100" s="364"/>
      <c r="F100" s="364"/>
      <c r="G100" s="365"/>
      <c r="H100" s="365"/>
      <c r="I100" s="365"/>
      <c r="J100" s="95"/>
    </row>
    <row r="101" spans="1:12" ht="12.75" customHeight="1" x14ac:dyDescent="0.2">
      <c r="A101" s="93"/>
      <c r="B101" s="94" t="s">
        <v>193</v>
      </c>
      <c r="C101" s="363">
        <f>H73</f>
        <v>442.50800000000004</v>
      </c>
      <c r="D101" s="363"/>
      <c r="E101" s="363">
        <f>C101/12</f>
        <v>36.875666666666667</v>
      </c>
      <c r="F101" s="363"/>
      <c r="G101" s="363">
        <f>E101/'11. SA Resumo da Proposta'!F14</f>
        <v>1.5586548841642973</v>
      </c>
      <c r="H101" s="363"/>
      <c r="I101" s="363"/>
      <c r="J101" s="95"/>
    </row>
    <row r="102" spans="1:12" ht="12.75" customHeight="1" x14ac:dyDescent="0.2">
      <c r="A102" s="97"/>
      <c r="B102" s="366"/>
      <c r="C102" s="366"/>
      <c r="D102" s="366"/>
      <c r="E102" s="366"/>
      <c r="F102" s="366"/>
      <c r="G102" s="365"/>
      <c r="H102" s="365"/>
      <c r="I102" s="365"/>
      <c r="J102" s="95"/>
    </row>
    <row r="103" spans="1:12" ht="12.75" customHeight="1" x14ac:dyDescent="0.2">
      <c r="A103" s="93"/>
      <c r="B103" s="94" t="s">
        <v>200</v>
      </c>
      <c r="C103" s="363">
        <f>F92</f>
        <v>1113.9699999999998</v>
      </c>
      <c r="D103" s="363"/>
      <c r="E103" s="363">
        <f>C103/12</f>
        <v>92.830833333333317</v>
      </c>
      <c r="F103" s="363"/>
      <c r="G103" s="363">
        <f>E103</f>
        <v>92.830833333333317</v>
      </c>
      <c r="H103" s="363"/>
      <c r="I103" s="363"/>
      <c r="J103" s="95"/>
    </row>
    <row r="104" spans="1:12" ht="12.75" customHeight="1" x14ac:dyDescent="0.2">
      <c r="A104" s="97"/>
      <c r="B104" s="366"/>
      <c r="C104" s="366"/>
      <c r="D104" s="366"/>
      <c r="E104" s="366"/>
      <c r="F104" s="366"/>
      <c r="G104" s="365"/>
      <c r="H104" s="365"/>
      <c r="I104" s="365"/>
      <c r="J104" s="95"/>
    </row>
    <row r="105" spans="1:12" ht="12.75" customHeight="1" x14ac:dyDescent="0.2">
      <c r="A105" s="93"/>
      <c r="B105" s="94" t="s">
        <v>227</v>
      </c>
      <c r="C105" s="363">
        <f>C99+C101+C103</f>
        <v>140161.04800000001</v>
      </c>
      <c r="D105" s="363"/>
      <c r="E105" s="363">
        <f>C105/12</f>
        <v>11680.087333333335</v>
      </c>
      <c r="F105" s="363"/>
      <c r="G105" s="363">
        <f>G99+G101+G103</f>
        <v>582.59917029780399</v>
      </c>
      <c r="H105" s="363"/>
      <c r="I105" s="363"/>
      <c r="J105" s="95"/>
    </row>
    <row r="106" spans="1:12" ht="12.75" customHeight="1" x14ac:dyDescent="0.2">
      <c r="A106" s="98"/>
      <c r="B106" s="98"/>
      <c r="C106" s="99"/>
      <c r="D106" s="99"/>
      <c r="E106" s="99"/>
      <c r="F106" s="99"/>
      <c r="G106" s="72"/>
    </row>
    <row r="107" spans="1:12" ht="30.75" customHeight="1" x14ac:dyDescent="0.2">
      <c r="A107" s="100"/>
      <c r="B107" s="368" t="s">
        <v>228</v>
      </c>
      <c r="C107" s="368"/>
      <c r="D107" s="368"/>
      <c r="E107" s="368"/>
      <c r="F107" s="368"/>
      <c r="G107" s="368"/>
      <c r="H107" s="368"/>
      <c r="I107" s="101">
        <f>'11. SA Resumo da Proposta'!$D$12</f>
        <v>24.658647620661878</v>
      </c>
    </row>
    <row r="108" spans="1:12" ht="12.75" customHeight="1" x14ac:dyDescent="0.2">
      <c r="A108" s="45"/>
      <c r="B108" s="45"/>
      <c r="C108" s="2"/>
      <c r="D108" s="2"/>
      <c r="E108" s="2"/>
      <c r="F108" s="72"/>
      <c r="G108" s="72"/>
    </row>
    <row r="109" spans="1:12" ht="45.75" customHeight="1" x14ac:dyDescent="0.2">
      <c r="A109" s="102"/>
      <c r="B109" s="367" t="s">
        <v>229</v>
      </c>
      <c r="C109" s="367"/>
      <c r="D109" s="367"/>
      <c r="E109" s="367"/>
      <c r="F109" s="367"/>
      <c r="G109" s="367"/>
      <c r="H109" s="367"/>
      <c r="I109" s="367"/>
    </row>
    <row r="110" spans="1:12" ht="45.75" customHeight="1" x14ac:dyDescent="0.2">
      <c r="A110" s="102"/>
      <c r="B110" s="367" t="s">
        <v>230</v>
      </c>
      <c r="C110" s="367"/>
      <c r="D110" s="367"/>
      <c r="E110" s="367"/>
      <c r="F110" s="367"/>
      <c r="G110" s="367"/>
      <c r="H110" s="367"/>
      <c r="I110" s="367"/>
    </row>
    <row r="111" spans="1:12" ht="39" customHeight="1" x14ac:dyDescent="0.2">
      <c r="A111" s="102"/>
      <c r="B111" s="367" t="s">
        <v>231</v>
      </c>
      <c r="C111" s="367"/>
      <c r="D111" s="367"/>
      <c r="E111" s="367"/>
      <c r="F111" s="367"/>
      <c r="G111" s="367"/>
      <c r="H111" s="367"/>
      <c r="I111" s="367"/>
      <c r="L111" s="1" t="s">
        <v>232</v>
      </c>
    </row>
    <row r="112" spans="1:12" ht="12.75" customHeight="1" x14ac:dyDescent="0.2">
      <c r="A112" s="45"/>
      <c r="B112" s="45"/>
      <c r="C112" s="2"/>
      <c r="D112" s="2"/>
      <c r="E112" s="2"/>
      <c r="F112" s="72"/>
      <c r="G112" s="72"/>
    </row>
    <row r="113" spans="1:7" ht="12.75" customHeight="1" x14ac:dyDescent="0.2">
      <c r="A113" s="45"/>
      <c r="B113" s="45"/>
      <c r="C113" s="2"/>
      <c r="D113" s="2"/>
      <c r="E113" s="2"/>
      <c r="F113" s="72"/>
      <c r="G113" s="72"/>
    </row>
    <row r="114" spans="1:7" ht="12.75" customHeight="1" x14ac:dyDescent="0.2">
      <c r="A114" s="45"/>
      <c r="B114" s="45"/>
      <c r="C114" s="2"/>
      <c r="D114" s="2"/>
      <c r="E114" s="2"/>
      <c r="F114" s="72"/>
      <c r="G114" s="72"/>
    </row>
    <row r="115" spans="1:7" ht="12.75" customHeight="1" x14ac:dyDescent="0.2">
      <c r="A115" s="45"/>
      <c r="B115" s="45"/>
      <c r="C115" s="2"/>
      <c r="D115" s="2"/>
      <c r="E115" s="2"/>
      <c r="F115" s="72"/>
      <c r="G115" s="72"/>
    </row>
    <row r="116" spans="1:7" ht="12.75" customHeight="1" x14ac:dyDescent="0.2">
      <c r="A116" s="45"/>
      <c r="B116" s="45"/>
      <c r="C116" s="2"/>
      <c r="D116" s="2"/>
      <c r="E116" s="2"/>
      <c r="F116" s="72"/>
      <c r="G116" s="72"/>
    </row>
    <row r="117" spans="1:7" ht="12.75" customHeight="1" x14ac:dyDescent="0.2">
      <c r="A117" s="45"/>
      <c r="B117" s="45"/>
      <c r="C117" s="2"/>
      <c r="D117" s="2"/>
      <c r="E117" s="2"/>
      <c r="F117" s="72"/>
      <c r="G117" s="72"/>
    </row>
    <row r="118" spans="1:7" ht="12.75" customHeight="1" x14ac:dyDescent="0.2">
      <c r="A118" s="45"/>
      <c r="B118" s="45"/>
      <c r="C118" s="2"/>
      <c r="D118" s="2"/>
      <c r="E118" s="2"/>
      <c r="F118" s="72"/>
      <c r="G118" s="72"/>
    </row>
    <row r="119" spans="1:7" ht="12.75" customHeight="1" x14ac:dyDescent="0.2">
      <c r="A119" s="45"/>
      <c r="B119" s="45"/>
      <c r="C119" s="2"/>
      <c r="D119" s="2"/>
      <c r="E119" s="2"/>
      <c r="F119" s="72"/>
      <c r="G119" s="72"/>
    </row>
    <row r="120" spans="1:7" ht="12.75" customHeight="1" x14ac:dyDescent="0.2">
      <c r="A120" s="45"/>
      <c r="B120" s="45"/>
      <c r="C120" s="2"/>
      <c r="D120" s="2"/>
      <c r="E120" s="2"/>
      <c r="F120" s="72"/>
      <c r="G120" s="72"/>
    </row>
    <row r="121" spans="1:7" ht="12.75" customHeight="1" x14ac:dyDescent="0.2">
      <c r="A121" s="45"/>
      <c r="B121" s="45"/>
      <c r="C121" s="2"/>
      <c r="D121" s="2"/>
      <c r="E121" s="2"/>
      <c r="F121" s="72"/>
      <c r="G121" s="72"/>
    </row>
    <row r="122" spans="1:7" ht="12.75" customHeight="1" x14ac:dyDescent="0.2">
      <c r="A122" s="45"/>
      <c r="B122" s="45"/>
      <c r="C122" s="2"/>
      <c r="D122" s="2"/>
      <c r="E122" s="2"/>
      <c r="F122" s="72"/>
      <c r="G122" s="72"/>
    </row>
    <row r="123" spans="1:7" ht="12.75" customHeight="1" x14ac:dyDescent="0.2">
      <c r="A123" s="45"/>
      <c r="B123" s="45"/>
      <c r="C123" s="2"/>
      <c r="D123" s="2"/>
      <c r="E123" s="2"/>
      <c r="F123" s="72"/>
      <c r="G123" s="72"/>
    </row>
    <row r="124" spans="1:7" ht="12.75" customHeight="1" x14ac:dyDescent="0.2">
      <c r="A124" s="45"/>
      <c r="B124" s="45"/>
      <c r="C124" s="2"/>
      <c r="D124" s="2"/>
      <c r="E124" s="2"/>
      <c r="F124" s="72"/>
      <c r="G124" s="72"/>
    </row>
    <row r="125" spans="1:7" ht="12.75" customHeight="1" x14ac:dyDescent="0.2">
      <c r="A125" s="45"/>
      <c r="B125" s="45"/>
      <c r="C125" s="2"/>
      <c r="D125" s="2"/>
      <c r="E125" s="2"/>
      <c r="F125" s="72"/>
      <c r="G125" s="72"/>
    </row>
    <row r="126" spans="1:7" ht="12.75" customHeight="1" x14ac:dyDescent="0.2">
      <c r="A126" s="45"/>
      <c r="B126" s="45"/>
      <c r="C126" s="2"/>
      <c r="D126" s="2"/>
      <c r="E126" s="2"/>
      <c r="F126" s="72"/>
      <c r="G126" s="72"/>
    </row>
    <row r="127" spans="1:7" ht="12.75" customHeight="1" x14ac:dyDescent="0.2">
      <c r="A127" s="45"/>
      <c r="B127" s="45"/>
      <c r="C127" s="2"/>
      <c r="D127" s="2"/>
      <c r="E127" s="2"/>
      <c r="F127" s="72"/>
      <c r="G127" s="72"/>
    </row>
    <row r="128" spans="1:7" ht="12.75" customHeight="1" x14ac:dyDescent="0.2">
      <c r="A128" s="45"/>
      <c r="B128" s="45"/>
      <c r="C128" s="2"/>
      <c r="D128" s="2"/>
      <c r="E128" s="2"/>
      <c r="F128" s="72"/>
      <c r="G128" s="72"/>
    </row>
    <row r="129" spans="1:7" ht="12.75" customHeight="1" x14ac:dyDescent="0.2">
      <c r="A129" s="45"/>
      <c r="B129" s="45"/>
      <c r="C129" s="2"/>
      <c r="D129" s="2"/>
      <c r="E129" s="2"/>
      <c r="F129" s="72"/>
      <c r="G129" s="72"/>
    </row>
    <row r="130" spans="1:7" ht="12.75" customHeight="1" x14ac:dyDescent="0.2">
      <c r="A130" s="45"/>
      <c r="B130" s="45"/>
      <c r="C130" s="2"/>
      <c r="D130" s="2"/>
      <c r="E130" s="2"/>
      <c r="F130" s="72"/>
      <c r="G130" s="72"/>
    </row>
    <row r="131" spans="1:7" ht="12.75" customHeight="1" x14ac:dyDescent="0.2">
      <c r="A131" s="45"/>
      <c r="B131" s="45"/>
      <c r="C131" s="2"/>
      <c r="D131" s="2"/>
      <c r="E131" s="2"/>
      <c r="F131" s="72"/>
      <c r="G131" s="72"/>
    </row>
    <row r="132" spans="1:7" ht="12.75" customHeight="1" x14ac:dyDescent="0.2">
      <c r="A132" s="45"/>
      <c r="B132" s="45"/>
      <c r="C132" s="2"/>
      <c r="D132" s="2"/>
      <c r="E132" s="2"/>
      <c r="F132" s="72"/>
      <c r="G132" s="72"/>
    </row>
    <row r="133" spans="1:7" ht="12.75" customHeight="1" x14ac:dyDescent="0.2">
      <c r="A133" s="45"/>
      <c r="B133" s="45"/>
      <c r="C133" s="2"/>
      <c r="D133" s="2"/>
      <c r="E133" s="2"/>
      <c r="F133" s="72"/>
      <c r="G133" s="72"/>
    </row>
    <row r="134" spans="1:7" ht="12.75" customHeight="1" x14ac:dyDescent="0.2">
      <c r="A134" s="45"/>
      <c r="B134" s="45"/>
      <c r="C134" s="2"/>
      <c r="D134" s="2"/>
      <c r="E134" s="2"/>
      <c r="F134" s="72"/>
      <c r="G134" s="72"/>
    </row>
    <row r="135" spans="1:7" ht="12.75" customHeight="1" x14ac:dyDescent="0.2">
      <c r="A135" s="45"/>
      <c r="B135" s="45"/>
      <c r="C135" s="2"/>
      <c r="D135" s="2"/>
      <c r="E135" s="2"/>
      <c r="F135" s="72"/>
      <c r="G135" s="72"/>
    </row>
    <row r="136" spans="1:7" ht="12.75" customHeight="1" x14ac:dyDescent="0.2">
      <c r="A136" s="45"/>
      <c r="B136" s="45"/>
      <c r="C136" s="2"/>
      <c r="D136" s="2"/>
      <c r="E136" s="2"/>
      <c r="F136" s="72"/>
      <c r="G136" s="72"/>
    </row>
    <row r="137" spans="1:7" ht="12.75" customHeight="1" x14ac:dyDescent="0.2">
      <c r="A137" s="45"/>
      <c r="B137" s="45"/>
      <c r="C137" s="2"/>
      <c r="D137" s="2"/>
      <c r="E137" s="2"/>
      <c r="F137" s="72"/>
      <c r="G137" s="72"/>
    </row>
    <row r="138" spans="1:7" ht="12.75" customHeight="1" x14ac:dyDescent="0.2">
      <c r="A138" s="45"/>
      <c r="B138" s="45"/>
      <c r="C138" s="2"/>
      <c r="D138" s="2"/>
      <c r="E138" s="2"/>
      <c r="F138" s="72"/>
      <c r="G138" s="72"/>
    </row>
    <row r="139" spans="1:7" ht="12.75" customHeight="1" x14ac:dyDescent="0.2">
      <c r="A139" s="45"/>
      <c r="B139" s="45"/>
      <c r="C139" s="2"/>
      <c r="D139" s="2"/>
      <c r="E139" s="2"/>
      <c r="F139" s="72"/>
      <c r="G139" s="72"/>
    </row>
    <row r="140" spans="1:7" ht="12.75" customHeight="1" x14ac:dyDescent="0.2">
      <c r="A140" s="45"/>
      <c r="B140" s="45"/>
      <c r="C140" s="2"/>
      <c r="D140" s="2"/>
      <c r="E140" s="2"/>
      <c r="F140" s="72"/>
      <c r="G140" s="72"/>
    </row>
    <row r="141" spans="1:7" ht="12.75" customHeight="1" x14ac:dyDescent="0.2">
      <c r="A141" s="45"/>
      <c r="B141" s="45"/>
      <c r="C141" s="2"/>
      <c r="D141" s="2"/>
      <c r="E141" s="2"/>
      <c r="F141" s="72"/>
      <c r="G141" s="72"/>
    </row>
    <row r="142" spans="1:7" ht="12.75" customHeight="1" x14ac:dyDescent="0.2">
      <c r="A142" s="45"/>
      <c r="B142" s="45"/>
      <c r="C142" s="2"/>
      <c r="D142" s="2"/>
      <c r="E142" s="2"/>
      <c r="F142" s="72"/>
      <c r="G142" s="72"/>
    </row>
    <row r="143" spans="1:7" ht="12.75" customHeight="1" x14ac:dyDescent="0.2">
      <c r="A143" s="45"/>
      <c r="B143" s="45"/>
      <c r="C143" s="2"/>
      <c r="D143" s="2"/>
      <c r="E143" s="2"/>
      <c r="F143" s="72"/>
      <c r="G143" s="72"/>
    </row>
    <row r="144" spans="1:7" ht="12.75" customHeight="1" x14ac:dyDescent="0.2">
      <c r="A144" s="45"/>
      <c r="B144" s="45"/>
      <c r="C144" s="2"/>
      <c r="D144" s="2"/>
      <c r="E144" s="2"/>
      <c r="F144" s="72"/>
      <c r="G144" s="72"/>
    </row>
    <row r="145" spans="1:7" ht="12.75" customHeight="1" x14ac:dyDescent="0.2">
      <c r="A145" s="45"/>
      <c r="B145" s="45"/>
      <c r="C145" s="2"/>
      <c r="D145" s="2"/>
      <c r="E145" s="2"/>
      <c r="F145" s="72"/>
      <c r="G145" s="72"/>
    </row>
    <row r="146" spans="1:7" ht="12.75" customHeight="1" x14ac:dyDescent="0.2">
      <c r="A146" s="45"/>
      <c r="B146" s="45"/>
      <c r="C146" s="2"/>
      <c r="D146" s="2"/>
      <c r="E146" s="2"/>
      <c r="F146" s="72"/>
      <c r="G146" s="72"/>
    </row>
    <row r="147" spans="1:7" ht="12.75" customHeight="1" x14ac:dyDescent="0.2">
      <c r="A147" s="45"/>
      <c r="B147" s="45"/>
      <c r="C147" s="2"/>
      <c r="D147" s="2"/>
      <c r="E147" s="2"/>
      <c r="F147" s="72"/>
      <c r="G147" s="72"/>
    </row>
    <row r="148" spans="1:7" ht="12.75" customHeight="1" x14ac:dyDescent="0.2">
      <c r="A148" s="45"/>
      <c r="B148" s="45"/>
      <c r="C148" s="2"/>
      <c r="D148" s="2"/>
      <c r="E148" s="2"/>
      <c r="F148" s="72"/>
      <c r="G148" s="72"/>
    </row>
    <row r="149" spans="1:7" ht="12.75" customHeight="1" x14ac:dyDescent="0.2">
      <c r="A149" s="45"/>
      <c r="B149" s="45"/>
      <c r="C149" s="2"/>
      <c r="D149" s="2"/>
      <c r="E149" s="2"/>
      <c r="F149" s="72"/>
      <c r="G149" s="72"/>
    </row>
    <row r="150" spans="1:7" ht="12.75" customHeight="1" x14ac:dyDescent="0.2">
      <c r="A150" s="45"/>
      <c r="B150" s="45"/>
      <c r="C150" s="2"/>
      <c r="D150" s="2"/>
      <c r="E150" s="2"/>
      <c r="F150" s="72"/>
      <c r="G150" s="72"/>
    </row>
    <row r="151" spans="1:7" ht="12.75" customHeight="1" x14ac:dyDescent="0.2">
      <c r="A151" s="45"/>
      <c r="B151" s="45"/>
      <c r="C151" s="2"/>
      <c r="D151" s="2"/>
      <c r="E151" s="2"/>
      <c r="F151" s="72"/>
      <c r="G151" s="72"/>
    </row>
    <row r="152" spans="1:7" ht="12.75" customHeight="1" x14ac:dyDescent="0.2">
      <c r="A152" s="45"/>
      <c r="B152" s="45"/>
      <c r="C152" s="2"/>
      <c r="D152" s="2"/>
      <c r="E152" s="2"/>
      <c r="F152" s="72"/>
      <c r="G152" s="72"/>
    </row>
    <row r="153" spans="1:7" ht="12.75" customHeight="1" x14ac:dyDescent="0.2">
      <c r="A153" s="45"/>
      <c r="B153" s="45"/>
      <c r="C153" s="2"/>
      <c r="D153" s="2"/>
      <c r="E153" s="2"/>
      <c r="F153" s="72"/>
      <c r="G153" s="72"/>
    </row>
    <row r="154" spans="1:7" ht="12.75" customHeight="1" x14ac:dyDescent="0.2">
      <c r="A154" s="45"/>
      <c r="B154" s="45"/>
      <c r="C154" s="2"/>
      <c r="D154" s="2"/>
      <c r="E154" s="2"/>
      <c r="F154" s="72"/>
      <c r="G154" s="72"/>
    </row>
    <row r="155" spans="1:7" ht="12.75" customHeight="1" x14ac:dyDescent="0.2">
      <c r="A155" s="45"/>
      <c r="B155" s="45"/>
      <c r="C155" s="2"/>
      <c r="D155" s="2"/>
      <c r="E155" s="2"/>
      <c r="F155" s="72"/>
      <c r="G155" s="72"/>
    </row>
    <row r="156" spans="1:7" ht="12.75" customHeight="1" x14ac:dyDescent="0.2">
      <c r="A156" s="45"/>
      <c r="B156" s="45"/>
      <c r="C156" s="2"/>
      <c r="D156" s="2"/>
      <c r="E156" s="2"/>
      <c r="F156" s="72"/>
      <c r="G156" s="72"/>
    </row>
    <row r="157" spans="1:7" ht="12.75" customHeight="1" x14ac:dyDescent="0.2">
      <c r="A157" s="45"/>
      <c r="B157" s="45"/>
      <c r="C157" s="2"/>
      <c r="D157" s="2"/>
      <c r="E157" s="2"/>
      <c r="F157" s="72"/>
      <c r="G157" s="72"/>
    </row>
    <row r="158" spans="1:7" ht="12.75" customHeight="1" x14ac:dyDescent="0.2">
      <c r="A158" s="45"/>
      <c r="B158" s="45"/>
      <c r="C158" s="2"/>
      <c r="D158" s="2"/>
      <c r="E158" s="2"/>
      <c r="F158" s="72"/>
      <c r="G158" s="72"/>
    </row>
    <row r="159" spans="1:7" ht="12.75" customHeight="1" x14ac:dyDescent="0.2">
      <c r="A159" s="45"/>
      <c r="B159" s="45"/>
      <c r="C159" s="2"/>
      <c r="D159" s="2"/>
      <c r="E159" s="2"/>
      <c r="F159" s="72"/>
      <c r="G159" s="72"/>
    </row>
    <row r="160" spans="1:7" ht="12.75" customHeight="1" x14ac:dyDescent="0.2">
      <c r="A160" s="45"/>
      <c r="B160" s="45"/>
      <c r="C160" s="2"/>
      <c r="D160" s="2"/>
      <c r="E160" s="2"/>
      <c r="F160" s="72"/>
      <c r="G160" s="72"/>
    </row>
    <row r="161" spans="1:7" ht="12.75" customHeight="1" x14ac:dyDescent="0.2">
      <c r="A161" s="45"/>
      <c r="B161" s="45"/>
      <c r="C161" s="2"/>
      <c r="D161" s="2"/>
      <c r="E161" s="2"/>
      <c r="F161" s="72"/>
      <c r="G161" s="72"/>
    </row>
    <row r="162" spans="1:7" ht="12.75" customHeight="1" x14ac:dyDescent="0.2">
      <c r="A162" s="45"/>
      <c r="B162" s="45"/>
      <c r="C162" s="2"/>
      <c r="D162" s="2"/>
      <c r="E162" s="2"/>
      <c r="F162" s="72"/>
      <c r="G162" s="72"/>
    </row>
    <row r="163" spans="1:7" ht="12.75" customHeight="1" x14ac:dyDescent="0.2">
      <c r="A163" s="45"/>
      <c r="B163" s="45"/>
      <c r="C163" s="2"/>
      <c r="D163" s="2"/>
      <c r="E163" s="2"/>
      <c r="F163" s="72"/>
      <c r="G163" s="72"/>
    </row>
    <row r="164" spans="1:7" ht="12.75" customHeight="1" x14ac:dyDescent="0.2">
      <c r="A164" s="45"/>
      <c r="B164" s="45"/>
      <c r="C164" s="2"/>
      <c r="D164" s="2"/>
      <c r="E164" s="2"/>
      <c r="F164" s="72"/>
      <c r="G164" s="72"/>
    </row>
    <row r="165" spans="1:7" ht="12.75" customHeight="1" x14ac:dyDescent="0.2">
      <c r="A165" s="45"/>
      <c r="B165" s="45"/>
      <c r="C165" s="2"/>
      <c r="D165" s="2"/>
      <c r="E165" s="2"/>
      <c r="F165" s="72"/>
      <c r="G165" s="72"/>
    </row>
    <row r="166" spans="1:7" ht="12.75" customHeight="1" x14ac:dyDescent="0.2">
      <c r="A166" s="45"/>
      <c r="B166" s="45"/>
      <c r="C166" s="2"/>
      <c r="D166" s="2"/>
      <c r="E166" s="2"/>
      <c r="F166" s="72"/>
      <c r="G166" s="72"/>
    </row>
    <row r="167" spans="1:7" ht="12.75" customHeight="1" x14ac:dyDescent="0.2">
      <c r="A167" s="45"/>
      <c r="B167" s="45"/>
      <c r="C167" s="2"/>
      <c r="D167" s="2"/>
      <c r="E167" s="2"/>
      <c r="F167" s="72"/>
      <c r="G167" s="72"/>
    </row>
    <row r="168" spans="1:7" ht="12.75" customHeight="1" x14ac:dyDescent="0.2">
      <c r="A168" s="45"/>
      <c r="B168" s="45"/>
      <c r="C168" s="2"/>
      <c r="D168" s="2"/>
      <c r="E168" s="2"/>
      <c r="F168" s="72"/>
      <c r="G168" s="72"/>
    </row>
    <row r="169" spans="1:7" ht="12.75" customHeight="1" x14ac:dyDescent="0.2">
      <c r="A169" s="45"/>
      <c r="B169" s="45"/>
      <c r="C169" s="2"/>
      <c r="D169" s="2"/>
      <c r="E169" s="2"/>
      <c r="F169" s="72"/>
      <c r="G169" s="72"/>
    </row>
    <row r="170" spans="1:7" ht="12.75" customHeight="1" x14ac:dyDescent="0.2">
      <c r="A170" s="45"/>
      <c r="B170" s="45"/>
      <c r="C170" s="2"/>
      <c r="D170" s="2"/>
      <c r="E170" s="2"/>
      <c r="F170" s="72"/>
      <c r="G170" s="72"/>
    </row>
    <row r="171" spans="1:7" ht="12.75" customHeight="1" x14ac:dyDescent="0.2">
      <c r="A171" s="45"/>
      <c r="B171" s="45"/>
      <c r="C171" s="2"/>
      <c r="D171" s="2"/>
      <c r="E171" s="2"/>
      <c r="F171" s="72"/>
      <c r="G171" s="72"/>
    </row>
    <row r="172" spans="1:7" ht="12.75" customHeight="1" x14ac:dyDescent="0.2">
      <c r="A172" s="45"/>
      <c r="B172" s="45"/>
      <c r="C172" s="2"/>
      <c r="D172" s="2"/>
      <c r="E172" s="2"/>
      <c r="F172" s="72"/>
      <c r="G172" s="72"/>
    </row>
    <row r="173" spans="1:7" ht="12.75" customHeight="1" x14ac:dyDescent="0.2">
      <c r="A173" s="45"/>
      <c r="B173" s="45"/>
      <c r="C173" s="2"/>
      <c r="D173" s="2"/>
      <c r="E173" s="2"/>
      <c r="F173" s="72"/>
      <c r="G173" s="72"/>
    </row>
    <row r="174" spans="1:7" ht="12.75" customHeight="1" x14ac:dyDescent="0.2">
      <c r="A174" s="45"/>
      <c r="B174" s="45"/>
      <c r="C174" s="2"/>
      <c r="D174" s="2"/>
      <c r="E174" s="2"/>
      <c r="F174" s="72"/>
      <c r="G174" s="72"/>
    </row>
    <row r="175" spans="1:7" ht="12.75" customHeight="1" x14ac:dyDescent="0.2">
      <c r="A175" s="45"/>
      <c r="B175" s="45"/>
      <c r="C175" s="2"/>
      <c r="D175" s="2"/>
      <c r="E175" s="2"/>
      <c r="F175" s="72"/>
      <c r="G175" s="72"/>
    </row>
    <row r="176" spans="1:7" ht="12.75" customHeight="1" x14ac:dyDescent="0.2">
      <c r="A176" s="45"/>
      <c r="B176" s="45"/>
      <c r="C176" s="2"/>
      <c r="D176" s="2"/>
      <c r="E176" s="2"/>
      <c r="F176" s="72"/>
      <c r="G176" s="72"/>
    </row>
    <row r="177" spans="1:7" ht="12.75" customHeight="1" x14ac:dyDescent="0.2">
      <c r="A177" s="45"/>
      <c r="B177" s="45"/>
      <c r="C177" s="2"/>
      <c r="D177" s="2"/>
      <c r="E177" s="2"/>
      <c r="F177" s="72"/>
      <c r="G177" s="72"/>
    </row>
    <row r="178" spans="1:7" ht="12.75" customHeight="1" x14ac:dyDescent="0.2">
      <c r="A178" s="45"/>
      <c r="B178" s="45"/>
      <c r="C178" s="2"/>
      <c r="D178" s="2"/>
      <c r="E178" s="2"/>
      <c r="F178" s="72"/>
      <c r="G178" s="72"/>
    </row>
    <row r="179" spans="1:7" ht="12.75" customHeight="1" x14ac:dyDescent="0.2">
      <c r="A179" s="45"/>
      <c r="B179" s="45"/>
      <c r="C179" s="2"/>
      <c r="D179" s="2"/>
      <c r="E179" s="2"/>
      <c r="F179" s="72"/>
      <c r="G179" s="72"/>
    </row>
    <row r="180" spans="1:7" ht="12.75" customHeight="1" x14ac:dyDescent="0.2">
      <c r="A180" s="45"/>
      <c r="B180" s="45"/>
      <c r="C180" s="2"/>
      <c r="D180" s="2"/>
      <c r="E180" s="2"/>
      <c r="F180" s="72"/>
      <c r="G180" s="72"/>
    </row>
    <row r="181" spans="1:7" ht="12.75" customHeight="1" x14ac:dyDescent="0.2">
      <c r="A181" s="45"/>
      <c r="B181" s="45"/>
      <c r="C181" s="2"/>
      <c r="D181" s="2"/>
      <c r="E181" s="2"/>
      <c r="F181" s="72"/>
      <c r="G181" s="72"/>
    </row>
    <row r="182" spans="1:7" ht="12.75" customHeight="1" x14ac:dyDescent="0.2">
      <c r="A182" s="45"/>
      <c r="B182" s="45"/>
      <c r="C182" s="2"/>
      <c r="D182" s="2"/>
      <c r="E182" s="2"/>
      <c r="F182" s="72"/>
      <c r="G182" s="72"/>
    </row>
    <row r="183" spans="1:7" ht="12.75" customHeight="1" x14ac:dyDescent="0.2">
      <c r="A183" s="45"/>
      <c r="B183" s="45"/>
      <c r="C183" s="2"/>
      <c r="D183" s="2"/>
      <c r="E183" s="2"/>
      <c r="F183" s="72"/>
      <c r="G183" s="72"/>
    </row>
    <row r="184" spans="1:7" ht="12.75" customHeight="1" x14ac:dyDescent="0.2">
      <c r="A184" s="45"/>
      <c r="B184" s="45"/>
      <c r="C184" s="2"/>
      <c r="D184" s="2"/>
      <c r="E184" s="2"/>
      <c r="F184" s="72"/>
      <c r="G184" s="72"/>
    </row>
    <row r="185" spans="1:7" ht="12.75" customHeight="1" x14ac:dyDescent="0.2">
      <c r="A185" s="45"/>
      <c r="B185" s="45"/>
      <c r="C185" s="2"/>
      <c r="D185" s="2"/>
      <c r="E185" s="2"/>
      <c r="F185" s="72"/>
      <c r="G185" s="72"/>
    </row>
    <row r="186" spans="1:7" ht="12.75" customHeight="1" x14ac:dyDescent="0.2">
      <c r="A186" s="45"/>
      <c r="B186" s="45"/>
      <c r="C186" s="2"/>
      <c r="D186" s="2"/>
      <c r="E186" s="2"/>
      <c r="F186" s="72"/>
      <c r="G186" s="72"/>
    </row>
    <row r="187" spans="1:7" ht="12.75" customHeight="1" x14ac:dyDescent="0.2">
      <c r="A187" s="45"/>
      <c r="B187" s="45"/>
      <c r="C187" s="2"/>
      <c r="D187" s="2"/>
      <c r="E187" s="2"/>
      <c r="F187" s="72"/>
      <c r="G187" s="72"/>
    </row>
    <row r="188" spans="1:7" ht="12.75" customHeight="1" x14ac:dyDescent="0.2">
      <c r="A188" s="45"/>
      <c r="B188" s="45"/>
      <c r="C188" s="2"/>
      <c r="D188" s="2"/>
      <c r="E188" s="2"/>
      <c r="F188" s="72"/>
      <c r="G188" s="72"/>
    </row>
    <row r="189" spans="1:7" ht="12.75" customHeight="1" x14ac:dyDescent="0.2">
      <c r="A189" s="45"/>
      <c r="B189" s="45"/>
      <c r="C189" s="2"/>
      <c r="D189" s="2"/>
      <c r="E189" s="2"/>
      <c r="F189" s="72"/>
      <c r="G189" s="72"/>
    </row>
    <row r="190" spans="1:7" ht="12.75" customHeight="1" x14ac:dyDescent="0.2">
      <c r="A190" s="45"/>
      <c r="B190" s="45"/>
      <c r="C190" s="2"/>
      <c r="D190" s="2"/>
      <c r="E190" s="2"/>
      <c r="F190" s="72"/>
      <c r="G190" s="72"/>
    </row>
    <row r="191" spans="1:7" ht="12.75" customHeight="1" x14ac:dyDescent="0.2">
      <c r="A191" s="45"/>
      <c r="B191" s="45"/>
      <c r="C191" s="2"/>
      <c r="D191" s="2"/>
      <c r="E191" s="2"/>
      <c r="F191" s="72"/>
      <c r="G191" s="72"/>
    </row>
    <row r="192" spans="1:7" ht="12.75" customHeight="1" x14ac:dyDescent="0.2">
      <c r="A192" s="45"/>
      <c r="B192" s="45"/>
      <c r="C192" s="2"/>
      <c r="D192" s="2"/>
      <c r="E192" s="2"/>
      <c r="F192" s="72"/>
      <c r="G192" s="72"/>
    </row>
    <row r="193" spans="1:7" ht="12.75" customHeight="1" x14ac:dyDescent="0.2">
      <c r="A193" s="45"/>
      <c r="B193" s="45"/>
      <c r="C193" s="2"/>
      <c r="D193" s="2"/>
      <c r="E193" s="2"/>
      <c r="F193" s="72"/>
      <c r="G193" s="72"/>
    </row>
    <row r="194" spans="1:7" ht="12.75" customHeight="1" x14ac:dyDescent="0.2">
      <c r="A194" s="45"/>
      <c r="B194" s="45"/>
      <c r="C194" s="2"/>
      <c r="D194" s="2"/>
      <c r="E194" s="2"/>
      <c r="F194" s="72"/>
      <c r="G194" s="72"/>
    </row>
    <row r="195" spans="1:7" ht="12.75" customHeight="1" x14ac:dyDescent="0.2">
      <c r="A195" s="45"/>
      <c r="B195" s="45"/>
      <c r="C195" s="2"/>
      <c r="D195" s="2"/>
      <c r="E195" s="2"/>
      <c r="F195" s="72"/>
      <c r="G195" s="72"/>
    </row>
    <row r="196" spans="1:7" ht="12.75" customHeight="1" x14ac:dyDescent="0.2">
      <c r="A196" s="45"/>
      <c r="B196" s="45"/>
      <c r="C196" s="2"/>
      <c r="D196" s="2"/>
      <c r="E196" s="2"/>
      <c r="F196" s="72"/>
      <c r="G196" s="72"/>
    </row>
    <row r="197" spans="1:7" ht="12.75" customHeight="1" x14ac:dyDescent="0.2">
      <c r="A197" s="45"/>
      <c r="B197" s="45"/>
      <c r="C197" s="2"/>
      <c r="D197" s="2"/>
      <c r="E197" s="2"/>
      <c r="F197" s="72"/>
      <c r="G197" s="72"/>
    </row>
    <row r="198" spans="1:7" ht="12.75" customHeight="1" x14ac:dyDescent="0.2">
      <c r="A198" s="45"/>
      <c r="B198" s="45"/>
      <c r="C198" s="2"/>
      <c r="D198" s="2"/>
      <c r="E198" s="2"/>
      <c r="F198" s="72"/>
      <c r="G198" s="72"/>
    </row>
    <row r="199" spans="1:7" ht="12.75" customHeight="1" x14ac:dyDescent="0.2">
      <c r="A199" s="45"/>
      <c r="B199" s="45"/>
      <c r="C199" s="2"/>
      <c r="D199" s="2"/>
      <c r="E199" s="2"/>
      <c r="F199" s="72"/>
      <c r="G199" s="72"/>
    </row>
    <row r="200" spans="1:7" ht="12.75" customHeight="1" x14ac:dyDescent="0.2">
      <c r="A200" s="45"/>
      <c r="B200" s="45"/>
      <c r="C200" s="2"/>
      <c r="D200" s="2"/>
      <c r="E200" s="2"/>
      <c r="F200" s="72"/>
      <c r="G200" s="72"/>
    </row>
    <row r="201" spans="1:7" ht="12.75" customHeight="1" x14ac:dyDescent="0.2">
      <c r="A201" s="45"/>
      <c r="B201" s="45"/>
      <c r="C201" s="2"/>
      <c r="D201" s="2"/>
      <c r="E201" s="2"/>
      <c r="F201" s="72"/>
      <c r="G201" s="72"/>
    </row>
    <row r="202" spans="1:7" ht="12.75" customHeight="1" x14ac:dyDescent="0.2">
      <c r="A202" s="45"/>
      <c r="B202" s="45"/>
      <c r="C202" s="2"/>
      <c r="D202" s="2"/>
      <c r="E202" s="2"/>
      <c r="F202" s="72"/>
      <c r="G202" s="72"/>
    </row>
    <row r="203" spans="1:7" ht="12.75" customHeight="1" x14ac:dyDescent="0.2">
      <c r="A203" s="45"/>
      <c r="B203" s="45"/>
      <c r="C203" s="2"/>
      <c r="D203" s="2"/>
      <c r="E203" s="2"/>
      <c r="F203" s="72"/>
      <c r="G203" s="72"/>
    </row>
    <row r="204" spans="1:7" ht="12.75" customHeight="1" x14ac:dyDescent="0.2">
      <c r="A204" s="45"/>
      <c r="B204" s="45"/>
      <c r="C204" s="2"/>
      <c r="D204" s="2"/>
      <c r="E204" s="2"/>
      <c r="F204" s="72"/>
      <c r="G204" s="72"/>
    </row>
    <row r="205" spans="1:7" ht="12.75" customHeight="1" x14ac:dyDescent="0.2">
      <c r="A205" s="45"/>
      <c r="B205" s="45"/>
      <c r="C205" s="2"/>
      <c r="D205" s="2"/>
      <c r="E205" s="2"/>
      <c r="F205" s="72"/>
      <c r="G205" s="72"/>
    </row>
    <row r="206" spans="1:7" ht="12.75" customHeight="1" x14ac:dyDescent="0.2">
      <c r="A206" s="45"/>
      <c r="B206" s="45"/>
      <c r="C206" s="2"/>
      <c r="D206" s="2"/>
      <c r="E206" s="2"/>
      <c r="F206" s="72"/>
      <c r="G206" s="72"/>
    </row>
    <row r="207" spans="1:7" ht="12.75" customHeight="1" x14ac:dyDescent="0.2">
      <c r="A207" s="45"/>
      <c r="B207" s="45"/>
      <c r="C207" s="2"/>
      <c r="D207" s="2"/>
      <c r="E207" s="2"/>
      <c r="F207" s="72"/>
      <c r="G207" s="72"/>
    </row>
    <row r="208" spans="1:7" ht="12.75" customHeight="1" x14ac:dyDescent="0.2">
      <c r="A208" s="45"/>
      <c r="B208" s="45"/>
      <c r="C208" s="2"/>
      <c r="D208" s="2"/>
      <c r="E208" s="2"/>
      <c r="F208" s="72"/>
      <c r="G208" s="72"/>
    </row>
    <row r="209" spans="1:7" ht="12.75" customHeight="1" x14ac:dyDescent="0.2">
      <c r="A209" s="45"/>
      <c r="B209" s="45"/>
      <c r="C209" s="2"/>
      <c r="D209" s="2"/>
      <c r="E209" s="2"/>
      <c r="F209" s="72"/>
      <c r="G209" s="72"/>
    </row>
    <row r="210" spans="1:7" ht="12.75" customHeight="1" x14ac:dyDescent="0.2">
      <c r="A210" s="45"/>
      <c r="B210" s="45"/>
      <c r="C210" s="2"/>
      <c r="D210" s="2"/>
      <c r="E210" s="2"/>
      <c r="F210" s="72"/>
      <c r="G210" s="72"/>
    </row>
    <row r="211" spans="1:7" ht="12.75" customHeight="1" x14ac:dyDescent="0.2">
      <c r="A211" s="45"/>
      <c r="B211" s="45"/>
      <c r="C211" s="2"/>
      <c r="D211" s="2"/>
      <c r="E211" s="2"/>
      <c r="F211" s="72"/>
      <c r="G211" s="72"/>
    </row>
    <row r="212" spans="1:7" ht="12.75" customHeight="1" x14ac:dyDescent="0.2">
      <c r="A212" s="45"/>
      <c r="B212" s="45"/>
      <c r="C212" s="2"/>
      <c r="D212" s="2"/>
      <c r="E212" s="2"/>
      <c r="F212" s="72"/>
      <c r="G212" s="72"/>
    </row>
    <row r="213" spans="1:7" ht="12.75" customHeight="1" x14ac:dyDescent="0.2">
      <c r="A213" s="45"/>
      <c r="B213" s="45"/>
      <c r="C213" s="2"/>
      <c r="D213" s="2"/>
      <c r="E213" s="2"/>
      <c r="F213" s="72"/>
      <c r="G213" s="72"/>
    </row>
    <row r="214" spans="1:7" ht="12.75" customHeight="1" x14ac:dyDescent="0.2">
      <c r="A214" s="45"/>
      <c r="B214" s="45"/>
      <c r="C214" s="2"/>
      <c r="D214" s="2"/>
      <c r="E214" s="2"/>
      <c r="F214" s="72"/>
      <c r="G214" s="72"/>
    </row>
    <row r="215" spans="1:7" ht="12.75" customHeight="1" x14ac:dyDescent="0.2">
      <c r="A215" s="45"/>
      <c r="B215" s="45"/>
      <c r="C215" s="2"/>
      <c r="D215" s="2"/>
      <c r="E215" s="2"/>
      <c r="F215" s="72"/>
      <c r="G215" s="72"/>
    </row>
    <row r="216" spans="1:7" ht="12.75" customHeight="1" x14ac:dyDescent="0.2">
      <c r="A216" s="45"/>
      <c r="B216" s="45"/>
      <c r="C216" s="2"/>
      <c r="D216" s="2"/>
      <c r="E216" s="2"/>
      <c r="F216" s="72"/>
      <c r="G216" s="72"/>
    </row>
    <row r="217" spans="1:7" ht="12.75" customHeight="1" x14ac:dyDescent="0.2">
      <c r="A217" s="45"/>
      <c r="B217" s="45"/>
      <c r="C217" s="2"/>
      <c r="D217" s="2"/>
      <c r="E217" s="2"/>
      <c r="F217" s="72"/>
      <c r="G217" s="72"/>
    </row>
    <row r="218" spans="1:7" ht="12.75" customHeight="1" x14ac:dyDescent="0.2">
      <c r="A218" s="45"/>
      <c r="B218" s="45"/>
      <c r="C218" s="2"/>
      <c r="D218" s="2"/>
      <c r="E218" s="2"/>
      <c r="F218" s="72"/>
      <c r="G218" s="72"/>
    </row>
    <row r="219" spans="1:7" ht="12.75" customHeight="1" x14ac:dyDescent="0.2">
      <c r="A219" s="45"/>
      <c r="B219" s="45"/>
      <c r="C219" s="2"/>
      <c r="D219" s="2"/>
      <c r="E219" s="2"/>
      <c r="F219" s="72"/>
      <c r="G219" s="72"/>
    </row>
    <row r="220" spans="1:7" ht="12.75" customHeight="1" x14ac:dyDescent="0.2">
      <c r="A220" s="45"/>
      <c r="B220" s="45"/>
      <c r="C220" s="2"/>
      <c r="D220" s="2"/>
      <c r="E220" s="2"/>
      <c r="F220" s="72"/>
      <c r="G220" s="72"/>
    </row>
    <row r="221" spans="1:7" ht="12.75" customHeight="1" x14ac:dyDescent="0.2">
      <c r="A221" s="45"/>
      <c r="B221" s="45"/>
      <c r="C221" s="2"/>
      <c r="D221" s="2"/>
      <c r="E221" s="2"/>
      <c r="F221" s="72"/>
      <c r="G221" s="72"/>
    </row>
    <row r="222" spans="1:7" ht="12.75" customHeight="1" x14ac:dyDescent="0.2">
      <c r="A222" s="45"/>
      <c r="B222" s="45"/>
      <c r="C222" s="2"/>
      <c r="D222" s="2"/>
      <c r="E222" s="2"/>
      <c r="F222" s="72"/>
      <c r="G222" s="72"/>
    </row>
    <row r="223" spans="1:7" ht="12.75" customHeight="1" x14ac:dyDescent="0.2">
      <c r="A223" s="45"/>
      <c r="B223" s="45"/>
      <c r="C223" s="2"/>
      <c r="D223" s="2"/>
      <c r="E223" s="2"/>
      <c r="F223" s="72"/>
      <c r="G223" s="72"/>
    </row>
    <row r="224" spans="1:7" ht="12.75" customHeight="1" x14ac:dyDescent="0.2">
      <c r="A224" s="45"/>
      <c r="B224" s="45"/>
      <c r="C224" s="2"/>
      <c r="D224" s="2"/>
      <c r="E224" s="2"/>
      <c r="F224" s="72"/>
      <c r="G224" s="72"/>
    </row>
    <row r="225" spans="1:7" ht="12.75" customHeight="1" x14ac:dyDescent="0.2">
      <c r="A225" s="45"/>
      <c r="B225" s="45"/>
      <c r="C225" s="2"/>
      <c r="D225" s="2"/>
      <c r="E225" s="2"/>
      <c r="F225" s="72"/>
      <c r="G225" s="72"/>
    </row>
    <row r="226" spans="1:7" ht="12.75" customHeight="1" x14ac:dyDescent="0.2">
      <c r="A226" s="45"/>
      <c r="B226" s="45"/>
      <c r="C226" s="2"/>
      <c r="D226" s="2"/>
      <c r="E226" s="2"/>
      <c r="F226" s="72"/>
      <c r="G226" s="72"/>
    </row>
    <row r="227" spans="1:7" ht="12.75" customHeight="1" x14ac:dyDescent="0.2">
      <c r="A227" s="45"/>
      <c r="B227" s="45"/>
      <c r="C227" s="2"/>
      <c r="D227" s="2"/>
      <c r="E227" s="2"/>
      <c r="F227" s="72"/>
      <c r="G227" s="72"/>
    </row>
    <row r="228" spans="1:7" ht="12.75" customHeight="1" x14ac:dyDescent="0.2">
      <c r="A228" s="45"/>
      <c r="B228" s="45"/>
      <c r="C228" s="2"/>
      <c r="D228" s="2"/>
      <c r="E228" s="2"/>
      <c r="F228" s="72"/>
      <c r="G228" s="72"/>
    </row>
    <row r="229" spans="1:7" ht="12.75" customHeight="1" x14ac:dyDescent="0.2">
      <c r="A229" s="45"/>
      <c r="B229" s="45"/>
      <c r="C229" s="2"/>
      <c r="D229" s="2"/>
      <c r="E229" s="2"/>
      <c r="F229" s="72"/>
      <c r="G229" s="72"/>
    </row>
    <row r="230" spans="1:7" ht="12.75" customHeight="1" x14ac:dyDescent="0.2">
      <c r="A230" s="45"/>
      <c r="B230" s="45"/>
      <c r="C230" s="2"/>
      <c r="D230" s="2"/>
      <c r="E230" s="2"/>
      <c r="F230" s="72"/>
      <c r="G230" s="72"/>
    </row>
    <row r="231" spans="1:7" ht="12.75" customHeight="1" x14ac:dyDescent="0.2">
      <c r="A231" s="45"/>
      <c r="B231" s="45"/>
      <c r="C231" s="2"/>
      <c r="D231" s="2"/>
      <c r="E231" s="2"/>
      <c r="F231" s="72"/>
      <c r="G231" s="72"/>
    </row>
    <row r="232" spans="1:7" ht="12.75" customHeight="1" x14ac:dyDescent="0.2">
      <c r="A232" s="45"/>
      <c r="B232" s="45"/>
      <c r="C232" s="2"/>
      <c r="D232" s="2"/>
      <c r="E232" s="2"/>
      <c r="F232" s="72"/>
      <c r="G232" s="72"/>
    </row>
    <row r="233" spans="1:7" ht="12.75" customHeight="1" x14ac:dyDescent="0.2">
      <c r="A233" s="45"/>
      <c r="B233" s="45"/>
      <c r="C233" s="2"/>
      <c r="D233" s="2"/>
      <c r="E233" s="2"/>
      <c r="F233" s="72"/>
      <c r="G233" s="72"/>
    </row>
    <row r="234" spans="1:7" ht="12.75" customHeight="1" x14ac:dyDescent="0.2">
      <c r="A234" s="45"/>
      <c r="B234" s="45"/>
      <c r="C234" s="2"/>
      <c r="D234" s="2"/>
      <c r="E234" s="2"/>
      <c r="F234" s="72"/>
      <c r="G234" s="72"/>
    </row>
    <row r="235" spans="1:7" ht="12.75" customHeight="1" x14ac:dyDescent="0.2">
      <c r="A235" s="45"/>
      <c r="B235" s="45"/>
      <c r="C235" s="2"/>
      <c r="D235" s="2"/>
      <c r="E235" s="2"/>
      <c r="F235" s="72"/>
      <c r="G235" s="72"/>
    </row>
    <row r="236" spans="1:7" ht="12.75" customHeight="1" x14ac:dyDescent="0.2">
      <c r="A236" s="45"/>
      <c r="B236" s="45"/>
      <c r="C236" s="2"/>
      <c r="D236" s="2"/>
      <c r="E236" s="2"/>
      <c r="F236" s="72"/>
      <c r="G236" s="72"/>
    </row>
    <row r="237" spans="1:7" ht="12.75" customHeight="1" x14ac:dyDescent="0.2">
      <c r="A237" s="45"/>
      <c r="B237" s="45"/>
      <c r="C237" s="2"/>
      <c r="D237" s="2"/>
      <c r="E237" s="2"/>
      <c r="F237" s="72"/>
      <c r="G237" s="72"/>
    </row>
    <row r="238" spans="1:7" ht="12.75" customHeight="1" x14ac:dyDescent="0.2">
      <c r="A238" s="45"/>
      <c r="B238" s="45"/>
      <c r="C238" s="2"/>
      <c r="D238" s="2"/>
      <c r="E238" s="2"/>
      <c r="F238" s="72"/>
      <c r="G238" s="72"/>
    </row>
    <row r="239" spans="1:7" ht="12.75" customHeight="1" x14ac:dyDescent="0.2">
      <c r="A239" s="45"/>
      <c r="B239" s="45"/>
      <c r="C239" s="2"/>
      <c r="D239" s="2"/>
      <c r="E239" s="2"/>
      <c r="F239" s="72"/>
      <c r="G239" s="72"/>
    </row>
    <row r="240" spans="1:7" ht="12.75" customHeight="1" x14ac:dyDescent="0.2">
      <c r="A240" s="45"/>
      <c r="B240" s="45"/>
      <c r="C240" s="2"/>
      <c r="D240" s="2"/>
      <c r="E240" s="2"/>
      <c r="F240" s="72"/>
      <c r="G240" s="72"/>
    </row>
    <row r="241" spans="1:7" ht="12.75" customHeight="1" x14ac:dyDescent="0.2">
      <c r="A241" s="45"/>
      <c r="B241" s="45"/>
      <c r="C241" s="2"/>
      <c r="D241" s="2"/>
      <c r="E241" s="2"/>
      <c r="F241" s="72"/>
      <c r="G241" s="72"/>
    </row>
    <row r="242" spans="1:7" ht="12.75" customHeight="1" x14ac:dyDescent="0.2">
      <c r="A242" s="45"/>
      <c r="B242" s="45"/>
      <c r="C242" s="2"/>
      <c r="D242" s="2"/>
      <c r="E242" s="2"/>
      <c r="F242" s="72"/>
      <c r="G242" s="72"/>
    </row>
    <row r="243" spans="1:7" ht="12.75" customHeight="1" x14ac:dyDescent="0.2">
      <c r="A243" s="45"/>
      <c r="B243" s="45"/>
      <c r="C243" s="2"/>
      <c r="D243" s="2"/>
      <c r="E243" s="2"/>
      <c r="F243" s="72"/>
      <c r="G243" s="72"/>
    </row>
    <row r="244" spans="1:7" ht="12.75" customHeight="1" x14ac:dyDescent="0.2">
      <c r="A244" s="45"/>
      <c r="B244" s="45"/>
      <c r="C244" s="2"/>
      <c r="D244" s="2"/>
      <c r="E244" s="2"/>
      <c r="F244" s="72"/>
      <c r="G244" s="72"/>
    </row>
    <row r="245" spans="1:7" ht="12.75" customHeight="1" x14ac:dyDescent="0.2">
      <c r="A245" s="45"/>
      <c r="B245" s="45"/>
      <c r="C245" s="2"/>
      <c r="D245" s="2"/>
      <c r="E245" s="2"/>
      <c r="F245" s="72"/>
      <c r="G245" s="72"/>
    </row>
    <row r="246" spans="1:7" ht="12.75" customHeight="1" x14ac:dyDescent="0.2">
      <c r="A246" s="45"/>
      <c r="B246" s="45"/>
      <c r="C246" s="2"/>
      <c r="D246" s="2"/>
      <c r="E246" s="2"/>
      <c r="F246" s="72"/>
      <c r="G246" s="72"/>
    </row>
    <row r="247" spans="1:7" ht="12.75" customHeight="1" x14ac:dyDescent="0.2">
      <c r="A247" s="45"/>
      <c r="B247" s="45"/>
      <c r="C247" s="2"/>
      <c r="D247" s="2"/>
      <c r="E247" s="2"/>
      <c r="F247" s="72"/>
      <c r="G247" s="72"/>
    </row>
    <row r="248" spans="1:7" ht="12.75" customHeight="1" x14ac:dyDescent="0.2">
      <c r="A248" s="45"/>
      <c r="B248" s="45"/>
      <c r="C248" s="2"/>
      <c r="D248" s="2"/>
      <c r="E248" s="2"/>
      <c r="F248" s="72"/>
      <c r="G248" s="72"/>
    </row>
    <row r="249" spans="1:7" ht="12.75" customHeight="1" x14ac:dyDescent="0.2">
      <c r="A249" s="45"/>
      <c r="B249" s="45"/>
      <c r="C249" s="2"/>
      <c r="D249" s="2"/>
      <c r="E249" s="2"/>
      <c r="F249" s="72"/>
      <c r="G249" s="72"/>
    </row>
    <row r="250" spans="1:7" ht="12.75" customHeight="1" x14ac:dyDescent="0.2">
      <c r="A250" s="45"/>
      <c r="B250" s="45"/>
      <c r="C250" s="2"/>
      <c r="D250" s="2"/>
      <c r="E250" s="2"/>
      <c r="F250" s="72"/>
      <c r="G250" s="72"/>
    </row>
    <row r="251" spans="1:7" ht="12.75" customHeight="1" x14ac:dyDescent="0.2">
      <c r="A251" s="45"/>
      <c r="B251" s="45"/>
      <c r="C251" s="2"/>
      <c r="D251" s="2"/>
      <c r="E251" s="2"/>
      <c r="F251" s="72"/>
      <c r="G251" s="72"/>
    </row>
    <row r="252" spans="1:7" ht="12.75" customHeight="1" x14ac:dyDescent="0.2">
      <c r="A252" s="45"/>
      <c r="B252" s="45"/>
      <c r="C252" s="2"/>
      <c r="D252" s="2"/>
      <c r="E252" s="2"/>
      <c r="F252" s="72"/>
      <c r="G252" s="72"/>
    </row>
    <row r="253" spans="1:7" ht="12.75" customHeight="1" x14ac:dyDescent="0.2">
      <c r="A253" s="45"/>
      <c r="B253" s="45"/>
      <c r="C253" s="2"/>
      <c r="D253" s="2"/>
      <c r="E253" s="2"/>
      <c r="F253" s="72"/>
      <c r="G253" s="72"/>
    </row>
    <row r="254" spans="1:7" ht="12.75" customHeight="1" x14ac:dyDescent="0.2">
      <c r="A254" s="45"/>
      <c r="B254" s="45"/>
      <c r="C254" s="2"/>
      <c r="D254" s="2"/>
      <c r="E254" s="2"/>
      <c r="F254" s="72"/>
      <c r="G254" s="72"/>
    </row>
    <row r="255" spans="1:7" ht="12.75" customHeight="1" x14ac:dyDescent="0.2">
      <c r="A255" s="45"/>
      <c r="B255" s="45"/>
      <c r="C255" s="2"/>
      <c r="D255" s="2"/>
      <c r="E255" s="2"/>
      <c r="F255" s="72"/>
      <c r="G255" s="72"/>
    </row>
    <row r="256" spans="1:7" ht="12.75" customHeight="1" x14ac:dyDescent="0.2">
      <c r="A256" s="45"/>
      <c r="B256" s="45"/>
      <c r="C256" s="2"/>
      <c r="D256" s="2"/>
      <c r="E256" s="2"/>
      <c r="F256" s="72"/>
      <c r="G256" s="72"/>
    </row>
    <row r="257" spans="1:7" ht="12.75" customHeight="1" x14ac:dyDescent="0.2">
      <c r="A257" s="45"/>
      <c r="B257" s="45"/>
      <c r="C257" s="2"/>
      <c r="D257" s="2"/>
      <c r="E257" s="2"/>
      <c r="F257" s="72"/>
      <c r="G257" s="72"/>
    </row>
    <row r="258" spans="1:7" ht="12.75" customHeight="1" x14ac:dyDescent="0.2">
      <c r="A258" s="45"/>
      <c r="B258" s="45"/>
      <c r="C258" s="2"/>
      <c r="D258" s="2"/>
      <c r="E258" s="2"/>
      <c r="F258" s="72"/>
      <c r="G258" s="72"/>
    </row>
    <row r="259" spans="1:7" ht="12.75" customHeight="1" x14ac:dyDescent="0.2">
      <c r="A259" s="45"/>
      <c r="B259" s="45"/>
      <c r="C259" s="2"/>
      <c r="D259" s="2"/>
      <c r="E259" s="2"/>
      <c r="F259" s="72"/>
      <c r="G259" s="72"/>
    </row>
    <row r="260" spans="1:7" ht="12.75" customHeight="1" x14ac:dyDescent="0.2">
      <c r="A260" s="45"/>
      <c r="B260" s="45"/>
      <c r="C260" s="2"/>
      <c r="D260" s="2"/>
      <c r="E260" s="2"/>
      <c r="F260" s="72"/>
      <c r="G260" s="72"/>
    </row>
    <row r="261" spans="1:7" ht="12.75" customHeight="1" x14ac:dyDescent="0.2">
      <c r="A261" s="45"/>
      <c r="B261" s="45"/>
      <c r="C261" s="2"/>
      <c r="D261" s="2"/>
      <c r="E261" s="2"/>
      <c r="F261" s="72"/>
      <c r="G261" s="72"/>
    </row>
    <row r="262" spans="1:7" ht="12.75" customHeight="1" x14ac:dyDescent="0.2">
      <c r="A262" s="45"/>
      <c r="B262" s="45"/>
      <c r="C262" s="2"/>
      <c r="D262" s="2"/>
      <c r="E262" s="2"/>
      <c r="F262" s="72"/>
      <c r="G262" s="72"/>
    </row>
    <row r="263" spans="1:7" ht="12.75" customHeight="1" x14ac:dyDescent="0.2">
      <c r="A263" s="45"/>
      <c r="B263" s="45"/>
      <c r="C263" s="2"/>
      <c r="D263" s="2"/>
      <c r="E263" s="2"/>
      <c r="F263" s="72"/>
      <c r="G263" s="72"/>
    </row>
    <row r="264" spans="1:7" ht="12.75" customHeight="1" x14ac:dyDescent="0.2">
      <c r="A264" s="45"/>
      <c r="B264" s="45"/>
      <c r="C264" s="2"/>
      <c r="D264" s="2"/>
      <c r="E264" s="2"/>
      <c r="F264" s="72"/>
      <c r="G264" s="72"/>
    </row>
    <row r="265" spans="1:7" ht="12.75" customHeight="1" x14ac:dyDescent="0.2">
      <c r="A265" s="45"/>
      <c r="B265" s="45"/>
      <c r="C265" s="2"/>
      <c r="D265" s="2"/>
      <c r="E265" s="2"/>
      <c r="F265" s="72"/>
      <c r="G265" s="72"/>
    </row>
    <row r="266" spans="1:7" ht="12.75" customHeight="1" x14ac:dyDescent="0.2">
      <c r="A266" s="45"/>
      <c r="B266" s="45"/>
      <c r="C266" s="2"/>
      <c r="D266" s="2"/>
      <c r="E266" s="2"/>
      <c r="F266" s="72"/>
      <c r="G266" s="72"/>
    </row>
    <row r="267" spans="1:7" ht="12.75" customHeight="1" x14ac:dyDescent="0.2">
      <c r="A267" s="45"/>
      <c r="B267" s="45"/>
      <c r="C267" s="2"/>
      <c r="D267" s="2"/>
      <c r="E267" s="2"/>
      <c r="F267" s="72"/>
      <c r="G267" s="72"/>
    </row>
    <row r="268" spans="1:7" ht="12.75" customHeight="1" x14ac:dyDescent="0.2">
      <c r="A268" s="45"/>
      <c r="B268" s="45"/>
      <c r="C268" s="2"/>
      <c r="D268" s="2"/>
      <c r="E268" s="2"/>
      <c r="F268" s="72"/>
      <c r="G268" s="72"/>
    </row>
    <row r="269" spans="1:7" ht="12.75" customHeight="1" x14ac:dyDescent="0.2">
      <c r="A269" s="45"/>
      <c r="B269" s="45"/>
      <c r="C269" s="2"/>
      <c r="D269" s="2"/>
      <c r="E269" s="2"/>
      <c r="F269" s="72"/>
      <c r="G269" s="72"/>
    </row>
    <row r="270" spans="1:7" ht="12.75" customHeight="1" x14ac:dyDescent="0.2">
      <c r="A270" s="45"/>
      <c r="B270" s="45"/>
      <c r="C270" s="2"/>
      <c r="D270" s="2"/>
      <c r="E270" s="2"/>
      <c r="F270" s="72"/>
      <c r="G270" s="72"/>
    </row>
    <row r="271" spans="1:7" ht="12.75" customHeight="1" x14ac:dyDescent="0.2">
      <c r="A271" s="45"/>
      <c r="B271" s="45"/>
      <c r="C271" s="2"/>
      <c r="D271" s="2"/>
      <c r="E271" s="2"/>
      <c r="F271" s="72"/>
      <c r="G271" s="72"/>
    </row>
    <row r="272" spans="1:7" ht="12.75" customHeight="1" x14ac:dyDescent="0.2">
      <c r="A272" s="45"/>
      <c r="B272" s="45"/>
      <c r="C272" s="2"/>
      <c r="D272" s="2"/>
      <c r="E272" s="2"/>
      <c r="F272" s="72"/>
      <c r="G272" s="72"/>
    </row>
    <row r="273" spans="1:7" ht="12.75" customHeight="1" x14ac:dyDescent="0.2">
      <c r="A273" s="45"/>
      <c r="B273" s="45"/>
      <c r="C273" s="2"/>
      <c r="D273" s="2"/>
      <c r="E273" s="2"/>
      <c r="F273" s="72"/>
      <c r="G273" s="72"/>
    </row>
    <row r="274" spans="1:7" ht="12.75" customHeight="1" x14ac:dyDescent="0.2">
      <c r="A274" s="45"/>
      <c r="B274" s="45"/>
      <c r="C274" s="2"/>
      <c r="D274" s="2"/>
      <c r="E274" s="2"/>
      <c r="F274" s="72"/>
      <c r="G274" s="72"/>
    </row>
    <row r="275" spans="1:7" ht="12.75" customHeight="1" x14ac:dyDescent="0.2">
      <c r="A275" s="45"/>
      <c r="B275" s="45"/>
      <c r="C275" s="2"/>
      <c r="D275" s="2"/>
      <c r="E275" s="2"/>
      <c r="F275" s="72"/>
      <c r="G275" s="72"/>
    </row>
    <row r="276" spans="1:7" ht="12.75" customHeight="1" x14ac:dyDescent="0.2">
      <c r="A276" s="45"/>
      <c r="B276" s="45"/>
      <c r="C276" s="2"/>
      <c r="D276" s="2"/>
      <c r="E276" s="2"/>
      <c r="F276" s="72"/>
      <c r="G276" s="72"/>
    </row>
    <row r="277" spans="1:7" ht="12.75" customHeight="1" x14ac:dyDescent="0.2">
      <c r="A277" s="45"/>
      <c r="B277" s="45"/>
      <c r="C277" s="2"/>
      <c r="D277" s="2"/>
      <c r="E277" s="2"/>
      <c r="F277" s="72"/>
      <c r="G277" s="72"/>
    </row>
    <row r="278" spans="1:7" ht="12.75" customHeight="1" x14ac:dyDescent="0.2">
      <c r="A278" s="45"/>
      <c r="B278" s="45"/>
      <c r="C278" s="2"/>
      <c r="D278" s="2"/>
      <c r="E278" s="2"/>
      <c r="F278" s="72"/>
      <c r="G278" s="72"/>
    </row>
    <row r="279" spans="1:7" ht="12.75" customHeight="1" x14ac:dyDescent="0.2">
      <c r="A279" s="45"/>
      <c r="B279" s="45"/>
      <c r="C279" s="2"/>
      <c r="D279" s="2"/>
      <c r="E279" s="2"/>
      <c r="F279" s="72"/>
      <c r="G279" s="72"/>
    </row>
    <row r="280" spans="1:7" ht="12.75" customHeight="1" x14ac:dyDescent="0.2">
      <c r="A280" s="45"/>
      <c r="B280" s="45"/>
      <c r="C280" s="2"/>
      <c r="D280" s="2"/>
      <c r="E280" s="2"/>
      <c r="F280" s="72"/>
      <c r="G280" s="72"/>
    </row>
    <row r="281" spans="1:7" ht="12.75" customHeight="1" x14ac:dyDescent="0.2">
      <c r="A281" s="45"/>
      <c r="B281" s="45"/>
      <c r="C281" s="2"/>
      <c r="D281" s="2"/>
      <c r="E281" s="2"/>
      <c r="F281" s="72"/>
      <c r="G281" s="72"/>
    </row>
    <row r="282" spans="1:7" ht="12.75" customHeight="1" x14ac:dyDescent="0.2">
      <c r="A282" s="45"/>
      <c r="B282" s="45"/>
      <c r="C282" s="2"/>
      <c r="D282" s="2"/>
      <c r="E282" s="2"/>
      <c r="F282" s="72"/>
      <c r="G282" s="72"/>
    </row>
    <row r="283" spans="1:7" ht="12.75" customHeight="1" x14ac:dyDescent="0.2">
      <c r="A283" s="45"/>
      <c r="B283" s="45"/>
      <c r="C283" s="2"/>
      <c r="D283" s="2"/>
      <c r="E283" s="2"/>
      <c r="F283" s="72"/>
      <c r="G283" s="72"/>
    </row>
    <row r="284" spans="1:7" ht="12.75" customHeight="1" x14ac:dyDescent="0.2">
      <c r="A284" s="45"/>
      <c r="B284" s="45"/>
      <c r="C284" s="2"/>
      <c r="D284" s="2"/>
      <c r="E284" s="2"/>
      <c r="F284" s="72"/>
      <c r="G284" s="72"/>
    </row>
    <row r="285" spans="1:7" ht="12.75" customHeight="1" x14ac:dyDescent="0.2">
      <c r="A285" s="45"/>
      <c r="B285" s="45"/>
      <c r="C285" s="2"/>
      <c r="D285" s="2"/>
      <c r="E285" s="2"/>
      <c r="F285" s="72"/>
      <c r="G285" s="72"/>
    </row>
    <row r="286" spans="1:7" ht="12.75" customHeight="1" x14ac:dyDescent="0.2">
      <c r="A286" s="45"/>
      <c r="B286" s="45"/>
      <c r="C286" s="2"/>
      <c r="D286" s="2"/>
      <c r="E286" s="2"/>
      <c r="F286" s="72"/>
      <c r="G286" s="72"/>
    </row>
    <row r="287" spans="1:7" ht="12.75" customHeight="1" x14ac:dyDescent="0.2">
      <c r="A287" s="45"/>
      <c r="B287" s="45"/>
      <c r="C287" s="2"/>
      <c r="D287" s="2"/>
      <c r="E287" s="2"/>
      <c r="F287" s="72"/>
      <c r="G287" s="72"/>
    </row>
    <row r="288" spans="1:7" ht="12.75" customHeight="1" x14ac:dyDescent="0.2">
      <c r="A288" s="45"/>
      <c r="B288" s="45"/>
      <c r="C288" s="2"/>
      <c r="D288" s="2"/>
      <c r="E288" s="2"/>
      <c r="F288" s="72"/>
      <c r="G288" s="72"/>
    </row>
    <row r="289" spans="1:7" ht="12.75" customHeight="1" x14ac:dyDescent="0.2">
      <c r="A289" s="45"/>
      <c r="B289" s="45"/>
      <c r="C289" s="2"/>
      <c r="D289" s="2"/>
      <c r="E289" s="2"/>
      <c r="F289" s="72"/>
      <c r="G289" s="72"/>
    </row>
    <row r="290" spans="1:7" ht="12.75" customHeight="1" x14ac:dyDescent="0.2">
      <c r="A290" s="45"/>
      <c r="B290" s="45"/>
      <c r="C290" s="2"/>
      <c r="D290" s="2"/>
      <c r="E290" s="2"/>
      <c r="F290" s="72"/>
      <c r="G290" s="72"/>
    </row>
    <row r="291" spans="1:7" ht="12.75" customHeight="1" x14ac:dyDescent="0.2">
      <c r="A291" s="45"/>
      <c r="B291" s="45"/>
      <c r="C291" s="2"/>
      <c r="D291" s="2"/>
      <c r="E291" s="2"/>
      <c r="F291" s="72"/>
      <c r="G291" s="72"/>
    </row>
    <row r="292" spans="1:7" ht="12.75" customHeight="1" x14ac:dyDescent="0.2">
      <c r="A292" s="45"/>
      <c r="B292" s="45"/>
      <c r="C292" s="2"/>
      <c r="D292" s="2"/>
      <c r="E292" s="2"/>
      <c r="F292" s="72"/>
      <c r="G292" s="72"/>
    </row>
    <row r="293" spans="1:7" ht="12.75" customHeight="1" x14ac:dyDescent="0.2">
      <c r="A293" s="45"/>
      <c r="B293" s="45"/>
      <c r="C293" s="2"/>
      <c r="D293" s="2"/>
      <c r="E293" s="2"/>
      <c r="F293" s="72"/>
      <c r="G293" s="72"/>
    </row>
    <row r="294" spans="1:7" ht="12.75" customHeight="1" x14ac:dyDescent="0.2">
      <c r="A294" s="45"/>
      <c r="B294" s="45"/>
      <c r="C294" s="2"/>
      <c r="D294" s="2"/>
      <c r="E294" s="2"/>
      <c r="F294" s="72"/>
      <c r="G294" s="72"/>
    </row>
    <row r="295" spans="1:7" ht="12.75" customHeight="1" x14ac:dyDescent="0.2">
      <c r="A295" s="45"/>
      <c r="B295" s="45"/>
      <c r="C295" s="2"/>
      <c r="D295" s="2"/>
      <c r="E295" s="2"/>
      <c r="F295" s="72"/>
      <c r="G295" s="72"/>
    </row>
    <row r="296" spans="1:7" ht="12.75" customHeight="1" x14ac:dyDescent="0.2">
      <c r="A296" s="45"/>
      <c r="B296" s="45"/>
      <c r="C296" s="2"/>
      <c r="D296" s="2"/>
      <c r="E296" s="2"/>
      <c r="F296" s="72"/>
      <c r="G296" s="72"/>
    </row>
    <row r="297" spans="1:7" ht="12.75" customHeight="1" x14ac:dyDescent="0.2">
      <c r="A297" s="45"/>
      <c r="B297" s="45"/>
      <c r="C297" s="2"/>
      <c r="D297" s="2"/>
      <c r="E297" s="2"/>
      <c r="F297" s="72"/>
      <c r="G297" s="72"/>
    </row>
    <row r="298" spans="1:7" ht="12.75" customHeight="1" x14ac:dyDescent="0.2">
      <c r="A298" s="45"/>
      <c r="B298" s="45"/>
      <c r="C298" s="2"/>
      <c r="D298" s="2"/>
      <c r="E298" s="2"/>
      <c r="F298" s="72"/>
      <c r="G298" s="72"/>
    </row>
    <row r="299" spans="1:7" ht="12.75" customHeight="1" x14ac:dyDescent="0.2">
      <c r="A299" s="45"/>
      <c r="B299" s="45"/>
      <c r="C299" s="2"/>
      <c r="D299" s="2"/>
      <c r="E299" s="2"/>
      <c r="F299" s="72"/>
      <c r="G299" s="72"/>
    </row>
    <row r="300" spans="1:7" ht="12.75" customHeight="1" x14ac:dyDescent="0.2">
      <c r="A300" s="45"/>
      <c r="B300" s="45"/>
      <c r="C300" s="2"/>
      <c r="D300" s="2"/>
      <c r="E300" s="2"/>
      <c r="F300" s="72"/>
      <c r="G300" s="72"/>
    </row>
    <row r="301" spans="1:7" ht="12.75" customHeight="1" x14ac:dyDescent="0.2">
      <c r="A301" s="45"/>
      <c r="B301" s="45"/>
      <c r="C301" s="2"/>
      <c r="D301" s="2"/>
      <c r="E301" s="2"/>
      <c r="F301" s="72"/>
      <c r="G301" s="72"/>
    </row>
    <row r="302" spans="1:7" ht="12.75" customHeight="1" x14ac:dyDescent="0.2">
      <c r="A302" s="45"/>
      <c r="B302" s="45"/>
      <c r="C302" s="2"/>
      <c r="D302" s="2"/>
      <c r="E302" s="2"/>
      <c r="F302" s="72"/>
      <c r="G302" s="72"/>
    </row>
    <row r="303" spans="1:7" ht="12.75" customHeight="1" x14ac:dyDescent="0.2">
      <c r="A303" s="45"/>
      <c r="B303" s="45"/>
      <c r="C303" s="2"/>
      <c r="D303" s="2"/>
      <c r="E303" s="2"/>
      <c r="F303" s="72"/>
      <c r="G303" s="72"/>
    </row>
    <row r="304" spans="1:7" ht="12.75" customHeight="1" x14ac:dyDescent="0.2">
      <c r="A304" s="45"/>
      <c r="B304" s="45"/>
      <c r="C304" s="2"/>
      <c r="D304" s="2"/>
      <c r="E304" s="2"/>
      <c r="F304" s="72"/>
      <c r="G304" s="72"/>
    </row>
    <row r="305" spans="1:7" ht="12.75" customHeight="1" x14ac:dyDescent="0.2">
      <c r="A305" s="45"/>
      <c r="B305" s="45"/>
      <c r="C305" s="2"/>
      <c r="D305" s="2"/>
      <c r="E305" s="2"/>
      <c r="F305" s="72"/>
      <c r="G305" s="72"/>
    </row>
    <row r="306" spans="1:7" ht="12.75" customHeight="1" x14ac:dyDescent="0.2">
      <c r="A306" s="45"/>
      <c r="B306" s="45"/>
      <c r="C306" s="2"/>
      <c r="D306" s="2"/>
      <c r="E306" s="2"/>
      <c r="F306" s="72"/>
      <c r="G306" s="72"/>
    </row>
    <row r="307" spans="1:7" ht="12.75" customHeight="1" x14ac:dyDescent="0.2">
      <c r="A307" s="45"/>
      <c r="B307" s="45"/>
      <c r="C307" s="2"/>
      <c r="D307" s="2"/>
      <c r="E307" s="2"/>
      <c r="F307" s="72"/>
      <c r="G307" s="72"/>
    </row>
    <row r="308" spans="1:7" ht="12.75" customHeight="1" x14ac:dyDescent="0.2">
      <c r="A308" s="45"/>
      <c r="B308" s="45"/>
      <c r="C308" s="2"/>
      <c r="D308" s="2"/>
      <c r="E308" s="2"/>
      <c r="F308" s="72"/>
      <c r="G308" s="72"/>
    </row>
    <row r="309" spans="1:7" ht="12.75" customHeight="1" x14ac:dyDescent="0.2">
      <c r="A309" s="45"/>
      <c r="B309" s="45"/>
      <c r="C309" s="2"/>
      <c r="D309" s="2"/>
      <c r="E309" s="2"/>
      <c r="F309" s="72"/>
      <c r="G309" s="72"/>
    </row>
    <row r="310" spans="1:7" ht="12.75" customHeight="1" x14ac:dyDescent="0.2">
      <c r="A310" s="45"/>
      <c r="B310" s="45"/>
      <c r="C310" s="2"/>
      <c r="D310" s="2"/>
      <c r="E310" s="2"/>
      <c r="F310" s="72"/>
      <c r="G310" s="72"/>
    </row>
    <row r="311" spans="1:7" ht="12.75" customHeight="1" x14ac:dyDescent="0.2">
      <c r="A311" s="45"/>
      <c r="B311" s="45"/>
      <c r="C311" s="2"/>
      <c r="D311" s="2"/>
      <c r="E311" s="2"/>
      <c r="F311" s="72"/>
      <c r="G311" s="72"/>
    </row>
    <row r="312" spans="1:7" ht="12.75" customHeight="1" x14ac:dyDescent="0.2">
      <c r="A312" s="45"/>
      <c r="B312" s="45"/>
      <c r="C312" s="2"/>
      <c r="D312" s="2"/>
      <c r="E312" s="2"/>
      <c r="F312" s="72"/>
      <c r="G312" s="72"/>
    </row>
    <row r="313" spans="1:7" ht="12.75" customHeight="1" x14ac:dyDescent="0.2">
      <c r="A313" s="45"/>
      <c r="B313" s="45"/>
      <c r="C313" s="2"/>
      <c r="D313" s="2"/>
      <c r="E313" s="2"/>
      <c r="F313" s="72"/>
      <c r="G313" s="72"/>
    </row>
    <row r="314" spans="1:7" ht="12.75" customHeight="1" x14ac:dyDescent="0.2">
      <c r="A314" s="45"/>
      <c r="B314" s="45"/>
      <c r="C314" s="2"/>
      <c r="D314" s="2"/>
      <c r="E314" s="2"/>
      <c r="F314" s="72"/>
      <c r="G314" s="72"/>
    </row>
    <row r="315" spans="1:7" ht="12.75" customHeight="1" x14ac:dyDescent="0.2">
      <c r="A315" s="45"/>
      <c r="B315" s="45"/>
      <c r="C315" s="2"/>
      <c r="D315" s="2"/>
      <c r="E315" s="2"/>
      <c r="F315" s="72"/>
      <c r="G315" s="72"/>
    </row>
    <row r="316" spans="1:7" ht="12.75" customHeight="1" x14ac:dyDescent="0.2">
      <c r="A316" s="45"/>
      <c r="B316" s="45"/>
      <c r="C316" s="2"/>
      <c r="D316" s="2"/>
      <c r="E316" s="2"/>
      <c r="F316" s="72"/>
      <c r="G316" s="72"/>
    </row>
    <row r="317" spans="1:7" ht="12.75" customHeight="1" x14ac:dyDescent="0.2">
      <c r="A317" s="45"/>
      <c r="B317" s="45"/>
      <c r="C317" s="2"/>
      <c r="D317" s="2"/>
      <c r="E317" s="2"/>
      <c r="F317" s="72"/>
      <c r="G317" s="72"/>
    </row>
    <row r="318" spans="1:7" ht="12.75" customHeight="1" x14ac:dyDescent="0.2">
      <c r="A318" s="45"/>
      <c r="B318" s="45"/>
      <c r="C318" s="2"/>
      <c r="D318" s="2"/>
      <c r="E318" s="2"/>
      <c r="F318" s="72"/>
      <c r="G318" s="72"/>
    </row>
    <row r="319" spans="1:7" ht="12.75" customHeight="1" x14ac:dyDescent="0.2">
      <c r="A319" s="45"/>
      <c r="B319" s="45"/>
      <c r="C319" s="2"/>
      <c r="D319" s="2"/>
      <c r="E319" s="2"/>
      <c r="F319" s="72"/>
      <c r="G319" s="72"/>
    </row>
    <row r="320" spans="1:7" ht="12.75" customHeight="1" x14ac:dyDescent="0.2">
      <c r="A320" s="45"/>
      <c r="B320" s="45"/>
      <c r="C320" s="2"/>
      <c r="D320" s="2"/>
      <c r="E320" s="2"/>
      <c r="F320" s="72"/>
      <c r="G320" s="72"/>
    </row>
    <row r="321" spans="1:7" ht="12.75" customHeight="1" x14ac:dyDescent="0.2">
      <c r="A321" s="45"/>
      <c r="B321" s="45"/>
      <c r="C321" s="2"/>
      <c r="D321" s="2"/>
      <c r="E321" s="2"/>
      <c r="F321" s="72"/>
      <c r="G321" s="72"/>
    </row>
    <row r="322" spans="1:7" ht="12.75" customHeight="1" x14ac:dyDescent="0.2">
      <c r="A322" s="45"/>
      <c r="B322" s="45"/>
      <c r="C322" s="2"/>
      <c r="D322" s="2"/>
      <c r="E322" s="2"/>
      <c r="F322" s="72"/>
      <c r="G322" s="72"/>
    </row>
    <row r="323" spans="1:7" ht="12.75" customHeight="1" x14ac:dyDescent="0.2">
      <c r="A323" s="45"/>
      <c r="B323" s="45"/>
      <c r="C323" s="2"/>
      <c r="D323" s="2"/>
      <c r="E323" s="2"/>
      <c r="F323" s="72"/>
      <c r="G323" s="72"/>
    </row>
    <row r="324" spans="1:7" ht="12.75" customHeight="1" x14ac:dyDescent="0.2">
      <c r="A324" s="45"/>
      <c r="B324" s="45"/>
      <c r="C324" s="2"/>
      <c r="D324" s="2"/>
      <c r="E324" s="2"/>
      <c r="F324" s="72"/>
      <c r="G324" s="72"/>
    </row>
    <row r="325" spans="1:7" ht="12.75" customHeight="1" x14ac:dyDescent="0.2">
      <c r="A325" s="45"/>
      <c r="B325" s="45"/>
      <c r="C325" s="2"/>
      <c r="D325" s="2"/>
      <c r="E325" s="2"/>
      <c r="F325" s="72"/>
      <c r="G325" s="72"/>
    </row>
    <row r="326" spans="1:7" ht="12.75" customHeight="1" x14ac:dyDescent="0.2">
      <c r="A326" s="45"/>
      <c r="B326" s="45"/>
      <c r="C326" s="2"/>
      <c r="D326" s="2"/>
      <c r="E326" s="2"/>
      <c r="F326" s="72"/>
      <c r="G326" s="72"/>
    </row>
    <row r="327" spans="1:7" ht="12.75" customHeight="1" x14ac:dyDescent="0.2">
      <c r="A327" s="45"/>
      <c r="B327" s="45"/>
      <c r="C327" s="2"/>
      <c r="D327" s="2"/>
      <c r="E327" s="2"/>
      <c r="F327" s="72"/>
      <c r="G327" s="72"/>
    </row>
    <row r="328" spans="1:7" ht="12.75" customHeight="1" x14ac:dyDescent="0.2">
      <c r="A328" s="45"/>
      <c r="B328" s="45"/>
      <c r="C328" s="2"/>
      <c r="D328" s="2"/>
      <c r="E328" s="2"/>
      <c r="F328" s="72"/>
      <c r="G328" s="72"/>
    </row>
    <row r="329" spans="1:7" ht="12.75" customHeight="1" x14ac:dyDescent="0.2">
      <c r="A329" s="45"/>
      <c r="B329" s="45"/>
      <c r="C329" s="2"/>
      <c r="D329" s="2"/>
      <c r="E329" s="2"/>
      <c r="F329" s="72"/>
      <c r="G329" s="72"/>
    </row>
    <row r="330" spans="1:7" ht="12.75" customHeight="1" x14ac:dyDescent="0.2">
      <c r="A330" s="45"/>
      <c r="B330" s="45"/>
      <c r="C330" s="2"/>
      <c r="D330" s="2"/>
      <c r="E330" s="2"/>
      <c r="F330" s="72"/>
      <c r="G330" s="72"/>
    </row>
    <row r="331" spans="1:7" ht="12.75" customHeight="1" x14ac:dyDescent="0.2">
      <c r="A331" s="45"/>
      <c r="B331" s="45"/>
      <c r="C331" s="2"/>
      <c r="D331" s="2"/>
      <c r="E331" s="2"/>
      <c r="F331" s="72"/>
      <c r="G331" s="72"/>
    </row>
    <row r="332" spans="1:7" ht="12.75" customHeight="1" x14ac:dyDescent="0.2">
      <c r="A332" s="45"/>
      <c r="B332" s="45"/>
      <c r="C332" s="2"/>
      <c r="D332" s="2"/>
      <c r="E332" s="2"/>
      <c r="F332" s="72"/>
      <c r="G332" s="72"/>
    </row>
    <row r="333" spans="1:7" ht="12.75" customHeight="1" x14ac:dyDescent="0.2">
      <c r="A333" s="45"/>
      <c r="B333" s="45"/>
      <c r="C333" s="2"/>
      <c r="D333" s="2"/>
      <c r="E333" s="2"/>
      <c r="F333" s="72"/>
      <c r="G333" s="72"/>
    </row>
    <row r="334" spans="1:7" ht="12.75" customHeight="1" x14ac:dyDescent="0.2">
      <c r="A334" s="45"/>
      <c r="B334" s="45"/>
      <c r="C334" s="2"/>
      <c r="D334" s="2"/>
      <c r="E334" s="2"/>
      <c r="F334" s="72"/>
      <c r="G334" s="72"/>
    </row>
    <row r="335" spans="1:7" ht="12.75" customHeight="1" x14ac:dyDescent="0.2">
      <c r="A335" s="45"/>
      <c r="B335" s="45"/>
      <c r="C335" s="2"/>
      <c r="D335" s="2"/>
      <c r="E335" s="2"/>
      <c r="F335" s="72"/>
      <c r="G335" s="72"/>
    </row>
    <row r="336" spans="1:7" ht="12.75" customHeight="1" x14ac:dyDescent="0.2">
      <c r="A336" s="45"/>
      <c r="B336" s="45"/>
      <c r="C336" s="2"/>
      <c r="D336" s="2"/>
      <c r="E336" s="2"/>
      <c r="F336" s="72"/>
      <c r="G336" s="72"/>
    </row>
    <row r="337" spans="1:7" ht="12.75" customHeight="1" x14ac:dyDescent="0.2">
      <c r="A337" s="45"/>
      <c r="B337" s="45"/>
      <c r="C337" s="2"/>
      <c r="D337" s="2"/>
      <c r="E337" s="2"/>
      <c r="F337" s="72"/>
      <c r="G337" s="72"/>
    </row>
    <row r="338" spans="1:7" ht="12.75" customHeight="1" x14ac:dyDescent="0.2">
      <c r="A338" s="45"/>
      <c r="B338" s="45"/>
      <c r="C338" s="2"/>
      <c r="D338" s="2"/>
      <c r="E338" s="2"/>
      <c r="F338" s="72"/>
      <c r="G338" s="72"/>
    </row>
    <row r="339" spans="1:7" ht="12.75" customHeight="1" x14ac:dyDescent="0.2">
      <c r="A339" s="45"/>
      <c r="B339" s="45"/>
      <c r="C339" s="2"/>
      <c r="D339" s="2"/>
      <c r="E339" s="2"/>
      <c r="F339" s="72"/>
      <c r="G339" s="72"/>
    </row>
    <row r="340" spans="1:7" ht="12.75" customHeight="1" x14ac:dyDescent="0.2">
      <c r="A340" s="45"/>
      <c r="B340" s="45"/>
      <c r="C340" s="2"/>
      <c r="D340" s="2"/>
      <c r="E340" s="2"/>
      <c r="F340" s="72"/>
      <c r="G340" s="72"/>
    </row>
    <row r="341" spans="1:7" ht="12.75" customHeight="1" x14ac:dyDescent="0.2">
      <c r="A341" s="45"/>
      <c r="B341" s="45"/>
      <c r="C341" s="2"/>
      <c r="D341" s="2"/>
      <c r="E341" s="2"/>
      <c r="F341" s="72"/>
      <c r="G341" s="72"/>
    </row>
    <row r="342" spans="1:7" ht="12.75" customHeight="1" x14ac:dyDescent="0.2">
      <c r="A342" s="45"/>
      <c r="B342" s="45"/>
      <c r="C342" s="2"/>
      <c r="D342" s="2"/>
      <c r="E342" s="2"/>
      <c r="F342" s="72"/>
      <c r="G342" s="72"/>
    </row>
    <row r="343" spans="1:7" ht="12.75" customHeight="1" x14ac:dyDescent="0.2">
      <c r="A343" s="45"/>
      <c r="B343" s="45"/>
      <c r="C343" s="2"/>
      <c r="D343" s="2"/>
      <c r="E343" s="2"/>
      <c r="F343" s="72"/>
      <c r="G343" s="72"/>
    </row>
    <row r="344" spans="1:7" ht="12.75" customHeight="1" x14ac:dyDescent="0.2">
      <c r="A344" s="45"/>
      <c r="B344" s="45"/>
      <c r="C344" s="2"/>
      <c r="D344" s="2"/>
      <c r="E344" s="2"/>
      <c r="F344" s="72"/>
      <c r="G344" s="72"/>
    </row>
    <row r="345" spans="1:7" ht="12.75" customHeight="1" x14ac:dyDescent="0.2">
      <c r="A345" s="45"/>
      <c r="B345" s="45"/>
      <c r="C345" s="2"/>
      <c r="D345" s="2"/>
      <c r="E345" s="2"/>
      <c r="F345" s="72"/>
      <c r="G345" s="72"/>
    </row>
    <row r="346" spans="1:7" ht="12.75" customHeight="1" x14ac:dyDescent="0.2">
      <c r="A346" s="45"/>
      <c r="B346" s="45"/>
      <c r="C346" s="2"/>
      <c r="D346" s="2"/>
      <c r="E346" s="2"/>
      <c r="F346" s="72"/>
      <c r="G346" s="72"/>
    </row>
    <row r="347" spans="1:7" ht="12.75" customHeight="1" x14ac:dyDescent="0.2">
      <c r="A347" s="45"/>
      <c r="B347" s="45"/>
      <c r="C347" s="2"/>
      <c r="D347" s="2"/>
      <c r="E347" s="2"/>
      <c r="F347" s="72"/>
      <c r="G347" s="72"/>
    </row>
    <row r="348" spans="1:7" ht="12.75" customHeight="1" x14ac:dyDescent="0.2">
      <c r="A348" s="45"/>
      <c r="B348" s="45"/>
      <c r="C348" s="2"/>
      <c r="D348" s="2"/>
      <c r="E348" s="2"/>
      <c r="F348" s="72"/>
      <c r="G348" s="72"/>
    </row>
    <row r="349" spans="1:7" ht="12.75" customHeight="1" x14ac:dyDescent="0.2">
      <c r="A349" s="45"/>
      <c r="B349" s="45"/>
      <c r="C349" s="2"/>
      <c r="D349" s="2"/>
      <c r="E349" s="2"/>
      <c r="F349" s="72"/>
      <c r="G349" s="72"/>
    </row>
    <row r="350" spans="1:7" ht="12.75" customHeight="1" x14ac:dyDescent="0.2">
      <c r="A350" s="45"/>
      <c r="B350" s="45"/>
      <c r="C350" s="2"/>
      <c r="D350" s="2"/>
      <c r="E350" s="2"/>
      <c r="F350" s="72"/>
      <c r="G350" s="72"/>
    </row>
    <row r="351" spans="1:7" ht="12.75" customHeight="1" x14ac:dyDescent="0.2">
      <c r="A351" s="45"/>
      <c r="B351" s="45"/>
      <c r="C351" s="2"/>
      <c r="D351" s="2"/>
      <c r="E351" s="2"/>
      <c r="F351" s="72"/>
      <c r="G351" s="72"/>
    </row>
    <row r="352" spans="1:7" ht="12.75" customHeight="1" x14ac:dyDescent="0.2">
      <c r="A352" s="45"/>
      <c r="B352" s="45"/>
      <c r="C352" s="2"/>
      <c r="D352" s="2"/>
      <c r="E352" s="2"/>
      <c r="F352" s="72"/>
      <c r="G352" s="72"/>
    </row>
    <row r="353" spans="1:7" ht="12.75" customHeight="1" x14ac:dyDescent="0.2">
      <c r="A353" s="45"/>
      <c r="B353" s="45"/>
      <c r="C353" s="2"/>
      <c r="D353" s="2"/>
      <c r="E353" s="2"/>
      <c r="F353" s="72"/>
      <c r="G353" s="72"/>
    </row>
    <row r="354" spans="1:7" ht="12.75" customHeight="1" x14ac:dyDescent="0.2">
      <c r="A354" s="45"/>
      <c r="B354" s="45"/>
      <c r="C354" s="2"/>
      <c r="D354" s="2"/>
      <c r="E354" s="2"/>
      <c r="F354" s="72"/>
      <c r="G354" s="72"/>
    </row>
    <row r="355" spans="1:7" ht="12.75" customHeight="1" x14ac:dyDescent="0.2">
      <c r="A355" s="45"/>
      <c r="B355" s="45"/>
      <c r="C355" s="2"/>
      <c r="D355" s="2"/>
      <c r="E355" s="2"/>
      <c r="F355" s="72"/>
      <c r="G355" s="72"/>
    </row>
    <row r="356" spans="1:7" ht="12.75" customHeight="1" x14ac:dyDescent="0.2">
      <c r="A356" s="45"/>
      <c r="B356" s="45"/>
      <c r="C356" s="2"/>
      <c r="D356" s="2"/>
      <c r="E356" s="2"/>
      <c r="F356" s="72"/>
      <c r="G356" s="72"/>
    </row>
    <row r="357" spans="1:7" ht="12.75" customHeight="1" x14ac:dyDescent="0.2">
      <c r="A357" s="45"/>
      <c r="B357" s="45"/>
      <c r="C357" s="2"/>
      <c r="D357" s="2"/>
      <c r="E357" s="2"/>
      <c r="F357" s="72"/>
      <c r="G357" s="72"/>
    </row>
    <row r="358" spans="1:7" ht="12.75" customHeight="1" x14ac:dyDescent="0.2">
      <c r="A358" s="45"/>
      <c r="B358" s="45"/>
      <c r="C358" s="2"/>
      <c r="D358" s="2"/>
      <c r="E358" s="2"/>
      <c r="F358" s="72"/>
      <c r="G358" s="72"/>
    </row>
    <row r="359" spans="1:7" ht="12.75" customHeight="1" x14ac:dyDescent="0.2">
      <c r="A359" s="45"/>
      <c r="B359" s="45"/>
      <c r="C359" s="2"/>
      <c r="D359" s="2"/>
      <c r="E359" s="2"/>
      <c r="F359" s="72"/>
      <c r="G359" s="72"/>
    </row>
    <row r="360" spans="1:7" ht="12.75" customHeight="1" x14ac:dyDescent="0.2">
      <c r="A360" s="45"/>
      <c r="B360" s="45"/>
      <c r="C360" s="2"/>
      <c r="D360" s="2"/>
      <c r="E360" s="2"/>
      <c r="F360" s="72"/>
      <c r="G360" s="72"/>
    </row>
    <row r="361" spans="1:7" ht="12.75" customHeight="1" x14ac:dyDescent="0.2">
      <c r="A361" s="45"/>
      <c r="B361" s="45"/>
      <c r="C361" s="2"/>
      <c r="D361" s="2"/>
      <c r="E361" s="2"/>
      <c r="F361" s="72"/>
      <c r="G361" s="72"/>
    </row>
    <row r="362" spans="1:7" ht="12.75" customHeight="1" x14ac:dyDescent="0.2">
      <c r="A362" s="45"/>
      <c r="B362" s="45"/>
      <c r="C362" s="2"/>
      <c r="D362" s="2"/>
      <c r="E362" s="2"/>
      <c r="F362" s="72"/>
      <c r="G362" s="72"/>
    </row>
    <row r="363" spans="1:7" ht="12.75" customHeight="1" x14ac:dyDescent="0.2">
      <c r="A363" s="45"/>
      <c r="B363" s="45"/>
      <c r="C363" s="2"/>
      <c r="D363" s="2"/>
      <c r="E363" s="2"/>
      <c r="F363" s="72"/>
      <c r="G363" s="72"/>
    </row>
    <row r="364" spans="1:7" ht="12.75" customHeight="1" x14ac:dyDescent="0.2">
      <c r="A364" s="45"/>
      <c r="B364" s="45"/>
      <c r="C364" s="2"/>
      <c r="D364" s="2"/>
      <c r="E364" s="2"/>
      <c r="F364" s="72"/>
      <c r="G364" s="72"/>
    </row>
    <row r="365" spans="1:7" ht="12.75" customHeight="1" x14ac:dyDescent="0.2">
      <c r="A365" s="45"/>
      <c r="B365" s="45"/>
      <c r="C365" s="2"/>
      <c r="D365" s="2"/>
      <c r="E365" s="2"/>
      <c r="F365" s="72"/>
      <c r="G365" s="72"/>
    </row>
    <row r="366" spans="1:7" ht="12.75" customHeight="1" x14ac:dyDescent="0.2">
      <c r="A366" s="45"/>
      <c r="B366" s="45"/>
      <c r="C366" s="2"/>
      <c r="D366" s="2"/>
      <c r="E366" s="2"/>
      <c r="F366" s="72"/>
      <c r="G366" s="72"/>
    </row>
    <row r="367" spans="1:7" ht="12.75" customHeight="1" x14ac:dyDescent="0.2">
      <c r="A367" s="45"/>
      <c r="B367" s="45"/>
      <c r="C367" s="2"/>
      <c r="D367" s="2"/>
      <c r="E367" s="2"/>
      <c r="F367" s="72"/>
      <c r="G367" s="72"/>
    </row>
    <row r="368" spans="1:7" ht="12.75" customHeight="1" x14ac:dyDescent="0.2">
      <c r="A368" s="45"/>
      <c r="B368" s="45"/>
      <c r="C368" s="2"/>
      <c r="D368" s="2"/>
      <c r="E368" s="2"/>
      <c r="F368" s="72"/>
      <c r="G368" s="72"/>
    </row>
    <row r="369" spans="1:7" ht="12.75" customHeight="1" x14ac:dyDescent="0.2">
      <c r="A369" s="45"/>
      <c r="B369" s="45"/>
      <c r="C369" s="2"/>
      <c r="D369" s="2"/>
      <c r="E369" s="2"/>
      <c r="F369" s="72"/>
      <c r="G369" s="72"/>
    </row>
    <row r="370" spans="1:7" ht="12.75" customHeight="1" x14ac:dyDescent="0.2">
      <c r="A370" s="45"/>
      <c r="B370" s="45"/>
      <c r="C370" s="2"/>
      <c r="D370" s="2"/>
      <c r="E370" s="2"/>
      <c r="F370" s="72"/>
      <c r="G370" s="72"/>
    </row>
    <row r="371" spans="1:7" ht="12.75" customHeight="1" x14ac:dyDescent="0.2">
      <c r="A371" s="45"/>
      <c r="B371" s="45"/>
      <c r="C371" s="2"/>
      <c r="D371" s="2"/>
      <c r="E371" s="2"/>
      <c r="F371" s="72"/>
      <c r="G371" s="72"/>
    </row>
    <row r="372" spans="1:7" ht="12.75" customHeight="1" x14ac:dyDescent="0.2">
      <c r="A372" s="45"/>
      <c r="B372" s="45"/>
      <c r="C372" s="2"/>
      <c r="D372" s="2"/>
      <c r="E372" s="2"/>
      <c r="F372" s="72"/>
      <c r="G372" s="72"/>
    </row>
    <row r="373" spans="1:7" ht="12.75" customHeight="1" x14ac:dyDescent="0.2">
      <c r="A373" s="45"/>
      <c r="B373" s="45"/>
      <c r="C373" s="2"/>
      <c r="D373" s="2"/>
      <c r="E373" s="2"/>
      <c r="F373" s="72"/>
      <c r="G373" s="72"/>
    </row>
    <row r="374" spans="1:7" ht="12.75" customHeight="1" x14ac:dyDescent="0.2">
      <c r="A374" s="45"/>
      <c r="B374" s="45"/>
      <c r="C374" s="2"/>
      <c r="D374" s="2"/>
      <c r="E374" s="2"/>
      <c r="F374" s="72"/>
      <c r="G374" s="72"/>
    </row>
    <row r="375" spans="1:7" ht="12.75" customHeight="1" x14ac:dyDescent="0.2">
      <c r="A375" s="45"/>
      <c r="B375" s="45"/>
      <c r="C375" s="2"/>
      <c r="D375" s="2"/>
      <c r="E375" s="2"/>
      <c r="F375" s="72"/>
      <c r="G375" s="72"/>
    </row>
    <row r="376" spans="1:7" ht="12.75" customHeight="1" x14ac:dyDescent="0.2">
      <c r="A376" s="45"/>
      <c r="B376" s="45"/>
      <c r="C376" s="2"/>
      <c r="D376" s="2"/>
      <c r="E376" s="2"/>
      <c r="F376" s="72"/>
      <c r="G376" s="72"/>
    </row>
    <row r="377" spans="1:7" ht="12.75" customHeight="1" x14ac:dyDescent="0.2">
      <c r="A377" s="45"/>
      <c r="B377" s="45"/>
      <c r="C377" s="2"/>
      <c r="D377" s="2"/>
      <c r="E377" s="2"/>
      <c r="F377" s="72"/>
      <c r="G377" s="72"/>
    </row>
    <row r="378" spans="1:7" ht="12.75" customHeight="1" x14ac:dyDescent="0.2">
      <c r="A378" s="45"/>
      <c r="B378" s="45"/>
      <c r="C378" s="2"/>
      <c r="D378" s="2"/>
      <c r="E378" s="2"/>
      <c r="F378" s="72"/>
      <c r="G378" s="72"/>
    </row>
    <row r="379" spans="1:7" ht="12.75" customHeight="1" x14ac:dyDescent="0.2">
      <c r="A379" s="45"/>
      <c r="B379" s="45"/>
      <c r="C379" s="2"/>
      <c r="D379" s="2"/>
      <c r="E379" s="2"/>
      <c r="F379" s="72"/>
      <c r="G379" s="72"/>
    </row>
    <row r="380" spans="1:7" ht="12.75" customHeight="1" x14ac:dyDescent="0.2">
      <c r="A380" s="45"/>
      <c r="B380" s="45"/>
      <c r="C380" s="2"/>
      <c r="D380" s="2"/>
      <c r="E380" s="2"/>
      <c r="F380" s="72"/>
      <c r="G380" s="72"/>
    </row>
    <row r="381" spans="1:7" ht="12.75" customHeight="1" x14ac:dyDescent="0.2">
      <c r="A381" s="45"/>
      <c r="B381" s="45"/>
      <c r="C381" s="2"/>
      <c r="D381" s="2"/>
      <c r="E381" s="2"/>
      <c r="F381" s="72"/>
      <c r="G381" s="72"/>
    </row>
    <row r="382" spans="1:7" ht="12.75" customHeight="1" x14ac:dyDescent="0.2">
      <c r="A382" s="45"/>
      <c r="B382" s="45"/>
      <c r="C382" s="2"/>
      <c r="D382" s="2"/>
      <c r="E382" s="2"/>
      <c r="F382" s="72"/>
      <c r="G382" s="72"/>
    </row>
    <row r="383" spans="1:7" ht="12.75" customHeight="1" x14ac:dyDescent="0.2">
      <c r="A383" s="45"/>
      <c r="B383" s="45"/>
      <c r="C383" s="2"/>
      <c r="D383" s="2"/>
      <c r="E383" s="2"/>
      <c r="F383" s="72"/>
      <c r="G383" s="72"/>
    </row>
    <row r="384" spans="1:7" ht="12.75" customHeight="1" x14ac:dyDescent="0.2">
      <c r="A384" s="45"/>
      <c r="B384" s="45"/>
      <c r="C384" s="2"/>
      <c r="D384" s="2"/>
      <c r="E384" s="2"/>
      <c r="F384" s="72"/>
      <c r="G384" s="72"/>
    </row>
    <row r="385" spans="1:7" ht="12.75" customHeight="1" x14ac:dyDescent="0.2">
      <c r="A385" s="45"/>
      <c r="B385" s="45"/>
      <c r="C385" s="2"/>
      <c r="D385" s="2"/>
      <c r="E385" s="2"/>
      <c r="F385" s="72"/>
      <c r="G385" s="72"/>
    </row>
    <row r="386" spans="1:7" ht="12.75" customHeight="1" x14ac:dyDescent="0.2">
      <c r="A386" s="45"/>
      <c r="B386" s="45"/>
      <c r="C386" s="2"/>
      <c r="D386" s="2"/>
      <c r="E386" s="2"/>
      <c r="F386" s="72"/>
      <c r="G386" s="72"/>
    </row>
    <row r="387" spans="1:7" ht="12.75" customHeight="1" x14ac:dyDescent="0.2">
      <c r="A387" s="45"/>
      <c r="B387" s="45"/>
      <c r="C387" s="2"/>
      <c r="D387" s="2"/>
      <c r="E387" s="2"/>
      <c r="F387" s="72"/>
      <c r="G387" s="72"/>
    </row>
    <row r="388" spans="1:7" ht="12.75" customHeight="1" x14ac:dyDescent="0.2">
      <c r="A388" s="45"/>
      <c r="B388" s="45"/>
      <c r="C388" s="2"/>
      <c r="D388" s="2"/>
      <c r="E388" s="2"/>
      <c r="F388" s="72"/>
      <c r="G388" s="72"/>
    </row>
    <row r="389" spans="1:7" ht="12.75" customHeight="1" x14ac:dyDescent="0.2">
      <c r="A389" s="45"/>
      <c r="B389" s="45"/>
      <c r="C389" s="2"/>
      <c r="D389" s="2"/>
      <c r="E389" s="2"/>
      <c r="F389" s="72"/>
      <c r="G389" s="72"/>
    </row>
    <row r="390" spans="1:7" ht="12.75" customHeight="1" x14ac:dyDescent="0.2">
      <c r="A390" s="45"/>
      <c r="B390" s="45"/>
      <c r="C390" s="2"/>
      <c r="D390" s="2"/>
      <c r="E390" s="2"/>
      <c r="F390" s="72"/>
      <c r="G390" s="72"/>
    </row>
    <row r="391" spans="1:7" ht="12.75" customHeight="1" x14ac:dyDescent="0.2">
      <c r="A391" s="45"/>
      <c r="B391" s="45"/>
      <c r="C391" s="2"/>
      <c r="D391" s="2"/>
      <c r="E391" s="2"/>
      <c r="F391" s="72"/>
      <c r="G391" s="72"/>
    </row>
    <row r="392" spans="1:7" ht="12.75" customHeight="1" x14ac:dyDescent="0.2">
      <c r="A392" s="45"/>
      <c r="B392" s="45"/>
      <c r="C392" s="2"/>
      <c r="D392" s="2"/>
      <c r="E392" s="2"/>
      <c r="F392" s="72"/>
      <c r="G392" s="72"/>
    </row>
    <row r="393" spans="1:7" ht="12.75" customHeight="1" x14ac:dyDescent="0.2">
      <c r="A393" s="45"/>
      <c r="B393" s="45"/>
      <c r="C393" s="2"/>
      <c r="D393" s="2"/>
      <c r="E393" s="2"/>
      <c r="F393" s="72"/>
      <c r="G393" s="72"/>
    </row>
    <row r="394" spans="1:7" ht="12.75" customHeight="1" x14ac:dyDescent="0.2">
      <c r="A394" s="45"/>
      <c r="B394" s="45"/>
      <c r="C394" s="2"/>
      <c r="D394" s="2"/>
      <c r="E394" s="2"/>
      <c r="F394" s="72"/>
      <c r="G394" s="72"/>
    </row>
    <row r="395" spans="1:7" ht="12.75" customHeight="1" x14ac:dyDescent="0.2">
      <c r="A395" s="45"/>
      <c r="B395" s="45"/>
      <c r="C395" s="2"/>
      <c r="D395" s="2"/>
      <c r="E395" s="2"/>
      <c r="F395" s="72"/>
      <c r="G395" s="72"/>
    </row>
    <row r="396" spans="1:7" ht="12.75" customHeight="1" x14ac:dyDescent="0.2">
      <c r="A396" s="45"/>
      <c r="B396" s="45"/>
      <c r="C396" s="2"/>
      <c r="D396" s="2"/>
      <c r="E396" s="2"/>
      <c r="F396" s="72"/>
      <c r="G396" s="72"/>
    </row>
    <row r="397" spans="1:7" ht="12.75" customHeight="1" x14ac:dyDescent="0.2">
      <c r="A397" s="45"/>
      <c r="B397" s="45"/>
      <c r="C397" s="2"/>
      <c r="D397" s="2"/>
      <c r="E397" s="2"/>
      <c r="F397" s="72"/>
      <c r="G397" s="72"/>
    </row>
    <row r="398" spans="1:7" ht="12.75" customHeight="1" x14ac:dyDescent="0.2">
      <c r="A398" s="45"/>
      <c r="B398" s="45"/>
      <c r="C398" s="2"/>
      <c r="D398" s="2"/>
      <c r="E398" s="2"/>
      <c r="F398" s="72"/>
      <c r="G398" s="72"/>
    </row>
    <row r="399" spans="1:7" ht="12.75" customHeight="1" x14ac:dyDescent="0.2">
      <c r="A399" s="45"/>
      <c r="B399" s="45"/>
      <c r="C399" s="2"/>
      <c r="D399" s="2"/>
      <c r="E399" s="2"/>
      <c r="F399" s="72"/>
      <c r="G399" s="72"/>
    </row>
    <row r="400" spans="1:7" ht="12.75" customHeight="1" x14ac:dyDescent="0.2">
      <c r="A400" s="45"/>
      <c r="B400" s="45"/>
      <c r="C400" s="2"/>
      <c r="D400" s="2"/>
      <c r="E400" s="2"/>
      <c r="F400" s="72"/>
      <c r="G400" s="72"/>
    </row>
    <row r="401" spans="1:7" ht="12.75" customHeight="1" x14ac:dyDescent="0.2">
      <c r="A401" s="45"/>
      <c r="B401" s="45"/>
      <c r="C401" s="2"/>
      <c r="D401" s="2"/>
      <c r="E401" s="2"/>
      <c r="F401" s="72"/>
      <c r="G401" s="72"/>
    </row>
    <row r="402" spans="1:7" ht="12.75" customHeight="1" x14ac:dyDescent="0.2">
      <c r="A402" s="45"/>
      <c r="B402" s="45"/>
      <c r="C402" s="2"/>
      <c r="D402" s="2"/>
      <c r="E402" s="2"/>
      <c r="F402" s="72"/>
      <c r="G402" s="72"/>
    </row>
    <row r="403" spans="1:7" ht="12.75" customHeight="1" x14ac:dyDescent="0.2">
      <c r="A403" s="45"/>
      <c r="B403" s="45"/>
      <c r="C403" s="2"/>
      <c r="D403" s="2"/>
      <c r="E403" s="2"/>
      <c r="F403" s="72"/>
      <c r="G403" s="72"/>
    </row>
    <row r="404" spans="1:7" ht="12.75" customHeight="1" x14ac:dyDescent="0.2">
      <c r="A404" s="45"/>
      <c r="B404" s="45"/>
      <c r="C404" s="2"/>
      <c r="D404" s="2"/>
      <c r="E404" s="2"/>
      <c r="F404" s="72"/>
      <c r="G404" s="72"/>
    </row>
    <row r="405" spans="1:7" ht="12.75" customHeight="1" x14ac:dyDescent="0.2">
      <c r="A405" s="45"/>
      <c r="B405" s="45"/>
      <c r="C405" s="2"/>
      <c r="D405" s="2"/>
      <c r="E405" s="2"/>
      <c r="F405" s="72"/>
      <c r="G405" s="72"/>
    </row>
    <row r="406" spans="1:7" ht="12.75" customHeight="1" x14ac:dyDescent="0.2">
      <c r="A406" s="45"/>
      <c r="B406" s="45"/>
      <c r="C406" s="2"/>
      <c r="D406" s="2"/>
      <c r="E406" s="2"/>
      <c r="F406" s="72"/>
      <c r="G406" s="72"/>
    </row>
    <row r="407" spans="1:7" ht="12.75" customHeight="1" x14ac:dyDescent="0.2">
      <c r="A407" s="45"/>
      <c r="B407" s="45"/>
      <c r="C407" s="2"/>
      <c r="D407" s="2"/>
      <c r="E407" s="2"/>
      <c r="F407" s="72"/>
      <c r="G407" s="72"/>
    </row>
    <row r="408" spans="1:7" ht="12.75" customHeight="1" x14ac:dyDescent="0.2">
      <c r="A408" s="45"/>
      <c r="B408" s="45"/>
      <c r="C408" s="2"/>
      <c r="D408" s="2"/>
      <c r="E408" s="2"/>
      <c r="F408" s="72"/>
      <c r="G408" s="72"/>
    </row>
    <row r="409" spans="1:7" ht="12.75" customHeight="1" x14ac:dyDescent="0.2">
      <c r="A409" s="45"/>
      <c r="B409" s="45"/>
      <c r="C409" s="2"/>
      <c r="D409" s="2"/>
      <c r="E409" s="2"/>
      <c r="F409" s="72"/>
      <c r="G409" s="72"/>
    </row>
    <row r="410" spans="1:7" ht="12.75" customHeight="1" x14ac:dyDescent="0.2">
      <c r="A410" s="45"/>
      <c r="B410" s="45"/>
      <c r="C410" s="2"/>
      <c r="D410" s="2"/>
      <c r="E410" s="2"/>
      <c r="F410" s="72"/>
      <c r="G410" s="72"/>
    </row>
    <row r="411" spans="1:7" ht="12.75" customHeight="1" x14ac:dyDescent="0.2">
      <c r="A411" s="45"/>
      <c r="B411" s="45"/>
      <c r="C411" s="2"/>
      <c r="D411" s="2"/>
      <c r="E411" s="2"/>
      <c r="F411" s="72"/>
      <c r="G411" s="72"/>
    </row>
    <row r="412" spans="1:7" ht="12.75" customHeight="1" x14ac:dyDescent="0.2">
      <c r="A412" s="45"/>
      <c r="B412" s="45"/>
      <c r="C412" s="2"/>
      <c r="D412" s="2"/>
      <c r="E412" s="2"/>
      <c r="F412" s="72"/>
      <c r="G412" s="72"/>
    </row>
    <row r="413" spans="1:7" ht="12.75" customHeight="1" x14ac:dyDescent="0.2">
      <c r="A413" s="45"/>
      <c r="B413" s="45"/>
      <c r="C413" s="2"/>
      <c r="D413" s="2"/>
      <c r="E413" s="2"/>
      <c r="F413" s="72"/>
      <c r="G413" s="72"/>
    </row>
    <row r="414" spans="1:7" ht="12.75" customHeight="1" x14ac:dyDescent="0.2">
      <c r="A414" s="45"/>
      <c r="B414" s="45"/>
      <c r="C414" s="2"/>
      <c r="D414" s="2"/>
      <c r="E414" s="2"/>
      <c r="F414" s="72"/>
      <c r="G414" s="72"/>
    </row>
    <row r="415" spans="1:7" ht="12.75" customHeight="1" x14ac:dyDescent="0.2">
      <c r="A415" s="45"/>
      <c r="B415" s="45"/>
      <c r="C415" s="2"/>
      <c r="D415" s="2"/>
      <c r="E415" s="2"/>
      <c r="F415" s="72"/>
      <c r="G415" s="72"/>
    </row>
    <row r="416" spans="1:7" ht="12.75" customHeight="1" x14ac:dyDescent="0.2">
      <c r="A416" s="45"/>
      <c r="B416" s="45"/>
      <c r="C416" s="2"/>
      <c r="D416" s="2"/>
      <c r="E416" s="2"/>
      <c r="F416" s="72"/>
      <c r="G416" s="72"/>
    </row>
    <row r="417" spans="1:7" ht="12.75" customHeight="1" x14ac:dyDescent="0.2">
      <c r="A417" s="45"/>
      <c r="B417" s="45"/>
      <c r="C417" s="2"/>
      <c r="D417" s="2"/>
      <c r="E417" s="2"/>
      <c r="F417" s="72"/>
      <c r="G417" s="72"/>
    </row>
    <row r="418" spans="1:7" ht="12.75" customHeight="1" x14ac:dyDescent="0.2">
      <c r="A418" s="45"/>
      <c r="B418" s="45"/>
      <c r="C418" s="2"/>
      <c r="D418" s="2"/>
      <c r="E418" s="2"/>
      <c r="F418" s="72"/>
      <c r="G418" s="72"/>
    </row>
    <row r="419" spans="1:7" ht="12.75" customHeight="1" x14ac:dyDescent="0.2">
      <c r="A419" s="45"/>
      <c r="B419" s="45"/>
      <c r="C419" s="2"/>
      <c r="D419" s="2"/>
      <c r="E419" s="2"/>
      <c r="F419" s="72"/>
      <c r="G419" s="72"/>
    </row>
    <row r="420" spans="1:7" ht="12.75" customHeight="1" x14ac:dyDescent="0.2">
      <c r="A420" s="45"/>
      <c r="B420" s="45"/>
      <c r="C420" s="2"/>
      <c r="D420" s="2"/>
      <c r="E420" s="2"/>
      <c r="F420" s="72"/>
      <c r="G420" s="72"/>
    </row>
    <row r="421" spans="1:7" ht="12.75" customHeight="1" x14ac:dyDescent="0.2">
      <c r="A421" s="45"/>
      <c r="B421" s="45"/>
      <c r="C421" s="2"/>
      <c r="D421" s="2"/>
      <c r="E421" s="2"/>
      <c r="F421" s="72"/>
      <c r="G421" s="72"/>
    </row>
    <row r="422" spans="1:7" ht="12.75" customHeight="1" x14ac:dyDescent="0.2">
      <c r="A422" s="45"/>
      <c r="B422" s="45"/>
      <c r="C422" s="2"/>
      <c r="D422" s="2"/>
      <c r="E422" s="2"/>
      <c r="F422" s="72"/>
      <c r="G422" s="72"/>
    </row>
    <row r="423" spans="1:7" ht="12.75" customHeight="1" x14ac:dyDescent="0.2">
      <c r="A423" s="45"/>
      <c r="B423" s="45"/>
      <c r="C423" s="2"/>
      <c r="D423" s="2"/>
      <c r="E423" s="2"/>
      <c r="F423" s="72"/>
      <c r="G423" s="72"/>
    </row>
    <row r="424" spans="1:7" ht="12.75" customHeight="1" x14ac:dyDescent="0.2">
      <c r="A424" s="45"/>
      <c r="B424" s="45"/>
      <c r="C424" s="2"/>
      <c r="D424" s="2"/>
      <c r="E424" s="2"/>
      <c r="F424" s="72"/>
      <c r="G424" s="72"/>
    </row>
    <row r="425" spans="1:7" ht="12.75" customHeight="1" x14ac:dyDescent="0.2">
      <c r="A425" s="45"/>
      <c r="B425" s="45"/>
      <c r="C425" s="2"/>
      <c r="D425" s="2"/>
      <c r="E425" s="2"/>
      <c r="F425" s="72"/>
      <c r="G425" s="72"/>
    </row>
    <row r="426" spans="1:7" ht="12.75" customHeight="1" x14ac:dyDescent="0.2">
      <c r="A426" s="45"/>
      <c r="B426" s="45"/>
      <c r="C426" s="2"/>
      <c r="D426" s="2"/>
      <c r="E426" s="2"/>
      <c r="F426" s="72"/>
      <c r="G426" s="72"/>
    </row>
    <row r="427" spans="1:7" ht="12.75" customHeight="1" x14ac:dyDescent="0.2">
      <c r="A427" s="45"/>
      <c r="B427" s="45"/>
      <c r="C427" s="2"/>
      <c r="D427" s="2"/>
      <c r="E427" s="2"/>
      <c r="F427" s="72"/>
      <c r="G427" s="72"/>
    </row>
    <row r="428" spans="1:7" ht="12.75" customHeight="1" x14ac:dyDescent="0.2">
      <c r="A428" s="45"/>
      <c r="B428" s="45"/>
      <c r="C428" s="2"/>
      <c r="D428" s="2"/>
      <c r="E428" s="2"/>
      <c r="F428" s="72"/>
      <c r="G428" s="72"/>
    </row>
    <row r="429" spans="1:7" ht="12.75" customHeight="1" x14ac:dyDescent="0.2">
      <c r="A429" s="45"/>
      <c r="B429" s="45"/>
      <c r="C429" s="2"/>
      <c r="D429" s="2"/>
      <c r="E429" s="2"/>
      <c r="F429" s="72"/>
      <c r="G429" s="72"/>
    </row>
    <row r="430" spans="1:7" ht="12.75" customHeight="1" x14ac:dyDescent="0.2">
      <c r="A430" s="45"/>
      <c r="B430" s="45"/>
      <c r="C430" s="2"/>
      <c r="D430" s="2"/>
      <c r="E430" s="2"/>
      <c r="F430" s="72"/>
      <c r="G430" s="72"/>
    </row>
    <row r="431" spans="1:7" ht="12.75" customHeight="1" x14ac:dyDescent="0.2">
      <c r="A431" s="45"/>
      <c r="B431" s="45"/>
      <c r="C431" s="2"/>
      <c r="D431" s="2"/>
      <c r="E431" s="2"/>
      <c r="F431" s="72"/>
      <c r="G431" s="72"/>
    </row>
    <row r="432" spans="1:7" ht="12.75" customHeight="1" x14ac:dyDescent="0.2">
      <c r="A432" s="45"/>
      <c r="B432" s="45"/>
      <c r="C432" s="2"/>
      <c r="D432" s="2"/>
      <c r="E432" s="2"/>
      <c r="F432" s="72"/>
      <c r="G432" s="72"/>
    </row>
    <row r="433" spans="1:7" ht="12.75" customHeight="1" x14ac:dyDescent="0.2">
      <c r="A433" s="45"/>
      <c r="B433" s="45"/>
      <c r="C433" s="2"/>
      <c r="D433" s="2"/>
      <c r="E433" s="2"/>
      <c r="F433" s="72"/>
      <c r="G433" s="72"/>
    </row>
    <row r="434" spans="1:7" ht="12.75" customHeight="1" x14ac:dyDescent="0.2">
      <c r="A434" s="45"/>
      <c r="B434" s="45"/>
      <c r="C434" s="2"/>
      <c r="D434" s="2"/>
      <c r="E434" s="2"/>
      <c r="F434" s="72"/>
      <c r="G434" s="72"/>
    </row>
    <row r="435" spans="1:7" ht="12.75" customHeight="1" x14ac:dyDescent="0.2">
      <c r="A435" s="45"/>
      <c r="B435" s="45"/>
      <c r="C435" s="2"/>
      <c r="D435" s="2"/>
      <c r="E435" s="2"/>
      <c r="F435" s="72"/>
      <c r="G435" s="72"/>
    </row>
    <row r="436" spans="1:7" ht="12.75" customHeight="1" x14ac:dyDescent="0.2">
      <c r="A436" s="45"/>
      <c r="B436" s="45"/>
      <c r="C436" s="2"/>
      <c r="D436" s="2"/>
      <c r="E436" s="2"/>
      <c r="F436" s="72"/>
      <c r="G436" s="72"/>
    </row>
    <row r="437" spans="1:7" ht="12.75" customHeight="1" x14ac:dyDescent="0.2">
      <c r="A437" s="45"/>
      <c r="B437" s="45"/>
      <c r="C437" s="2"/>
      <c r="D437" s="2"/>
      <c r="E437" s="2"/>
      <c r="F437" s="72"/>
      <c r="G437" s="72"/>
    </row>
    <row r="438" spans="1:7" ht="12.75" customHeight="1" x14ac:dyDescent="0.2">
      <c r="A438" s="45"/>
      <c r="B438" s="45"/>
      <c r="C438" s="2"/>
      <c r="D438" s="2"/>
      <c r="E438" s="2"/>
      <c r="F438" s="72"/>
      <c r="G438" s="72"/>
    </row>
    <row r="439" spans="1:7" ht="12.75" customHeight="1" x14ac:dyDescent="0.2">
      <c r="A439" s="45"/>
      <c r="B439" s="45"/>
      <c r="C439" s="2"/>
      <c r="D439" s="2"/>
      <c r="E439" s="2"/>
      <c r="F439" s="72"/>
      <c r="G439" s="72"/>
    </row>
    <row r="440" spans="1:7" ht="12.75" customHeight="1" x14ac:dyDescent="0.2">
      <c r="A440" s="45"/>
      <c r="B440" s="45"/>
      <c r="C440" s="2"/>
      <c r="D440" s="2"/>
      <c r="E440" s="2"/>
      <c r="F440" s="72"/>
      <c r="G440" s="72"/>
    </row>
    <row r="441" spans="1:7" ht="12.75" customHeight="1" x14ac:dyDescent="0.2">
      <c r="A441" s="45"/>
      <c r="B441" s="45"/>
      <c r="C441" s="2"/>
      <c r="D441" s="2"/>
      <c r="E441" s="2"/>
      <c r="F441" s="72"/>
      <c r="G441" s="72"/>
    </row>
    <row r="442" spans="1:7" ht="12.75" customHeight="1" x14ac:dyDescent="0.2">
      <c r="A442" s="45"/>
      <c r="B442" s="45"/>
      <c r="C442" s="2"/>
      <c r="D442" s="2"/>
      <c r="E442" s="2"/>
      <c r="F442" s="72"/>
      <c r="G442" s="72"/>
    </row>
    <row r="443" spans="1:7" ht="12.75" customHeight="1" x14ac:dyDescent="0.2">
      <c r="A443" s="45"/>
      <c r="B443" s="45"/>
      <c r="C443" s="2"/>
      <c r="D443" s="2"/>
      <c r="E443" s="2"/>
      <c r="F443" s="72"/>
      <c r="G443" s="72"/>
    </row>
    <row r="444" spans="1:7" ht="12.75" customHeight="1" x14ac:dyDescent="0.2">
      <c r="A444" s="45"/>
      <c r="B444" s="45"/>
      <c r="C444" s="2"/>
      <c r="D444" s="2"/>
      <c r="E444" s="2"/>
      <c r="F444" s="72"/>
      <c r="G444" s="72"/>
    </row>
    <row r="445" spans="1:7" ht="12.75" customHeight="1" x14ac:dyDescent="0.2">
      <c r="A445" s="45"/>
      <c r="B445" s="45"/>
      <c r="C445" s="2"/>
      <c r="D445" s="2"/>
      <c r="E445" s="2"/>
      <c r="F445" s="72"/>
      <c r="G445" s="72"/>
    </row>
    <row r="446" spans="1:7" ht="12.75" customHeight="1" x14ac:dyDescent="0.2">
      <c r="A446" s="45"/>
      <c r="B446" s="45"/>
      <c r="C446" s="2"/>
      <c r="D446" s="2"/>
      <c r="E446" s="2"/>
      <c r="F446" s="72"/>
      <c r="G446" s="72"/>
    </row>
    <row r="447" spans="1:7" ht="12.75" customHeight="1" x14ac:dyDescent="0.2">
      <c r="A447" s="45"/>
      <c r="B447" s="45"/>
      <c r="C447" s="2"/>
      <c r="D447" s="2"/>
      <c r="E447" s="2"/>
      <c r="F447" s="72"/>
      <c r="G447" s="72"/>
    </row>
    <row r="448" spans="1:7" ht="12.75" customHeight="1" x14ac:dyDescent="0.2">
      <c r="A448" s="45"/>
      <c r="B448" s="45"/>
      <c r="C448" s="2"/>
      <c r="D448" s="2"/>
      <c r="E448" s="2"/>
      <c r="F448" s="72"/>
      <c r="G448" s="72"/>
    </row>
    <row r="449" spans="1:7" ht="12.75" customHeight="1" x14ac:dyDescent="0.2">
      <c r="A449" s="45"/>
      <c r="B449" s="45"/>
      <c r="C449" s="2"/>
      <c r="D449" s="2"/>
      <c r="E449" s="2"/>
      <c r="F449" s="72"/>
      <c r="G449" s="72"/>
    </row>
    <row r="450" spans="1:7" ht="12.75" customHeight="1" x14ac:dyDescent="0.2">
      <c r="A450" s="45"/>
      <c r="B450" s="45"/>
      <c r="C450" s="2"/>
      <c r="D450" s="2"/>
      <c r="E450" s="2"/>
      <c r="F450" s="72"/>
      <c r="G450" s="72"/>
    </row>
    <row r="451" spans="1:7" ht="12.75" customHeight="1" x14ac:dyDescent="0.2">
      <c r="A451" s="45"/>
      <c r="B451" s="45"/>
      <c r="C451" s="2"/>
      <c r="D451" s="2"/>
      <c r="E451" s="2"/>
      <c r="F451" s="72"/>
      <c r="G451" s="72"/>
    </row>
    <row r="452" spans="1:7" ht="12.75" customHeight="1" x14ac:dyDescent="0.2">
      <c r="A452" s="45"/>
      <c r="B452" s="45"/>
      <c r="C452" s="2"/>
      <c r="D452" s="2"/>
      <c r="E452" s="2"/>
      <c r="F452" s="72"/>
      <c r="G452" s="72"/>
    </row>
    <row r="453" spans="1:7" ht="12.75" customHeight="1" x14ac:dyDescent="0.2">
      <c r="A453" s="45"/>
      <c r="B453" s="45"/>
      <c r="C453" s="2"/>
      <c r="D453" s="2"/>
      <c r="E453" s="2"/>
      <c r="F453" s="72"/>
      <c r="G453" s="72"/>
    </row>
    <row r="454" spans="1:7" ht="12.75" customHeight="1" x14ac:dyDescent="0.2">
      <c r="A454" s="45"/>
      <c r="B454" s="45"/>
      <c r="C454" s="2"/>
      <c r="D454" s="2"/>
      <c r="E454" s="2"/>
      <c r="F454" s="72"/>
      <c r="G454" s="72"/>
    </row>
    <row r="455" spans="1:7" ht="12.75" customHeight="1" x14ac:dyDescent="0.2">
      <c r="A455" s="45"/>
      <c r="B455" s="45"/>
      <c r="C455" s="2"/>
      <c r="D455" s="2"/>
      <c r="E455" s="2"/>
      <c r="F455" s="72"/>
      <c r="G455" s="72"/>
    </row>
    <row r="456" spans="1:7" ht="12.75" customHeight="1" x14ac:dyDescent="0.2">
      <c r="A456" s="45"/>
      <c r="B456" s="45"/>
      <c r="C456" s="2"/>
      <c r="D456" s="2"/>
      <c r="E456" s="2"/>
      <c r="F456" s="72"/>
      <c r="G456" s="72"/>
    </row>
    <row r="457" spans="1:7" ht="12.75" customHeight="1" x14ac:dyDescent="0.2">
      <c r="A457" s="45"/>
      <c r="B457" s="45"/>
      <c r="C457" s="2"/>
      <c r="D457" s="2"/>
      <c r="E457" s="2"/>
      <c r="F457" s="72"/>
      <c r="G457" s="72"/>
    </row>
    <row r="458" spans="1:7" ht="12.75" customHeight="1" x14ac:dyDescent="0.2">
      <c r="A458" s="45"/>
      <c r="B458" s="45"/>
      <c r="C458" s="2"/>
      <c r="D458" s="2"/>
      <c r="E458" s="2"/>
      <c r="F458" s="72"/>
      <c r="G458" s="72"/>
    </row>
    <row r="459" spans="1:7" ht="12.75" customHeight="1" x14ac:dyDescent="0.2">
      <c r="A459" s="45"/>
      <c r="B459" s="45"/>
      <c r="C459" s="2"/>
      <c r="D459" s="2"/>
      <c r="E459" s="2"/>
      <c r="F459" s="72"/>
      <c r="G459" s="72"/>
    </row>
    <row r="460" spans="1:7" ht="12.75" customHeight="1" x14ac:dyDescent="0.2">
      <c r="A460" s="45"/>
      <c r="B460" s="45"/>
      <c r="C460" s="2"/>
      <c r="D460" s="2"/>
      <c r="E460" s="2"/>
      <c r="F460" s="72"/>
      <c r="G460" s="72"/>
    </row>
    <row r="461" spans="1:7" ht="12.75" customHeight="1" x14ac:dyDescent="0.2">
      <c r="A461" s="45"/>
      <c r="B461" s="45"/>
      <c r="C461" s="2"/>
      <c r="D461" s="2"/>
      <c r="E461" s="2"/>
      <c r="F461" s="72"/>
      <c r="G461" s="72"/>
    </row>
    <row r="462" spans="1:7" ht="12.75" customHeight="1" x14ac:dyDescent="0.2">
      <c r="A462" s="45"/>
      <c r="B462" s="45"/>
      <c r="C462" s="2"/>
      <c r="D462" s="2"/>
      <c r="E462" s="2"/>
      <c r="F462" s="72"/>
      <c r="G462" s="72"/>
    </row>
    <row r="463" spans="1:7" ht="12.75" customHeight="1" x14ac:dyDescent="0.2">
      <c r="A463" s="45"/>
      <c r="B463" s="45"/>
      <c r="C463" s="2"/>
      <c r="D463" s="2"/>
      <c r="E463" s="2"/>
      <c r="F463" s="72"/>
      <c r="G463" s="72"/>
    </row>
    <row r="464" spans="1:7" ht="12.75" customHeight="1" x14ac:dyDescent="0.2">
      <c r="A464" s="45"/>
      <c r="B464" s="45"/>
      <c r="C464" s="2"/>
      <c r="D464" s="2"/>
      <c r="E464" s="2"/>
      <c r="F464" s="72"/>
      <c r="G464" s="72"/>
    </row>
    <row r="465" spans="1:7" ht="12.75" customHeight="1" x14ac:dyDescent="0.2">
      <c r="A465" s="45"/>
      <c r="B465" s="45"/>
      <c r="C465" s="2"/>
      <c r="D465" s="2"/>
      <c r="E465" s="2"/>
      <c r="F465" s="72"/>
      <c r="G465" s="72"/>
    </row>
    <row r="466" spans="1:7" ht="12.75" customHeight="1" x14ac:dyDescent="0.2">
      <c r="A466" s="45"/>
      <c r="B466" s="45"/>
      <c r="C466" s="2"/>
      <c r="D466" s="2"/>
      <c r="E466" s="2"/>
      <c r="F466" s="72"/>
      <c r="G466" s="72"/>
    </row>
    <row r="467" spans="1:7" ht="12.75" customHeight="1" x14ac:dyDescent="0.2">
      <c r="A467" s="45"/>
      <c r="B467" s="45"/>
      <c r="C467" s="2"/>
      <c r="D467" s="2"/>
      <c r="E467" s="2"/>
      <c r="F467" s="72"/>
      <c r="G467" s="72"/>
    </row>
    <row r="468" spans="1:7" ht="12.75" customHeight="1" x14ac:dyDescent="0.2">
      <c r="A468" s="45"/>
      <c r="B468" s="45"/>
      <c r="C468" s="2"/>
      <c r="D468" s="2"/>
      <c r="E468" s="2"/>
      <c r="F468" s="72"/>
      <c r="G468" s="72"/>
    </row>
    <row r="469" spans="1:7" ht="12.75" customHeight="1" x14ac:dyDescent="0.2">
      <c r="A469" s="45"/>
      <c r="B469" s="45"/>
      <c r="C469" s="2"/>
      <c r="D469" s="2"/>
      <c r="E469" s="2"/>
      <c r="F469" s="72"/>
      <c r="G469" s="72"/>
    </row>
    <row r="470" spans="1:7" ht="12.75" customHeight="1" x14ac:dyDescent="0.2">
      <c r="A470" s="45"/>
      <c r="B470" s="45"/>
      <c r="C470" s="2"/>
      <c r="D470" s="2"/>
      <c r="E470" s="2"/>
      <c r="F470" s="72"/>
      <c r="G470" s="72"/>
    </row>
    <row r="471" spans="1:7" ht="12.75" customHeight="1" x14ac:dyDescent="0.2">
      <c r="A471" s="45"/>
      <c r="B471" s="45"/>
      <c r="C471" s="2"/>
      <c r="D471" s="2"/>
      <c r="E471" s="2"/>
      <c r="F471" s="72"/>
      <c r="G471" s="72"/>
    </row>
    <row r="472" spans="1:7" ht="12.75" customHeight="1" x14ac:dyDescent="0.2">
      <c r="A472" s="45"/>
      <c r="B472" s="45"/>
      <c r="C472" s="2"/>
      <c r="D472" s="2"/>
      <c r="E472" s="2"/>
      <c r="F472" s="72"/>
      <c r="G472" s="72"/>
    </row>
    <row r="473" spans="1:7" ht="12.75" customHeight="1" x14ac:dyDescent="0.2">
      <c r="A473" s="45"/>
      <c r="B473" s="45"/>
      <c r="C473" s="2"/>
      <c r="D473" s="2"/>
      <c r="E473" s="2"/>
      <c r="F473" s="72"/>
      <c r="G473" s="72"/>
    </row>
    <row r="474" spans="1:7" ht="12.75" customHeight="1" x14ac:dyDescent="0.2">
      <c r="A474" s="45"/>
      <c r="B474" s="45"/>
      <c r="C474" s="2"/>
      <c r="D474" s="2"/>
      <c r="E474" s="2"/>
      <c r="F474" s="72"/>
      <c r="G474" s="72"/>
    </row>
    <row r="475" spans="1:7" ht="12.75" customHeight="1" x14ac:dyDescent="0.2">
      <c r="A475" s="45"/>
      <c r="B475" s="45"/>
      <c r="C475" s="2"/>
      <c r="D475" s="2"/>
      <c r="E475" s="2"/>
      <c r="F475" s="72"/>
      <c r="G475" s="72"/>
    </row>
    <row r="476" spans="1:7" ht="12.75" customHeight="1" x14ac:dyDescent="0.2">
      <c r="A476" s="45"/>
      <c r="B476" s="45"/>
      <c r="C476" s="2"/>
      <c r="D476" s="2"/>
      <c r="E476" s="2"/>
      <c r="F476" s="72"/>
      <c r="G476" s="72"/>
    </row>
    <row r="477" spans="1:7" ht="12.75" customHeight="1" x14ac:dyDescent="0.2">
      <c r="A477" s="45"/>
      <c r="B477" s="45"/>
      <c r="C477" s="2"/>
      <c r="D477" s="2"/>
      <c r="E477" s="2"/>
      <c r="F477" s="72"/>
      <c r="G477" s="72"/>
    </row>
    <row r="478" spans="1:7" ht="12.75" customHeight="1" x14ac:dyDescent="0.2">
      <c r="A478" s="45"/>
      <c r="B478" s="45"/>
      <c r="C478" s="2"/>
      <c r="D478" s="2"/>
      <c r="E478" s="2"/>
      <c r="F478" s="72"/>
      <c r="G478" s="72"/>
    </row>
    <row r="479" spans="1:7" ht="12.75" customHeight="1" x14ac:dyDescent="0.2">
      <c r="A479" s="45"/>
      <c r="B479" s="45"/>
      <c r="C479" s="2"/>
      <c r="D479" s="2"/>
      <c r="E479" s="2"/>
      <c r="F479" s="72"/>
      <c r="G479" s="72"/>
    </row>
    <row r="480" spans="1:7" ht="12.75" customHeight="1" x14ac:dyDescent="0.2">
      <c r="A480" s="45"/>
      <c r="B480" s="45"/>
      <c r="C480" s="2"/>
      <c r="D480" s="2"/>
      <c r="E480" s="2"/>
      <c r="F480" s="72"/>
      <c r="G480" s="72"/>
    </row>
    <row r="481" spans="1:7" ht="12.75" customHeight="1" x14ac:dyDescent="0.2">
      <c r="A481" s="45"/>
      <c r="B481" s="45"/>
      <c r="C481" s="2"/>
      <c r="D481" s="2"/>
      <c r="E481" s="2"/>
      <c r="F481" s="72"/>
      <c r="G481" s="72"/>
    </row>
    <row r="482" spans="1:7" ht="12.75" customHeight="1" x14ac:dyDescent="0.2">
      <c r="A482" s="45"/>
      <c r="B482" s="45"/>
      <c r="C482" s="2"/>
      <c r="D482" s="2"/>
      <c r="E482" s="2"/>
      <c r="F482" s="72"/>
      <c r="G482" s="72"/>
    </row>
    <row r="483" spans="1:7" ht="12.75" customHeight="1" x14ac:dyDescent="0.2">
      <c r="A483" s="45"/>
      <c r="B483" s="45"/>
      <c r="C483" s="2"/>
      <c r="D483" s="2"/>
      <c r="E483" s="2"/>
      <c r="F483" s="72"/>
      <c r="G483" s="72"/>
    </row>
    <row r="484" spans="1:7" ht="12.75" customHeight="1" x14ac:dyDescent="0.2">
      <c r="A484" s="45"/>
      <c r="B484" s="45"/>
      <c r="C484" s="2"/>
      <c r="D484" s="2"/>
      <c r="E484" s="2"/>
      <c r="F484" s="72"/>
      <c r="G484" s="72"/>
    </row>
    <row r="485" spans="1:7" ht="12.75" customHeight="1" x14ac:dyDescent="0.2">
      <c r="A485" s="45"/>
      <c r="B485" s="45"/>
      <c r="C485" s="2"/>
      <c r="D485" s="2"/>
      <c r="E485" s="2"/>
      <c r="F485" s="72"/>
      <c r="G485" s="72"/>
    </row>
    <row r="486" spans="1:7" ht="12.75" customHeight="1" x14ac:dyDescent="0.2">
      <c r="A486" s="45"/>
      <c r="B486" s="45"/>
      <c r="C486" s="2"/>
      <c r="D486" s="2"/>
      <c r="E486" s="2"/>
      <c r="F486" s="72"/>
      <c r="G486" s="72"/>
    </row>
    <row r="487" spans="1:7" ht="12.75" customHeight="1" x14ac:dyDescent="0.2">
      <c r="A487" s="45"/>
      <c r="B487" s="45"/>
      <c r="C487" s="2"/>
      <c r="D487" s="2"/>
      <c r="E487" s="2"/>
      <c r="F487" s="72"/>
      <c r="G487" s="72"/>
    </row>
    <row r="488" spans="1:7" ht="12.75" customHeight="1" x14ac:dyDescent="0.2">
      <c r="A488" s="45"/>
      <c r="B488" s="45"/>
      <c r="C488" s="2"/>
      <c r="D488" s="2"/>
      <c r="E488" s="2"/>
      <c r="F488" s="72"/>
      <c r="G488" s="72"/>
    </row>
    <row r="489" spans="1:7" ht="12.75" customHeight="1" x14ac:dyDescent="0.2">
      <c r="A489" s="45"/>
      <c r="B489" s="45"/>
      <c r="C489" s="2"/>
      <c r="D489" s="2"/>
      <c r="E489" s="2"/>
      <c r="F489" s="72"/>
      <c r="G489" s="72"/>
    </row>
    <row r="490" spans="1:7" ht="12.75" customHeight="1" x14ac:dyDescent="0.2">
      <c r="A490" s="45"/>
      <c r="B490" s="45"/>
      <c r="C490" s="2"/>
      <c r="D490" s="2"/>
      <c r="E490" s="2"/>
      <c r="F490" s="72"/>
      <c r="G490" s="72"/>
    </row>
    <row r="491" spans="1:7" ht="12.75" customHeight="1" x14ac:dyDescent="0.2">
      <c r="A491" s="45"/>
      <c r="B491" s="45"/>
      <c r="C491" s="2"/>
      <c r="D491" s="2"/>
      <c r="E491" s="2"/>
      <c r="F491" s="72"/>
      <c r="G491" s="72"/>
    </row>
    <row r="492" spans="1:7" ht="12.75" customHeight="1" x14ac:dyDescent="0.2">
      <c r="A492" s="45"/>
      <c r="B492" s="45"/>
      <c r="C492" s="2"/>
      <c r="D492" s="2"/>
      <c r="E492" s="2"/>
      <c r="F492" s="72"/>
      <c r="G492" s="72"/>
    </row>
    <row r="493" spans="1:7" ht="12.75" customHeight="1" x14ac:dyDescent="0.2">
      <c r="A493" s="45"/>
      <c r="B493" s="45"/>
      <c r="C493" s="2"/>
      <c r="D493" s="2"/>
      <c r="E493" s="2"/>
      <c r="F493" s="72"/>
      <c r="G493" s="72"/>
    </row>
    <row r="494" spans="1:7" ht="12.75" customHeight="1" x14ac:dyDescent="0.2">
      <c r="A494" s="45"/>
      <c r="B494" s="45"/>
      <c r="C494" s="2"/>
      <c r="D494" s="2"/>
      <c r="E494" s="2"/>
      <c r="F494" s="72"/>
      <c r="G494" s="72"/>
    </row>
    <row r="495" spans="1:7" ht="12.75" customHeight="1" x14ac:dyDescent="0.2">
      <c r="A495" s="45"/>
      <c r="B495" s="45"/>
      <c r="C495" s="2"/>
      <c r="D495" s="2"/>
      <c r="E495" s="2"/>
      <c r="F495" s="72"/>
      <c r="G495" s="72"/>
    </row>
    <row r="496" spans="1:7" ht="12.75" customHeight="1" x14ac:dyDescent="0.2">
      <c r="A496" s="45"/>
      <c r="B496" s="45"/>
      <c r="C496" s="2"/>
      <c r="D496" s="2"/>
      <c r="E496" s="2"/>
      <c r="F496" s="72"/>
      <c r="G496" s="72"/>
    </row>
    <row r="497" spans="1:7" ht="12.75" customHeight="1" x14ac:dyDescent="0.2">
      <c r="A497" s="45"/>
      <c r="B497" s="45"/>
      <c r="C497" s="2"/>
      <c r="D497" s="2"/>
      <c r="E497" s="2"/>
      <c r="F497" s="72"/>
      <c r="G497" s="72"/>
    </row>
    <row r="498" spans="1:7" ht="12.75" customHeight="1" x14ac:dyDescent="0.2">
      <c r="A498" s="45"/>
      <c r="B498" s="45"/>
      <c r="C498" s="2"/>
      <c r="D498" s="2"/>
      <c r="E498" s="2"/>
      <c r="F498" s="72"/>
      <c r="G498" s="72"/>
    </row>
    <row r="499" spans="1:7" ht="12.75" customHeight="1" x14ac:dyDescent="0.2">
      <c r="A499" s="45"/>
      <c r="B499" s="45"/>
      <c r="C499" s="2"/>
      <c r="D499" s="2"/>
      <c r="E499" s="2"/>
      <c r="F499" s="72"/>
      <c r="G499" s="72"/>
    </row>
    <row r="500" spans="1:7" ht="12.75" customHeight="1" x14ac:dyDescent="0.2">
      <c r="A500" s="45"/>
      <c r="B500" s="45"/>
      <c r="C500" s="2"/>
      <c r="D500" s="2"/>
      <c r="E500" s="2"/>
      <c r="F500" s="72"/>
      <c r="G500" s="72"/>
    </row>
    <row r="501" spans="1:7" ht="12.75" customHeight="1" x14ac:dyDescent="0.2">
      <c r="A501" s="45"/>
      <c r="B501" s="45"/>
      <c r="C501" s="2"/>
      <c r="D501" s="2"/>
      <c r="E501" s="2"/>
      <c r="F501" s="72"/>
      <c r="G501" s="72"/>
    </row>
    <row r="502" spans="1:7" ht="12.75" customHeight="1" x14ac:dyDescent="0.2">
      <c r="A502" s="45"/>
      <c r="B502" s="45"/>
      <c r="C502" s="2"/>
      <c r="D502" s="2"/>
      <c r="E502" s="2"/>
      <c r="F502" s="72"/>
      <c r="G502" s="72"/>
    </row>
    <row r="503" spans="1:7" ht="12.75" customHeight="1" x14ac:dyDescent="0.2">
      <c r="A503" s="45"/>
      <c r="B503" s="45"/>
      <c r="C503" s="2"/>
      <c r="D503" s="2"/>
      <c r="E503" s="2"/>
      <c r="F503" s="72"/>
      <c r="G503" s="72"/>
    </row>
    <row r="504" spans="1:7" ht="12.75" customHeight="1" x14ac:dyDescent="0.2">
      <c r="A504" s="45"/>
      <c r="B504" s="45"/>
      <c r="C504" s="2"/>
      <c r="D504" s="2"/>
      <c r="E504" s="2"/>
      <c r="F504" s="72"/>
      <c r="G504" s="72"/>
    </row>
    <row r="505" spans="1:7" ht="12.75" customHeight="1" x14ac:dyDescent="0.2">
      <c r="A505" s="45"/>
      <c r="B505" s="45"/>
      <c r="C505" s="2"/>
      <c r="D505" s="2"/>
      <c r="E505" s="2"/>
      <c r="F505" s="72"/>
      <c r="G505" s="72"/>
    </row>
    <row r="506" spans="1:7" ht="12.75" customHeight="1" x14ac:dyDescent="0.2">
      <c r="A506" s="45"/>
      <c r="B506" s="45"/>
      <c r="C506" s="2"/>
      <c r="D506" s="2"/>
      <c r="E506" s="2"/>
      <c r="F506" s="72"/>
      <c r="G506" s="72"/>
    </row>
    <row r="507" spans="1:7" ht="12.75" customHeight="1" x14ac:dyDescent="0.2">
      <c r="A507" s="45"/>
      <c r="B507" s="45"/>
      <c r="C507" s="2"/>
      <c r="D507" s="2"/>
      <c r="E507" s="2"/>
      <c r="F507" s="72"/>
      <c r="G507" s="72"/>
    </row>
    <row r="508" spans="1:7" ht="12.75" customHeight="1" x14ac:dyDescent="0.2">
      <c r="A508" s="45"/>
      <c r="B508" s="45"/>
      <c r="C508" s="2"/>
      <c r="D508" s="2"/>
      <c r="E508" s="2"/>
      <c r="F508" s="72"/>
      <c r="G508" s="72"/>
    </row>
    <row r="509" spans="1:7" ht="12.75" customHeight="1" x14ac:dyDescent="0.2">
      <c r="A509" s="45"/>
      <c r="B509" s="45"/>
      <c r="C509" s="2"/>
      <c r="D509" s="2"/>
      <c r="E509" s="2"/>
      <c r="F509" s="72"/>
      <c r="G509" s="72"/>
    </row>
    <row r="510" spans="1:7" ht="12.75" customHeight="1" x14ac:dyDescent="0.2">
      <c r="A510" s="45"/>
      <c r="B510" s="45"/>
      <c r="C510" s="2"/>
      <c r="D510" s="2"/>
      <c r="E510" s="2"/>
      <c r="F510" s="72"/>
      <c r="G510" s="72"/>
    </row>
    <row r="511" spans="1:7" ht="12.75" customHeight="1" x14ac:dyDescent="0.2">
      <c r="A511" s="45"/>
      <c r="B511" s="45"/>
      <c r="C511" s="2"/>
      <c r="D511" s="2"/>
      <c r="E511" s="2"/>
      <c r="F511" s="72"/>
      <c r="G511" s="72"/>
    </row>
    <row r="512" spans="1:7" ht="12.75" customHeight="1" x14ac:dyDescent="0.2">
      <c r="A512" s="45"/>
      <c r="B512" s="45"/>
      <c r="C512" s="2"/>
      <c r="D512" s="2"/>
      <c r="E512" s="2"/>
      <c r="F512" s="72"/>
      <c r="G512" s="72"/>
    </row>
    <row r="513" spans="1:7" ht="12.75" customHeight="1" x14ac:dyDescent="0.2">
      <c r="A513" s="45"/>
      <c r="B513" s="45"/>
      <c r="C513" s="2"/>
      <c r="D513" s="2"/>
      <c r="E513" s="2"/>
      <c r="F513" s="72"/>
      <c r="G513" s="72"/>
    </row>
    <row r="514" spans="1:7" ht="12.75" customHeight="1" x14ac:dyDescent="0.2">
      <c r="A514" s="45"/>
      <c r="B514" s="45"/>
      <c r="C514" s="2"/>
      <c r="D514" s="2"/>
      <c r="E514" s="2"/>
      <c r="F514" s="72"/>
      <c r="G514" s="72"/>
    </row>
    <row r="515" spans="1:7" ht="12.75" customHeight="1" x14ac:dyDescent="0.2">
      <c r="A515" s="45"/>
      <c r="B515" s="45"/>
      <c r="C515" s="2"/>
      <c r="D515" s="2"/>
      <c r="E515" s="2"/>
      <c r="F515" s="72"/>
      <c r="G515" s="72"/>
    </row>
    <row r="516" spans="1:7" ht="12.75" customHeight="1" x14ac:dyDescent="0.2">
      <c r="A516" s="45"/>
      <c r="B516" s="45"/>
      <c r="C516" s="2"/>
      <c r="D516" s="2"/>
      <c r="E516" s="2"/>
      <c r="F516" s="72"/>
      <c r="G516" s="72"/>
    </row>
    <row r="517" spans="1:7" ht="12.75" customHeight="1" x14ac:dyDescent="0.2">
      <c r="A517" s="45"/>
      <c r="B517" s="45"/>
      <c r="C517" s="2"/>
      <c r="D517" s="2"/>
      <c r="E517" s="2"/>
      <c r="F517" s="72"/>
      <c r="G517" s="72"/>
    </row>
    <row r="518" spans="1:7" ht="12.75" customHeight="1" x14ac:dyDescent="0.2">
      <c r="A518" s="45"/>
      <c r="B518" s="45"/>
      <c r="C518" s="2"/>
      <c r="D518" s="2"/>
      <c r="E518" s="2"/>
      <c r="F518" s="72"/>
      <c r="G518" s="72"/>
    </row>
    <row r="519" spans="1:7" ht="12.75" customHeight="1" x14ac:dyDescent="0.2">
      <c r="A519" s="45"/>
      <c r="B519" s="45"/>
      <c r="C519" s="2"/>
      <c r="D519" s="2"/>
      <c r="E519" s="2"/>
      <c r="F519" s="72"/>
      <c r="G519" s="72"/>
    </row>
    <row r="520" spans="1:7" ht="12.75" customHeight="1" x14ac:dyDescent="0.2">
      <c r="A520" s="45"/>
      <c r="B520" s="45"/>
      <c r="C520" s="2"/>
      <c r="D520" s="2"/>
      <c r="E520" s="2"/>
      <c r="F520" s="72"/>
      <c r="G520" s="72"/>
    </row>
    <row r="521" spans="1:7" ht="12.75" customHeight="1" x14ac:dyDescent="0.2">
      <c r="A521" s="45"/>
      <c r="B521" s="45"/>
      <c r="C521" s="2"/>
      <c r="D521" s="2"/>
      <c r="E521" s="2"/>
      <c r="F521" s="72"/>
      <c r="G521" s="72"/>
    </row>
    <row r="522" spans="1:7" ht="12.75" customHeight="1" x14ac:dyDescent="0.2">
      <c r="A522" s="45"/>
      <c r="B522" s="45"/>
      <c r="C522" s="2"/>
      <c r="D522" s="2"/>
      <c r="E522" s="2"/>
      <c r="F522" s="72"/>
      <c r="G522" s="72"/>
    </row>
    <row r="523" spans="1:7" ht="12.75" customHeight="1" x14ac:dyDescent="0.2">
      <c r="A523" s="45"/>
      <c r="B523" s="45"/>
      <c r="C523" s="2"/>
      <c r="D523" s="2"/>
      <c r="E523" s="2"/>
      <c r="F523" s="72"/>
      <c r="G523" s="72"/>
    </row>
    <row r="524" spans="1:7" ht="12.75" customHeight="1" x14ac:dyDescent="0.2">
      <c r="A524" s="45"/>
      <c r="B524" s="45"/>
      <c r="C524" s="2"/>
      <c r="D524" s="2"/>
      <c r="E524" s="2"/>
      <c r="F524" s="72"/>
      <c r="G524" s="72"/>
    </row>
    <row r="525" spans="1:7" ht="12.75" customHeight="1" x14ac:dyDescent="0.2">
      <c r="A525" s="45"/>
      <c r="B525" s="45"/>
      <c r="C525" s="2"/>
      <c r="D525" s="2"/>
      <c r="E525" s="2"/>
      <c r="F525" s="72"/>
      <c r="G525" s="72"/>
    </row>
    <row r="526" spans="1:7" ht="12.75" customHeight="1" x14ac:dyDescent="0.2">
      <c r="A526" s="45"/>
      <c r="B526" s="45"/>
      <c r="C526" s="2"/>
      <c r="D526" s="2"/>
      <c r="E526" s="2"/>
      <c r="F526" s="72"/>
      <c r="G526" s="72"/>
    </row>
    <row r="527" spans="1:7" ht="12.75" customHeight="1" x14ac:dyDescent="0.2">
      <c r="A527" s="45"/>
      <c r="B527" s="45"/>
      <c r="C527" s="2"/>
      <c r="D527" s="2"/>
      <c r="E527" s="2"/>
      <c r="F527" s="72"/>
      <c r="G527" s="72"/>
    </row>
    <row r="528" spans="1:7" ht="12.75" customHeight="1" x14ac:dyDescent="0.2">
      <c r="A528" s="45"/>
      <c r="B528" s="45"/>
      <c r="C528" s="2"/>
      <c r="D528" s="2"/>
      <c r="E528" s="2"/>
      <c r="F528" s="72"/>
      <c r="G528" s="72"/>
    </row>
    <row r="529" spans="1:7" ht="12.75" customHeight="1" x14ac:dyDescent="0.2">
      <c r="A529" s="45"/>
      <c r="B529" s="45"/>
      <c r="C529" s="2"/>
      <c r="D529" s="2"/>
      <c r="E529" s="2"/>
      <c r="F529" s="72"/>
      <c r="G529" s="72"/>
    </row>
    <row r="530" spans="1:7" ht="12.75" customHeight="1" x14ac:dyDescent="0.2">
      <c r="A530" s="45"/>
      <c r="B530" s="45"/>
      <c r="C530" s="2"/>
      <c r="D530" s="2"/>
      <c r="E530" s="2"/>
      <c r="F530" s="72"/>
      <c r="G530" s="72"/>
    </row>
    <row r="531" spans="1:7" ht="12.75" customHeight="1" x14ac:dyDescent="0.2">
      <c r="A531" s="45"/>
      <c r="B531" s="45"/>
      <c r="C531" s="2"/>
      <c r="D531" s="2"/>
      <c r="E531" s="2"/>
      <c r="F531" s="72"/>
      <c r="G531" s="72"/>
    </row>
    <row r="532" spans="1:7" ht="12.75" customHeight="1" x14ac:dyDescent="0.2">
      <c r="A532" s="45"/>
      <c r="B532" s="45"/>
      <c r="C532" s="2"/>
      <c r="D532" s="2"/>
      <c r="E532" s="2"/>
      <c r="F532" s="72"/>
      <c r="G532" s="72"/>
    </row>
    <row r="533" spans="1:7" ht="12.75" customHeight="1" x14ac:dyDescent="0.2">
      <c r="A533" s="45"/>
      <c r="B533" s="45"/>
      <c r="C533" s="2"/>
      <c r="D533" s="2"/>
      <c r="E533" s="2"/>
      <c r="F533" s="72"/>
      <c r="G533" s="72"/>
    </row>
    <row r="534" spans="1:7" ht="12.75" customHeight="1" x14ac:dyDescent="0.2">
      <c r="A534" s="45"/>
      <c r="B534" s="45"/>
      <c r="C534" s="2"/>
      <c r="D534" s="2"/>
      <c r="E534" s="2"/>
      <c r="F534" s="72"/>
      <c r="G534" s="72"/>
    </row>
    <row r="535" spans="1:7" ht="12.75" customHeight="1" x14ac:dyDescent="0.2">
      <c r="A535" s="45"/>
      <c r="B535" s="45"/>
      <c r="C535" s="2"/>
      <c r="D535" s="2"/>
      <c r="E535" s="2"/>
      <c r="F535" s="72"/>
      <c r="G535" s="72"/>
    </row>
    <row r="536" spans="1:7" ht="12.75" customHeight="1" x14ac:dyDescent="0.2">
      <c r="A536" s="45"/>
      <c r="B536" s="45"/>
      <c r="C536" s="2"/>
      <c r="D536" s="2"/>
      <c r="E536" s="2"/>
      <c r="F536" s="72"/>
      <c r="G536" s="72"/>
    </row>
    <row r="537" spans="1:7" ht="12.75" customHeight="1" x14ac:dyDescent="0.2">
      <c r="A537" s="45"/>
      <c r="B537" s="45"/>
      <c r="C537" s="2"/>
      <c r="D537" s="2"/>
      <c r="E537" s="2"/>
      <c r="F537" s="72"/>
      <c r="G537" s="72"/>
    </row>
    <row r="538" spans="1:7" ht="12.75" customHeight="1" x14ac:dyDescent="0.2">
      <c r="A538" s="45"/>
      <c r="B538" s="45"/>
      <c r="C538" s="2"/>
      <c r="D538" s="2"/>
      <c r="E538" s="2"/>
      <c r="F538" s="72"/>
      <c r="G538" s="72"/>
    </row>
    <row r="539" spans="1:7" ht="12.75" customHeight="1" x14ac:dyDescent="0.2">
      <c r="A539" s="45"/>
      <c r="B539" s="45"/>
      <c r="C539" s="2"/>
      <c r="D539" s="2"/>
      <c r="E539" s="2"/>
      <c r="F539" s="72"/>
      <c r="G539" s="72"/>
    </row>
    <row r="540" spans="1:7" ht="12.75" customHeight="1" x14ac:dyDescent="0.2">
      <c r="A540" s="45"/>
      <c r="B540" s="45"/>
      <c r="C540" s="2"/>
      <c r="D540" s="2"/>
      <c r="E540" s="2"/>
      <c r="F540" s="72"/>
      <c r="G540" s="72"/>
    </row>
    <row r="541" spans="1:7" ht="12.75" customHeight="1" x14ac:dyDescent="0.2">
      <c r="A541" s="45"/>
      <c r="B541" s="45"/>
      <c r="C541" s="2"/>
      <c r="D541" s="2"/>
      <c r="E541" s="2"/>
      <c r="F541" s="72"/>
      <c r="G541" s="72"/>
    </row>
    <row r="542" spans="1:7" ht="12.75" customHeight="1" x14ac:dyDescent="0.2">
      <c r="A542" s="45"/>
      <c r="B542" s="45"/>
      <c r="C542" s="2"/>
      <c r="D542" s="2"/>
      <c r="E542" s="2"/>
      <c r="F542" s="72"/>
      <c r="G542" s="72"/>
    </row>
    <row r="543" spans="1:7" ht="12.75" customHeight="1" x14ac:dyDescent="0.2">
      <c r="A543" s="45"/>
      <c r="B543" s="45"/>
      <c r="C543" s="2"/>
      <c r="D543" s="2"/>
      <c r="E543" s="2"/>
      <c r="F543" s="72"/>
      <c r="G543" s="72"/>
    </row>
    <row r="544" spans="1:7" ht="12.75" customHeight="1" x14ac:dyDescent="0.2">
      <c r="A544" s="45"/>
      <c r="B544" s="45"/>
      <c r="C544" s="2"/>
      <c r="D544" s="2"/>
      <c r="E544" s="2"/>
      <c r="F544" s="72"/>
      <c r="G544" s="72"/>
    </row>
    <row r="545" spans="1:7" ht="12.75" customHeight="1" x14ac:dyDescent="0.2">
      <c r="A545" s="45"/>
      <c r="B545" s="45"/>
      <c r="C545" s="2"/>
      <c r="D545" s="2"/>
      <c r="E545" s="2"/>
      <c r="F545" s="72"/>
      <c r="G545" s="72"/>
    </row>
    <row r="546" spans="1:7" ht="12.75" customHeight="1" x14ac:dyDescent="0.2">
      <c r="A546" s="45"/>
      <c r="B546" s="45"/>
      <c r="C546" s="2"/>
      <c r="D546" s="2"/>
      <c r="E546" s="2"/>
      <c r="F546" s="72"/>
      <c r="G546" s="72"/>
    </row>
    <row r="547" spans="1:7" ht="12.75" customHeight="1" x14ac:dyDescent="0.2">
      <c r="A547" s="45"/>
      <c r="B547" s="45"/>
      <c r="C547" s="2"/>
      <c r="D547" s="2"/>
      <c r="E547" s="2"/>
      <c r="F547" s="72"/>
      <c r="G547" s="72"/>
    </row>
    <row r="548" spans="1:7" ht="12.75" customHeight="1" x14ac:dyDescent="0.2">
      <c r="A548" s="45"/>
      <c r="B548" s="45"/>
      <c r="C548" s="2"/>
      <c r="D548" s="2"/>
      <c r="E548" s="2"/>
      <c r="F548" s="72"/>
      <c r="G548" s="72"/>
    </row>
    <row r="549" spans="1:7" ht="12.75" customHeight="1" x14ac:dyDescent="0.2">
      <c r="A549" s="45"/>
      <c r="B549" s="45"/>
      <c r="C549" s="2"/>
      <c r="D549" s="2"/>
      <c r="E549" s="2"/>
      <c r="F549" s="72"/>
      <c r="G549" s="72"/>
    </row>
    <row r="550" spans="1:7" ht="12.75" customHeight="1" x14ac:dyDescent="0.2">
      <c r="A550" s="45"/>
      <c r="B550" s="45"/>
      <c r="C550" s="2"/>
      <c r="D550" s="2"/>
      <c r="E550" s="2"/>
      <c r="F550" s="72"/>
      <c r="G550" s="72"/>
    </row>
    <row r="551" spans="1:7" ht="12.75" customHeight="1" x14ac:dyDescent="0.2">
      <c r="A551" s="45"/>
      <c r="B551" s="45"/>
      <c r="C551" s="2"/>
      <c r="D551" s="2"/>
      <c r="E551" s="2"/>
      <c r="F551" s="72"/>
      <c r="G551" s="72"/>
    </row>
    <row r="552" spans="1:7" ht="12.75" customHeight="1" x14ac:dyDescent="0.2">
      <c r="A552" s="45"/>
      <c r="B552" s="45"/>
      <c r="C552" s="2"/>
      <c r="D552" s="2"/>
      <c r="E552" s="2"/>
      <c r="F552" s="72"/>
      <c r="G552" s="72"/>
    </row>
    <row r="553" spans="1:7" ht="12.75" customHeight="1" x14ac:dyDescent="0.2">
      <c r="A553" s="45"/>
      <c r="B553" s="45"/>
      <c r="C553" s="2"/>
      <c r="D553" s="2"/>
      <c r="E553" s="2"/>
      <c r="F553" s="72"/>
      <c r="G553" s="72"/>
    </row>
    <row r="554" spans="1:7" ht="12.75" customHeight="1" x14ac:dyDescent="0.2">
      <c r="A554" s="45"/>
      <c r="B554" s="45"/>
      <c r="C554" s="2"/>
      <c r="D554" s="2"/>
      <c r="E554" s="2"/>
      <c r="F554" s="72"/>
      <c r="G554" s="72"/>
    </row>
    <row r="555" spans="1:7" ht="12.75" customHeight="1" x14ac:dyDescent="0.2">
      <c r="A555" s="45"/>
      <c r="B555" s="45"/>
      <c r="C555" s="2"/>
      <c r="D555" s="2"/>
      <c r="E555" s="2"/>
      <c r="F555" s="72"/>
      <c r="G555" s="72"/>
    </row>
    <row r="556" spans="1:7" ht="12.75" customHeight="1" x14ac:dyDescent="0.2">
      <c r="A556" s="45"/>
      <c r="B556" s="45"/>
      <c r="C556" s="2"/>
      <c r="D556" s="2"/>
      <c r="E556" s="2"/>
      <c r="F556" s="72"/>
      <c r="G556" s="72"/>
    </row>
    <row r="557" spans="1:7" ht="12.75" customHeight="1" x14ac:dyDescent="0.2">
      <c r="A557" s="45"/>
      <c r="B557" s="45"/>
      <c r="C557" s="2"/>
      <c r="D557" s="2"/>
      <c r="E557" s="2"/>
      <c r="F557" s="72"/>
      <c r="G557" s="72"/>
    </row>
    <row r="558" spans="1:7" ht="12.75" customHeight="1" x14ac:dyDescent="0.2">
      <c r="A558" s="45"/>
      <c r="B558" s="45"/>
      <c r="C558" s="2"/>
      <c r="D558" s="2"/>
      <c r="E558" s="2"/>
      <c r="F558" s="72"/>
      <c r="G558" s="72"/>
    </row>
    <row r="559" spans="1:7" ht="12.75" customHeight="1" x14ac:dyDescent="0.2">
      <c r="A559" s="45"/>
      <c r="B559" s="45"/>
      <c r="C559" s="2"/>
      <c r="D559" s="2"/>
      <c r="E559" s="2"/>
      <c r="F559" s="72"/>
      <c r="G559" s="72"/>
    </row>
    <row r="560" spans="1:7" ht="12.75" customHeight="1" x14ac:dyDescent="0.2">
      <c r="A560" s="45"/>
      <c r="B560" s="45"/>
      <c r="C560" s="2"/>
      <c r="D560" s="2"/>
      <c r="E560" s="2"/>
      <c r="F560" s="72"/>
      <c r="G560" s="72"/>
    </row>
    <row r="561" spans="1:7" ht="12.75" customHeight="1" x14ac:dyDescent="0.2">
      <c r="A561" s="45"/>
      <c r="B561" s="45"/>
      <c r="C561" s="2"/>
      <c r="D561" s="2"/>
      <c r="E561" s="2"/>
      <c r="F561" s="72"/>
      <c r="G561" s="72"/>
    </row>
    <row r="562" spans="1:7" ht="12.75" customHeight="1" x14ac:dyDescent="0.2">
      <c r="A562" s="45"/>
      <c r="B562" s="45"/>
      <c r="C562" s="2"/>
      <c r="D562" s="2"/>
      <c r="E562" s="2"/>
      <c r="F562" s="72"/>
      <c r="G562" s="72"/>
    </row>
    <row r="563" spans="1:7" ht="12.75" customHeight="1" x14ac:dyDescent="0.2">
      <c r="A563" s="45"/>
      <c r="B563" s="45"/>
      <c r="C563" s="2"/>
      <c r="D563" s="2"/>
      <c r="E563" s="2"/>
      <c r="F563" s="72"/>
      <c r="G563" s="72"/>
    </row>
    <row r="564" spans="1:7" ht="12.75" customHeight="1" x14ac:dyDescent="0.2">
      <c r="A564" s="45"/>
      <c r="B564" s="45"/>
      <c r="C564" s="2"/>
      <c r="D564" s="2"/>
      <c r="E564" s="2"/>
      <c r="F564" s="72"/>
      <c r="G564" s="72"/>
    </row>
    <row r="565" spans="1:7" ht="12.75" customHeight="1" x14ac:dyDescent="0.2">
      <c r="A565" s="45"/>
      <c r="B565" s="45"/>
      <c r="C565" s="2"/>
      <c r="D565" s="2"/>
      <c r="E565" s="2"/>
      <c r="F565" s="72"/>
      <c r="G565" s="72"/>
    </row>
    <row r="566" spans="1:7" ht="12.75" customHeight="1" x14ac:dyDescent="0.2">
      <c r="A566" s="45"/>
      <c r="B566" s="45"/>
      <c r="C566" s="2"/>
      <c r="D566" s="2"/>
      <c r="E566" s="2"/>
      <c r="F566" s="72"/>
      <c r="G566" s="72"/>
    </row>
    <row r="567" spans="1:7" ht="12.75" customHeight="1" x14ac:dyDescent="0.2">
      <c r="A567" s="45"/>
      <c r="B567" s="45"/>
      <c r="C567" s="2"/>
      <c r="D567" s="2"/>
      <c r="E567" s="2"/>
      <c r="F567" s="72"/>
      <c r="G567" s="72"/>
    </row>
    <row r="568" spans="1:7" ht="12.75" customHeight="1" x14ac:dyDescent="0.2">
      <c r="A568" s="45"/>
      <c r="B568" s="45"/>
      <c r="C568" s="2"/>
      <c r="D568" s="2"/>
      <c r="E568" s="2"/>
      <c r="F568" s="72"/>
      <c r="G568" s="72"/>
    </row>
    <row r="569" spans="1:7" ht="12.75" customHeight="1" x14ac:dyDescent="0.2">
      <c r="A569" s="45"/>
      <c r="B569" s="45"/>
      <c r="C569" s="2"/>
      <c r="D569" s="2"/>
      <c r="E569" s="2"/>
      <c r="F569" s="72"/>
      <c r="G569" s="72"/>
    </row>
    <row r="570" spans="1:7" ht="12.75" customHeight="1" x14ac:dyDescent="0.2">
      <c r="A570" s="45"/>
      <c r="B570" s="45"/>
      <c r="C570" s="2"/>
      <c r="D570" s="2"/>
      <c r="E570" s="2"/>
      <c r="F570" s="72"/>
      <c r="G570" s="72"/>
    </row>
    <row r="571" spans="1:7" ht="12.75" customHeight="1" x14ac:dyDescent="0.2">
      <c r="A571" s="45"/>
      <c r="B571" s="45"/>
      <c r="C571" s="2"/>
      <c r="D571" s="2"/>
      <c r="E571" s="2"/>
      <c r="F571" s="72"/>
      <c r="G571" s="72"/>
    </row>
    <row r="572" spans="1:7" ht="12.75" customHeight="1" x14ac:dyDescent="0.2">
      <c r="A572" s="45"/>
      <c r="B572" s="45"/>
      <c r="C572" s="2"/>
      <c r="D572" s="2"/>
      <c r="E572" s="2"/>
      <c r="F572" s="72"/>
      <c r="G572" s="72"/>
    </row>
    <row r="573" spans="1:7" ht="12.75" customHeight="1" x14ac:dyDescent="0.2">
      <c r="A573" s="45"/>
      <c r="B573" s="45"/>
      <c r="C573" s="2"/>
      <c r="D573" s="2"/>
      <c r="E573" s="2"/>
      <c r="F573" s="72"/>
      <c r="G573" s="72"/>
    </row>
    <row r="574" spans="1:7" ht="12.75" customHeight="1" x14ac:dyDescent="0.2">
      <c r="A574" s="45"/>
      <c r="B574" s="45"/>
      <c r="C574" s="2"/>
      <c r="D574" s="2"/>
      <c r="E574" s="2"/>
      <c r="F574" s="72"/>
      <c r="G574" s="72"/>
    </row>
    <row r="575" spans="1:7" ht="12.75" customHeight="1" x14ac:dyDescent="0.2">
      <c r="A575" s="45"/>
      <c r="B575" s="45"/>
      <c r="C575" s="2"/>
      <c r="D575" s="2"/>
      <c r="E575" s="2"/>
      <c r="F575" s="72"/>
      <c r="G575" s="72"/>
    </row>
    <row r="576" spans="1:7" ht="12.75" customHeight="1" x14ac:dyDescent="0.2">
      <c r="A576" s="45"/>
      <c r="B576" s="45"/>
      <c r="C576" s="2"/>
      <c r="D576" s="2"/>
      <c r="E576" s="2"/>
      <c r="F576" s="72"/>
      <c r="G576" s="72"/>
    </row>
    <row r="577" spans="1:7" ht="12.75" customHeight="1" x14ac:dyDescent="0.2">
      <c r="A577" s="45"/>
      <c r="B577" s="45"/>
      <c r="C577" s="2"/>
      <c r="D577" s="2"/>
      <c r="E577" s="2"/>
      <c r="F577" s="72"/>
      <c r="G577" s="72"/>
    </row>
    <row r="578" spans="1:7" ht="12.75" customHeight="1" x14ac:dyDescent="0.2">
      <c r="A578" s="45"/>
      <c r="B578" s="45"/>
      <c r="C578" s="2"/>
      <c r="D578" s="2"/>
      <c r="E578" s="2"/>
      <c r="F578" s="72"/>
      <c r="G578" s="72"/>
    </row>
    <row r="579" spans="1:7" ht="12.75" customHeight="1" x14ac:dyDescent="0.2">
      <c r="A579" s="45"/>
      <c r="B579" s="45"/>
      <c r="C579" s="2"/>
      <c r="D579" s="2"/>
      <c r="E579" s="2"/>
      <c r="F579" s="72"/>
      <c r="G579" s="72"/>
    </row>
    <row r="580" spans="1:7" ht="12.75" customHeight="1" x14ac:dyDescent="0.2">
      <c r="A580" s="45"/>
      <c r="B580" s="45"/>
      <c r="C580" s="2"/>
      <c r="D580" s="2"/>
      <c r="E580" s="2"/>
      <c r="F580" s="72"/>
      <c r="G580" s="72"/>
    </row>
    <row r="581" spans="1:7" ht="12.75" customHeight="1" x14ac:dyDescent="0.2">
      <c r="A581" s="45"/>
      <c r="B581" s="45"/>
      <c r="C581" s="2"/>
      <c r="D581" s="2"/>
      <c r="E581" s="2"/>
      <c r="F581" s="72"/>
      <c r="G581" s="72"/>
    </row>
    <row r="582" spans="1:7" ht="12.75" customHeight="1" x14ac:dyDescent="0.2">
      <c r="A582" s="45"/>
      <c r="B582" s="45"/>
      <c r="C582" s="2"/>
      <c r="D582" s="2"/>
      <c r="E582" s="2"/>
      <c r="F582" s="72"/>
      <c r="G582" s="72"/>
    </row>
    <row r="583" spans="1:7" ht="12.75" customHeight="1" x14ac:dyDescent="0.2">
      <c r="A583" s="45"/>
      <c r="B583" s="45"/>
      <c r="C583" s="2"/>
      <c r="D583" s="2"/>
      <c r="E583" s="2"/>
      <c r="F583" s="72"/>
      <c r="G583" s="72"/>
    </row>
    <row r="584" spans="1:7" ht="12.75" customHeight="1" x14ac:dyDescent="0.2">
      <c r="A584" s="45"/>
      <c r="B584" s="45"/>
      <c r="C584" s="2"/>
      <c r="D584" s="2"/>
      <c r="E584" s="2"/>
      <c r="F584" s="72"/>
      <c r="G584" s="72"/>
    </row>
    <row r="585" spans="1:7" ht="12.75" customHeight="1" x14ac:dyDescent="0.2">
      <c r="A585" s="45"/>
      <c r="B585" s="45"/>
      <c r="C585" s="2"/>
      <c r="D585" s="2"/>
      <c r="E585" s="2"/>
      <c r="F585" s="72"/>
      <c r="G585" s="72"/>
    </row>
    <row r="586" spans="1:7" ht="12.75" customHeight="1" x14ac:dyDescent="0.2">
      <c r="A586" s="45"/>
      <c r="B586" s="45"/>
      <c r="C586" s="2"/>
      <c r="D586" s="2"/>
      <c r="E586" s="2"/>
      <c r="F586" s="72"/>
      <c r="G586" s="72"/>
    </row>
    <row r="587" spans="1:7" ht="12.75" customHeight="1" x14ac:dyDescent="0.2">
      <c r="A587" s="45"/>
      <c r="B587" s="45"/>
      <c r="C587" s="2"/>
      <c r="D587" s="2"/>
      <c r="E587" s="2"/>
      <c r="F587" s="72"/>
      <c r="G587" s="72"/>
    </row>
    <row r="588" spans="1:7" ht="12.75" customHeight="1" x14ac:dyDescent="0.2">
      <c r="A588" s="45"/>
      <c r="B588" s="45"/>
      <c r="C588" s="2"/>
      <c r="D588" s="2"/>
      <c r="E588" s="2"/>
      <c r="F588" s="72"/>
      <c r="G588" s="72"/>
    </row>
    <row r="589" spans="1:7" ht="12.75" customHeight="1" x14ac:dyDescent="0.2">
      <c r="A589" s="45"/>
      <c r="B589" s="45"/>
      <c r="C589" s="2"/>
      <c r="D589" s="2"/>
      <c r="E589" s="2"/>
      <c r="F589" s="72"/>
      <c r="G589" s="72"/>
    </row>
    <row r="590" spans="1:7" ht="12.75" customHeight="1" x14ac:dyDescent="0.2">
      <c r="A590" s="45"/>
      <c r="B590" s="45"/>
      <c r="C590" s="2"/>
      <c r="D590" s="2"/>
      <c r="E590" s="2"/>
      <c r="F590" s="72"/>
      <c r="G590" s="72"/>
    </row>
    <row r="591" spans="1:7" ht="12.75" customHeight="1" x14ac:dyDescent="0.2">
      <c r="A591" s="45"/>
      <c r="B591" s="45"/>
      <c r="C591" s="2"/>
      <c r="D591" s="2"/>
      <c r="E591" s="2"/>
      <c r="F591" s="72"/>
      <c r="G591" s="72"/>
    </row>
    <row r="592" spans="1:7" ht="12.75" customHeight="1" x14ac:dyDescent="0.2">
      <c r="A592" s="45"/>
      <c r="B592" s="45"/>
      <c r="C592" s="2"/>
      <c r="D592" s="2"/>
      <c r="E592" s="2"/>
      <c r="F592" s="72"/>
      <c r="G592" s="72"/>
    </row>
    <row r="593" spans="1:7" ht="12.75" customHeight="1" x14ac:dyDescent="0.2">
      <c r="A593" s="45"/>
      <c r="B593" s="45"/>
      <c r="C593" s="2"/>
      <c r="D593" s="2"/>
      <c r="E593" s="2"/>
      <c r="F593" s="72"/>
      <c r="G593" s="72"/>
    </row>
    <row r="594" spans="1:7" ht="12.75" customHeight="1" x14ac:dyDescent="0.2">
      <c r="A594" s="45"/>
      <c r="B594" s="45"/>
      <c r="C594" s="2"/>
      <c r="D594" s="2"/>
      <c r="E594" s="2"/>
      <c r="F594" s="72"/>
      <c r="G594" s="72"/>
    </row>
    <row r="595" spans="1:7" ht="12.75" customHeight="1" x14ac:dyDescent="0.2">
      <c r="A595" s="45"/>
      <c r="B595" s="45"/>
      <c r="C595" s="2"/>
      <c r="D595" s="2"/>
      <c r="E595" s="2"/>
      <c r="F595" s="72"/>
      <c r="G595" s="72"/>
    </row>
    <row r="596" spans="1:7" ht="12.75" customHeight="1" x14ac:dyDescent="0.2">
      <c r="A596" s="45"/>
      <c r="B596" s="45"/>
      <c r="C596" s="2"/>
      <c r="D596" s="2"/>
      <c r="E596" s="2"/>
      <c r="F596" s="72"/>
      <c r="G596" s="72"/>
    </row>
    <row r="597" spans="1:7" ht="12.75" customHeight="1" x14ac:dyDescent="0.2">
      <c r="A597" s="45"/>
      <c r="B597" s="45"/>
      <c r="C597" s="2"/>
      <c r="D597" s="2"/>
      <c r="E597" s="2"/>
      <c r="F597" s="72"/>
      <c r="G597" s="72"/>
    </row>
    <row r="598" spans="1:7" ht="12.75" customHeight="1" x14ac:dyDescent="0.2">
      <c r="A598" s="45"/>
      <c r="B598" s="45"/>
      <c r="C598" s="2"/>
      <c r="D598" s="2"/>
      <c r="E598" s="2"/>
      <c r="F598" s="72"/>
      <c r="G598" s="72"/>
    </row>
    <row r="599" spans="1:7" ht="12.75" customHeight="1" x14ac:dyDescent="0.2">
      <c r="A599" s="45"/>
      <c r="B599" s="45"/>
      <c r="C599" s="2"/>
      <c r="D599" s="2"/>
      <c r="E599" s="2"/>
      <c r="F599" s="72"/>
      <c r="G599" s="72"/>
    </row>
    <row r="600" spans="1:7" ht="12.75" customHeight="1" x14ac:dyDescent="0.2">
      <c r="A600" s="45"/>
      <c r="B600" s="45"/>
      <c r="C600" s="2"/>
      <c r="D600" s="2"/>
      <c r="E600" s="2"/>
      <c r="F600" s="72"/>
      <c r="G600" s="72"/>
    </row>
    <row r="601" spans="1:7" ht="12.75" customHeight="1" x14ac:dyDescent="0.2">
      <c r="A601" s="45"/>
      <c r="B601" s="45"/>
      <c r="C601" s="2"/>
      <c r="D601" s="2"/>
      <c r="E601" s="2"/>
      <c r="F601" s="72"/>
      <c r="G601" s="72"/>
    </row>
    <row r="602" spans="1:7" ht="12.75" customHeight="1" x14ac:dyDescent="0.2">
      <c r="A602" s="45"/>
      <c r="B602" s="45"/>
      <c r="C602" s="2"/>
      <c r="D602" s="2"/>
      <c r="E602" s="2"/>
      <c r="F602" s="72"/>
      <c r="G602" s="72"/>
    </row>
    <row r="603" spans="1:7" ht="12.75" customHeight="1" x14ac:dyDescent="0.2">
      <c r="A603" s="45"/>
      <c r="B603" s="45"/>
      <c r="C603" s="2"/>
      <c r="D603" s="2"/>
      <c r="E603" s="2"/>
      <c r="F603" s="72"/>
      <c r="G603" s="72"/>
    </row>
    <row r="604" spans="1:7" ht="12.75" customHeight="1" x14ac:dyDescent="0.2">
      <c r="A604" s="45"/>
      <c r="B604" s="45"/>
      <c r="C604" s="2"/>
      <c r="D604" s="2"/>
      <c r="E604" s="2"/>
      <c r="F604" s="72"/>
      <c r="G604" s="72"/>
    </row>
    <row r="605" spans="1:7" ht="12.75" customHeight="1" x14ac:dyDescent="0.2">
      <c r="A605" s="45"/>
      <c r="B605" s="45"/>
      <c r="C605" s="2"/>
      <c r="D605" s="2"/>
      <c r="E605" s="2"/>
      <c r="F605" s="72"/>
      <c r="G605" s="72"/>
    </row>
    <row r="606" spans="1:7" ht="12.75" customHeight="1" x14ac:dyDescent="0.2">
      <c r="A606" s="45"/>
      <c r="B606" s="45"/>
      <c r="C606" s="2"/>
      <c r="D606" s="2"/>
      <c r="E606" s="2"/>
      <c r="F606" s="72"/>
      <c r="G606" s="72"/>
    </row>
    <row r="607" spans="1:7" ht="12.75" customHeight="1" x14ac:dyDescent="0.2">
      <c r="A607" s="45"/>
      <c r="B607" s="45"/>
      <c r="C607" s="2"/>
      <c r="D607" s="2"/>
      <c r="E607" s="2"/>
      <c r="F607" s="72"/>
      <c r="G607" s="72"/>
    </row>
    <row r="608" spans="1:7" ht="12.75" customHeight="1" x14ac:dyDescent="0.2">
      <c r="A608" s="45"/>
      <c r="B608" s="45"/>
      <c r="C608" s="2"/>
      <c r="D608" s="2"/>
      <c r="E608" s="2"/>
      <c r="F608" s="72"/>
      <c r="G608" s="72"/>
    </row>
    <row r="609" spans="1:7" ht="12.75" customHeight="1" x14ac:dyDescent="0.2">
      <c r="A609" s="45"/>
      <c r="B609" s="45"/>
      <c r="C609" s="2"/>
      <c r="D609" s="2"/>
      <c r="E609" s="2"/>
      <c r="F609" s="72"/>
      <c r="G609" s="72"/>
    </row>
    <row r="610" spans="1:7" ht="12.75" customHeight="1" x14ac:dyDescent="0.2">
      <c r="A610" s="45"/>
      <c r="B610" s="45"/>
      <c r="C610" s="2"/>
      <c r="D610" s="2"/>
      <c r="E610" s="2"/>
      <c r="F610" s="72"/>
      <c r="G610" s="72"/>
    </row>
    <row r="611" spans="1:7" ht="12.75" customHeight="1" x14ac:dyDescent="0.2">
      <c r="A611" s="45"/>
      <c r="B611" s="45"/>
      <c r="C611" s="2"/>
      <c r="D611" s="2"/>
      <c r="E611" s="2"/>
      <c r="F611" s="72"/>
      <c r="G611" s="72"/>
    </row>
    <row r="612" spans="1:7" ht="12.75" customHeight="1" x14ac:dyDescent="0.2">
      <c r="A612" s="45"/>
      <c r="B612" s="45"/>
      <c r="C612" s="2"/>
      <c r="D612" s="2"/>
      <c r="E612" s="2"/>
      <c r="F612" s="72"/>
      <c r="G612" s="72"/>
    </row>
    <row r="613" spans="1:7" ht="12.75" customHeight="1" x14ac:dyDescent="0.2">
      <c r="A613" s="45"/>
      <c r="B613" s="45"/>
      <c r="C613" s="2"/>
      <c r="D613" s="2"/>
      <c r="E613" s="2"/>
      <c r="F613" s="72"/>
      <c r="G613" s="72"/>
    </row>
    <row r="614" spans="1:7" ht="12.75" customHeight="1" x14ac:dyDescent="0.2">
      <c r="A614" s="45"/>
      <c r="B614" s="45"/>
      <c r="C614" s="2"/>
      <c r="D614" s="2"/>
      <c r="E614" s="2"/>
      <c r="F614" s="72"/>
      <c r="G614" s="72"/>
    </row>
    <row r="615" spans="1:7" ht="12.75" customHeight="1" x14ac:dyDescent="0.2">
      <c r="A615" s="45"/>
      <c r="B615" s="45"/>
      <c r="C615" s="2"/>
      <c r="D615" s="2"/>
      <c r="E615" s="2"/>
      <c r="F615" s="72"/>
      <c r="G615" s="72"/>
    </row>
    <row r="616" spans="1:7" ht="12.75" customHeight="1" x14ac:dyDescent="0.2">
      <c r="A616" s="45"/>
      <c r="B616" s="45"/>
      <c r="C616" s="2"/>
      <c r="D616" s="2"/>
      <c r="E616" s="2"/>
      <c r="F616" s="72"/>
      <c r="G616" s="72"/>
    </row>
    <row r="617" spans="1:7" ht="12.75" customHeight="1" x14ac:dyDescent="0.2">
      <c r="A617" s="45"/>
      <c r="B617" s="45"/>
      <c r="C617" s="2"/>
      <c r="D617" s="2"/>
      <c r="E617" s="2"/>
      <c r="F617" s="72"/>
      <c r="G617" s="72"/>
    </row>
    <row r="618" spans="1:7" ht="12.75" customHeight="1" x14ac:dyDescent="0.2">
      <c r="A618" s="45"/>
      <c r="B618" s="45"/>
      <c r="C618" s="2"/>
      <c r="D618" s="2"/>
      <c r="E618" s="2"/>
      <c r="F618" s="72"/>
      <c r="G618" s="72"/>
    </row>
    <row r="619" spans="1:7" ht="12.75" customHeight="1" x14ac:dyDescent="0.2">
      <c r="A619" s="45"/>
      <c r="B619" s="45"/>
      <c r="C619" s="2"/>
      <c r="D619" s="2"/>
      <c r="E619" s="2"/>
      <c r="F619" s="72"/>
      <c r="G619" s="72"/>
    </row>
    <row r="620" spans="1:7" ht="12.75" customHeight="1" x14ac:dyDescent="0.2">
      <c r="A620" s="45"/>
      <c r="B620" s="45"/>
      <c r="C620" s="2"/>
      <c r="D620" s="2"/>
      <c r="E620" s="2"/>
      <c r="F620" s="72"/>
      <c r="G620" s="72"/>
    </row>
    <row r="621" spans="1:7" ht="12.75" customHeight="1" x14ac:dyDescent="0.2">
      <c r="A621" s="45"/>
      <c r="B621" s="45"/>
      <c r="C621" s="2"/>
      <c r="D621" s="2"/>
      <c r="E621" s="2"/>
      <c r="F621" s="72"/>
      <c r="G621" s="72"/>
    </row>
    <row r="622" spans="1:7" ht="12.75" customHeight="1" x14ac:dyDescent="0.2">
      <c r="A622" s="45"/>
      <c r="B622" s="45"/>
      <c r="C622" s="2"/>
      <c r="D622" s="2"/>
      <c r="E622" s="2"/>
      <c r="F622" s="72"/>
      <c r="G622" s="72"/>
    </row>
    <row r="623" spans="1:7" ht="12.75" customHeight="1" x14ac:dyDescent="0.2">
      <c r="A623" s="45"/>
      <c r="B623" s="45"/>
      <c r="C623" s="2"/>
      <c r="D623" s="2"/>
      <c r="E623" s="2"/>
      <c r="F623" s="72"/>
      <c r="G623" s="72"/>
    </row>
    <row r="624" spans="1:7" ht="12.75" customHeight="1" x14ac:dyDescent="0.2">
      <c r="A624" s="45"/>
      <c r="B624" s="45"/>
      <c r="C624" s="2"/>
      <c r="D624" s="2"/>
      <c r="E624" s="2"/>
      <c r="F624" s="72"/>
      <c r="G624" s="72"/>
    </row>
    <row r="625" spans="1:7" ht="12.75" customHeight="1" x14ac:dyDescent="0.2">
      <c r="A625" s="45"/>
      <c r="B625" s="45"/>
      <c r="C625" s="2"/>
      <c r="D625" s="2"/>
      <c r="E625" s="2"/>
      <c r="F625" s="72"/>
      <c r="G625" s="72"/>
    </row>
    <row r="626" spans="1:7" ht="12.75" customHeight="1" x14ac:dyDescent="0.2">
      <c r="A626" s="45"/>
      <c r="B626" s="45"/>
      <c r="C626" s="2"/>
      <c r="D626" s="2"/>
      <c r="E626" s="2"/>
      <c r="F626" s="72"/>
      <c r="G626" s="72"/>
    </row>
    <row r="627" spans="1:7" ht="12.75" customHeight="1" x14ac:dyDescent="0.2">
      <c r="A627" s="45"/>
      <c r="B627" s="45"/>
      <c r="C627" s="2"/>
      <c r="D627" s="2"/>
      <c r="E627" s="2"/>
      <c r="F627" s="72"/>
      <c r="G627" s="72"/>
    </row>
    <row r="628" spans="1:7" ht="12.75" customHeight="1" x14ac:dyDescent="0.2">
      <c r="A628" s="45"/>
      <c r="B628" s="45"/>
      <c r="C628" s="2"/>
      <c r="D628" s="2"/>
      <c r="E628" s="2"/>
      <c r="F628" s="72"/>
      <c r="G628" s="72"/>
    </row>
    <row r="629" spans="1:7" ht="12.75" customHeight="1" x14ac:dyDescent="0.2">
      <c r="A629" s="45"/>
      <c r="B629" s="45"/>
      <c r="C629" s="2"/>
      <c r="D629" s="2"/>
      <c r="E629" s="2"/>
      <c r="F629" s="72"/>
      <c r="G629" s="72"/>
    </row>
    <row r="630" spans="1:7" ht="12.75" customHeight="1" x14ac:dyDescent="0.2">
      <c r="A630" s="45"/>
      <c r="B630" s="45"/>
      <c r="C630" s="2"/>
      <c r="D630" s="2"/>
      <c r="E630" s="2"/>
      <c r="F630" s="72"/>
      <c r="G630" s="72"/>
    </row>
    <row r="631" spans="1:7" ht="12.75" customHeight="1" x14ac:dyDescent="0.2">
      <c r="A631" s="45"/>
      <c r="B631" s="45"/>
      <c r="C631" s="2"/>
      <c r="D631" s="2"/>
      <c r="E631" s="2"/>
      <c r="F631" s="72"/>
      <c r="G631" s="72"/>
    </row>
    <row r="632" spans="1:7" ht="12.75" customHeight="1" x14ac:dyDescent="0.2">
      <c r="A632" s="45"/>
      <c r="B632" s="45"/>
      <c r="C632" s="2"/>
      <c r="D632" s="2"/>
      <c r="E632" s="2"/>
      <c r="F632" s="72"/>
      <c r="G632" s="72"/>
    </row>
    <row r="633" spans="1:7" ht="12.75" customHeight="1" x14ac:dyDescent="0.2">
      <c r="A633" s="45"/>
      <c r="B633" s="45"/>
      <c r="C633" s="2"/>
      <c r="D633" s="2"/>
      <c r="E633" s="2"/>
      <c r="F633" s="72"/>
      <c r="G633" s="72"/>
    </row>
    <row r="634" spans="1:7" ht="12.75" customHeight="1" x14ac:dyDescent="0.2">
      <c r="A634" s="45"/>
      <c r="B634" s="45"/>
      <c r="C634" s="2"/>
      <c r="D634" s="2"/>
      <c r="E634" s="2"/>
      <c r="F634" s="72"/>
      <c r="G634" s="72"/>
    </row>
    <row r="635" spans="1:7" ht="12.75" customHeight="1" x14ac:dyDescent="0.2">
      <c r="A635" s="45"/>
      <c r="B635" s="45"/>
      <c r="C635" s="2"/>
      <c r="D635" s="2"/>
      <c r="E635" s="2"/>
      <c r="F635" s="72"/>
      <c r="G635" s="72"/>
    </row>
    <row r="636" spans="1:7" ht="12.75" customHeight="1" x14ac:dyDescent="0.2">
      <c r="A636" s="45"/>
      <c r="B636" s="45"/>
      <c r="C636" s="2"/>
      <c r="D636" s="2"/>
      <c r="E636" s="2"/>
      <c r="F636" s="72"/>
      <c r="G636" s="72"/>
    </row>
    <row r="637" spans="1:7" ht="12.75" customHeight="1" x14ac:dyDescent="0.2">
      <c r="A637" s="45"/>
      <c r="B637" s="45"/>
      <c r="C637" s="2"/>
      <c r="D637" s="2"/>
      <c r="E637" s="2"/>
      <c r="F637" s="72"/>
      <c r="G637" s="72"/>
    </row>
    <row r="638" spans="1:7" ht="12.75" customHeight="1" x14ac:dyDescent="0.2">
      <c r="A638" s="45"/>
      <c r="B638" s="45"/>
      <c r="C638" s="2"/>
      <c r="D638" s="2"/>
      <c r="E638" s="2"/>
      <c r="F638" s="72"/>
      <c r="G638" s="72"/>
    </row>
    <row r="639" spans="1:7" ht="12.75" customHeight="1" x14ac:dyDescent="0.2">
      <c r="A639" s="45"/>
      <c r="B639" s="45"/>
      <c r="C639" s="2"/>
      <c r="D639" s="2"/>
      <c r="E639" s="2"/>
      <c r="F639" s="72"/>
      <c r="G639" s="72"/>
    </row>
    <row r="640" spans="1:7" ht="12.75" customHeight="1" x14ac:dyDescent="0.2">
      <c r="A640" s="45"/>
      <c r="B640" s="45"/>
      <c r="C640" s="2"/>
      <c r="D640" s="2"/>
      <c r="E640" s="2"/>
      <c r="F640" s="72"/>
      <c r="G640" s="72"/>
    </row>
    <row r="641" spans="1:7" ht="12.75" customHeight="1" x14ac:dyDescent="0.2">
      <c r="A641" s="45"/>
      <c r="B641" s="45"/>
      <c r="C641" s="2"/>
      <c r="D641" s="2"/>
      <c r="E641" s="2"/>
      <c r="F641" s="72"/>
      <c r="G641" s="72"/>
    </row>
    <row r="642" spans="1:7" ht="12.75" customHeight="1" x14ac:dyDescent="0.2">
      <c r="A642" s="45"/>
      <c r="B642" s="45"/>
      <c r="C642" s="2"/>
      <c r="D642" s="2"/>
      <c r="E642" s="2"/>
      <c r="F642" s="72"/>
      <c r="G642" s="72"/>
    </row>
    <row r="643" spans="1:7" ht="12.75" customHeight="1" x14ac:dyDescent="0.2">
      <c r="A643" s="45"/>
      <c r="B643" s="45"/>
      <c r="C643" s="2"/>
      <c r="D643" s="2"/>
      <c r="E643" s="2"/>
      <c r="F643" s="72"/>
      <c r="G643" s="72"/>
    </row>
    <row r="644" spans="1:7" ht="12.75" customHeight="1" x14ac:dyDescent="0.2">
      <c r="A644" s="45"/>
      <c r="B644" s="45"/>
      <c r="C644" s="2"/>
      <c r="D644" s="2"/>
      <c r="E644" s="2"/>
      <c r="F644" s="72"/>
      <c r="G644" s="72"/>
    </row>
    <row r="645" spans="1:7" ht="12.75" customHeight="1" x14ac:dyDescent="0.2">
      <c r="A645" s="45"/>
      <c r="B645" s="45"/>
      <c r="C645" s="2"/>
      <c r="D645" s="2"/>
      <c r="E645" s="2"/>
      <c r="F645" s="72"/>
      <c r="G645" s="72"/>
    </row>
    <row r="646" spans="1:7" ht="12.75" customHeight="1" x14ac:dyDescent="0.2">
      <c r="A646" s="45"/>
      <c r="B646" s="45"/>
      <c r="C646" s="2"/>
      <c r="D646" s="2"/>
      <c r="E646" s="2"/>
      <c r="F646" s="72"/>
      <c r="G646" s="72"/>
    </row>
    <row r="647" spans="1:7" ht="12.75" customHeight="1" x14ac:dyDescent="0.2">
      <c r="A647" s="45"/>
      <c r="B647" s="45"/>
      <c r="C647" s="2"/>
      <c r="D647" s="2"/>
      <c r="E647" s="2"/>
      <c r="F647" s="72"/>
      <c r="G647" s="72"/>
    </row>
    <row r="648" spans="1:7" ht="12.75" customHeight="1" x14ac:dyDescent="0.2">
      <c r="A648" s="45"/>
      <c r="B648" s="45"/>
      <c r="C648" s="2"/>
      <c r="D648" s="2"/>
      <c r="E648" s="2"/>
      <c r="F648" s="72"/>
      <c r="G648" s="72"/>
    </row>
    <row r="649" spans="1:7" ht="12.75" customHeight="1" x14ac:dyDescent="0.2">
      <c r="A649" s="45"/>
      <c r="B649" s="45"/>
      <c r="C649" s="2"/>
      <c r="D649" s="2"/>
      <c r="E649" s="2"/>
      <c r="F649" s="72"/>
      <c r="G649" s="72"/>
    </row>
    <row r="650" spans="1:7" ht="12.75" customHeight="1" x14ac:dyDescent="0.2">
      <c r="A650" s="45"/>
      <c r="B650" s="45"/>
      <c r="C650" s="2"/>
      <c r="D650" s="2"/>
      <c r="E650" s="2"/>
      <c r="F650" s="72"/>
      <c r="G650" s="72"/>
    </row>
    <row r="651" spans="1:7" ht="12.75" customHeight="1" x14ac:dyDescent="0.2">
      <c r="A651" s="45"/>
      <c r="B651" s="45"/>
      <c r="C651" s="2"/>
      <c r="D651" s="2"/>
      <c r="E651" s="2"/>
      <c r="F651" s="72"/>
      <c r="G651" s="72"/>
    </row>
    <row r="652" spans="1:7" ht="12.75" customHeight="1" x14ac:dyDescent="0.2">
      <c r="A652" s="45"/>
      <c r="B652" s="45"/>
      <c r="C652" s="2"/>
      <c r="D652" s="2"/>
      <c r="E652" s="2"/>
      <c r="F652" s="72"/>
      <c r="G652" s="72"/>
    </row>
    <row r="653" spans="1:7" ht="12.75" customHeight="1" x14ac:dyDescent="0.2">
      <c r="A653" s="45"/>
      <c r="B653" s="45"/>
      <c r="C653" s="2"/>
      <c r="D653" s="2"/>
      <c r="E653" s="2"/>
      <c r="F653" s="72"/>
      <c r="G653" s="72"/>
    </row>
    <row r="654" spans="1:7" ht="12.75" customHeight="1" x14ac:dyDescent="0.2">
      <c r="A654" s="45"/>
      <c r="B654" s="45"/>
      <c r="C654" s="2"/>
      <c r="D654" s="2"/>
      <c r="E654" s="2"/>
      <c r="F654" s="72"/>
      <c r="G654" s="72"/>
    </row>
    <row r="655" spans="1:7" ht="12.75" customHeight="1" x14ac:dyDescent="0.2">
      <c r="A655" s="45"/>
      <c r="B655" s="45"/>
      <c r="C655" s="2"/>
      <c r="D655" s="2"/>
      <c r="E655" s="2"/>
      <c r="F655" s="72"/>
      <c r="G655" s="72"/>
    </row>
    <row r="656" spans="1:7" ht="12.75" customHeight="1" x14ac:dyDescent="0.2">
      <c r="A656" s="45"/>
      <c r="B656" s="45"/>
      <c r="C656" s="2"/>
      <c r="D656" s="2"/>
      <c r="E656" s="2"/>
      <c r="F656" s="72"/>
      <c r="G656" s="72"/>
    </row>
    <row r="657" spans="1:7" ht="12.75" customHeight="1" x14ac:dyDescent="0.2">
      <c r="A657" s="45"/>
      <c r="B657" s="45"/>
      <c r="C657" s="2"/>
      <c r="D657" s="2"/>
      <c r="E657" s="2"/>
      <c r="F657" s="72"/>
      <c r="G657" s="72"/>
    </row>
    <row r="658" spans="1:7" ht="12.75" customHeight="1" x14ac:dyDescent="0.2">
      <c r="A658" s="45"/>
      <c r="B658" s="45"/>
      <c r="C658" s="2"/>
      <c r="D658" s="2"/>
      <c r="E658" s="2"/>
      <c r="F658" s="72"/>
      <c r="G658" s="72"/>
    </row>
    <row r="659" spans="1:7" ht="12.75" customHeight="1" x14ac:dyDescent="0.2">
      <c r="A659" s="45"/>
      <c r="B659" s="45"/>
      <c r="C659" s="2"/>
      <c r="D659" s="2"/>
      <c r="E659" s="2"/>
      <c r="F659" s="72"/>
      <c r="G659" s="72"/>
    </row>
    <row r="660" spans="1:7" ht="12.75" customHeight="1" x14ac:dyDescent="0.2">
      <c r="A660" s="45"/>
      <c r="B660" s="45"/>
      <c r="C660" s="2"/>
      <c r="D660" s="2"/>
      <c r="E660" s="2"/>
      <c r="F660" s="72"/>
      <c r="G660" s="72"/>
    </row>
    <row r="661" spans="1:7" ht="12.75" customHeight="1" x14ac:dyDescent="0.2">
      <c r="A661" s="45"/>
      <c r="B661" s="45"/>
      <c r="C661" s="2"/>
      <c r="D661" s="2"/>
      <c r="E661" s="2"/>
      <c r="F661" s="72"/>
      <c r="G661" s="72"/>
    </row>
    <row r="662" spans="1:7" ht="12.75" customHeight="1" x14ac:dyDescent="0.2">
      <c r="A662" s="45"/>
      <c r="B662" s="45"/>
      <c r="C662" s="2"/>
      <c r="D662" s="2"/>
      <c r="E662" s="2"/>
      <c r="F662" s="72"/>
      <c r="G662" s="72"/>
    </row>
    <row r="663" spans="1:7" ht="12.75" customHeight="1" x14ac:dyDescent="0.2">
      <c r="A663" s="45"/>
      <c r="B663" s="45"/>
      <c r="C663" s="2"/>
      <c r="D663" s="2"/>
      <c r="E663" s="2"/>
      <c r="F663" s="72"/>
      <c r="G663" s="72"/>
    </row>
    <row r="664" spans="1:7" ht="12.75" customHeight="1" x14ac:dyDescent="0.2">
      <c r="A664" s="45"/>
      <c r="B664" s="45"/>
      <c r="C664" s="2"/>
      <c r="D664" s="2"/>
      <c r="E664" s="2"/>
      <c r="F664" s="72"/>
      <c r="G664" s="72"/>
    </row>
    <row r="665" spans="1:7" ht="12.75" customHeight="1" x14ac:dyDescent="0.2">
      <c r="A665" s="45"/>
      <c r="B665" s="45"/>
      <c r="C665" s="2"/>
      <c r="D665" s="2"/>
      <c r="E665" s="2"/>
      <c r="F665" s="72"/>
      <c r="G665" s="72"/>
    </row>
    <row r="666" spans="1:7" ht="12.75" customHeight="1" x14ac:dyDescent="0.2">
      <c r="A666" s="45"/>
      <c r="B666" s="45"/>
      <c r="C666" s="2"/>
      <c r="D666" s="2"/>
      <c r="E666" s="2"/>
      <c r="F666" s="72"/>
      <c r="G666" s="72"/>
    </row>
    <row r="667" spans="1:7" ht="12.75" customHeight="1" x14ac:dyDescent="0.2">
      <c r="A667" s="45"/>
      <c r="B667" s="45"/>
      <c r="C667" s="2"/>
      <c r="D667" s="2"/>
      <c r="E667" s="2"/>
      <c r="F667" s="72"/>
      <c r="G667" s="72"/>
    </row>
    <row r="668" spans="1:7" ht="12.75" customHeight="1" x14ac:dyDescent="0.2">
      <c r="A668" s="45"/>
      <c r="B668" s="45"/>
      <c r="C668" s="2"/>
      <c r="D668" s="2"/>
      <c r="E668" s="2"/>
      <c r="F668" s="72"/>
      <c r="G668" s="72"/>
    </row>
    <row r="669" spans="1:7" ht="12.75" customHeight="1" x14ac:dyDescent="0.2">
      <c r="A669" s="45"/>
      <c r="B669" s="45"/>
      <c r="C669" s="2"/>
      <c r="D669" s="2"/>
      <c r="E669" s="2"/>
      <c r="F669" s="72"/>
      <c r="G669" s="72"/>
    </row>
    <row r="670" spans="1:7" ht="12.75" customHeight="1" x14ac:dyDescent="0.2">
      <c r="A670" s="45"/>
      <c r="B670" s="45"/>
      <c r="C670" s="2"/>
      <c r="D670" s="2"/>
      <c r="E670" s="2"/>
      <c r="F670" s="72"/>
      <c r="G670" s="72"/>
    </row>
    <row r="671" spans="1:7" ht="12.75" customHeight="1" x14ac:dyDescent="0.2">
      <c r="A671" s="45"/>
      <c r="B671" s="45"/>
      <c r="C671" s="2"/>
      <c r="D671" s="2"/>
      <c r="E671" s="2"/>
      <c r="F671" s="72"/>
      <c r="G671" s="72"/>
    </row>
    <row r="672" spans="1:7" ht="12.75" customHeight="1" x14ac:dyDescent="0.2">
      <c r="A672" s="45"/>
      <c r="B672" s="45"/>
      <c r="C672" s="2"/>
      <c r="D672" s="2"/>
      <c r="E672" s="2"/>
      <c r="F672" s="72"/>
      <c r="G672" s="72"/>
    </row>
    <row r="673" spans="1:7" ht="12.75" customHeight="1" x14ac:dyDescent="0.2">
      <c r="A673" s="45"/>
      <c r="B673" s="45"/>
      <c r="C673" s="2"/>
      <c r="D673" s="2"/>
      <c r="E673" s="2"/>
      <c r="F673" s="72"/>
      <c r="G673" s="72"/>
    </row>
    <row r="674" spans="1:7" ht="12.75" customHeight="1" x14ac:dyDescent="0.2">
      <c r="A674" s="45"/>
      <c r="B674" s="45"/>
      <c r="C674" s="2"/>
      <c r="D674" s="2"/>
      <c r="E674" s="2"/>
      <c r="F674" s="72"/>
      <c r="G674" s="72"/>
    </row>
    <row r="675" spans="1:7" ht="12.75" customHeight="1" x14ac:dyDescent="0.2">
      <c r="A675" s="45"/>
      <c r="B675" s="45"/>
      <c r="C675" s="2"/>
      <c r="D675" s="2"/>
      <c r="E675" s="2"/>
      <c r="F675" s="72"/>
      <c r="G675" s="72"/>
    </row>
    <row r="676" spans="1:7" ht="12.75" customHeight="1" x14ac:dyDescent="0.2">
      <c r="A676" s="45"/>
      <c r="B676" s="45"/>
      <c r="C676" s="2"/>
      <c r="D676" s="2"/>
      <c r="E676" s="2"/>
      <c r="F676" s="72"/>
      <c r="G676" s="72"/>
    </row>
    <row r="677" spans="1:7" ht="12.75" customHeight="1" x14ac:dyDescent="0.2">
      <c r="A677" s="45"/>
      <c r="B677" s="45"/>
      <c r="C677" s="2"/>
      <c r="D677" s="2"/>
      <c r="E677" s="2"/>
      <c r="F677" s="72"/>
      <c r="G677" s="72"/>
    </row>
    <row r="678" spans="1:7" ht="12.75" customHeight="1" x14ac:dyDescent="0.2">
      <c r="A678" s="45"/>
      <c r="B678" s="45"/>
      <c r="C678" s="2"/>
      <c r="D678" s="2"/>
      <c r="E678" s="2"/>
      <c r="F678" s="72"/>
      <c r="G678" s="72"/>
    </row>
    <row r="679" spans="1:7" ht="12.75" customHeight="1" x14ac:dyDescent="0.2">
      <c r="A679" s="45"/>
      <c r="B679" s="45"/>
      <c r="C679" s="2"/>
      <c r="D679" s="2"/>
      <c r="E679" s="2"/>
      <c r="F679" s="72"/>
      <c r="G679" s="72"/>
    </row>
    <row r="680" spans="1:7" ht="12.75" customHeight="1" x14ac:dyDescent="0.2">
      <c r="A680" s="45"/>
      <c r="B680" s="45"/>
      <c r="C680" s="2"/>
      <c r="D680" s="2"/>
      <c r="E680" s="2"/>
      <c r="F680" s="72"/>
      <c r="G680" s="72"/>
    </row>
    <row r="681" spans="1:7" ht="12.75" customHeight="1" x14ac:dyDescent="0.2">
      <c r="A681" s="45"/>
      <c r="B681" s="45"/>
      <c r="C681" s="2"/>
      <c r="D681" s="2"/>
      <c r="E681" s="2"/>
      <c r="F681" s="72"/>
      <c r="G681" s="72"/>
    </row>
    <row r="682" spans="1:7" ht="12.75" customHeight="1" x14ac:dyDescent="0.2">
      <c r="A682" s="45"/>
      <c r="B682" s="45"/>
      <c r="C682" s="2"/>
      <c r="D682" s="2"/>
      <c r="E682" s="2"/>
      <c r="F682" s="72"/>
      <c r="G682" s="72"/>
    </row>
    <row r="683" spans="1:7" ht="12.75" customHeight="1" x14ac:dyDescent="0.2">
      <c r="A683" s="45"/>
      <c r="B683" s="45"/>
      <c r="C683" s="2"/>
      <c r="D683" s="2"/>
      <c r="E683" s="2"/>
      <c r="F683" s="72"/>
      <c r="G683" s="72"/>
    </row>
    <row r="684" spans="1:7" ht="12.75" customHeight="1" x14ac:dyDescent="0.2">
      <c r="A684" s="45"/>
      <c r="B684" s="45"/>
      <c r="C684" s="2"/>
      <c r="D684" s="2"/>
      <c r="E684" s="2"/>
      <c r="F684" s="72"/>
      <c r="G684" s="72"/>
    </row>
    <row r="685" spans="1:7" ht="12.75" customHeight="1" x14ac:dyDescent="0.2">
      <c r="A685" s="45"/>
      <c r="B685" s="45"/>
      <c r="C685" s="2"/>
      <c r="D685" s="2"/>
      <c r="E685" s="2"/>
      <c r="F685" s="72"/>
      <c r="G685" s="72"/>
    </row>
    <row r="686" spans="1:7" ht="12.75" customHeight="1" x14ac:dyDescent="0.2">
      <c r="A686" s="45"/>
      <c r="B686" s="45"/>
      <c r="C686" s="2"/>
      <c r="D686" s="2"/>
      <c r="E686" s="2"/>
      <c r="F686" s="72"/>
      <c r="G686" s="72"/>
    </row>
    <row r="687" spans="1:7" ht="12.75" customHeight="1" x14ac:dyDescent="0.2">
      <c r="A687" s="45"/>
      <c r="B687" s="45"/>
      <c r="C687" s="2"/>
      <c r="D687" s="2"/>
      <c r="E687" s="2"/>
      <c r="F687" s="72"/>
      <c r="G687" s="72"/>
    </row>
    <row r="688" spans="1:7" ht="12.75" customHeight="1" x14ac:dyDescent="0.2">
      <c r="A688" s="45"/>
      <c r="B688" s="45"/>
      <c r="C688" s="2"/>
      <c r="D688" s="2"/>
      <c r="E688" s="2"/>
      <c r="F688" s="72"/>
      <c r="G688" s="72"/>
    </row>
    <row r="689" spans="1:7" ht="12.75" customHeight="1" x14ac:dyDescent="0.2">
      <c r="A689" s="45"/>
      <c r="B689" s="45"/>
      <c r="C689" s="2"/>
      <c r="D689" s="2"/>
      <c r="E689" s="2"/>
      <c r="F689" s="72"/>
      <c r="G689" s="72"/>
    </row>
    <row r="690" spans="1:7" ht="12.75" customHeight="1" x14ac:dyDescent="0.2">
      <c r="A690" s="45"/>
      <c r="B690" s="45"/>
      <c r="C690" s="2"/>
      <c r="D690" s="2"/>
      <c r="E690" s="2"/>
      <c r="F690" s="72"/>
      <c r="G690" s="72"/>
    </row>
    <row r="691" spans="1:7" ht="12.75" customHeight="1" x14ac:dyDescent="0.2">
      <c r="A691" s="45"/>
      <c r="B691" s="45"/>
      <c r="C691" s="2"/>
      <c r="D691" s="2"/>
      <c r="E691" s="2"/>
      <c r="F691" s="72"/>
      <c r="G691" s="72"/>
    </row>
    <row r="692" spans="1:7" ht="12.75" customHeight="1" x14ac:dyDescent="0.2">
      <c r="A692" s="45"/>
      <c r="B692" s="45"/>
      <c r="C692" s="2"/>
      <c r="D692" s="2"/>
      <c r="E692" s="2"/>
      <c r="F692" s="72"/>
      <c r="G692" s="72"/>
    </row>
    <row r="693" spans="1:7" ht="12.75" customHeight="1" x14ac:dyDescent="0.2">
      <c r="A693" s="45"/>
      <c r="B693" s="45"/>
      <c r="C693" s="2"/>
      <c r="D693" s="2"/>
      <c r="E693" s="2"/>
      <c r="F693" s="72"/>
      <c r="G693" s="72"/>
    </row>
    <row r="694" spans="1:7" ht="12.75" customHeight="1" x14ac:dyDescent="0.2">
      <c r="A694" s="45"/>
      <c r="B694" s="45"/>
      <c r="C694" s="2"/>
      <c r="D694" s="2"/>
      <c r="E694" s="2"/>
      <c r="F694" s="72"/>
      <c r="G694" s="72"/>
    </row>
    <row r="695" spans="1:7" ht="12.75" customHeight="1" x14ac:dyDescent="0.2">
      <c r="A695" s="45"/>
      <c r="B695" s="45"/>
      <c r="C695" s="2"/>
      <c r="D695" s="2"/>
      <c r="E695" s="2"/>
      <c r="F695" s="72"/>
      <c r="G695" s="72"/>
    </row>
    <row r="696" spans="1:7" ht="12.75" customHeight="1" x14ac:dyDescent="0.2">
      <c r="A696" s="45"/>
      <c r="B696" s="45"/>
      <c r="C696" s="2"/>
      <c r="D696" s="2"/>
      <c r="E696" s="2"/>
      <c r="F696" s="72"/>
      <c r="G696" s="72"/>
    </row>
    <row r="697" spans="1:7" ht="12.75" customHeight="1" x14ac:dyDescent="0.2">
      <c r="A697" s="45"/>
      <c r="B697" s="45"/>
      <c r="C697" s="2"/>
      <c r="D697" s="2"/>
      <c r="E697" s="2"/>
      <c r="F697" s="72"/>
      <c r="G697" s="72"/>
    </row>
    <row r="698" spans="1:7" ht="12.75" customHeight="1" x14ac:dyDescent="0.2">
      <c r="A698" s="45"/>
      <c r="B698" s="45"/>
      <c r="C698" s="2"/>
      <c r="D698" s="2"/>
      <c r="E698" s="2"/>
      <c r="F698" s="72"/>
      <c r="G698" s="72"/>
    </row>
    <row r="699" spans="1:7" ht="12.75" customHeight="1" x14ac:dyDescent="0.2">
      <c r="A699" s="45"/>
      <c r="B699" s="45"/>
      <c r="C699" s="2"/>
      <c r="D699" s="2"/>
      <c r="E699" s="2"/>
      <c r="F699" s="72"/>
      <c r="G699" s="72"/>
    </row>
    <row r="700" spans="1:7" ht="12.75" customHeight="1" x14ac:dyDescent="0.2">
      <c r="A700" s="45"/>
      <c r="B700" s="45"/>
      <c r="C700" s="2"/>
      <c r="D700" s="2"/>
      <c r="E700" s="2"/>
      <c r="F700" s="72"/>
      <c r="G700" s="72"/>
    </row>
    <row r="701" spans="1:7" ht="12.75" customHeight="1" x14ac:dyDescent="0.2">
      <c r="A701" s="45"/>
      <c r="B701" s="45"/>
      <c r="C701" s="2"/>
      <c r="D701" s="2"/>
      <c r="E701" s="2"/>
      <c r="F701" s="72"/>
      <c r="G701" s="72"/>
    </row>
    <row r="702" spans="1:7" ht="12.75" customHeight="1" x14ac:dyDescent="0.2">
      <c r="A702" s="45"/>
      <c r="B702" s="45"/>
      <c r="C702" s="2"/>
      <c r="D702" s="2"/>
      <c r="E702" s="2"/>
      <c r="F702" s="72"/>
      <c r="G702" s="72"/>
    </row>
    <row r="703" spans="1:7" ht="12.75" customHeight="1" x14ac:dyDescent="0.2">
      <c r="A703" s="45"/>
      <c r="B703" s="45"/>
      <c r="C703" s="2"/>
      <c r="D703" s="2"/>
      <c r="E703" s="2"/>
      <c r="F703" s="72"/>
      <c r="G703" s="72"/>
    </row>
    <row r="704" spans="1:7" ht="12.75" customHeight="1" x14ac:dyDescent="0.2">
      <c r="A704" s="45"/>
      <c r="B704" s="45"/>
      <c r="C704" s="2"/>
      <c r="D704" s="2"/>
      <c r="E704" s="2"/>
      <c r="F704" s="72"/>
      <c r="G704" s="72"/>
    </row>
    <row r="705" spans="1:7" ht="12.75" customHeight="1" x14ac:dyDescent="0.2">
      <c r="A705" s="45"/>
      <c r="B705" s="45"/>
      <c r="C705" s="2"/>
      <c r="D705" s="2"/>
      <c r="E705" s="2"/>
      <c r="F705" s="72"/>
      <c r="G705" s="72"/>
    </row>
    <row r="706" spans="1:7" ht="12.75" customHeight="1" x14ac:dyDescent="0.2">
      <c r="A706" s="45"/>
      <c r="B706" s="45"/>
      <c r="C706" s="2"/>
      <c r="D706" s="2"/>
      <c r="E706" s="2"/>
      <c r="F706" s="72"/>
      <c r="G706" s="72"/>
    </row>
    <row r="707" spans="1:7" ht="12.75" customHeight="1" x14ac:dyDescent="0.2">
      <c r="A707" s="45"/>
      <c r="B707" s="45"/>
      <c r="C707" s="2"/>
      <c r="D707" s="2"/>
      <c r="E707" s="2"/>
      <c r="F707" s="72"/>
      <c r="G707" s="72"/>
    </row>
    <row r="708" spans="1:7" ht="12.75" customHeight="1" x14ac:dyDescent="0.2">
      <c r="A708" s="45"/>
      <c r="B708" s="45"/>
      <c r="C708" s="2"/>
      <c r="D708" s="2"/>
      <c r="E708" s="2"/>
      <c r="F708" s="72"/>
      <c r="G708" s="72"/>
    </row>
    <row r="709" spans="1:7" ht="12.75" customHeight="1" x14ac:dyDescent="0.2">
      <c r="A709" s="45"/>
      <c r="B709" s="45"/>
      <c r="C709" s="2"/>
      <c r="D709" s="2"/>
      <c r="E709" s="2"/>
      <c r="F709" s="72"/>
      <c r="G709" s="72"/>
    </row>
    <row r="710" spans="1:7" ht="12.75" customHeight="1" x14ac:dyDescent="0.2">
      <c r="A710" s="45"/>
      <c r="B710" s="45"/>
      <c r="C710" s="2"/>
      <c r="D710" s="2"/>
      <c r="E710" s="2"/>
      <c r="F710" s="72"/>
      <c r="G710" s="72"/>
    </row>
    <row r="711" spans="1:7" ht="12.75" customHeight="1" x14ac:dyDescent="0.2">
      <c r="A711" s="45"/>
      <c r="B711" s="45"/>
      <c r="C711" s="2"/>
      <c r="D711" s="2"/>
      <c r="E711" s="2"/>
      <c r="F711" s="72"/>
      <c r="G711" s="72"/>
    </row>
    <row r="712" spans="1:7" ht="12.75" customHeight="1" x14ac:dyDescent="0.2">
      <c r="A712" s="45"/>
      <c r="B712" s="45"/>
      <c r="C712" s="2"/>
      <c r="D712" s="2"/>
      <c r="E712" s="2"/>
      <c r="F712" s="72"/>
      <c r="G712" s="72"/>
    </row>
    <row r="713" spans="1:7" ht="12.75" customHeight="1" x14ac:dyDescent="0.2">
      <c r="A713" s="45"/>
      <c r="B713" s="45"/>
      <c r="C713" s="2"/>
      <c r="D713" s="2"/>
      <c r="E713" s="2"/>
      <c r="F713" s="72"/>
      <c r="G713" s="72"/>
    </row>
    <row r="714" spans="1:7" ht="12.75" customHeight="1" x14ac:dyDescent="0.2">
      <c r="A714" s="45"/>
      <c r="B714" s="45"/>
      <c r="C714" s="2"/>
      <c r="D714" s="2"/>
      <c r="E714" s="2"/>
      <c r="F714" s="72"/>
      <c r="G714" s="72"/>
    </row>
    <row r="715" spans="1:7" ht="12.75" customHeight="1" x14ac:dyDescent="0.2">
      <c r="A715" s="45"/>
      <c r="B715" s="45"/>
      <c r="C715" s="2"/>
      <c r="D715" s="2"/>
      <c r="E715" s="2"/>
      <c r="F715" s="72"/>
      <c r="G715" s="72"/>
    </row>
    <row r="716" spans="1:7" ht="12.75" customHeight="1" x14ac:dyDescent="0.2">
      <c r="A716" s="45"/>
      <c r="B716" s="45"/>
      <c r="C716" s="2"/>
      <c r="D716" s="2"/>
      <c r="E716" s="2"/>
      <c r="F716" s="72"/>
      <c r="G716" s="72"/>
    </row>
    <row r="717" spans="1:7" ht="12.75" customHeight="1" x14ac:dyDescent="0.2">
      <c r="A717" s="45"/>
      <c r="B717" s="45"/>
      <c r="C717" s="2"/>
      <c r="D717" s="2"/>
      <c r="E717" s="2"/>
      <c r="F717" s="72"/>
      <c r="G717" s="72"/>
    </row>
    <row r="718" spans="1:7" ht="12.75" customHeight="1" x14ac:dyDescent="0.2">
      <c r="A718" s="45"/>
      <c r="B718" s="45"/>
      <c r="C718" s="2"/>
      <c r="D718" s="2"/>
      <c r="E718" s="2"/>
      <c r="F718" s="72"/>
      <c r="G718" s="72"/>
    </row>
    <row r="719" spans="1:7" ht="12.75" customHeight="1" x14ac:dyDescent="0.2">
      <c r="A719" s="45"/>
      <c r="B719" s="45"/>
      <c r="C719" s="2"/>
      <c r="D719" s="2"/>
      <c r="E719" s="2"/>
      <c r="F719" s="72"/>
      <c r="G719" s="72"/>
    </row>
    <row r="720" spans="1:7" ht="12.75" customHeight="1" x14ac:dyDescent="0.2">
      <c r="A720" s="45"/>
      <c r="B720" s="45"/>
      <c r="C720" s="2"/>
      <c r="D720" s="2"/>
      <c r="E720" s="2"/>
      <c r="F720" s="72"/>
      <c r="G720" s="72"/>
    </row>
    <row r="721" spans="1:7" ht="12.75" customHeight="1" x14ac:dyDescent="0.2">
      <c r="A721" s="45"/>
      <c r="B721" s="45"/>
      <c r="C721" s="2"/>
      <c r="D721" s="2"/>
      <c r="E721" s="2"/>
      <c r="F721" s="72"/>
      <c r="G721" s="72"/>
    </row>
    <row r="722" spans="1:7" ht="12.75" customHeight="1" x14ac:dyDescent="0.2">
      <c r="A722" s="45"/>
      <c r="B722" s="45"/>
      <c r="C722" s="2"/>
      <c r="D722" s="2"/>
      <c r="E722" s="2"/>
      <c r="F722" s="72"/>
      <c r="G722" s="72"/>
    </row>
    <row r="723" spans="1:7" ht="12.75" customHeight="1" x14ac:dyDescent="0.2">
      <c r="A723" s="45"/>
      <c r="B723" s="45"/>
      <c r="C723" s="2"/>
      <c r="D723" s="2"/>
      <c r="E723" s="2"/>
      <c r="F723" s="72"/>
      <c r="G723" s="72"/>
    </row>
    <row r="724" spans="1:7" ht="12.75" customHeight="1" x14ac:dyDescent="0.2">
      <c r="A724" s="45"/>
      <c r="B724" s="45"/>
      <c r="C724" s="2"/>
      <c r="D724" s="2"/>
      <c r="E724" s="2"/>
      <c r="F724" s="72"/>
      <c r="G724" s="72"/>
    </row>
    <row r="725" spans="1:7" ht="12.75" customHeight="1" x14ac:dyDescent="0.2">
      <c r="A725" s="45"/>
      <c r="B725" s="45"/>
      <c r="C725" s="2"/>
      <c r="D725" s="2"/>
      <c r="E725" s="2"/>
      <c r="F725" s="72"/>
      <c r="G725" s="72"/>
    </row>
    <row r="726" spans="1:7" ht="12.75" customHeight="1" x14ac:dyDescent="0.2">
      <c r="A726" s="45"/>
      <c r="B726" s="45"/>
      <c r="C726" s="2"/>
      <c r="D726" s="2"/>
      <c r="E726" s="2"/>
      <c r="F726" s="72"/>
      <c r="G726" s="72"/>
    </row>
    <row r="727" spans="1:7" ht="12.75" customHeight="1" x14ac:dyDescent="0.2">
      <c r="A727" s="45"/>
      <c r="B727" s="45"/>
      <c r="C727" s="2"/>
      <c r="D727" s="2"/>
      <c r="E727" s="2"/>
      <c r="F727" s="72"/>
      <c r="G727" s="72"/>
    </row>
    <row r="728" spans="1:7" ht="12.75" customHeight="1" x14ac:dyDescent="0.2">
      <c r="A728" s="45"/>
      <c r="B728" s="45"/>
      <c r="C728" s="2"/>
      <c r="D728" s="2"/>
      <c r="E728" s="2"/>
      <c r="F728" s="72"/>
      <c r="G728" s="72"/>
    </row>
    <row r="729" spans="1:7" ht="12.75" customHeight="1" x14ac:dyDescent="0.2">
      <c r="A729" s="45"/>
      <c r="B729" s="45"/>
      <c r="C729" s="2"/>
      <c r="D729" s="2"/>
      <c r="E729" s="2"/>
      <c r="F729" s="72"/>
      <c r="G729" s="72"/>
    </row>
    <row r="730" spans="1:7" ht="12.75" customHeight="1" x14ac:dyDescent="0.2">
      <c r="A730" s="45"/>
      <c r="B730" s="45"/>
      <c r="C730" s="2"/>
      <c r="D730" s="2"/>
      <c r="E730" s="2"/>
      <c r="F730" s="72"/>
      <c r="G730" s="72"/>
    </row>
    <row r="731" spans="1:7" ht="12.75" customHeight="1" x14ac:dyDescent="0.2">
      <c r="A731" s="45"/>
      <c r="B731" s="45"/>
      <c r="C731" s="2"/>
      <c r="D731" s="2"/>
      <c r="E731" s="2"/>
      <c r="F731" s="72"/>
      <c r="G731" s="72"/>
    </row>
    <row r="732" spans="1:7" ht="12.75" customHeight="1" x14ac:dyDescent="0.2">
      <c r="A732" s="45"/>
      <c r="B732" s="45"/>
      <c r="C732" s="2"/>
      <c r="D732" s="2"/>
      <c r="E732" s="2"/>
      <c r="F732" s="72"/>
      <c r="G732" s="72"/>
    </row>
    <row r="733" spans="1:7" ht="12.75" customHeight="1" x14ac:dyDescent="0.2">
      <c r="A733" s="45"/>
      <c r="B733" s="45"/>
      <c r="C733" s="2"/>
      <c r="D733" s="2"/>
      <c r="E733" s="2"/>
      <c r="F733" s="72"/>
      <c r="G733" s="72"/>
    </row>
    <row r="734" spans="1:7" ht="12.75" customHeight="1" x14ac:dyDescent="0.2">
      <c r="A734" s="45"/>
      <c r="B734" s="45"/>
      <c r="C734" s="2"/>
      <c r="D734" s="2"/>
      <c r="E734" s="2"/>
      <c r="F734" s="72"/>
      <c r="G734" s="72"/>
    </row>
    <row r="735" spans="1:7" ht="12.75" customHeight="1" x14ac:dyDescent="0.2">
      <c r="A735" s="45"/>
      <c r="B735" s="45"/>
      <c r="C735" s="2"/>
      <c r="D735" s="2"/>
      <c r="E735" s="2"/>
      <c r="F735" s="72"/>
      <c r="G735" s="72"/>
    </row>
    <row r="736" spans="1:7" ht="12.75" customHeight="1" x14ac:dyDescent="0.2">
      <c r="A736" s="45"/>
      <c r="B736" s="45"/>
      <c r="C736" s="2"/>
      <c r="D736" s="2"/>
      <c r="E736" s="2"/>
      <c r="F736" s="72"/>
      <c r="G736" s="72"/>
    </row>
    <row r="737" spans="1:7" ht="12.75" customHeight="1" x14ac:dyDescent="0.2">
      <c r="A737" s="45"/>
      <c r="B737" s="45"/>
      <c r="C737" s="2"/>
      <c r="D737" s="2"/>
      <c r="E737" s="2"/>
      <c r="F737" s="72"/>
      <c r="G737" s="72"/>
    </row>
    <row r="738" spans="1:7" ht="12.75" customHeight="1" x14ac:dyDescent="0.2">
      <c r="A738" s="45"/>
      <c r="B738" s="45"/>
      <c r="C738" s="2"/>
      <c r="D738" s="2"/>
      <c r="E738" s="2"/>
      <c r="F738" s="72"/>
      <c r="G738" s="72"/>
    </row>
    <row r="739" spans="1:7" ht="12.75" customHeight="1" x14ac:dyDescent="0.2">
      <c r="A739" s="45"/>
      <c r="B739" s="45"/>
      <c r="C739" s="2"/>
      <c r="D739" s="2"/>
      <c r="E739" s="2"/>
      <c r="F739" s="72"/>
      <c r="G739" s="72"/>
    </row>
    <row r="740" spans="1:7" ht="12.75" customHeight="1" x14ac:dyDescent="0.2">
      <c r="A740" s="45"/>
      <c r="B740" s="45"/>
      <c r="C740" s="2"/>
      <c r="D740" s="2"/>
      <c r="E740" s="2"/>
      <c r="F740" s="72"/>
      <c r="G740" s="72"/>
    </row>
    <row r="741" spans="1:7" ht="12.75" customHeight="1" x14ac:dyDescent="0.2">
      <c r="A741" s="45"/>
      <c r="B741" s="45"/>
      <c r="C741" s="2"/>
      <c r="D741" s="2"/>
      <c r="E741" s="2"/>
      <c r="F741" s="72"/>
      <c r="G741" s="72"/>
    </row>
    <row r="742" spans="1:7" ht="12.75" customHeight="1" x14ac:dyDescent="0.2">
      <c r="A742" s="45"/>
      <c r="B742" s="45"/>
      <c r="C742" s="2"/>
      <c r="D742" s="2"/>
      <c r="E742" s="2"/>
      <c r="F742" s="72"/>
      <c r="G742" s="72"/>
    </row>
    <row r="743" spans="1:7" ht="12.75" customHeight="1" x14ac:dyDescent="0.2">
      <c r="A743" s="45"/>
      <c r="B743" s="45"/>
      <c r="C743" s="2"/>
      <c r="D743" s="2"/>
      <c r="E743" s="2"/>
      <c r="F743" s="72"/>
      <c r="G743" s="72"/>
    </row>
    <row r="744" spans="1:7" ht="12.75" customHeight="1" x14ac:dyDescent="0.2">
      <c r="A744" s="45"/>
      <c r="B744" s="45"/>
      <c r="C744" s="2"/>
      <c r="D744" s="2"/>
      <c r="E744" s="2"/>
      <c r="F744" s="72"/>
      <c r="G744" s="72"/>
    </row>
    <row r="745" spans="1:7" ht="12.75" customHeight="1" x14ac:dyDescent="0.2">
      <c r="A745" s="45"/>
      <c r="B745" s="45"/>
      <c r="C745" s="2"/>
      <c r="D745" s="2"/>
      <c r="E745" s="2"/>
      <c r="F745" s="72"/>
      <c r="G745" s="72"/>
    </row>
    <row r="746" spans="1:7" ht="12.75" customHeight="1" x14ac:dyDescent="0.2">
      <c r="A746" s="45"/>
      <c r="B746" s="45"/>
      <c r="C746" s="2"/>
      <c r="D746" s="2"/>
      <c r="E746" s="2"/>
      <c r="F746" s="72"/>
      <c r="G746" s="72"/>
    </row>
    <row r="747" spans="1:7" ht="12.75" customHeight="1" x14ac:dyDescent="0.2">
      <c r="A747" s="45"/>
      <c r="B747" s="45"/>
      <c r="C747" s="2"/>
      <c r="D747" s="2"/>
      <c r="E747" s="2"/>
      <c r="F747" s="72"/>
      <c r="G747" s="72"/>
    </row>
    <row r="748" spans="1:7" ht="12.75" customHeight="1" x14ac:dyDescent="0.2">
      <c r="A748" s="45"/>
      <c r="B748" s="45"/>
      <c r="C748" s="2"/>
      <c r="D748" s="2"/>
      <c r="E748" s="2"/>
      <c r="F748" s="72"/>
      <c r="G748" s="72"/>
    </row>
    <row r="749" spans="1:7" ht="12.75" customHeight="1" x14ac:dyDescent="0.2">
      <c r="A749" s="45"/>
      <c r="B749" s="45"/>
      <c r="C749" s="2"/>
      <c r="D749" s="2"/>
      <c r="E749" s="2"/>
      <c r="F749" s="72"/>
      <c r="G749" s="72"/>
    </row>
    <row r="750" spans="1:7" ht="12.75" customHeight="1" x14ac:dyDescent="0.2">
      <c r="A750" s="45"/>
      <c r="B750" s="45"/>
      <c r="C750" s="2"/>
      <c r="D750" s="2"/>
      <c r="E750" s="2"/>
      <c r="F750" s="72"/>
      <c r="G750" s="72"/>
    </row>
    <row r="751" spans="1:7" ht="12.75" customHeight="1" x14ac:dyDescent="0.2">
      <c r="A751" s="45"/>
      <c r="B751" s="45"/>
      <c r="C751" s="2"/>
      <c r="D751" s="2"/>
      <c r="E751" s="2"/>
      <c r="F751" s="72"/>
      <c r="G751" s="72"/>
    </row>
    <row r="752" spans="1:7" ht="12.75" customHeight="1" x14ac:dyDescent="0.2">
      <c r="A752" s="45"/>
      <c r="B752" s="45"/>
      <c r="C752" s="2"/>
      <c r="D752" s="2"/>
      <c r="E752" s="2"/>
      <c r="F752" s="72"/>
      <c r="G752" s="72"/>
    </row>
    <row r="753" spans="1:7" ht="12.75" customHeight="1" x14ac:dyDescent="0.2">
      <c r="A753" s="45"/>
      <c r="B753" s="45"/>
      <c r="C753" s="2"/>
      <c r="D753" s="2"/>
      <c r="E753" s="2"/>
      <c r="F753" s="72"/>
      <c r="G753" s="72"/>
    </row>
    <row r="754" spans="1:7" ht="12.75" customHeight="1" x14ac:dyDescent="0.2">
      <c r="A754" s="45"/>
      <c r="B754" s="45"/>
      <c r="C754" s="2"/>
      <c r="D754" s="2"/>
      <c r="E754" s="2"/>
      <c r="F754" s="72"/>
      <c r="G754" s="72"/>
    </row>
    <row r="755" spans="1:7" ht="12.75" customHeight="1" x14ac:dyDescent="0.2">
      <c r="A755" s="45"/>
      <c r="B755" s="45"/>
      <c r="C755" s="2"/>
      <c r="D755" s="2"/>
      <c r="E755" s="2"/>
      <c r="F755" s="72"/>
      <c r="G755" s="72"/>
    </row>
    <row r="756" spans="1:7" ht="12.75" customHeight="1" x14ac:dyDescent="0.2">
      <c r="A756" s="45"/>
      <c r="B756" s="45"/>
      <c r="C756" s="2"/>
      <c r="D756" s="2"/>
      <c r="E756" s="2"/>
      <c r="F756" s="72"/>
      <c r="G756" s="72"/>
    </row>
    <row r="757" spans="1:7" ht="12.75" customHeight="1" x14ac:dyDescent="0.2">
      <c r="A757" s="45"/>
      <c r="B757" s="45"/>
      <c r="C757" s="2"/>
      <c r="D757" s="2"/>
      <c r="E757" s="2"/>
      <c r="F757" s="72"/>
      <c r="G757" s="72"/>
    </row>
    <row r="758" spans="1:7" ht="12.75" customHeight="1" x14ac:dyDescent="0.2">
      <c r="A758" s="45"/>
      <c r="B758" s="45"/>
      <c r="C758" s="2"/>
      <c r="D758" s="2"/>
      <c r="E758" s="2"/>
      <c r="F758" s="72"/>
      <c r="G758" s="72"/>
    </row>
    <row r="759" spans="1:7" ht="12.75" customHeight="1" x14ac:dyDescent="0.2">
      <c r="A759" s="45"/>
      <c r="B759" s="45"/>
      <c r="C759" s="2"/>
      <c r="D759" s="2"/>
      <c r="E759" s="2"/>
      <c r="F759" s="72"/>
      <c r="G759" s="72"/>
    </row>
    <row r="760" spans="1:7" ht="12.75" customHeight="1" x14ac:dyDescent="0.2">
      <c r="A760" s="45"/>
      <c r="B760" s="45"/>
      <c r="C760" s="2"/>
      <c r="D760" s="2"/>
      <c r="E760" s="2"/>
      <c r="F760" s="72"/>
      <c r="G760" s="72"/>
    </row>
    <row r="761" spans="1:7" ht="12.75" customHeight="1" x14ac:dyDescent="0.2">
      <c r="A761" s="45"/>
      <c r="B761" s="45"/>
      <c r="C761" s="2"/>
      <c r="D761" s="2"/>
      <c r="E761" s="2"/>
      <c r="F761" s="72"/>
      <c r="G761" s="72"/>
    </row>
    <row r="762" spans="1:7" ht="12.75" customHeight="1" x14ac:dyDescent="0.2">
      <c r="A762" s="45"/>
      <c r="B762" s="45"/>
      <c r="C762" s="2"/>
      <c r="D762" s="2"/>
      <c r="E762" s="2"/>
      <c r="F762" s="72"/>
      <c r="G762" s="72"/>
    </row>
    <row r="763" spans="1:7" ht="12.75" customHeight="1" x14ac:dyDescent="0.2">
      <c r="A763" s="45"/>
      <c r="B763" s="45"/>
      <c r="C763" s="2"/>
      <c r="D763" s="2"/>
      <c r="E763" s="2"/>
      <c r="F763" s="72"/>
      <c r="G763" s="72"/>
    </row>
    <row r="764" spans="1:7" ht="12.75" customHeight="1" x14ac:dyDescent="0.2">
      <c r="A764" s="45"/>
      <c r="B764" s="45"/>
      <c r="C764" s="2"/>
      <c r="D764" s="2"/>
      <c r="E764" s="2"/>
      <c r="F764" s="72"/>
      <c r="G764" s="72"/>
    </row>
    <row r="765" spans="1:7" ht="12.75" customHeight="1" x14ac:dyDescent="0.2">
      <c r="A765" s="45"/>
      <c r="B765" s="45"/>
      <c r="C765" s="2"/>
      <c r="D765" s="2"/>
      <c r="E765" s="2"/>
      <c r="F765" s="72"/>
      <c r="G765" s="72"/>
    </row>
    <row r="766" spans="1:7" ht="12.75" customHeight="1" x14ac:dyDescent="0.2">
      <c r="A766" s="45"/>
      <c r="B766" s="45"/>
      <c r="C766" s="2"/>
      <c r="D766" s="2"/>
      <c r="E766" s="2"/>
      <c r="F766" s="72"/>
      <c r="G766" s="72"/>
    </row>
    <row r="767" spans="1:7" ht="12.75" customHeight="1" x14ac:dyDescent="0.2">
      <c r="A767" s="45"/>
      <c r="B767" s="45"/>
      <c r="C767" s="2"/>
      <c r="D767" s="2"/>
      <c r="E767" s="2"/>
      <c r="F767" s="72"/>
      <c r="G767" s="72"/>
    </row>
    <row r="768" spans="1:7" ht="12.75" customHeight="1" x14ac:dyDescent="0.2">
      <c r="A768" s="45"/>
      <c r="B768" s="45"/>
      <c r="C768" s="2"/>
      <c r="D768" s="2"/>
      <c r="E768" s="2"/>
      <c r="F768" s="72"/>
      <c r="G768" s="72"/>
    </row>
    <row r="769" spans="1:7" ht="12.75" customHeight="1" x14ac:dyDescent="0.2">
      <c r="A769" s="45"/>
      <c r="B769" s="45"/>
      <c r="C769" s="2"/>
      <c r="D769" s="2"/>
      <c r="E769" s="2"/>
      <c r="F769" s="72"/>
      <c r="G769" s="72"/>
    </row>
    <row r="770" spans="1:7" ht="12.75" customHeight="1" x14ac:dyDescent="0.2">
      <c r="A770" s="45"/>
      <c r="B770" s="45"/>
      <c r="C770" s="2"/>
      <c r="D770" s="2"/>
      <c r="E770" s="2"/>
      <c r="F770" s="72"/>
      <c r="G770" s="72"/>
    </row>
    <row r="771" spans="1:7" ht="12.75" customHeight="1" x14ac:dyDescent="0.2">
      <c r="A771" s="45"/>
      <c r="B771" s="45"/>
      <c r="C771" s="2"/>
      <c r="D771" s="2"/>
      <c r="E771" s="2"/>
      <c r="F771" s="72"/>
      <c r="G771" s="72"/>
    </row>
    <row r="772" spans="1:7" ht="12.75" customHeight="1" x14ac:dyDescent="0.2">
      <c r="A772" s="45"/>
      <c r="B772" s="45"/>
      <c r="C772" s="2"/>
      <c r="D772" s="2"/>
      <c r="E772" s="2"/>
      <c r="F772" s="72"/>
      <c r="G772" s="72"/>
    </row>
    <row r="773" spans="1:7" ht="12.75" customHeight="1" x14ac:dyDescent="0.2">
      <c r="A773" s="45"/>
      <c r="B773" s="45"/>
      <c r="C773" s="2"/>
      <c r="D773" s="2"/>
      <c r="E773" s="2"/>
      <c r="F773" s="72"/>
      <c r="G773" s="72"/>
    </row>
    <row r="774" spans="1:7" ht="12.75" customHeight="1" x14ac:dyDescent="0.2">
      <c r="A774" s="45"/>
      <c r="B774" s="45"/>
      <c r="C774" s="2"/>
      <c r="D774" s="2"/>
      <c r="E774" s="2"/>
      <c r="F774" s="72"/>
      <c r="G774" s="72"/>
    </row>
    <row r="775" spans="1:7" ht="12.75" customHeight="1" x14ac:dyDescent="0.2">
      <c r="A775" s="45"/>
      <c r="B775" s="45"/>
      <c r="C775" s="2"/>
      <c r="D775" s="2"/>
      <c r="E775" s="2"/>
      <c r="F775" s="72"/>
      <c r="G775" s="72"/>
    </row>
    <row r="776" spans="1:7" ht="12.75" customHeight="1" x14ac:dyDescent="0.2">
      <c r="A776" s="45"/>
      <c r="B776" s="45"/>
      <c r="C776" s="2"/>
      <c r="D776" s="2"/>
      <c r="E776" s="2"/>
      <c r="F776" s="72"/>
      <c r="G776" s="72"/>
    </row>
    <row r="777" spans="1:7" ht="12.75" customHeight="1" x14ac:dyDescent="0.2">
      <c r="A777" s="45"/>
      <c r="B777" s="45"/>
      <c r="C777" s="2"/>
      <c r="D777" s="2"/>
      <c r="E777" s="2"/>
      <c r="F777" s="72"/>
      <c r="G777" s="72"/>
    </row>
    <row r="778" spans="1:7" ht="12.75" customHeight="1" x14ac:dyDescent="0.2">
      <c r="A778" s="45"/>
      <c r="B778" s="45"/>
      <c r="C778" s="2"/>
      <c r="D778" s="2"/>
      <c r="E778" s="2"/>
      <c r="F778" s="72"/>
      <c r="G778" s="72"/>
    </row>
    <row r="779" spans="1:7" ht="12.75" customHeight="1" x14ac:dyDescent="0.2">
      <c r="A779" s="45"/>
      <c r="B779" s="45"/>
      <c r="C779" s="2"/>
      <c r="D779" s="2"/>
      <c r="E779" s="2"/>
      <c r="F779" s="72"/>
      <c r="G779" s="72"/>
    </row>
    <row r="780" spans="1:7" ht="12.75" customHeight="1" x14ac:dyDescent="0.2">
      <c r="A780" s="45"/>
      <c r="B780" s="45"/>
      <c r="C780" s="2"/>
      <c r="D780" s="2"/>
      <c r="E780" s="2"/>
      <c r="F780" s="72"/>
      <c r="G780" s="72"/>
    </row>
    <row r="781" spans="1:7" ht="12.75" customHeight="1" x14ac:dyDescent="0.2">
      <c r="A781" s="45"/>
      <c r="B781" s="45"/>
      <c r="C781" s="2"/>
      <c r="D781" s="2"/>
      <c r="E781" s="2"/>
      <c r="F781" s="72"/>
      <c r="G781" s="72"/>
    </row>
    <row r="782" spans="1:7" ht="12.75" customHeight="1" x14ac:dyDescent="0.2">
      <c r="A782" s="45"/>
      <c r="B782" s="45"/>
      <c r="C782" s="2"/>
      <c r="D782" s="2"/>
      <c r="E782" s="2"/>
      <c r="F782" s="72"/>
      <c r="G782" s="72"/>
    </row>
    <row r="783" spans="1:7" ht="12.75" customHeight="1" x14ac:dyDescent="0.2">
      <c r="A783" s="45"/>
      <c r="B783" s="45"/>
      <c r="C783" s="2"/>
      <c r="D783" s="2"/>
      <c r="E783" s="2"/>
      <c r="F783" s="72"/>
      <c r="G783" s="72"/>
    </row>
    <row r="784" spans="1:7" ht="12.75" customHeight="1" x14ac:dyDescent="0.2">
      <c r="A784" s="45"/>
      <c r="B784" s="45"/>
      <c r="C784" s="2"/>
      <c r="D784" s="2"/>
      <c r="E784" s="2"/>
      <c r="F784" s="72"/>
      <c r="G784" s="72"/>
    </row>
    <row r="785" spans="1:7" ht="12.75" customHeight="1" x14ac:dyDescent="0.2">
      <c r="A785" s="45"/>
      <c r="B785" s="45"/>
      <c r="C785" s="2"/>
      <c r="D785" s="2"/>
      <c r="E785" s="2"/>
      <c r="F785" s="72"/>
      <c r="G785" s="72"/>
    </row>
    <row r="786" spans="1:7" ht="12.75" customHeight="1" x14ac:dyDescent="0.2">
      <c r="A786" s="45"/>
      <c r="B786" s="45"/>
      <c r="C786" s="2"/>
      <c r="D786" s="2"/>
      <c r="E786" s="2"/>
      <c r="F786" s="72"/>
      <c r="G786" s="72"/>
    </row>
    <row r="787" spans="1:7" ht="12.75" customHeight="1" x14ac:dyDescent="0.2">
      <c r="A787" s="45"/>
      <c r="B787" s="45"/>
      <c r="C787" s="2"/>
      <c r="D787" s="2"/>
      <c r="E787" s="2"/>
      <c r="F787" s="72"/>
      <c r="G787" s="72"/>
    </row>
    <row r="788" spans="1:7" ht="12.75" customHeight="1" x14ac:dyDescent="0.2">
      <c r="A788" s="45"/>
      <c r="B788" s="45"/>
      <c r="C788" s="2"/>
      <c r="D788" s="2"/>
      <c r="E788" s="2"/>
      <c r="F788" s="72"/>
      <c r="G788" s="72"/>
    </row>
    <row r="789" spans="1:7" ht="12.75" customHeight="1" x14ac:dyDescent="0.2">
      <c r="A789" s="45"/>
      <c r="B789" s="45"/>
      <c r="C789" s="2"/>
      <c r="D789" s="2"/>
      <c r="E789" s="2"/>
      <c r="F789" s="72"/>
      <c r="G789" s="72"/>
    </row>
    <row r="790" spans="1:7" ht="12.75" customHeight="1" x14ac:dyDescent="0.2">
      <c r="A790" s="45"/>
      <c r="B790" s="45"/>
      <c r="C790" s="2"/>
      <c r="D790" s="2"/>
      <c r="E790" s="2"/>
      <c r="F790" s="72"/>
      <c r="G790" s="72"/>
    </row>
    <row r="791" spans="1:7" ht="12.75" customHeight="1" x14ac:dyDescent="0.2">
      <c r="A791" s="45"/>
      <c r="B791" s="45"/>
      <c r="C791" s="2"/>
      <c r="D791" s="2"/>
      <c r="E791" s="2"/>
      <c r="F791" s="72"/>
      <c r="G791" s="72"/>
    </row>
    <row r="792" spans="1:7" ht="12.75" customHeight="1" x14ac:dyDescent="0.2">
      <c r="A792" s="45"/>
      <c r="B792" s="45"/>
      <c r="C792" s="2"/>
      <c r="D792" s="2"/>
      <c r="E792" s="2"/>
      <c r="F792" s="72"/>
      <c r="G792" s="72"/>
    </row>
    <row r="793" spans="1:7" ht="12.75" customHeight="1" x14ac:dyDescent="0.2">
      <c r="A793" s="45"/>
      <c r="B793" s="45"/>
      <c r="C793" s="2"/>
      <c r="D793" s="2"/>
      <c r="E793" s="2"/>
      <c r="F793" s="72"/>
      <c r="G793" s="72"/>
    </row>
    <row r="794" spans="1:7" ht="12.75" customHeight="1" x14ac:dyDescent="0.2">
      <c r="A794" s="45"/>
      <c r="B794" s="45"/>
      <c r="C794" s="2"/>
      <c r="D794" s="2"/>
      <c r="E794" s="2"/>
      <c r="F794" s="72"/>
      <c r="G794" s="72"/>
    </row>
    <row r="795" spans="1:7" ht="12.75" customHeight="1" x14ac:dyDescent="0.2">
      <c r="A795" s="45"/>
      <c r="B795" s="45"/>
      <c r="C795" s="2"/>
      <c r="D795" s="2"/>
      <c r="E795" s="2"/>
      <c r="F795" s="72"/>
      <c r="G795" s="72"/>
    </row>
    <row r="796" spans="1:7" ht="12.75" customHeight="1" x14ac:dyDescent="0.2">
      <c r="A796" s="45"/>
      <c r="B796" s="45"/>
      <c r="C796" s="2"/>
      <c r="D796" s="2"/>
      <c r="E796" s="2"/>
      <c r="F796" s="72"/>
      <c r="G796" s="72"/>
    </row>
    <row r="797" spans="1:7" ht="12.75" customHeight="1" x14ac:dyDescent="0.2">
      <c r="A797" s="45"/>
      <c r="B797" s="45"/>
      <c r="C797" s="2"/>
      <c r="D797" s="2"/>
      <c r="E797" s="2"/>
      <c r="F797" s="72"/>
      <c r="G797" s="72"/>
    </row>
    <row r="798" spans="1:7" ht="12.75" customHeight="1" x14ac:dyDescent="0.2">
      <c r="A798" s="45"/>
      <c r="B798" s="45"/>
      <c r="C798" s="2"/>
      <c r="D798" s="2"/>
      <c r="E798" s="2"/>
      <c r="F798" s="72"/>
      <c r="G798" s="72"/>
    </row>
    <row r="799" spans="1:7" ht="12.75" customHeight="1" x14ac:dyDescent="0.2">
      <c r="A799" s="45"/>
      <c r="B799" s="45"/>
      <c r="C799" s="2"/>
      <c r="D799" s="2"/>
      <c r="E799" s="2"/>
      <c r="F799" s="72"/>
      <c r="G799" s="72"/>
    </row>
    <row r="800" spans="1:7" ht="12.75" customHeight="1" x14ac:dyDescent="0.2">
      <c r="A800" s="45"/>
      <c r="B800" s="45"/>
      <c r="C800" s="2"/>
      <c r="D800" s="2"/>
      <c r="E800" s="2"/>
      <c r="F800" s="72"/>
      <c r="G800" s="72"/>
    </row>
    <row r="801" spans="1:7" ht="12.75" customHeight="1" x14ac:dyDescent="0.2">
      <c r="A801" s="45"/>
      <c r="B801" s="45"/>
      <c r="C801" s="2"/>
      <c r="D801" s="2"/>
      <c r="E801" s="2"/>
      <c r="F801" s="72"/>
      <c r="G801" s="72"/>
    </row>
    <row r="802" spans="1:7" ht="12.75" customHeight="1" x14ac:dyDescent="0.2">
      <c r="A802" s="45"/>
      <c r="B802" s="45"/>
      <c r="C802" s="2"/>
      <c r="D802" s="2"/>
      <c r="E802" s="2"/>
      <c r="F802" s="72"/>
      <c r="G802" s="72"/>
    </row>
    <row r="803" spans="1:7" ht="12.75" customHeight="1" x14ac:dyDescent="0.2">
      <c r="A803" s="45"/>
      <c r="B803" s="45"/>
      <c r="C803" s="2"/>
      <c r="D803" s="2"/>
      <c r="E803" s="2"/>
      <c r="F803" s="72"/>
      <c r="G803" s="72"/>
    </row>
    <row r="804" spans="1:7" ht="12.75" customHeight="1" x14ac:dyDescent="0.2">
      <c r="A804" s="45"/>
      <c r="B804" s="45"/>
      <c r="C804" s="2"/>
      <c r="D804" s="2"/>
      <c r="E804" s="2"/>
      <c r="F804" s="72"/>
      <c r="G804" s="72"/>
    </row>
    <row r="805" spans="1:7" ht="12.75" customHeight="1" x14ac:dyDescent="0.2">
      <c r="A805" s="45"/>
      <c r="B805" s="45"/>
      <c r="C805" s="2"/>
      <c r="D805" s="2"/>
      <c r="E805" s="2"/>
      <c r="F805" s="72"/>
      <c r="G805" s="72"/>
    </row>
    <row r="806" spans="1:7" ht="12.75" customHeight="1" x14ac:dyDescent="0.2">
      <c r="A806" s="45"/>
      <c r="B806" s="45"/>
      <c r="C806" s="2"/>
      <c r="D806" s="2"/>
      <c r="E806" s="2"/>
      <c r="F806" s="72"/>
      <c r="G806" s="72"/>
    </row>
    <row r="807" spans="1:7" ht="12.75" customHeight="1" x14ac:dyDescent="0.2">
      <c r="A807" s="45"/>
      <c r="B807" s="45"/>
      <c r="C807" s="2"/>
      <c r="D807" s="2"/>
      <c r="E807" s="2"/>
      <c r="F807" s="72"/>
      <c r="G807" s="72"/>
    </row>
    <row r="808" spans="1:7" ht="12.75" customHeight="1" x14ac:dyDescent="0.2">
      <c r="A808" s="45"/>
      <c r="B808" s="45"/>
      <c r="C808" s="2"/>
      <c r="D808" s="2"/>
      <c r="E808" s="2"/>
      <c r="F808" s="72"/>
      <c r="G808" s="72"/>
    </row>
    <row r="809" spans="1:7" ht="12.75" customHeight="1" x14ac:dyDescent="0.2">
      <c r="A809" s="45"/>
      <c r="B809" s="45"/>
      <c r="C809" s="2"/>
      <c r="D809" s="2"/>
      <c r="E809" s="2"/>
      <c r="F809" s="72"/>
      <c r="G809" s="72"/>
    </row>
    <row r="810" spans="1:7" ht="12.75" customHeight="1" x14ac:dyDescent="0.2">
      <c r="A810" s="45"/>
      <c r="B810" s="45"/>
      <c r="C810" s="2"/>
      <c r="D810" s="2"/>
      <c r="E810" s="2"/>
      <c r="F810" s="72"/>
      <c r="G810" s="72"/>
    </row>
    <row r="811" spans="1:7" ht="12.75" customHeight="1" x14ac:dyDescent="0.2">
      <c r="A811" s="45"/>
      <c r="B811" s="45"/>
      <c r="C811" s="2"/>
      <c r="D811" s="2"/>
      <c r="E811" s="2"/>
      <c r="F811" s="72"/>
      <c r="G811" s="72"/>
    </row>
    <row r="812" spans="1:7" ht="12.75" customHeight="1" x14ac:dyDescent="0.2">
      <c r="A812" s="45"/>
      <c r="B812" s="45"/>
      <c r="C812" s="2"/>
      <c r="D812" s="2"/>
      <c r="E812" s="2"/>
      <c r="F812" s="72"/>
      <c r="G812" s="72"/>
    </row>
    <row r="813" spans="1:7" ht="12.75" customHeight="1" x14ac:dyDescent="0.2">
      <c r="A813" s="45"/>
      <c r="B813" s="45"/>
      <c r="C813" s="2"/>
      <c r="D813" s="2"/>
      <c r="E813" s="2"/>
      <c r="F813" s="72"/>
      <c r="G813" s="72"/>
    </row>
    <row r="814" spans="1:7" ht="12.75" customHeight="1" x14ac:dyDescent="0.2">
      <c r="A814" s="45"/>
      <c r="B814" s="45"/>
      <c r="C814" s="2"/>
      <c r="D814" s="2"/>
      <c r="E814" s="2"/>
      <c r="F814" s="72"/>
      <c r="G814" s="72"/>
    </row>
    <row r="815" spans="1:7" ht="12.75" customHeight="1" x14ac:dyDescent="0.2">
      <c r="A815" s="45"/>
      <c r="B815" s="45"/>
      <c r="C815" s="2"/>
      <c r="D815" s="2"/>
      <c r="E815" s="2"/>
      <c r="F815" s="72"/>
      <c r="G815" s="72"/>
    </row>
    <row r="816" spans="1:7" ht="12.75" customHeight="1" x14ac:dyDescent="0.2">
      <c r="A816" s="45"/>
      <c r="B816" s="45"/>
      <c r="C816" s="2"/>
      <c r="D816" s="2"/>
      <c r="E816" s="2"/>
      <c r="F816" s="72"/>
      <c r="G816" s="72"/>
    </row>
    <row r="817" spans="1:7" ht="12.75" customHeight="1" x14ac:dyDescent="0.2">
      <c r="A817" s="45"/>
      <c r="B817" s="45"/>
      <c r="C817" s="2"/>
      <c r="D817" s="2"/>
      <c r="E817" s="2"/>
      <c r="F817" s="72"/>
      <c r="G817" s="72"/>
    </row>
    <row r="818" spans="1:7" ht="12.75" customHeight="1" x14ac:dyDescent="0.2">
      <c r="A818" s="45"/>
      <c r="B818" s="45"/>
      <c r="C818" s="2"/>
      <c r="D818" s="2"/>
      <c r="E818" s="2"/>
      <c r="F818" s="72"/>
      <c r="G818" s="72"/>
    </row>
    <row r="819" spans="1:7" ht="12.75" customHeight="1" x14ac:dyDescent="0.2">
      <c r="A819" s="45"/>
      <c r="B819" s="45"/>
      <c r="C819" s="2"/>
      <c r="D819" s="2"/>
      <c r="E819" s="2"/>
      <c r="F819" s="72"/>
      <c r="G819" s="72"/>
    </row>
    <row r="820" spans="1:7" ht="12.75" customHeight="1" x14ac:dyDescent="0.2">
      <c r="A820" s="45"/>
      <c r="B820" s="45"/>
      <c r="C820" s="2"/>
      <c r="D820" s="2"/>
      <c r="E820" s="2"/>
      <c r="F820" s="72"/>
      <c r="G820" s="72"/>
    </row>
    <row r="821" spans="1:7" ht="12.75" customHeight="1" x14ac:dyDescent="0.2">
      <c r="A821" s="45"/>
      <c r="B821" s="45"/>
      <c r="C821" s="2"/>
      <c r="D821" s="2"/>
      <c r="E821" s="2"/>
      <c r="F821" s="72"/>
      <c r="G821" s="72"/>
    </row>
    <row r="822" spans="1:7" ht="12.75" customHeight="1" x14ac:dyDescent="0.2">
      <c r="A822" s="45"/>
      <c r="B822" s="45"/>
      <c r="C822" s="2"/>
      <c r="D822" s="2"/>
      <c r="E822" s="2"/>
      <c r="F822" s="72"/>
      <c r="G822" s="72"/>
    </row>
    <row r="823" spans="1:7" ht="12.75" customHeight="1" x14ac:dyDescent="0.2">
      <c r="A823" s="45"/>
      <c r="B823" s="45"/>
      <c r="C823" s="2"/>
      <c r="D823" s="2"/>
      <c r="E823" s="2"/>
      <c r="F823" s="72"/>
      <c r="G823" s="72"/>
    </row>
    <row r="824" spans="1:7" ht="12.75" customHeight="1" x14ac:dyDescent="0.2">
      <c r="A824" s="45"/>
      <c r="B824" s="45"/>
      <c r="C824" s="2"/>
      <c r="D824" s="2"/>
      <c r="E824" s="2"/>
      <c r="F824" s="72"/>
      <c r="G824" s="72"/>
    </row>
    <row r="825" spans="1:7" ht="12.75" customHeight="1" x14ac:dyDescent="0.2">
      <c r="A825" s="45"/>
      <c r="B825" s="45"/>
      <c r="C825" s="2"/>
      <c r="D825" s="2"/>
      <c r="E825" s="2"/>
      <c r="F825" s="72"/>
      <c r="G825" s="72"/>
    </row>
    <row r="826" spans="1:7" ht="12.75" customHeight="1" x14ac:dyDescent="0.2">
      <c r="A826" s="45"/>
      <c r="B826" s="45"/>
      <c r="C826" s="2"/>
      <c r="D826" s="2"/>
      <c r="E826" s="2"/>
      <c r="F826" s="72"/>
      <c r="G826" s="72"/>
    </row>
    <row r="827" spans="1:7" ht="12.75" customHeight="1" x14ac:dyDescent="0.2">
      <c r="A827" s="45"/>
      <c r="B827" s="45"/>
      <c r="C827" s="2"/>
      <c r="D827" s="2"/>
      <c r="E827" s="2"/>
      <c r="F827" s="72"/>
      <c r="G827" s="72"/>
    </row>
    <row r="828" spans="1:7" ht="12.75" customHeight="1" x14ac:dyDescent="0.2">
      <c r="A828" s="45"/>
      <c r="B828" s="45"/>
      <c r="C828" s="2"/>
      <c r="D828" s="2"/>
      <c r="E828" s="2"/>
      <c r="F828" s="72"/>
      <c r="G828" s="72"/>
    </row>
    <row r="829" spans="1:7" ht="12.75" customHeight="1" x14ac:dyDescent="0.2">
      <c r="A829" s="45"/>
      <c r="B829" s="45"/>
      <c r="C829" s="2"/>
      <c r="D829" s="2"/>
      <c r="E829" s="2"/>
      <c r="F829" s="72"/>
      <c r="G829" s="72"/>
    </row>
    <row r="830" spans="1:7" ht="12.75" customHeight="1" x14ac:dyDescent="0.2">
      <c r="A830" s="45"/>
      <c r="B830" s="45"/>
      <c r="C830" s="2"/>
      <c r="D830" s="2"/>
      <c r="E830" s="2"/>
      <c r="F830" s="72"/>
      <c r="G830" s="72"/>
    </row>
    <row r="831" spans="1:7" ht="12.75" customHeight="1" x14ac:dyDescent="0.2">
      <c r="A831" s="45"/>
      <c r="B831" s="45"/>
      <c r="C831" s="2"/>
      <c r="D831" s="2"/>
      <c r="E831" s="2"/>
      <c r="F831" s="72"/>
      <c r="G831" s="72"/>
    </row>
    <row r="832" spans="1:7" ht="12.75" customHeight="1" x14ac:dyDescent="0.2">
      <c r="A832" s="45"/>
      <c r="B832" s="45"/>
      <c r="C832" s="2"/>
      <c r="D832" s="2"/>
      <c r="E832" s="2"/>
      <c r="F832" s="72"/>
      <c r="G832" s="72"/>
    </row>
    <row r="833" spans="1:7" ht="12.75" customHeight="1" x14ac:dyDescent="0.2">
      <c r="A833" s="45"/>
      <c r="B833" s="45"/>
      <c r="C833" s="2"/>
      <c r="D833" s="2"/>
      <c r="E833" s="2"/>
      <c r="F833" s="72"/>
      <c r="G833" s="72"/>
    </row>
    <row r="834" spans="1:7" ht="12.75" customHeight="1" x14ac:dyDescent="0.2">
      <c r="A834" s="45"/>
      <c r="B834" s="45"/>
      <c r="C834" s="2"/>
      <c r="D834" s="2"/>
      <c r="E834" s="2"/>
      <c r="F834" s="72"/>
      <c r="G834" s="72"/>
    </row>
    <row r="835" spans="1:7" ht="12.75" customHeight="1" x14ac:dyDescent="0.2">
      <c r="A835" s="45"/>
      <c r="B835" s="45"/>
      <c r="C835" s="2"/>
      <c r="D835" s="2"/>
      <c r="E835" s="2"/>
      <c r="F835" s="72"/>
      <c r="G835" s="72"/>
    </row>
    <row r="836" spans="1:7" ht="12.75" customHeight="1" x14ac:dyDescent="0.2">
      <c r="A836" s="45"/>
      <c r="B836" s="45"/>
      <c r="C836" s="2"/>
      <c r="D836" s="2"/>
      <c r="E836" s="2"/>
      <c r="F836" s="72"/>
      <c r="G836" s="72"/>
    </row>
    <row r="837" spans="1:7" ht="12.75" customHeight="1" x14ac:dyDescent="0.2">
      <c r="A837" s="45"/>
      <c r="B837" s="45"/>
      <c r="C837" s="2"/>
      <c r="D837" s="2"/>
      <c r="E837" s="2"/>
      <c r="F837" s="72"/>
      <c r="G837" s="72"/>
    </row>
    <row r="838" spans="1:7" ht="12.75" customHeight="1" x14ac:dyDescent="0.2">
      <c r="A838" s="45"/>
      <c r="B838" s="45"/>
      <c r="C838" s="2"/>
      <c r="D838" s="2"/>
      <c r="E838" s="2"/>
      <c r="F838" s="72"/>
      <c r="G838" s="72"/>
    </row>
    <row r="839" spans="1:7" ht="12.75" customHeight="1" x14ac:dyDescent="0.2">
      <c r="A839" s="45"/>
      <c r="B839" s="45"/>
      <c r="C839" s="2"/>
      <c r="D839" s="2"/>
      <c r="E839" s="2"/>
      <c r="F839" s="72"/>
      <c r="G839" s="72"/>
    </row>
    <row r="840" spans="1:7" ht="12.75" customHeight="1" x14ac:dyDescent="0.2">
      <c r="A840" s="45"/>
      <c r="B840" s="45"/>
      <c r="C840" s="2"/>
      <c r="D840" s="2"/>
      <c r="E840" s="2"/>
      <c r="F840" s="72"/>
      <c r="G840" s="72"/>
    </row>
    <row r="841" spans="1:7" ht="12.75" customHeight="1" x14ac:dyDescent="0.2">
      <c r="A841" s="45"/>
      <c r="B841" s="45"/>
      <c r="C841" s="2"/>
      <c r="D841" s="2"/>
      <c r="E841" s="2"/>
      <c r="F841" s="72"/>
      <c r="G841" s="72"/>
    </row>
    <row r="842" spans="1:7" ht="12.75" customHeight="1" x14ac:dyDescent="0.2">
      <c r="A842" s="45"/>
      <c r="B842" s="45"/>
      <c r="C842" s="2"/>
      <c r="D842" s="2"/>
      <c r="E842" s="2"/>
      <c r="F842" s="72"/>
      <c r="G842" s="72"/>
    </row>
    <row r="843" spans="1:7" ht="12.75" customHeight="1" x14ac:dyDescent="0.2">
      <c r="A843" s="45"/>
      <c r="B843" s="45"/>
      <c r="C843" s="2"/>
      <c r="D843" s="2"/>
      <c r="E843" s="2"/>
      <c r="F843" s="72"/>
      <c r="G843" s="72"/>
    </row>
    <row r="844" spans="1:7" ht="12.75" customHeight="1" x14ac:dyDescent="0.2">
      <c r="A844" s="45"/>
      <c r="B844" s="45"/>
      <c r="C844" s="2"/>
      <c r="D844" s="2"/>
      <c r="E844" s="2"/>
      <c r="F844" s="72"/>
      <c r="G844" s="72"/>
    </row>
    <row r="845" spans="1:7" ht="12.75" customHeight="1" x14ac:dyDescent="0.2">
      <c r="A845" s="45"/>
      <c r="B845" s="45"/>
      <c r="C845" s="2"/>
      <c r="D845" s="2"/>
      <c r="E845" s="2"/>
      <c r="F845" s="72"/>
      <c r="G845" s="72"/>
    </row>
    <row r="846" spans="1:7" ht="12.75" customHeight="1" x14ac:dyDescent="0.2">
      <c r="A846" s="45"/>
      <c r="B846" s="45"/>
      <c r="C846" s="2"/>
      <c r="D846" s="2"/>
      <c r="E846" s="2"/>
      <c r="F846" s="72"/>
      <c r="G846" s="72"/>
    </row>
    <row r="847" spans="1:7" ht="12.75" customHeight="1" x14ac:dyDescent="0.2">
      <c r="A847" s="45"/>
      <c r="B847" s="45"/>
      <c r="C847" s="2"/>
      <c r="D847" s="2"/>
      <c r="E847" s="2"/>
      <c r="F847" s="72"/>
      <c r="G847" s="72"/>
    </row>
    <row r="848" spans="1:7" ht="12.75" customHeight="1" x14ac:dyDescent="0.2">
      <c r="A848" s="45"/>
      <c r="B848" s="45"/>
      <c r="C848" s="2"/>
      <c r="D848" s="2"/>
      <c r="E848" s="2"/>
      <c r="F848" s="72"/>
      <c r="G848" s="72"/>
    </row>
    <row r="849" spans="1:7" ht="12.75" customHeight="1" x14ac:dyDescent="0.2">
      <c r="A849" s="45"/>
      <c r="B849" s="45"/>
      <c r="C849" s="2"/>
      <c r="D849" s="2"/>
      <c r="E849" s="2"/>
      <c r="F849" s="72"/>
      <c r="G849" s="72"/>
    </row>
    <row r="850" spans="1:7" ht="12.75" customHeight="1" x14ac:dyDescent="0.2">
      <c r="A850" s="45"/>
      <c r="B850" s="45"/>
      <c r="C850" s="2"/>
      <c r="D850" s="2"/>
      <c r="E850" s="2"/>
      <c r="F850" s="72"/>
      <c r="G850" s="72"/>
    </row>
    <row r="851" spans="1:7" ht="12.75" customHeight="1" x14ac:dyDescent="0.2">
      <c r="A851" s="45"/>
      <c r="B851" s="45"/>
      <c r="C851" s="2"/>
      <c r="D851" s="2"/>
      <c r="E851" s="2"/>
      <c r="F851" s="72"/>
      <c r="G851" s="72"/>
    </row>
    <row r="852" spans="1:7" ht="12.75" customHeight="1" x14ac:dyDescent="0.2">
      <c r="A852" s="45"/>
      <c r="B852" s="45"/>
      <c r="C852" s="2"/>
      <c r="D852" s="2"/>
      <c r="E852" s="2"/>
      <c r="F852" s="72"/>
      <c r="G852" s="72"/>
    </row>
    <row r="853" spans="1:7" ht="12.75" customHeight="1" x14ac:dyDescent="0.2">
      <c r="A853" s="45"/>
      <c r="B853" s="45"/>
      <c r="C853" s="2"/>
      <c r="D853" s="2"/>
      <c r="E853" s="2"/>
      <c r="F853" s="72"/>
      <c r="G853" s="72"/>
    </row>
    <row r="854" spans="1:7" ht="12.75" customHeight="1" x14ac:dyDescent="0.2">
      <c r="A854" s="45"/>
      <c r="B854" s="45"/>
      <c r="C854" s="2"/>
      <c r="D854" s="2"/>
      <c r="E854" s="2"/>
      <c r="F854" s="72"/>
      <c r="G854" s="72"/>
    </row>
    <row r="855" spans="1:7" ht="12.75" customHeight="1" x14ac:dyDescent="0.2">
      <c r="A855" s="45"/>
      <c r="B855" s="45"/>
      <c r="C855" s="2"/>
      <c r="D855" s="2"/>
      <c r="E855" s="2"/>
      <c r="F855" s="72"/>
      <c r="G855" s="72"/>
    </row>
    <row r="856" spans="1:7" ht="12.75" customHeight="1" x14ac:dyDescent="0.2">
      <c r="A856" s="45"/>
      <c r="B856" s="45"/>
      <c r="C856" s="2"/>
      <c r="D856" s="2"/>
      <c r="E856" s="2"/>
      <c r="F856" s="72"/>
      <c r="G856" s="72"/>
    </row>
    <row r="857" spans="1:7" ht="12.75" customHeight="1" x14ac:dyDescent="0.2">
      <c r="A857" s="45"/>
      <c r="B857" s="45"/>
      <c r="C857" s="2"/>
      <c r="D857" s="2"/>
      <c r="E857" s="2"/>
      <c r="F857" s="72"/>
      <c r="G857" s="72"/>
    </row>
    <row r="858" spans="1:7" ht="12.75" customHeight="1" x14ac:dyDescent="0.2">
      <c r="A858" s="45"/>
      <c r="B858" s="45"/>
      <c r="C858" s="2"/>
      <c r="D858" s="2"/>
      <c r="E858" s="2"/>
      <c r="F858" s="72"/>
      <c r="G858" s="72"/>
    </row>
    <row r="859" spans="1:7" ht="12.75" customHeight="1" x14ac:dyDescent="0.2">
      <c r="A859" s="45"/>
      <c r="B859" s="45"/>
      <c r="C859" s="2"/>
      <c r="D859" s="2"/>
      <c r="E859" s="2"/>
      <c r="F859" s="72"/>
      <c r="G859" s="72"/>
    </row>
    <row r="860" spans="1:7" ht="12.75" customHeight="1" x14ac:dyDescent="0.2">
      <c r="A860" s="45"/>
      <c r="B860" s="45"/>
      <c r="C860" s="2"/>
      <c r="D860" s="2"/>
      <c r="E860" s="2"/>
      <c r="F860" s="72"/>
      <c r="G860" s="72"/>
    </row>
    <row r="861" spans="1:7" ht="12.75" customHeight="1" x14ac:dyDescent="0.2">
      <c r="A861" s="45"/>
      <c r="B861" s="45"/>
      <c r="C861" s="2"/>
      <c r="D861" s="2"/>
      <c r="E861" s="2"/>
      <c r="F861" s="72"/>
      <c r="G861" s="72"/>
    </row>
    <row r="862" spans="1:7" ht="12.75" customHeight="1" x14ac:dyDescent="0.2">
      <c r="A862" s="45"/>
      <c r="B862" s="45"/>
      <c r="C862" s="2"/>
      <c r="D862" s="2"/>
      <c r="E862" s="2"/>
      <c r="F862" s="72"/>
      <c r="G862" s="72"/>
    </row>
    <row r="863" spans="1:7" ht="12.75" customHeight="1" x14ac:dyDescent="0.2">
      <c r="A863" s="45"/>
      <c r="B863" s="45"/>
      <c r="C863" s="2"/>
      <c r="D863" s="2"/>
      <c r="E863" s="2"/>
      <c r="F863" s="72"/>
      <c r="G863" s="72"/>
    </row>
    <row r="864" spans="1:7" ht="12.75" customHeight="1" x14ac:dyDescent="0.2">
      <c r="A864" s="45"/>
      <c r="B864" s="45"/>
      <c r="C864" s="2"/>
      <c r="D864" s="2"/>
      <c r="E864" s="2"/>
      <c r="F864" s="72"/>
      <c r="G864" s="72"/>
    </row>
    <row r="865" spans="1:7" ht="12.75" customHeight="1" x14ac:dyDescent="0.2">
      <c r="A865" s="45"/>
      <c r="B865" s="45"/>
      <c r="C865" s="2"/>
      <c r="D865" s="2"/>
      <c r="E865" s="2"/>
      <c r="F865" s="72"/>
      <c r="G865" s="72"/>
    </row>
    <row r="866" spans="1:7" ht="12.75" customHeight="1" x14ac:dyDescent="0.2">
      <c r="A866" s="45"/>
      <c r="B866" s="45"/>
      <c r="C866" s="2"/>
      <c r="D866" s="2"/>
      <c r="E866" s="2"/>
      <c r="F866" s="72"/>
      <c r="G866" s="72"/>
    </row>
    <row r="867" spans="1:7" ht="12.75" customHeight="1" x14ac:dyDescent="0.2">
      <c r="A867" s="45"/>
      <c r="B867" s="45"/>
      <c r="C867" s="2"/>
      <c r="D867" s="2"/>
      <c r="E867" s="2"/>
      <c r="F867" s="72"/>
      <c r="G867" s="72"/>
    </row>
    <row r="868" spans="1:7" ht="12.75" customHeight="1" x14ac:dyDescent="0.2">
      <c r="A868" s="45"/>
      <c r="B868" s="45"/>
      <c r="C868" s="2"/>
      <c r="D868" s="2"/>
      <c r="E868" s="2"/>
      <c r="F868" s="72"/>
      <c r="G868" s="72"/>
    </row>
    <row r="869" spans="1:7" ht="12.75" customHeight="1" x14ac:dyDescent="0.2">
      <c r="A869" s="45"/>
      <c r="B869" s="45"/>
      <c r="C869" s="2"/>
      <c r="D869" s="2"/>
      <c r="E869" s="2"/>
      <c r="F869" s="72"/>
      <c r="G869" s="72"/>
    </row>
    <row r="870" spans="1:7" ht="12.75" customHeight="1" x14ac:dyDescent="0.2">
      <c r="A870" s="45"/>
      <c r="B870" s="45"/>
      <c r="C870" s="2"/>
      <c r="D870" s="2"/>
      <c r="E870" s="2"/>
      <c r="F870" s="72"/>
      <c r="G870" s="72"/>
    </row>
    <row r="871" spans="1:7" ht="12.75" customHeight="1" x14ac:dyDescent="0.2">
      <c r="A871" s="45"/>
      <c r="B871" s="45"/>
      <c r="C871" s="2"/>
      <c r="D871" s="2"/>
      <c r="E871" s="2"/>
      <c r="F871" s="72"/>
      <c r="G871" s="72"/>
    </row>
    <row r="872" spans="1:7" ht="12.75" customHeight="1" x14ac:dyDescent="0.2">
      <c r="A872" s="45"/>
      <c r="B872" s="45"/>
      <c r="C872" s="2"/>
      <c r="D872" s="2"/>
      <c r="E872" s="2"/>
      <c r="F872" s="72"/>
      <c r="G872" s="72"/>
    </row>
    <row r="873" spans="1:7" ht="12.75" customHeight="1" x14ac:dyDescent="0.2">
      <c r="A873" s="45"/>
      <c r="B873" s="45"/>
      <c r="C873" s="2"/>
      <c r="D873" s="2"/>
      <c r="E873" s="2"/>
      <c r="F873" s="72"/>
      <c r="G873" s="72"/>
    </row>
    <row r="874" spans="1:7" ht="12.75" customHeight="1" x14ac:dyDescent="0.2">
      <c r="A874" s="45"/>
      <c r="B874" s="45"/>
      <c r="C874" s="2"/>
      <c r="D874" s="2"/>
      <c r="E874" s="2"/>
      <c r="F874" s="72"/>
      <c r="G874" s="72"/>
    </row>
    <row r="875" spans="1:7" ht="12.75" customHeight="1" x14ac:dyDescent="0.2">
      <c r="A875" s="45"/>
      <c r="B875" s="45"/>
      <c r="C875" s="2"/>
      <c r="D875" s="2"/>
      <c r="E875" s="2"/>
      <c r="F875" s="72"/>
      <c r="G875" s="72"/>
    </row>
    <row r="876" spans="1:7" ht="12.75" customHeight="1" x14ac:dyDescent="0.2">
      <c r="A876" s="45"/>
      <c r="B876" s="45"/>
      <c r="C876" s="2"/>
      <c r="D876" s="2"/>
      <c r="E876" s="2"/>
      <c r="F876" s="72"/>
      <c r="G876" s="72"/>
    </row>
    <row r="877" spans="1:7" ht="12.75" customHeight="1" x14ac:dyDescent="0.2">
      <c r="A877" s="45"/>
      <c r="B877" s="45"/>
      <c r="C877" s="2"/>
      <c r="D877" s="2"/>
      <c r="E877" s="2"/>
      <c r="F877" s="72"/>
      <c r="G877" s="72"/>
    </row>
    <row r="878" spans="1:7" ht="12.75" customHeight="1" x14ac:dyDescent="0.2">
      <c r="A878" s="45"/>
      <c r="B878" s="45"/>
      <c r="C878" s="2"/>
      <c r="D878" s="2"/>
      <c r="E878" s="2"/>
      <c r="F878" s="72"/>
      <c r="G878" s="72"/>
    </row>
    <row r="879" spans="1:7" ht="12.75" customHeight="1" x14ac:dyDescent="0.2">
      <c r="A879" s="45"/>
      <c r="B879" s="45"/>
      <c r="C879" s="2"/>
      <c r="D879" s="2"/>
      <c r="E879" s="2"/>
      <c r="F879" s="72"/>
      <c r="G879" s="72"/>
    </row>
    <row r="880" spans="1:7" ht="12.75" customHeight="1" x14ac:dyDescent="0.2">
      <c r="A880" s="45"/>
      <c r="B880" s="45"/>
      <c r="C880" s="2"/>
      <c r="D880" s="2"/>
      <c r="E880" s="2"/>
      <c r="F880" s="72"/>
      <c r="G880" s="72"/>
    </row>
    <row r="881" spans="1:7" ht="12.75" customHeight="1" x14ac:dyDescent="0.2">
      <c r="A881" s="45"/>
      <c r="B881" s="45"/>
      <c r="C881" s="2"/>
      <c r="D881" s="2"/>
      <c r="E881" s="2"/>
      <c r="F881" s="72"/>
      <c r="G881" s="72"/>
    </row>
    <row r="882" spans="1:7" ht="12.75" customHeight="1" x14ac:dyDescent="0.2">
      <c r="A882" s="45"/>
      <c r="B882" s="45"/>
      <c r="C882" s="2"/>
      <c r="D882" s="2"/>
      <c r="E882" s="2"/>
      <c r="F882" s="72"/>
      <c r="G882" s="72"/>
    </row>
    <row r="883" spans="1:7" ht="12.75" customHeight="1" x14ac:dyDescent="0.2">
      <c r="A883" s="45"/>
      <c r="B883" s="45"/>
      <c r="C883" s="2"/>
      <c r="D883" s="2"/>
      <c r="E883" s="2"/>
      <c r="F883" s="72"/>
      <c r="G883" s="72"/>
    </row>
    <row r="884" spans="1:7" ht="12.75" customHeight="1" x14ac:dyDescent="0.2">
      <c r="A884" s="45"/>
      <c r="B884" s="45"/>
      <c r="C884" s="2"/>
      <c r="D884" s="2"/>
      <c r="E884" s="2"/>
      <c r="F884" s="72"/>
      <c r="G884" s="72"/>
    </row>
    <row r="885" spans="1:7" ht="12.75" customHeight="1" x14ac:dyDescent="0.2">
      <c r="A885" s="45"/>
      <c r="B885" s="45"/>
      <c r="C885" s="2"/>
      <c r="D885" s="2"/>
      <c r="E885" s="2"/>
      <c r="F885" s="72"/>
      <c r="G885" s="72"/>
    </row>
    <row r="886" spans="1:7" ht="12.75" customHeight="1" x14ac:dyDescent="0.2">
      <c r="A886" s="45"/>
      <c r="B886" s="45"/>
      <c r="C886" s="2"/>
      <c r="D886" s="2"/>
      <c r="E886" s="2"/>
      <c r="F886" s="72"/>
      <c r="G886" s="72"/>
    </row>
    <row r="887" spans="1:7" ht="12.75" customHeight="1" x14ac:dyDescent="0.2">
      <c r="A887" s="45"/>
      <c r="B887" s="45"/>
      <c r="C887" s="2"/>
      <c r="D887" s="2"/>
      <c r="E887" s="2"/>
      <c r="F887" s="72"/>
      <c r="G887" s="72"/>
    </row>
    <row r="888" spans="1:7" ht="12.75" customHeight="1" x14ac:dyDescent="0.2">
      <c r="A888" s="45"/>
      <c r="B888" s="45"/>
      <c r="C888" s="2"/>
      <c r="D888" s="2"/>
      <c r="E888" s="2"/>
      <c r="F888" s="72"/>
      <c r="G888" s="72"/>
    </row>
    <row r="889" spans="1:7" ht="12.75" customHeight="1" x14ac:dyDescent="0.2">
      <c r="A889" s="45"/>
      <c r="B889" s="45"/>
      <c r="C889" s="2"/>
      <c r="D889" s="2"/>
      <c r="E889" s="2"/>
      <c r="F889" s="72"/>
      <c r="G889" s="72"/>
    </row>
    <row r="890" spans="1:7" ht="12.75" customHeight="1" x14ac:dyDescent="0.2">
      <c r="A890" s="45"/>
      <c r="B890" s="45"/>
      <c r="C890" s="2"/>
      <c r="D890" s="2"/>
      <c r="E890" s="2"/>
      <c r="F890" s="72"/>
      <c r="G890" s="72"/>
    </row>
    <row r="891" spans="1:7" ht="12.75" customHeight="1" x14ac:dyDescent="0.2">
      <c r="A891" s="45"/>
      <c r="B891" s="45"/>
      <c r="C891" s="2"/>
      <c r="D891" s="2"/>
      <c r="E891" s="2"/>
      <c r="F891" s="72"/>
      <c r="G891" s="72"/>
    </row>
    <row r="892" spans="1:7" ht="12.75" customHeight="1" x14ac:dyDescent="0.2">
      <c r="A892" s="45"/>
      <c r="B892" s="45"/>
      <c r="C892" s="2"/>
      <c r="D892" s="2"/>
      <c r="E892" s="2"/>
      <c r="F892" s="72"/>
      <c r="G892" s="72"/>
    </row>
    <row r="893" spans="1:7" ht="12.75" customHeight="1" x14ac:dyDescent="0.2">
      <c r="A893" s="45"/>
      <c r="B893" s="45"/>
      <c r="C893" s="2"/>
      <c r="D893" s="2"/>
      <c r="E893" s="2"/>
      <c r="F893" s="72"/>
      <c r="G893" s="72"/>
    </row>
    <row r="894" spans="1:7" ht="12.75" customHeight="1" x14ac:dyDescent="0.2">
      <c r="A894" s="45"/>
      <c r="B894" s="45"/>
      <c r="C894" s="2"/>
      <c r="D894" s="2"/>
      <c r="E894" s="2"/>
      <c r="F894" s="72"/>
      <c r="G894" s="72"/>
    </row>
    <row r="895" spans="1:7" ht="12.75" customHeight="1" x14ac:dyDescent="0.2">
      <c r="A895" s="45"/>
      <c r="B895" s="45"/>
      <c r="C895" s="2"/>
      <c r="D895" s="2"/>
      <c r="E895" s="2"/>
      <c r="F895" s="72"/>
      <c r="G895" s="72"/>
    </row>
    <row r="896" spans="1:7" ht="12.75" customHeight="1" x14ac:dyDescent="0.2">
      <c r="A896" s="45"/>
      <c r="B896" s="45"/>
      <c r="C896" s="2"/>
      <c r="D896" s="2"/>
      <c r="E896" s="2"/>
      <c r="F896" s="72"/>
      <c r="G896" s="72"/>
    </row>
    <row r="897" spans="1:7" ht="12.75" customHeight="1" x14ac:dyDescent="0.2">
      <c r="A897" s="45"/>
      <c r="B897" s="45"/>
      <c r="C897" s="2"/>
      <c r="D897" s="2"/>
      <c r="E897" s="2"/>
      <c r="F897" s="72"/>
      <c r="G897" s="72"/>
    </row>
    <row r="898" spans="1:7" ht="12.75" customHeight="1" x14ac:dyDescent="0.2">
      <c r="A898" s="45"/>
      <c r="B898" s="45"/>
      <c r="C898" s="2"/>
      <c r="D898" s="2"/>
      <c r="E898" s="2"/>
      <c r="F898" s="72"/>
      <c r="G898" s="72"/>
    </row>
    <row r="899" spans="1:7" ht="12.75" customHeight="1" x14ac:dyDescent="0.2">
      <c r="A899" s="45"/>
      <c r="B899" s="45"/>
      <c r="C899" s="2"/>
      <c r="D899" s="2"/>
      <c r="E899" s="2"/>
      <c r="F899" s="72"/>
      <c r="G899" s="72"/>
    </row>
    <row r="900" spans="1:7" ht="12.75" customHeight="1" x14ac:dyDescent="0.2">
      <c r="A900" s="45"/>
      <c r="B900" s="45"/>
      <c r="C900" s="2"/>
      <c r="D900" s="2"/>
      <c r="E900" s="2"/>
      <c r="F900" s="72"/>
      <c r="G900" s="72"/>
    </row>
    <row r="901" spans="1:7" ht="12.75" customHeight="1" x14ac:dyDescent="0.2">
      <c r="A901" s="45"/>
      <c r="B901" s="45"/>
      <c r="C901" s="2"/>
      <c r="D901" s="2"/>
      <c r="E901" s="2"/>
      <c r="F901" s="72"/>
      <c r="G901" s="72"/>
    </row>
    <row r="902" spans="1:7" ht="12.75" customHeight="1" x14ac:dyDescent="0.2">
      <c r="A902" s="45"/>
      <c r="B902" s="45"/>
      <c r="C902" s="2"/>
      <c r="D902" s="2"/>
      <c r="E902" s="2"/>
      <c r="F902" s="72"/>
      <c r="G902" s="72"/>
    </row>
    <row r="903" spans="1:7" ht="12.75" customHeight="1" x14ac:dyDescent="0.2">
      <c r="A903" s="45"/>
      <c r="B903" s="45"/>
      <c r="C903" s="2"/>
      <c r="D903" s="2"/>
      <c r="E903" s="2"/>
      <c r="F903" s="72"/>
      <c r="G903" s="72"/>
    </row>
    <row r="904" spans="1:7" ht="12.75" customHeight="1" x14ac:dyDescent="0.2">
      <c r="A904" s="45"/>
      <c r="B904" s="45"/>
      <c r="C904" s="2"/>
      <c r="D904" s="2"/>
      <c r="E904" s="2"/>
      <c r="F904" s="72"/>
      <c r="G904" s="72"/>
    </row>
    <row r="905" spans="1:7" ht="12.75" customHeight="1" x14ac:dyDescent="0.2">
      <c r="A905" s="45"/>
      <c r="B905" s="45"/>
      <c r="C905" s="2"/>
      <c r="D905" s="2"/>
      <c r="E905" s="2"/>
      <c r="F905" s="72"/>
      <c r="G905" s="72"/>
    </row>
    <row r="906" spans="1:7" ht="12.75" customHeight="1" x14ac:dyDescent="0.2">
      <c r="A906" s="45"/>
      <c r="B906" s="45"/>
      <c r="C906" s="2"/>
      <c r="D906" s="2"/>
      <c r="E906" s="2"/>
      <c r="F906" s="72"/>
      <c r="G906" s="72"/>
    </row>
    <row r="907" spans="1:7" ht="12.75" customHeight="1" x14ac:dyDescent="0.2">
      <c r="A907" s="45"/>
      <c r="B907" s="45"/>
      <c r="C907" s="2"/>
      <c r="D907" s="2"/>
      <c r="E907" s="2"/>
      <c r="F907" s="72"/>
      <c r="G907" s="72"/>
    </row>
    <row r="908" spans="1:7" ht="12.75" customHeight="1" x14ac:dyDescent="0.2">
      <c r="A908" s="45"/>
      <c r="B908" s="45"/>
      <c r="C908" s="2"/>
      <c r="D908" s="2"/>
      <c r="E908" s="2"/>
      <c r="F908" s="72"/>
      <c r="G908" s="72"/>
    </row>
    <row r="909" spans="1:7" ht="12.75" customHeight="1" x14ac:dyDescent="0.2">
      <c r="A909" s="45"/>
      <c r="B909" s="45"/>
      <c r="C909" s="2"/>
      <c r="D909" s="2"/>
      <c r="E909" s="2"/>
      <c r="F909" s="72"/>
      <c r="G909" s="72"/>
    </row>
    <row r="910" spans="1:7" ht="12.75" customHeight="1" x14ac:dyDescent="0.2">
      <c r="A910" s="45"/>
      <c r="B910" s="45"/>
      <c r="C910" s="2"/>
      <c r="D910" s="2"/>
      <c r="E910" s="2"/>
      <c r="F910" s="72"/>
      <c r="G910" s="72"/>
    </row>
    <row r="911" spans="1:7" ht="12.75" customHeight="1" x14ac:dyDescent="0.2">
      <c r="A911" s="45"/>
      <c r="B911" s="45"/>
      <c r="C911" s="2"/>
      <c r="D911" s="2"/>
      <c r="E911" s="2"/>
      <c r="F911" s="72"/>
      <c r="G911" s="72"/>
    </row>
    <row r="912" spans="1:7" ht="12.75" customHeight="1" x14ac:dyDescent="0.2">
      <c r="A912" s="45"/>
      <c r="B912" s="45"/>
      <c r="C912" s="2"/>
      <c r="D912" s="2"/>
      <c r="E912" s="2"/>
      <c r="F912" s="72"/>
      <c r="G912" s="72"/>
    </row>
    <row r="913" spans="1:7" ht="12.75" customHeight="1" x14ac:dyDescent="0.2">
      <c r="A913" s="45"/>
      <c r="B913" s="45"/>
      <c r="C913" s="2"/>
      <c r="D913" s="2"/>
      <c r="E913" s="2"/>
      <c r="F913" s="72"/>
      <c r="G913" s="72"/>
    </row>
    <row r="914" spans="1:7" ht="12.75" customHeight="1" x14ac:dyDescent="0.2">
      <c r="A914" s="45"/>
      <c r="B914" s="45"/>
      <c r="C914" s="2"/>
      <c r="D914" s="2"/>
      <c r="E914" s="2"/>
      <c r="F914" s="72"/>
      <c r="G914" s="72"/>
    </row>
    <row r="915" spans="1:7" ht="12.75" customHeight="1" x14ac:dyDescent="0.2">
      <c r="A915" s="45"/>
      <c r="B915" s="45"/>
      <c r="C915" s="2"/>
      <c r="D915" s="2"/>
      <c r="E915" s="2"/>
      <c r="F915" s="72"/>
      <c r="G915" s="72"/>
    </row>
    <row r="916" spans="1:7" ht="12.75" customHeight="1" x14ac:dyDescent="0.2">
      <c r="A916" s="45"/>
      <c r="B916" s="45"/>
      <c r="C916" s="2"/>
      <c r="D916" s="2"/>
      <c r="E916" s="2"/>
      <c r="F916" s="72"/>
      <c r="G916" s="72"/>
    </row>
    <row r="917" spans="1:7" ht="12.75" customHeight="1" x14ac:dyDescent="0.2">
      <c r="A917" s="45"/>
      <c r="B917" s="45"/>
      <c r="C917" s="2"/>
      <c r="D917" s="2"/>
      <c r="E917" s="2"/>
      <c r="F917" s="72"/>
      <c r="G917" s="72"/>
    </row>
    <row r="918" spans="1:7" ht="12.75" customHeight="1" x14ac:dyDescent="0.2">
      <c r="A918" s="45"/>
      <c r="B918" s="45"/>
      <c r="C918" s="2"/>
      <c r="D918" s="2"/>
      <c r="E918" s="2"/>
      <c r="F918" s="72"/>
      <c r="G918" s="72"/>
    </row>
    <row r="919" spans="1:7" ht="12.75" customHeight="1" x14ac:dyDescent="0.2">
      <c r="A919" s="45"/>
      <c r="B919" s="45"/>
      <c r="C919" s="2"/>
      <c r="D919" s="2"/>
      <c r="E919" s="2"/>
      <c r="F919" s="72"/>
      <c r="G919" s="72"/>
    </row>
    <row r="920" spans="1:7" ht="12.75" customHeight="1" x14ac:dyDescent="0.2">
      <c r="A920" s="45"/>
      <c r="B920" s="45"/>
      <c r="C920" s="2"/>
      <c r="D920" s="2"/>
      <c r="E920" s="2"/>
      <c r="F920" s="72"/>
      <c r="G920" s="72"/>
    </row>
    <row r="921" spans="1:7" ht="12.75" customHeight="1" x14ac:dyDescent="0.2">
      <c r="A921" s="45"/>
      <c r="B921" s="45"/>
      <c r="C921" s="2"/>
      <c r="D921" s="2"/>
      <c r="E921" s="2"/>
      <c r="F921" s="72"/>
      <c r="G921" s="72"/>
    </row>
    <row r="922" spans="1:7" ht="12.75" customHeight="1" x14ac:dyDescent="0.2">
      <c r="A922" s="45"/>
      <c r="B922" s="45"/>
      <c r="C922" s="2"/>
      <c r="D922" s="2"/>
      <c r="E922" s="2"/>
      <c r="F922" s="72"/>
      <c r="G922" s="72"/>
    </row>
    <row r="923" spans="1:7" ht="12.75" customHeight="1" x14ac:dyDescent="0.2">
      <c r="A923" s="45"/>
      <c r="B923" s="45"/>
      <c r="C923" s="2"/>
      <c r="D923" s="2"/>
      <c r="E923" s="2"/>
      <c r="F923" s="72"/>
      <c r="G923" s="72"/>
    </row>
    <row r="924" spans="1:7" ht="12.75" customHeight="1" x14ac:dyDescent="0.2">
      <c r="A924" s="45"/>
      <c r="B924" s="45"/>
      <c r="C924" s="2"/>
      <c r="D924" s="2"/>
      <c r="E924" s="2"/>
      <c r="F924" s="72"/>
      <c r="G924" s="72"/>
    </row>
    <row r="925" spans="1:7" ht="12.75" customHeight="1" x14ac:dyDescent="0.2">
      <c r="A925" s="45"/>
      <c r="B925" s="45"/>
      <c r="C925" s="2"/>
      <c r="D925" s="2"/>
      <c r="E925" s="2"/>
      <c r="F925" s="72"/>
      <c r="G925" s="72"/>
    </row>
    <row r="926" spans="1:7" ht="12.75" customHeight="1" x14ac:dyDescent="0.2">
      <c r="A926" s="45"/>
      <c r="B926" s="45"/>
      <c r="C926" s="2"/>
      <c r="D926" s="2"/>
      <c r="E926" s="2"/>
      <c r="F926" s="72"/>
      <c r="G926" s="72"/>
    </row>
    <row r="927" spans="1:7" ht="12.75" customHeight="1" x14ac:dyDescent="0.2">
      <c r="A927" s="45"/>
      <c r="B927" s="45"/>
      <c r="C927" s="2"/>
      <c r="D927" s="2"/>
      <c r="E927" s="2"/>
      <c r="F927" s="72"/>
      <c r="G927" s="72"/>
    </row>
    <row r="928" spans="1:7" ht="12.75" customHeight="1" x14ac:dyDescent="0.2">
      <c r="A928" s="45"/>
      <c r="B928" s="45"/>
      <c r="C928" s="2"/>
      <c r="D928" s="2"/>
      <c r="E928" s="2"/>
      <c r="F928" s="72"/>
      <c r="G928" s="72"/>
    </row>
    <row r="929" spans="1:7" ht="12.75" customHeight="1" x14ac:dyDescent="0.2">
      <c r="A929" s="45"/>
      <c r="B929" s="45"/>
      <c r="C929" s="2"/>
      <c r="D929" s="2"/>
      <c r="E929" s="2"/>
      <c r="F929" s="72"/>
      <c r="G929" s="72"/>
    </row>
    <row r="930" spans="1:7" ht="12.75" customHeight="1" x14ac:dyDescent="0.2">
      <c r="A930" s="45"/>
      <c r="B930" s="45"/>
      <c r="C930" s="2"/>
      <c r="D930" s="2"/>
      <c r="E930" s="2"/>
      <c r="F930" s="72"/>
      <c r="G930" s="72"/>
    </row>
    <row r="931" spans="1:7" ht="12.75" customHeight="1" x14ac:dyDescent="0.2">
      <c r="A931" s="45"/>
      <c r="B931" s="45"/>
      <c r="C931" s="2"/>
      <c r="D931" s="2"/>
      <c r="E931" s="2"/>
      <c r="F931" s="72"/>
      <c r="G931" s="72"/>
    </row>
    <row r="932" spans="1:7" ht="12.75" customHeight="1" x14ac:dyDescent="0.2">
      <c r="A932" s="45"/>
      <c r="B932" s="45"/>
      <c r="C932" s="2"/>
      <c r="D932" s="2"/>
      <c r="E932" s="2"/>
      <c r="F932" s="72"/>
      <c r="G932" s="72"/>
    </row>
    <row r="933" spans="1:7" ht="12.75" customHeight="1" x14ac:dyDescent="0.2">
      <c r="A933" s="45"/>
      <c r="B933" s="45"/>
      <c r="C933" s="2"/>
      <c r="D933" s="2"/>
      <c r="E933" s="2"/>
      <c r="F933" s="72"/>
      <c r="G933" s="72"/>
    </row>
    <row r="934" spans="1:7" ht="12.75" customHeight="1" x14ac:dyDescent="0.2">
      <c r="A934" s="45"/>
      <c r="B934" s="45"/>
      <c r="C934" s="2"/>
      <c r="D934" s="2"/>
      <c r="E934" s="2"/>
      <c r="F934" s="72"/>
      <c r="G934" s="72"/>
    </row>
    <row r="935" spans="1:7" ht="12.75" customHeight="1" x14ac:dyDescent="0.2">
      <c r="A935" s="45"/>
      <c r="B935" s="45"/>
      <c r="C935" s="2"/>
      <c r="D935" s="2"/>
      <c r="E935" s="2"/>
      <c r="F935" s="72"/>
      <c r="G935" s="72"/>
    </row>
    <row r="936" spans="1:7" ht="12.75" customHeight="1" x14ac:dyDescent="0.2">
      <c r="A936" s="45"/>
      <c r="B936" s="45"/>
      <c r="C936" s="2"/>
      <c r="D936" s="2"/>
      <c r="E936" s="2"/>
      <c r="F936" s="72"/>
      <c r="G936" s="72"/>
    </row>
    <row r="937" spans="1:7" ht="12.75" customHeight="1" x14ac:dyDescent="0.2">
      <c r="A937" s="45"/>
      <c r="B937" s="45"/>
      <c r="C937" s="2"/>
      <c r="D937" s="2"/>
      <c r="E937" s="2"/>
      <c r="F937" s="72"/>
      <c r="G937" s="72"/>
    </row>
    <row r="938" spans="1:7" ht="12.75" customHeight="1" x14ac:dyDescent="0.2">
      <c r="A938" s="45"/>
      <c r="B938" s="45"/>
      <c r="C938" s="2"/>
      <c r="D938" s="2"/>
      <c r="E938" s="2"/>
      <c r="F938" s="72"/>
      <c r="G938" s="72"/>
    </row>
    <row r="939" spans="1:7" ht="12.75" customHeight="1" x14ac:dyDescent="0.2">
      <c r="A939" s="45"/>
      <c r="B939" s="45"/>
      <c r="C939" s="2"/>
      <c r="D939" s="2"/>
      <c r="E939" s="2"/>
      <c r="F939" s="72"/>
      <c r="G939" s="72"/>
    </row>
    <row r="940" spans="1:7" ht="12.75" customHeight="1" x14ac:dyDescent="0.2">
      <c r="A940" s="45"/>
      <c r="B940" s="45"/>
      <c r="C940" s="2"/>
      <c r="D940" s="2"/>
      <c r="E940" s="2"/>
      <c r="F940" s="72"/>
      <c r="G940" s="72"/>
    </row>
    <row r="941" spans="1:7" ht="12.75" customHeight="1" x14ac:dyDescent="0.2">
      <c r="A941" s="45"/>
      <c r="B941" s="45"/>
      <c r="C941" s="2"/>
      <c r="D941" s="2"/>
      <c r="E941" s="2"/>
      <c r="F941" s="72"/>
      <c r="G941" s="72"/>
    </row>
    <row r="942" spans="1:7" ht="12.75" customHeight="1" x14ac:dyDescent="0.2">
      <c r="A942" s="45"/>
      <c r="B942" s="45"/>
      <c r="C942" s="2"/>
      <c r="D942" s="2"/>
      <c r="E942" s="2"/>
      <c r="F942" s="72"/>
      <c r="G942" s="72"/>
    </row>
    <row r="943" spans="1:7" ht="12.75" customHeight="1" x14ac:dyDescent="0.2">
      <c r="A943" s="45"/>
      <c r="B943" s="45"/>
      <c r="C943" s="2"/>
      <c r="D943" s="2"/>
      <c r="E943" s="2"/>
      <c r="F943" s="72"/>
      <c r="G943" s="72"/>
    </row>
    <row r="944" spans="1:7" ht="12.75" customHeight="1" x14ac:dyDescent="0.2">
      <c r="A944" s="45"/>
      <c r="B944" s="45"/>
      <c r="C944" s="2"/>
      <c r="D944" s="2"/>
      <c r="E944" s="2"/>
      <c r="F944" s="72"/>
      <c r="G944" s="72"/>
    </row>
    <row r="945" spans="1:7" ht="12.75" customHeight="1" x14ac:dyDescent="0.2">
      <c r="A945" s="45"/>
      <c r="B945" s="45"/>
      <c r="C945" s="2"/>
      <c r="D945" s="2"/>
      <c r="E945" s="2"/>
      <c r="F945" s="72"/>
      <c r="G945" s="72"/>
    </row>
    <row r="946" spans="1:7" ht="12.75" customHeight="1" x14ac:dyDescent="0.2">
      <c r="A946" s="45"/>
      <c r="B946" s="45"/>
      <c r="C946" s="2"/>
      <c r="D946" s="2"/>
      <c r="E946" s="2"/>
      <c r="F946" s="72"/>
      <c r="G946" s="72"/>
    </row>
    <row r="947" spans="1:7" ht="12.75" customHeight="1" x14ac:dyDescent="0.2">
      <c r="A947" s="45"/>
      <c r="B947" s="45"/>
      <c r="C947" s="2"/>
      <c r="D947" s="2"/>
      <c r="E947" s="2"/>
      <c r="F947" s="72"/>
      <c r="G947" s="72"/>
    </row>
    <row r="948" spans="1:7" ht="12.75" customHeight="1" x14ac:dyDescent="0.2">
      <c r="A948" s="45"/>
      <c r="B948" s="45"/>
      <c r="C948" s="2"/>
      <c r="D948" s="2"/>
      <c r="E948" s="2"/>
      <c r="F948" s="72"/>
      <c r="G948" s="72"/>
    </row>
    <row r="949" spans="1:7" ht="12.75" customHeight="1" x14ac:dyDescent="0.2">
      <c r="A949" s="45"/>
      <c r="B949" s="45"/>
      <c r="C949" s="2"/>
      <c r="D949" s="2"/>
      <c r="E949" s="2"/>
      <c r="F949" s="72"/>
      <c r="G949" s="72"/>
    </row>
    <row r="950" spans="1:7" ht="12.75" customHeight="1" x14ac:dyDescent="0.2">
      <c r="A950" s="45"/>
      <c r="B950" s="45"/>
      <c r="C950" s="2"/>
      <c r="D950" s="2"/>
      <c r="E950" s="2"/>
      <c r="F950" s="72"/>
      <c r="G950" s="72"/>
    </row>
    <row r="951" spans="1:7" ht="12.75" customHeight="1" x14ac:dyDescent="0.2">
      <c r="A951" s="45"/>
      <c r="B951" s="45"/>
      <c r="C951" s="2"/>
      <c r="D951" s="2"/>
      <c r="E951" s="2"/>
      <c r="F951" s="72"/>
      <c r="G951" s="72"/>
    </row>
    <row r="952" spans="1:7" ht="12.75" customHeight="1" x14ac:dyDescent="0.2">
      <c r="A952" s="45"/>
      <c r="B952" s="45"/>
      <c r="C952" s="2"/>
      <c r="D952" s="2"/>
      <c r="E952" s="2"/>
      <c r="F952" s="72"/>
      <c r="G952" s="72"/>
    </row>
    <row r="953" spans="1:7" ht="12.75" customHeight="1" x14ac:dyDescent="0.2">
      <c r="A953" s="45"/>
      <c r="B953" s="45"/>
      <c r="C953" s="2"/>
      <c r="D953" s="2"/>
      <c r="E953" s="2"/>
      <c r="F953" s="72"/>
      <c r="G953" s="72"/>
    </row>
    <row r="954" spans="1:7" ht="12.75" customHeight="1" x14ac:dyDescent="0.2">
      <c r="A954" s="45"/>
      <c r="B954" s="45"/>
      <c r="C954" s="2"/>
      <c r="D954" s="2"/>
      <c r="E954" s="2"/>
      <c r="F954" s="72"/>
      <c r="G954" s="72"/>
    </row>
    <row r="955" spans="1:7" ht="12.75" customHeight="1" x14ac:dyDescent="0.2">
      <c r="A955" s="45"/>
      <c r="B955" s="45"/>
      <c r="C955" s="2"/>
      <c r="D955" s="2"/>
      <c r="E955" s="2"/>
      <c r="F955" s="72"/>
      <c r="G955" s="72"/>
    </row>
    <row r="956" spans="1:7" ht="12.75" customHeight="1" x14ac:dyDescent="0.2">
      <c r="A956" s="45"/>
      <c r="B956" s="45"/>
      <c r="C956" s="2"/>
      <c r="D956" s="2"/>
      <c r="E956" s="2"/>
      <c r="F956" s="72"/>
      <c r="G956" s="72"/>
    </row>
    <row r="957" spans="1:7" ht="12.75" customHeight="1" x14ac:dyDescent="0.2">
      <c r="A957" s="45"/>
      <c r="B957" s="45"/>
      <c r="C957" s="2"/>
      <c r="D957" s="2"/>
      <c r="E957" s="2"/>
      <c r="F957" s="72"/>
      <c r="G957" s="72"/>
    </row>
    <row r="958" spans="1:7" ht="12.75" customHeight="1" x14ac:dyDescent="0.2">
      <c r="A958" s="45"/>
      <c r="B958" s="45"/>
      <c r="C958" s="2"/>
      <c r="D958" s="2"/>
      <c r="E958" s="2"/>
      <c r="F958" s="72"/>
      <c r="G958" s="72"/>
    </row>
    <row r="959" spans="1:7" ht="12.75" customHeight="1" x14ac:dyDescent="0.2">
      <c r="A959" s="45"/>
      <c r="B959" s="45"/>
      <c r="C959" s="2"/>
      <c r="D959" s="2"/>
      <c r="E959" s="2"/>
      <c r="F959" s="72"/>
      <c r="G959" s="72"/>
    </row>
    <row r="960" spans="1:7" ht="12.75" customHeight="1" x14ac:dyDescent="0.2">
      <c r="A960" s="45"/>
      <c r="B960" s="45"/>
      <c r="C960" s="2"/>
      <c r="D960" s="2"/>
      <c r="E960" s="2"/>
      <c r="F960" s="72"/>
      <c r="G960" s="72"/>
    </row>
    <row r="961" spans="1:7" ht="12.75" customHeight="1" x14ac:dyDescent="0.2">
      <c r="A961" s="45"/>
      <c r="B961" s="45"/>
      <c r="C961" s="2"/>
      <c r="D961" s="2"/>
      <c r="E961" s="2"/>
      <c r="F961" s="72"/>
      <c r="G961" s="72"/>
    </row>
    <row r="962" spans="1:7" ht="12.75" customHeight="1" x14ac:dyDescent="0.2">
      <c r="A962" s="45"/>
      <c r="B962" s="45"/>
      <c r="C962" s="2"/>
      <c r="D962" s="2"/>
      <c r="E962" s="2"/>
      <c r="F962" s="72"/>
      <c r="G962" s="72"/>
    </row>
    <row r="963" spans="1:7" ht="12.75" customHeight="1" x14ac:dyDescent="0.2">
      <c r="A963" s="45"/>
      <c r="B963" s="45"/>
      <c r="C963" s="2"/>
      <c r="D963" s="2"/>
      <c r="E963" s="2"/>
      <c r="F963" s="72"/>
      <c r="G963" s="72"/>
    </row>
    <row r="964" spans="1:7" ht="12.75" customHeight="1" x14ac:dyDescent="0.2">
      <c r="A964" s="45"/>
      <c r="B964" s="45"/>
      <c r="C964" s="2"/>
      <c r="D964" s="2"/>
      <c r="E964" s="2"/>
      <c r="F964" s="72"/>
      <c r="G964" s="72"/>
    </row>
    <row r="965" spans="1:7" ht="12.75" customHeight="1" x14ac:dyDescent="0.2">
      <c r="A965" s="45"/>
      <c r="B965" s="45"/>
      <c r="C965" s="2"/>
      <c r="D965" s="2"/>
      <c r="E965" s="2"/>
      <c r="F965" s="72"/>
      <c r="G965" s="72"/>
    </row>
    <row r="966" spans="1:7" ht="12.75" customHeight="1" x14ac:dyDescent="0.2">
      <c r="A966" s="45"/>
      <c r="B966" s="45"/>
      <c r="C966" s="2"/>
      <c r="D966" s="2"/>
      <c r="E966" s="2"/>
      <c r="F966" s="72"/>
      <c r="G966" s="72"/>
    </row>
    <row r="967" spans="1:7" ht="12.75" customHeight="1" x14ac:dyDescent="0.2">
      <c r="A967" s="45"/>
      <c r="B967" s="45"/>
      <c r="C967" s="2"/>
      <c r="D967" s="2"/>
      <c r="E967" s="2"/>
      <c r="F967" s="72"/>
      <c r="G967" s="72"/>
    </row>
    <row r="968" spans="1:7" ht="12.75" customHeight="1" x14ac:dyDescent="0.2">
      <c r="A968" s="45"/>
      <c r="B968" s="45"/>
      <c r="C968" s="2"/>
      <c r="D968" s="2"/>
      <c r="E968" s="2"/>
      <c r="F968" s="72"/>
      <c r="G968" s="72"/>
    </row>
    <row r="969" spans="1:7" ht="12.75" customHeight="1" x14ac:dyDescent="0.2">
      <c r="A969" s="45"/>
      <c r="B969" s="45"/>
      <c r="C969" s="2"/>
      <c r="D969" s="2"/>
      <c r="E969" s="2"/>
      <c r="F969" s="72"/>
      <c r="G969" s="72"/>
    </row>
    <row r="970" spans="1:7" ht="12.75" customHeight="1" x14ac:dyDescent="0.2">
      <c r="A970" s="45"/>
      <c r="B970" s="45"/>
      <c r="C970" s="2"/>
      <c r="D970" s="2"/>
      <c r="E970" s="2"/>
      <c r="F970" s="72"/>
      <c r="G970" s="72"/>
    </row>
    <row r="971" spans="1:7" ht="12.75" customHeight="1" x14ac:dyDescent="0.2">
      <c r="A971" s="45"/>
      <c r="B971" s="45"/>
      <c r="C971" s="2"/>
      <c r="D971" s="2"/>
      <c r="E971" s="2"/>
      <c r="F971" s="72"/>
      <c r="G971" s="72"/>
    </row>
    <row r="972" spans="1:7" ht="12.75" customHeight="1" x14ac:dyDescent="0.2">
      <c r="A972" s="45"/>
      <c r="B972" s="45"/>
      <c r="C972" s="2"/>
      <c r="D972" s="2"/>
      <c r="E972" s="2"/>
      <c r="F972" s="72"/>
      <c r="G972" s="72"/>
    </row>
    <row r="973" spans="1:7" ht="12.75" customHeight="1" x14ac:dyDescent="0.2">
      <c r="A973" s="45"/>
      <c r="B973" s="45"/>
      <c r="C973" s="2"/>
      <c r="D973" s="2"/>
      <c r="E973" s="2"/>
      <c r="F973" s="72"/>
      <c r="G973" s="72"/>
    </row>
    <row r="974" spans="1:7" ht="12.75" customHeight="1" x14ac:dyDescent="0.2">
      <c r="A974" s="45"/>
      <c r="B974" s="45"/>
      <c r="C974" s="2"/>
      <c r="D974" s="2"/>
      <c r="E974" s="2"/>
      <c r="F974" s="72"/>
      <c r="G974" s="72"/>
    </row>
    <row r="975" spans="1:7" ht="12.75" customHeight="1" x14ac:dyDescent="0.2">
      <c r="A975" s="45"/>
      <c r="B975" s="45"/>
      <c r="C975" s="2"/>
      <c r="D975" s="2"/>
      <c r="E975" s="2"/>
      <c r="F975" s="72"/>
      <c r="G975" s="72"/>
    </row>
    <row r="976" spans="1:7" ht="12.75" customHeight="1" x14ac:dyDescent="0.2">
      <c r="A976" s="45"/>
      <c r="B976" s="45"/>
      <c r="C976" s="2"/>
      <c r="D976" s="2"/>
      <c r="E976" s="2"/>
      <c r="F976" s="72"/>
      <c r="G976" s="72"/>
    </row>
    <row r="977" spans="1:7" ht="12.75" customHeight="1" x14ac:dyDescent="0.2">
      <c r="A977" s="45"/>
      <c r="B977" s="45"/>
      <c r="C977" s="2"/>
      <c r="D977" s="2"/>
      <c r="E977" s="2"/>
      <c r="F977" s="72"/>
      <c r="G977" s="72"/>
    </row>
    <row r="978" spans="1:7" ht="12.75" customHeight="1" x14ac:dyDescent="0.2">
      <c r="A978" s="45"/>
      <c r="B978" s="45"/>
      <c r="C978" s="2"/>
      <c r="D978" s="2"/>
      <c r="E978" s="2"/>
      <c r="F978" s="72"/>
      <c r="G978" s="72"/>
    </row>
    <row r="979" spans="1:7" ht="12.75" customHeight="1" x14ac:dyDescent="0.2">
      <c r="A979" s="45"/>
      <c r="B979" s="45"/>
      <c r="C979" s="2"/>
      <c r="D979" s="2"/>
      <c r="E979" s="2"/>
      <c r="F979" s="72"/>
      <c r="G979" s="72"/>
    </row>
    <row r="980" spans="1:7" ht="12.75" customHeight="1" x14ac:dyDescent="0.2">
      <c r="A980" s="45"/>
      <c r="B980" s="45"/>
      <c r="C980" s="2"/>
      <c r="D980" s="2"/>
      <c r="E980" s="2"/>
      <c r="F980" s="72"/>
      <c r="G980" s="72"/>
    </row>
    <row r="981" spans="1:7" ht="12.75" customHeight="1" x14ac:dyDescent="0.2">
      <c r="A981" s="45"/>
      <c r="B981" s="45"/>
      <c r="C981" s="2"/>
      <c r="D981" s="2"/>
      <c r="E981" s="2"/>
      <c r="F981" s="72"/>
      <c r="G981" s="72"/>
    </row>
    <row r="982" spans="1:7" ht="12.75" customHeight="1" x14ac:dyDescent="0.2">
      <c r="A982" s="45"/>
      <c r="B982" s="45"/>
      <c r="C982" s="2"/>
      <c r="D982" s="2"/>
      <c r="E982" s="2"/>
      <c r="F982" s="72"/>
      <c r="G982" s="72"/>
    </row>
    <row r="983" spans="1:7" ht="12.75" customHeight="1" x14ac:dyDescent="0.2">
      <c r="A983" s="45"/>
      <c r="B983" s="45"/>
      <c r="C983" s="2"/>
      <c r="D983" s="2"/>
      <c r="E983" s="2"/>
      <c r="F983" s="72"/>
      <c r="G983" s="72"/>
    </row>
    <row r="984" spans="1:7" ht="12.75" customHeight="1" x14ac:dyDescent="0.2">
      <c r="A984" s="45"/>
      <c r="B984" s="45"/>
      <c r="C984" s="2"/>
      <c r="D984" s="2"/>
      <c r="E984" s="2"/>
      <c r="F984" s="72"/>
      <c r="G984" s="72"/>
    </row>
    <row r="985" spans="1:7" ht="12.75" customHeight="1" x14ac:dyDescent="0.2">
      <c r="A985" s="45"/>
      <c r="B985" s="45"/>
      <c r="C985" s="2"/>
      <c r="D985" s="2"/>
      <c r="E985" s="2"/>
      <c r="F985" s="72"/>
      <c r="G985" s="72"/>
    </row>
    <row r="986" spans="1:7" ht="12.75" customHeight="1" x14ac:dyDescent="0.2">
      <c r="A986" s="45"/>
      <c r="B986" s="45"/>
      <c r="C986" s="2"/>
      <c r="D986" s="2"/>
      <c r="E986" s="2"/>
      <c r="F986" s="72"/>
      <c r="G986" s="72"/>
    </row>
    <row r="987" spans="1:7" ht="12.75" customHeight="1" x14ac:dyDescent="0.2">
      <c r="A987" s="45"/>
      <c r="B987" s="45"/>
      <c r="C987" s="2"/>
      <c r="D987" s="2"/>
      <c r="E987" s="2"/>
      <c r="F987" s="72"/>
      <c r="G987" s="72"/>
    </row>
    <row r="988" spans="1:7" ht="12.75" customHeight="1" x14ac:dyDescent="0.2">
      <c r="A988" s="45"/>
      <c r="B988" s="45"/>
      <c r="C988" s="2"/>
      <c r="D988" s="2"/>
      <c r="E988" s="2"/>
      <c r="F988" s="72"/>
      <c r="G988" s="72"/>
    </row>
    <row r="989" spans="1:7" ht="12.75" customHeight="1" x14ac:dyDescent="0.2">
      <c r="A989" s="45"/>
      <c r="B989" s="45"/>
      <c r="C989" s="2"/>
      <c r="D989" s="2"/>
      <c r="E989" s="2"/>
      <c r="F989" s="72"/>
      <c r="G989" s="72"/>
    </row>
    <row r="990" spans="1:7" ht="12.75" customHeight="1" x14ac:dyDescent="0.2">
      <c r="A990" s="45"/>
      <c r="B990" s="45"/>
      <c r="C990" s="2"/>
      <c r="D990" s="2"/>
      <c r="E990" s="2"/>
      <c r="F990" s="72"/>
      <c r="G990" s="72"/>
    </row>
    <row r="991" spans="1:7" ht="12.75" customHeight="1" x14ac:dyDescent="0.2">
      <c r="A991" s="45"/>
      <c r="B991" s="45"/>
      <c r="C991" s="2"/>
      <c r="D991" s="2"/>
      <c r="E991" s="2"/>
      <c r="F991" s="72"/>
      <c r="G991" s="72"/>
    </row>
    <row r="992" spans="1:7" ht="12.75" customHeight="1" x14ac:dyDescent="0.2">
      <c r="A992" s="45"/>
      <c r="B992" s="45"/>
      <c r="C992" s="2"/>
      <c r="D992" s="2"/>
      <c r="E992" s="2"/>
      <c r="F992" s="72"/>
      <c r="G992" s="72"/>
    </row>
    <row r="993" spans="1:7" ht="12.75" customHeight="1" x14ac:dyDescent="0.2">
      <c r="A993" s="45"/>
      <c r="B993" s="45"/>
      <c r="C993" s="2"/>
      <c r="D993" s="2"/>
      <c r="E993" s="2"/>
      <c r="F993" s="72"/>
      <c r="G993" s="72"/>
    </row>
    <row r="994" spans="1:7" ht="12.75" customHeight="1" x14ac:dyDescent="0.2">
      <c r="A994" s="45"/>
      <c r="B994" s="45"/>
      <c r="C994" s="2"/>
      <c r="D994" s="2"/>
      <c r="E994" s="2"/>
      <c r="F994" s="72"/>
      <c r="G994" s="72"/>
    </row>
    <row r="995" spans="1:7" ht="12.75" customHeight="1" x14ac:dyDescent="0.2">
      <c r="A995" s="45"/>
      <c r="B995" s="45"/>
      <c r="C995" s="2"/>
      <c r="D995" s="2"/>
      <c r="E995" s="2"/>
      <c r="F995" s="72"/>
      <c r="G995" s="72"/>
    </row>
    <row r="996" spans="1:7" ht="12.75" customHeight="1" x14ac:dyDescent="0.2">
      <c r="A996" s="45"/>
      <c r="B996" s="45"/>
      <c r="C996" s="2"/>
      <c r="D996" s="2"/>
      <c r="E996" s="2"/>
      <c r="F996" s="72"/>
      <c r="G996" s="72"/>
    </row>
    <row r="997" spans="1:7" ht="12.75" customHeight="1" x14ac:dyDescent="0.2">
      <c r="A997" s="45"/>
      <c r="B997" s="45"/>
      <c r="C997" s="2"/>
      <c r="D997" s="2"/>
      <c r="E997" s="2"/>
      <c r="F997" s="72"/>
      <c r="G997" s="72"/>
    </row>
    <row r="998" spans="1:7" ht="12.75" customHeight="1" x14ac:dyDescent="0.2">
      <c r="A998" s="45"/>
      <c r="B998" s="45"/>
      <c r="C998" s="2"/>
      <c r="D998" s="2"/>
      <c r="E998" s="2"/>
      <c r="F998" s="72"/>
      <c r="G998" s="72"/>
    </row>
    <row r="999" spans="1:7" ht="12.75" customHeight="1" x14ac:dyDescent="0.2">
      <c r="A999" s="45"/>
      <c r="B999" s="45"/>
      <c r="C999" s="2"/>
      <c r="D999" s="2"/>
      <c r="E999" s="2"/>
      <c r="F999" s="72"/>
      <c r="G999" s="72"/>
    </row>
    <row r="1000" spans="1:7" ht="12.75" customHeight="1" x14ac:dyDescent="0.2">
      <c r="A1000" s="45"/>
      <c r="B1000" s="45"/>
      <c r="C1000" s="2"/>
      <c r="D1000" s="2"/>
      <c r="E1000" s="2"/>
      <c r="F1000" s="72"/>
      <c r="G1000" s="72"/>
    </row>
    <row r="1001" spans="1:7" ht="12.75" customHeight="1" x14ac:dyDescent="0.2">
      <c r="A1001" s="45"/>
      <c r="B1001" s="45"/>
      <c r="C1001" s="2"/>
      <c r="D1001" s="2"/>
      <c r="E1001" s="2"/>
      <c r="F1001" s="72"/>
      <c r="G1001" s="72"/>
    </row>
    <row r="1002" spans="1:7" ht="12.75" customHeight="1" x14ac:dyDescent="0.2">
      <c r="A1002" s="45"/>
      <c r="B1002" s="45"/>
      <c r="C1002" s="2"/>
      <c r="D1002" s="2"/>
      <c r="E1002" s="2"/>
      <c r="F1002" s="72"/>
      <c r="G1002" s="72"/>
    </row>
    <row r="1003" spans="1:7" ht="12.75" customHeight="1" x14ac:dyDescent="0.2">
      <c r="A1003" s="45"/>
      <c r="B1003" s="45"/>
      <c r="C1003" s="2"/>
      <c r="D1003" s="2"/>
      <c r="E1003" s="2"/>
      <c r="F1003" s="72"/>
      <c r="G1003" s="72"/>
    </row>
    <row r="1004" spans="1:7" ht="12.75" customHeight="1" x14ac:dyDescent="0.2">
      <c r="A1004" s="45"/>
      <c r="B1004" s="45"/>
      <c r="C1004" s="2"/>
      <c r="D1004" s="2"/>
      <c r="E1004" s="2"/>
      <c r="F1004" s="72"/>
      <c r="G1004" s="72"/>
    </row>
    <row r="1005" spans="1:7" ht="12.75" customHeight="1" x14ac:dyDescent="0.2">
      <c r="A1005" s="45"/>
      <c r="B1005" s="45"/>
      <c r="C1005" s="2"/>
      <c r="D1005" s="2"/>
      <c r="E1005" s="2"/>
      <c r="F1005" s="72"/>
      <c r="G1005" s="72"/>
    </row>
    <row r="1006" spans="1:7" ht="12.75" customHeight="1" x14ac:dyDescent="0.2">
      <c r="A1006" s="45"/>
      <c r="B1006" s="45"/>
      <c r="C1006" s="2"/>
      <c r="D1006" s="2"/>
      <c r="E1006" s="2"/>
      <c r="F1006" s="72"/>
      <c r="G1006" s="72"/>
    </row>
    <row r="1007" spans="1:7" ht="12.75" customHeight="1" x14ac:dyDescent="0.2">
      <c r="A1007" s="45"/>
      <c r="B1007" s="45"/>
      <c r="C1007" s="2"/>
      <c r="D1007" s="2"/>
      <c r="E1007" s="2"/>
      <c r="F1007" s="72"/>
      <c r="G1007" s="72"/>
    </row>
  </sheetData>
  <mergeCells count="49">
    <mergeCell ref="B110:I110"/>
    <mergeCell ref="B111:I111"/>
    <mergeCell ref="C105:D105"/>
    <mergeCell ref="E105:F105"/>
    <mergeCell ref="G105:I105"/>
    <mergeCell ref="B107:H107"/>
    <mergeCell ref="B109:I109"/>
    <mergeCell ref="C103:D103"/>
    <mergeCell ref="E103:F103"/>
    <mergeCell ref="G103:I103"/>
    <mergeCell ref="B104:F104"/>
    <mergeCell ref="G104:I104"/>
    <mergeCell ref="C101:D101"/>
    <mergeCell ref="E101:F101"/>
    <mergeCell ref="G101:I101"/>
    <mergeCell ref="B102:F102"/>
    <mergeCell ref="G102:I102"/>
    <mergeCell ref="C99:D99"/>
    <mergeCell ref="E99:F99"/>
    <mergeCell ref="G99:I99"/>
    <mergeCell ref="B100:F100"/>
    <mergeCell ref="G100:I100"/>
    <mergeCell ref="C97:D97"/>
    <mergeCell ref="E97:F97"/>
    <mergeCell ref="G97:I97"/>
    <mergeCell ref="C98:D98"/>
    <mergeCell ref="E98:F98"/>
    <mergeCell ref="G98:I98"/>
    <mergeCell ref="C95:D95"/>
    <mergeCell ref="E95:F95"/>
    <mergeCell ref="G95:I95"/>
    <mergeCell ref="C96:D96"/>
    <mergeCell ref="E96:F96"/>
    <mergeCell ref="G96:I96"/>
    <mergeCell ref="B67:G67"/>
    <mergeCell ref="B73:G73"/>
    <mergeCell ref="B74:G74"/>
    <mergeCell ref="B92:E92"/>
    <mergeCell ref="B93:E93"/>
    <mergeCell ref="B27:F27"/>
    <mergeCell ref="B28:F28"/>
    <mergeCell ref="B38:F38"/>
    <mergeCell ref="B39:F39"/>
    <mergeCell ref="B66:G66"/>
    <mergeCell ref="B1:I1"/>
    <mergeCell ref="B2:I2"/>
    <mergeCell ref="B3:I3"/>
    <mergeCell ref="B4:I4"/>
    <mergeCell ref="B5:I5"/>
  </mergeCells>
  <printOptions horizontalCentered="1"/>
  <pageMargins left="0" right="0" top="0.39370078740157483" bottom="0" header="0" footer="0.51181102362204722"/>
  <pageSetup paperSize="9" scale="49" firstPageNumber="0" pageOrder="overThenDown" orientation="portrait" r:id="rId1"/>
  <headerFooter>
    <oddHeader>&amp;R&amp;P de &amp;N</oddHeader>
    <oddFooter>&amp;L&amp;F - &amp;A&amp;CPágina &amp;P de &amp;N</oddFooter>
  </headerFooter>
  <rowBreaks count="3" manualBreakCount="3">
    <brk id="28" max="8" man="1"/>
    <brk id="52" max="8" man="1"/>
    <brk id="85" max="8" man="1"/>
  </rowBreaks>
  <colBreaks count="1" manualBreakCount="1">
    <brk id="9"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00"/>
  </sheetPr>
  <dimension ref="A1:AMJ1057"/>
  <sheetViews>
    <sheetView showGridLines="0" zoomScaleNormal="100" workbookViewId="0">
      <pane xSplit="3" ySplit="7" topLeftCell="AD158" activePane="bottomRight" state="frozen"/>
      <selection activeCell="J7" sqref="J7"/>
      <selection pane="topRight" activeCell="J7" sqref="J7"/>
      <selection pane="bottomLeft" activeCell="J7" sqref="J7"/>
      <selection pane="bottomRight" activeCell="J7" sqref="J7"/>
    </sheetView>
  </sheetViews>
  <sheetFormatPr defaultColWidth="14.42578125" defaultRowHeight="14.25" x14ac:dyDescent="0.2"/>
  <cols>
    <col min="1" max="1" width="6.7109375" style="1" customWidth="1"/>
    <col min="2" max="2" width="15.5703125" style="1" customWidth="1"/>
    <col min="3" max="3" width="23.5703125" style="1" customWidth="1"/>
    <col min="4" max="4" width="14.5703125" style="1" customWidth="1"/>
    <col min="5" max="5" width="13.85546875" style="1" customWidth="1"/>
    <col min="6" max="7" width="12.140625" style="1" customWidth="1"/>
    <col min="8" max="8" width="13" style="1" customWidth="1"/>
    <col min="9" max="9" width="12.140625" style="1" customWidth="1"/>
    <col min="10" max="11" width="12.140625" style="1" hidden="1" customWidth="1"/>
    <col min="12" max="12" width="12.140625" style="1" customWidth="1"/>
    <col min="13" max="13" width="13" style="1" customWidth="1"/>
    <col min="14" max="15" width="12.140625" style="1" hidden="1" customWidth="1"/>
    <col min="16" max="23" width="12.140625" style="1" customWidth="1"/>
    <col min="24" max="24" width="14.7109375" style="1" customWidth="1"/>
    <col min="25" max="25" width="13.5703125" style="1" customWidth="1"/>
    <col min="26" max="28" width="12.140625" style="1" customWidth="1"/>
    <col min="29" max="29" width="15.140625" style="1" customWidth="1"/>
    <col min="30" max="31" width="12.140625" style="1" customWidth="1"/>
    <col min="32" max="32" width="10" style="1" customWidth="1"/>
    <col min="33" max="33" width="13.28515625" style="1" customWidth="1"/>
    <col min="34" max="35" width="11.140625" style="1" customWidth="1"/>
    <col min="36" max="36" width="12.7109375" style="1" customWidth="1"/>
    <col min="37" max="37" width="9.7109375" style="1" customWidth="1"/>
    <col min="38" max="39" width="11" style="1" hidden="1" customWidth="1"/>
    <col min="40" max="40" width="11" style="1" customWidth="1"/>
    <col min="41" max="41" width="12.28515625" style="1" customWidth="1"/>
    <col min="42" max="43" width="11.85546875" style="1" hidden="1" customWidth="1"/>
    <col min="44" max="44" width="11.85546875" style="1" customWidth="1"/>
    <col min="45" max="45" width="9.85546875" style="1" customWidth="1"/>
    <col min="46" max="47" width="10" style="1" customWidth="1"/>
    <col min="48" max="48" width="11.28515625" style="1" customWidth="1"/>
    <col min="49" max="49" width="10" style="1" customWidth="1"/>
    <col min="50" max="50" width="10.85546875" style="1" customWidth="1"/>
    <col min="51" max="51" width="10.7109375" style="1" customWidth="1"/>
    <col min="52" max="52" width="12.7109375" style="1" customWidth="1"/>
    <col min="53" max="53" width="14.42578125" style="1"/>
    <col min="54" max="56" width="11.85546875" style="1" customWidth="1"/>
    <col min="57" max="64" width="8" style="1" customWidth="1"/>
    <col min="65" max="1024" width="14.42578125" style="1"/>
  </cols>
  <sheetData>
    <row r="1" spans="1:64" ht="12.75" customHeight="1" x14ac:dyDescent="0.2">
      <c r="A1" s="369">
        <v>6</v>
      </c>
      <c r="B1" s="369"/>
      <c r="C1" s="369"/>
      <c r="D1" s="369"/>
      <c r="E1" s="370" t="s">
        <v>233</v>
      </c>
      <c r="F1" s="370"/>
      <c r="G1" s="370"/>
      <c r="H1" s="370"/>
      <c r="I1" s="370"/>
      <c r="J1" s="370"/>
      <c r="K1" s="370"/>
      <c r="L1" s="370"/>
      <c r="M1" s="370"/>
      <c r="N1" s="370"/>
      <c r="O1" s="370"/>
      <c r="P1" s="370"/>
      <c r="Q1" s="370"/>
      <c r="R1" s="370"/>
      <c r="S1" s="370"/>
      <c r="T1" s="370" t="str">
        <f>'1. SA ABA DE CARREGAMENTO'!A4</f>
        <v>CAMPUS SANTO AUGUSTO</v>
      </c>
      <c r="U1" s="370"/>
      <c r="V1" s="370"/>
      <c r="W1" s="370"/>
      <c r="X1" s="370"/>
      <c r="Y1" s="370"/>
      <c r="Z1" s="370"/>
      <c r="AA1" s="370"/>
      <c r="AB1" s="370"/>
      <c r="AC1" s="371" t="s">
        <v>234</v>
      </c>
      <c r="AD1" s="371"/>
      <c r="AE1" s="371"/>
      <c r="AF1" s="371"/>
      <c r="AG1" s="371"/>
      <c r="AH1" s="371"/>
      <c r="AI1" s="371"/>
      <c r="AJ1" s="371"/>
      <c r="AK1" s="371"/>
      <c r="AL1" s="103"/>
      <c r="AM1" s="103"/>
      <c r="AN1" s="372" t="str">
        <f>'1. SA ABA DE CARREGAMENTO'!A4</f>
        <v>CAMPUS SANTO AUGUSTO</v>
      </c>
      <c r="AO1" s="372"/>
      <c r="AP1" s="372"/>
      <c r="AQ1" s="372"/>
      <c r="AR1" s="372"/>
      <c r="AS1" s="372"/>
      <c r="AT1" s="372"/>
      <c r="AU1" s="372"/>
      <c r="AV1" s="372"/>
      <c r="AW1" s="372"/>
      <c r="AX1" s="372"/>
      <c r="AY1" s="372"/>
      <c r="AZ1" s="372"/>
      <c r="BA1" s="372"/>
      <c r="BB1" s="372"/>
      <c r="BC1" s="372"/>
      <c r="BD1" s="372"/>
    </row>
    <row r="2" spans="1:64" ht="12.75" customHeight="1" x14ac:dyDescent="0.2">
      <c r="A2" s="369"/>
      <c r="B2" s="369"/>
      <c r="C2" s="369"/>
      <c r="D2" s="369"/>
      <c r="E2" s="370"/>
      <c r="F2" s="370"/>
      <c r="G2" s="370"/>
      <c r="H2" s="370"/>
      <c r="I2" s="370"/>
      <c r="J2" s="370"/>
      <c r="K2" s="370"/>
      <c r="L2" s="370"/>
      <c r="M2" s="370"/>
      <c r="N2" s="370"/>
      <c r="O2" s="370"/>
      <c r="P2" s="370"/>
      <c r="Q2" s="370"/>
      <c r="R2" s="370"/>
      <c r="S2" s="370"/>
      <c r="T2" s="370"/>
      <c r="U2" s="370"/>
      <c r="V2" s="370"/>
      <c r="W2" s="370"/>
      <c r="X2" s="370"/>
      <c r="Y2" s="370"/>
      <c r="Z2" s="370"/>
      <c r="AA2" s="370"/>
      <c r="AB2" s="370"/>
      <c r="AC2" s="371"/>
      <c r="AD2" s="371"/>
      <c r="AE2" s="371"/>
      <c r="AF2" s="371"/>
      <c r="AG2" s="371"/>
      <c r="AH2" s="371"/>
      <c r="AI2" s="371"/>
      <c r="AJ2" s="371"/>
      <c r="AK2" s="371"/>
      <c r="AL2" s="103"/>
      <c r="AM2" s="103"/>
      <c r="AN2" s="372"/>
      <c r="AO2" s="372"/>
      <c r="AP2" s="372"/>
      <c r="AQ2" s="372"/>
      <c r="AR2" s="372"/>
      <c r="AS2" s="372"/>
      <c r="AT2" s="372"/>
      <c r="AU2" s="372"/>
      <c r="AV2" s="372"/>
      <c r="AW2" s="372"/>
      <c r="AX2" s="372"/>
      <c r="AY2" s="372"/>
      <c r="AZ2" s="372"/>
      <c r="BA2" s="372"/>
      <c r="BB2" s="372"/>
      <c r="BC2" s="372"/>
      <c r="BD2" s="372"/>
    </row>
    <row r="3" spans="1:64" ht="12.75" customHeight="1" x14ac:dyDescent="0.2">
      <c r="A3" s="369"/>
      <c r="B3" s="369"/>
      <c r="C3" s="369"/>
      <c r="D3" s="369"/>
      <c r="E3" s="370"/>
      <c r="F3" s="370"/>
      <c r="G3" s="370"/>
      <c r="H3" s="370"/>
      <c r="I3" s="370"/>
      <c r="J3" s="370"/>
      <c r="K3" s="370"/>
      <c r="L3" s="370"/>
      <c r="M3" s="370"/>
      <c r="N3" s="370"/>
      <c r="O3" s="370"/>
      <c r="P3" s="370"/>
      <c r="Q3" s="370"/>
      <c r="R3" s="370"/>
      <c r="S3" s="370"/>
      <c r="T3" s="370"/>
      <c r="U3" s="370"/>
      <c r="V3" s="370"/>
      <c r="W3" s="370"/>
      <c r="X3" s="370"/>
      <c r="Y3" s="370"/>
      <c r="Z3" s="370"/>
      <c r="AA3" s="370"/>
      <c r="AB3" s="370"/>
      <c r="AC3" s="371"/>
      <c r="AD3" s="371"/>
      <c r="AE3" s="371"/>
      <c r="AF3" s="371"/>
      <c r="AG3" s="371"/>
      <c r="AH3" s="371"/>
      <c r="AI3" s="371"/>
      <c r="AJ3" s="371"/>
      <c r="AK3" s="371"/>
      <c r="AL3" s="103"/>
      <c r="AM3" s="103"/>
      <c r="AN3" s="372"/>
      <c r="AO3" s="372"/>
      <c r="AP3" s="372"/>
      <c r="AQ3" s="372"/>
      <c r="AR3" s="372"/>
      <c r="AS3" s="372"/>
      <c r="AT3" s="372"/>
      <c r="AU3" s="372"/>
      <c r="AV3" s="372"/>
      <c r="AW3" s="372"/>
      <c r="AX3" s="372"/>
      <c r="AY3" s="372"/>
      <c r="AZ3" s="372"/>
      <c r="BA3" s="372"/>
      <c r="BB3" s="372"/>
      <c r="BC3" s="372"/>
      <c r="BD3" s="372"/>
    </row>
    <row r="4" spans="1:64" ht="1.5" customHeight="1" x14ac:dyDescent="0.2">
      <c r="A4" s="369"/>
      <c r="B4" s="369"/>
      <c r="C4" s="369"/>
      <c r="D4" s="369"/>
      <c r="E4" s="370"/>
      <c r="F4" s="370"/>
      <c r="G4" s="370"/>
      <c r="H4" s="370"/>
      <c r="I4" s="370"/>
      <c r="J4" s="370"/>
      <c r="K4" s="370"/>
      <c r="L4" s="370"/>
      <c r="M4" s="370"/>
      <c r="N4" s="370"/>
      <c r="O4" s="370"/>
      <c r="P4" s="370"/>
      <c r="Q4" s="370"/>
      <c r="R4" s="370"/>
      <c r="S4" s="370"/>
      <c r="T4" s="370"/>
      <c r="U4" s="370"/>
      <c r="V4" s="370"/>
      <c r="W4" s="370"/>
      <c r="X4" s="370"/>
      <c r="Y4" s="370"/>
      <c r="Z4" s="370"/>
      <c r="AA4" s="370"/>
      <c r="AB4" s="370"/>
      <c r="AC4" s="371"/>
      <c r="AD4" s="371"/>
      <c r="AE4" s="371"/>
      <c r="AF4" s="371"/>
      <c r="AG4" s="371"/>
      <c r="AH4" s="371"/>
      <c r="AI4" s="371"/>
      <c r="AJ4" s="371"/>
      <c r="AK4" s="371"/>
      <c r="AL4" s="103"/>
      <c r="AM4" s="103"/>
      <c r="AN4" s="372"/>
      <c r="AO4" s="372"/>
      <c r="AP4" s="372"/>
      <c r="AQ4" s="372"/>
      <c r="AR4" s="372"/>
      <c r="AS4" s="372"/>
      <c r="AT4" s="372"/>
      <c r="AU4" s="372"/>
      <c r="AV4" s="372"/>
      <c r="AW4" s="372"/>
      <c r="AX4" s="372"/>
      <c r="AY4" s="372"/>
      <c r="AZ4" s="372"/>
      <c r="BA4" s="372"/>
      <c r="BB4" s="372"/>
      <c r="BC4" s="372"/>
      <c r="BD4" s="372"/>
    </row>
    <row r="5" spans="1:64" ht="15.75" customHeight="1" x14ac:dyDescent="0.2">
      <c r="A5" s="373" t="s">
        <v>235</v>
      </c>
      <c r="B5" s="374" t="s">
        <v>236</v>
      </c>
      <c r="C5" s="374" t="s">
        <v>237</v>
      </c>
      <c r="D5" s="374" t="s">
        <v>238</v>
      </c>
      <c r="E5" s="374" t="s">
        <v>239</v>
      </c>
      <c r="F5" s="374"/>
      <c r="G5" s="374"/>
      <c r="H5" s="374"/>
      <c r="I5" s="374"/>
      <c r="J5" s="374"/>
      <c r="K5" s="374"/>
      <c r="L5" s="374"/>
      <c r="M5" s="374"/>
      <c r="N5" s="374"/>
      <c r="O5" s="374"/>
      <c r="P5" s="374"/>
      <c r="Q5" s="374"/>
      <c r="R5" s="374"/>
      <c r="S5" s="374"/>
      <c r="T5" s="374"/>
      <c r="U5" s="374"/>
      <c r="V5" s="374"/>
      <c r="W5" s="374"/>
      <c r="X5" s="374"/>
      <c r="Y5" s="374"/>
      <c r="Z5" s="374"/>
      <c r="AA5" s="374"/>
      <c r="AB5" s="374"/>
      <c r="AC5" s="374" t="s">
        <v>240</v>
      </c>
      <c r="AD5" s="373" t="s">
        <v>241</v>
      </c>
      <c r="AE5" s="373" t="s">
        <v>242</v>
      </c>
      <c r="AF5" s="104"/>
      <c r="AG5" s="374" t="s">
        <v>243</v>
      </c>
      <c r="AH5" s="374"/>
      <c r="AI5" s="374"/>
      <c r="AJ5" s="374"/>
      <c r="AK5" s="374"/>
      <c r="AL5" s="374"/>
      <c r="AM5" s="374"/>
      <c r="AN5" s="374"/>
      <c r="AO5" s="374"/>
      <c r="AP5" s="374"/>
      <c r="AQ5" s="374"/>
      <c r="AR5" s="374"/>
      <c r="AS5" s="374"/>
      <c r="AT5" s="374"/>
      <c r="AU5" s="374"/>
      <c r="AV5" s="374"/>
      <c r="AW5" s="374"/>
      <c r="AX5" s="374"/>
      <c r="AY5" s="374"/>
      <c r="AZ5" s="374"/>
      <c r="BA5" s="374"/>
      <c r="BB5" s="374"/>
      <c r="BC5" s="374"/>
      <c r="BD5" s="374"/>
    </row>
    <row r="6" spans="1:64" ht="59.25" customHeight="1" x14ac:dyDescent="0.2">
      <c r="A6" s="373"/>
      <c r="B6" s="373"/>
      <c r="C6" s="373"/>
      <c r="D6" s="373"/>
      <c r="E6" s="375" t="s">
        <v>244</v>
      </c>
      <c r="F6" s="375"/>
      <c r="G6" s="375"/>
      <c r="H6" s="375"/>
      <c r="I6" s="375"/>
      <c r="J6" s="375"/>
      <c r="K6" s="375"/>
      <c r="L6" s="375"/>
      <c r="M6" s="375" t="s">
        <v>245</v>
      </c>
      <c r="N6" s="375"/>
      <c r="O6" s="375"/>
      <c r="P6" s="375"/>
      <c r="Q6" s="375"/>
      <c r="R6" s="375"/>
      <c r="S6" s="375"/>
      <c r="T6" s="375"/>
      <c r="U6" s="375" t="s">
        <v>246</v>
      </c>
      <c r="V6" s="375"/>
      <c r="W6" s="375"/>
      <c r="X6" s="106" t="s">
        <v>247</v>
      </c>
      <c r="Y6" s="106" t="s">
        <v>248</v>
      </c>
      <c r="Z6" s="375" t="s">
        <v>249</v>
      </c>
      <c r="AA6" s="375"/>
      <c r="AB6" s="375"/>
      <c r="AC6" s="374"/>
      <c r="AD6" s="374"/>
      <c r="AE6" s="374"/>
      <c r="AF6" s="104"/>
      <c r="AG6" s="375" t="s">
        <v>244</v>
      </c>
      <c r="AH6" s="375"/>
      <c r="AI6" s="375"/>
      <c r="AJ6" s="375"/>
      <c r="AK6" s="375"/>
      <c r="AL6" s="375"/>
      <c r="AM6" s="375"/>
      <c r="AN6" s="375"/>
      <c r="AO6" s="375" t="s">
        <v>245</v>
      </c>
      <c r="AP6" s="375"/>
      <c r="AQ6" s="375"/>
      <c r="AR6" s="375"/>
      <c r="AS6" s="375"/>
      <c r="AT6" s="375"/>
      <c r="AU6" s="375"/>
      <c r="AV6" s="375"/>
      <c r="AW6" s="375" t="s">
        <v>246</v>
      </c>
      <c r="AX6" s="375"/>
      <c r="AY6" s="375"/>
      <c r="AZ6" s="106" t="s">
        <v>247</v>
      </c>
      <c r="BA6" s="106" t="s">
        <v>248</v>
      </c>
      <c r="BB6" s="375" t="s">
        <v>249</v>
      </c>
      <c r="BC6" s="375"/>
      <c r="BD6" s="375"/>
    </row>
    <row r="7" spans="1:64" ht="102" customHeight="1" x14ac:dyDescent="0.2">
      <c r="A7" s="373"/>
      <c r="B7" s="373"/>
      <c r="C7" s="373"/>
      <c r="D7" s="373"/>
      <c r="E7" s="105" t="s">
        <v>250</v>
      </c>
      <c r="F7" s="105" t="s">
        <v>251</v>
      </c>
      <c r="G7" s="105" t="s">
        <v>29</v>
      </c>
      <c r="H7" s="105" t="s">
        <v>252</v>
      </c>
      <c r="I7" s="105" t="s">
        <v>31</v>
      </c>
      <c r="J7" s="105" t="s">
        <v>253</v>
      </c>
      <c r="K7" s="105" t="s">
        <v>35</v>
      </c>
      <c r="L7" s="105" t="s">
        <v>254</v>
      </c>
      <c r="M7" s="105" t="s">
        <v>255</v>
      </c>
      <c r="N7" s="105" t="s">
        <v>256</v>
      </c>
      <c r="O7" s="105" t="s">
        <v>257</v>
      </c>
      <c r="P7" s="105" t="s">
        <v>258</v>
      </c>
      <c r="Q7" s="105" t="s">
        <v>259</v>
      </c>
      <c r="R7" s="105" t="s">
        <v>260</v>
      </c>
      <c r="S7" s="105" t="s">
        <v>261</v>
      </c>
      <c r="T7" s="105" t="s">
        <v>262</v>
      </c>
      <c r="U7" s="105" t="s">
        <v>263</v>
      </c>
      <c r="V7" s="105" t="s">
        <v>264</v>
      </c>
      <c r="W7" s="105" t="s">
        <v>265</v>
      </c>
      <c r="X7" s="105" t="s">
        <v>247</v>
      </c>
      <c r="Y7" s="105" t="s">
        <v>248</v>
      </c>
      <c r="Z7" s="105" t="s">
        <v>266</v>
      </c>
      <c r="AA7" s="105" t="s">
        <v>47</v>
      </c>
      <c r="AB7" s="105" t="s">
        <v>48</v>
      </c>
      <c r="AC7" s="374"/>
      <c r="AD7" s="374"/>
      <c r="AE7" s="374"/>
      <c r="AF7" s="104"/>
      <c r="AG7" s="105" t="s">
        <v>267</v>
      </c>
      <c r="AH7" s="105" t="s">
        <v>251</v>
      </c>
      <c r="AI7" s="105" t="s">
        <v>29</v>
      </c>
      <c r="AJ7" s="105" t="s">
        <v>252</v>
      </c>
      <c r="AK7" s="105" t="s">
        <v>31</v>
      </c>
      <c r="AL7" s="105" t="s">
        <v>253</v>
      </c>
      <c r="AM7" s="105" t="s">
        <v>35</v>
      </c>
      <c r="AN7" s="105" t="s">
        <v>254</v>
      </c>
      <c r="AO7" s="105" t="s">
        <v>255</v>
      </c>
      <c r="AP7" s="105" t="s">
        <v>256</v>
      </c>
      <c r="AQ7" s="105" t="s">
        <v>257</v>
      </c>
      <c r="AR7" s="105" t="s">
        <v>258</v>
      </c>
      <c r="AS7" s="105" t="s">
        <v>259</v>
      </c>
      <c r="AT7" s="105" t="s">
        <v>260</v>
      </c>
      <c r="AU7" s="105" t="s">
        <v>261</v>
      </c>
      <c r="AV7" s="105" t="s">
        <v>262</v>
      </c>
      <c r="AW7" s="105" t="s">
        <v>263</v>
      </c>
      <c r="AX7" s="105" t="s">
        <v>264</v>
      </c>
      <c r="AY7" s="105" t="s">
        <v>265</v>
      </c>
      <c r="AZ7" s="105" t="s">
        <v>247</v>
      </c>
      <c r="BA7" s="105" t="s">
        <v>248</v>
      </c>
      <c r="BB7" s="105" t="s">
        <v>266</v>
      </c>
      <c r="BC7" s="105" t="s">
        <v>47</v>
      </c>
      <c r="BD7" s="105" t="s">
        <v>48</v>
      </c>
      <c r="BE7" s="107"/>
      <c r="BF7" s="107"/>
      <c r="BG7" s="107"/>
      <c r="BH7" s="107"/>
      <c r="BI7" s="107"/>
      <c r="BJ7" s="107"/>
      <c r="BK7" s="107"/>
      <c r="BL7" s="107"/>
    </row>
    <row r="8" spans="1:64" ht="15" customHeight="1" x14ac:dyDescent="0.2">
      <c r="A8" s="376">
        <v>1</v>
      </c>
      <c r="B8" s="375" t="s">
        <v>268</v>
      </c>
      <c r="C8" s="106" t="s">
        <v>269</v>
      </c>
      <c r="D8" s="377">
        <f>SUM(E8:AB15)</f>
        <v>1459.07</v>
      </c>
      <c r="E8" s="106"/>
      <c r="F8" s="106">
        <v>709.68</v>
      </c>
      <c r="G8" s="106"/>
      <c r="H8" s="106"/>
      <c r="I8" s="106"/>
      <c r="J8" s="106"/>
      <c r="K8" s="106"/>
      <c r="L8" s="106"/>
      <c r="M8" s="106"/>
      <c r="N8" s="106"/>
      <c r="O8" s="106"/>
      <c r="P8" s="106"/>
      <c r="Q8" s="106"/>
      <c r="R8" s="106"/>
      <c r="S8" s="106"/>
      <c r="T8" s="106"/>
      <c r="U8" s="106"/>
      <c r="V8" s="106"/>
      <c r="W8" s="106"/>
      <c r="X8" s="106"/>
      <c r="Y8" s="106"/>
      <c r="Z8" s="106"/>
      <c r="AA8" s="106"/>
      <c r="AB8" s="106"/>
      <c r="AC8" s="106" t="s">
        <v>270</v>
      </c>
      <c r="AD8" s="110">
        <f t="shared" ref="AD8:AD71" si="0">IF(AC8="DIÁRIA",AE8,IF(AC8="2xDIA",(AE8*2),IF(AC8="3xDIA",(AE8*3),IF(AC8="4xDIA",(AE8*4),IF(AC8="5xDIA",(AE8*5),IF(AC8="6xDIA",(AE8*6),IF(AC8="SEMANAL",4.33,IF(AC8="2xSEMANA",8,IF(AC8="3xSEMANA",12,IF(AC8="QUINZENAL",2,IF(AC8="MENSAL",1,IF(AC8="BIMESTRAL",0.5,IF(AC8="TRIMESTRAL",0.33,IF(AC8="SEMESTRAL",0.17,0))))))))))))))</f>
        <v>66</v>
      </c>
      <c r="AE8" s="108">
        <f>'1. SA ABA DE CARREGAMENTO'!B90</f>
        <v>22</v>
      </c>
      <c r="AF8" s="377">
        <f>SUM(AG8:BD15)</f>
        <v>3023.4660272727269</v>
      </c>
      <c r="AG8" s="109">
        <f t="shared" ref="AG8:AG71" si="1">(E8*AD8)/AE8</f>
        <v>0</v>
      </c>
      <c r="AH8" s="109">
        <f t="shared" ref="AH8:AH71" si="2">(F8*AD8)/AE8</f>
        <v>2129.04</v>
      </c>
      <c r="AI8" s="109">
        <f t="shared" ref="AI8:AI71" si="3">(G8*AD8)/AE8</f>
        <v>0</v>
      </c>
      <c r="AJ8" s="109">
        <f t="shared" ref="AJ8:AJ71" si="4">(H8*AD8)/AE8</f>
        <v>0</v>
      </c>
      <c r="AK8" s="109">
        <f t="shared" ref="AK8:AK71" si="5">(I8*AD8)/AE8</f>
        <v>0</v>
      </c>
      <c r="AL8" s="109">
        <f t="shared" ref="AL8:AL39" si="6">(J8*AD8)/AE8</f>
        <v>0</v>
      </c>
      <c r="AM8" s="109">
        <f t="shared" ref="AM8:AM39" si="7">(K8*AD8)/AE8</f>
        <v>0</v>
      </c>
      <c r="AN8" s="109">
        <f t="shared" ref="AN8:AN71" si="8">(L8*AD8)/AE8</f>
        <v>0</v>
      </c>
      <c r="AO8" s="109">
        <f t="shared" ref="AO8:AO71" si="9">(M8*AD8)/AE8</f>
        <v>0</v>
      </c>
      <c r="AP8" s="109">
        <f t="shared" ref="AP8:AP39" si="10">(N8*AD8)/AE8</f>
        <v>0</v>
      </c>
      <c r="AQ8" s="109">
        <f t="shared" ref="AQ8:AQ39" si="11">(O8*AD8)/AE8</f>
        <v>0</v>
      </c>
      <c r="AR8" s="109">
        <f t="shared" ref="AR8:AR71" si="12">(P8*AD8)/AE8</f>
        <v>0</v>
      </c>
      <c r="AS8" s="109">
        <f t="shared" ref="AS8:AS71" si="13">(Q8*AD8)/AE8</f>
        <v>0</v>
      </c>
      <c r="AT8" s="109">
        <f t="shared" ref="AT8:AT71" si="14">(R8*AD8)/AE8</f>
        <v>0</v>
      </c>
      <c r="AU8" s="109">
        <f t="shared" ref="AU8:AU71" si="15">(S8*AD8)/AE8</f>
        <v>0</v>
      </c>
      <c r="AV8" s="109">
        <f t="shared" ref="AV8:AV71" si="16">(T8*AD8)/AE8</f>
        <v>0</v>
      </c>
      <c r="AW8" s="109">
        <f t="shared" ref="AW8:AW71" si="17">(U8*AD8)/AE8</f>
        <v>0</v>
      </c>
      <c r="AX8" s="109">
        <f t="shared" ref="AX8:AX71" si="18">(V8*AD8)/AE8</f>
        <v>0</v>
      </c>
      <c r="AY8" s="109">
        <f t="shared" ref="AY8:AY71" si="19">(W8*AD8)/AE8</f>
        <v>0</v>
      </c>
      <c r="AZ8" s="109">
        <f t="shared" ref="AZ8:AZ71" si="20">(X8*AD8)/AE8</f>
        <v>0</v>
      </c>
      <c r="BA8" s="109">
        <f t="shared" ref="BA8:BA71" si="21">(Y8*AD8)/AE8</f>
        <v>0</v>
      </c>
      <c r="BB8" s="109">
        <f t="shared" ref="BB8:BB71" si="22">(Z8*AD8)/AE8</f>
        <v>0</v>
      </c>
      <c r="BC8" s="109">
        <f t="shared" ref="BC8:BC71" si="23">(AA8*AD8)/AE8</f>
        <v>0</v>
      </c>
      <c r="BD8" s="109">
        <f t="shared" ref="BD8:BD39" si="24">(AB8*AD8)/AE8</f>
        <v>0</v>
      </c>
      <c r="BE8" s="107"/>
      <c r="BF8" s="107"/>
      <c r="BG8" s="107"/>
      <c r="BH8" s="107"/>
      <c r="BI8" s="107"/>
      <c r="BJ8" s="107"/>
      <c r="BK8" s="107"/>
      <c r="BL8" s="107"/>
    </row>
    <row r="9" spans="1:64" ht="12.75" customHeight="1" x14ac:dyDescent="0.2">
      <c r="A9" s="376"/>
      <c r="B9" s="376"/>
      <c r="C9" s="106" t="s">
        <v>271</v>
      </c>
      <c r="D9" s="377"/>
      <c r="E9" s="106"/>
      <c r="F9" s="106"/>
      <c r="G9" s="106"/>
      <c r="H9" s="106"/>
      <c r="I9" s="106"/>
      <c r="J9" s="106"/>
      <c r="K9" s="106"/>
      <c r="L9" s="106">
        <v>183.8</v>
      </c>
      <c r="M9" s="106"/>
      <c r="N9" s="106"/>
      <c r="O9" s="106"/>
      <c r="P9" s="106"/>
      <c r="Q9" s="106"/>
      <c r="R9" s="106"/>
      <c r="S9" s="106"/>
      <c r="T9" s="106"/>
      <c r="U9" s="106"/>
      <c r="V9" s="106"/>
      <c r="W9" s="106"/>
      <c r="X9" s="106"/>
      <c r="Y9" s="106"/>
      <c r="Z9" s="106"/>
      <c r="AA9" s="106"/>
      <c r="AB9" s="106"/>
      <c r="AC9" s="106" t="s">
        <v>270</v>
      </c>
      <c r="AD9" s="110">
        <f t="shared" si="0"/>
        <v>66</v>
      </c>
      <c r="AE9" s="108">
        <f>'1. SA ABA DE CARREGAMENTO'!B90</f>
        <v>22</v>
      </c>
      <c r="AF9" s="377"/>
      <c r="AG9" s="109">
        <f t="shared" si="1"/>
        <v>0</v>
      </c>
      <c r="AH9" s="109">
        <f t="shared" si="2"/>
        <v>0</v>
      </c>
      <c r="AI9" s="109">
        <f t="shared" si="3"/>
        <v>0</v>
      </c>
      <c r="AJ9" s="109">
        <f t="shared" si="4"/>
        <v>0</v>
      </c>
      <c r="AK9" s="109">
        <f t="shared" si="5"/>
        <v>0</v>
      </c>
      <c r="AL9" s="109">
        <f t="shared" si="6"/>
        <v>0</v>
      </c>
      <c r="AM9" s="109">
        <f t="shared" si="7"/>
        <v>0</v>
      </c>
      <c r="AN9" s="109">
        <f t="shared" si="8"/>
        <v>551.40000000000009</v>
      </c>
      <c r="AO9" s="109">
        <f t="shared" si="9"/>
        <v>0</v>
      </c>
      <c r="AP9" s="109">
        <f t="shared" si="10"/>
        <v>0</v>
      </c>
      <c r="AQ9" s="109">
        <f t="shared" si="11"/>
        <v>0</v>
      </c>
      <c r="AR9" s="109">
        <f t="shared" si="12"/>
        <v>0</v>
      </c>
      <c r="AS9" s="109">
        <f t="shared" si="13"/>
        <v>0</v>
      </c>
      <c r="AT9" s="109">
        <f t="shared" si="14"/>
        <v>0</v>
      </c>
      <c r="AU9" s="109">
        <f t="shared" si="15"/>
        <v>0</v>
      </c>
      <c r="AV9" s="109">
        <f t="shared" si="16"/>
        <v>0</v>
      </c>
      <c r="AW9" s="109">
        <f t="shared" si="17"/>
        <v>0</v>
      </c>
      <c r="AX9" s="109">
        <f t="shared" si="18"/>
        <v>0</v>
      </c>
      <c r="AY9" s="109">
        <f t="shared" si="19"/>
        <v>0</v>
      </c>
      <c r="AZ9" s="109">
        <f t="shared" si="20"/>
        <v>0</v>
      </c>
      <c r="BA9" s="109">
        <f t="shared" si="21"/>
        <v>0</v>
      </c>
      <c r="BB9" s="109">
        <f t="shared" si="22"/>
        <v>0</v>
      </c>
      <c r="BC9" s="109">
        <f t="shared" si="23"/>
        <v>0</v>
      </c>
      <c r="BD9" s="109">
        <f t="shared" si="24"/>
        <v>0</v>
      </c>
      <c r="BE9" s="107"/>
      <c r="BF9" s="107"/>
      <c r="BG9" s="107"/>
      <c r="BH9" s="107"/>
      <c r="BI9" s="107"/>
      <c r="BJ9" s="107"/>
      <c r="BK9" s="107"/>
      <c r="BL9" s="107"/>
    </row>
    <row r="10" spans="1:64" ht="30" x14ac:dyDescent="0.2">
      <c r="A10" s="376"/>
      <c r="B10" s="376"/>
      <c r="C10" s="106" t="s">
        <v>272</v>
      </c>
      <c r="D10" s="377"/>
      <c r="E10" s="106"/>
      <c r="F10" s="106"/>
      <c r="G10" s="106"/>
      <c r="H10" s="106">
        <v>5.87</v>
      </c>
      <c r="I10" s="106"/>
      <c r="J10" s="106"/>
      <c r="K10" s="106"/>
      <c r="L10" s="106"/>
      <c r="M10" s="106"/>
      <c r="N10" s="106"/>
      <c r="O10" s="106"/>
      <c r="P10" s="106"/>
      <c r="Q10" s="106"/>
      <c r="R10" s="106"/>
      <c r="S10" s="106"/>
      <c r="T10" s="106"/>
      <c r="U10" s="106"/>
      <c r="V10" s="106"/>
      <c r="W10" s="106"/>
      <c r="X10" s="106"/>
      <c r="Y10" s="106"/>
      <c r="Z10" s="106"/>
      <c r="AA10" s="106"/>
      <c r="AB10" s="106"/>
      <c r="AC10" s="106" t="s">
        <v>273</v>
      </c>
      <c r="AD10" s="110">
        <f t="shared" si="0"/>
        <v>1</v>
      </c>
      <c r="AE10" s="108">
        <f>'1. SA ABA DE CARREGAMENTO'!B90</f>
        <v>22</v>
      </c>
      <c r="AF10" s="377"/>
      <c r="AG10" s="109">
        <f t="shared" si="1"/>
        <v>0</v>
      </c>
      <c r="AH10" s="109">
        <f t="shared" si="2"/>
        <v>0</v>
      </c>
      <c r="AI10" s="109">
        <f t="shared" si="3"/>
        <v>0</v>
      </c>
      <c r="AJ10" s="109">
        <f t="shared" si="4"/>
        <v>0.26681818181818184</v>
      </c>
      <c r="AK10" s="109">
        <f t="shared" si="5"/>
        <v>0</v>
      </c>
      <c r="AL10" s="109">
        <f t="shared" si="6"/>
        <v>0</v>
      </c>
      <c r="AM10" s="109">
        <f t="shared" si="7"/>
        <v>0</v>
      </c>
      <c r="AN10" s="109">
        <f t="shared" si="8"/>
        <v>0</v>
      </c>
      <c r="AO10" s="109">
        <f t="shared" si="9"/>
        <v>0</v>
      </c>
      <c r="AP10" s="109">
        <f t="shared" si="10"/>
        <v>0</v>
      </c>
      <c r="AQ10" s="109">
        <f t="shared" si="11"/>
        <v>0</v>
      </c>
      <c r="AR10" s="109">
        <f t="shared" si="12"/>
        <v>0</v>
      </c>
      <c r="AS10" s="109">
        <f t="shared" si="13"/>
        <v>0</v>
      </c>
      <c r="AT10" s="109">
        <f t="shared" si="14"/>
        <v>0</v>
      </c>
      <c r="AU10" s="109">
        <f t="shared" si="15"/>
        <v>0</v>
      </c>
      <c r="AV10" s="109">
        <f t="shared" si="16"/>
        <v>0</v>
      </c>
      <c r="AW10" s="109">
        <f t="shared" si="17"/>
        <v>0</v>
      </c>
      <c r="AX10" s="109">
        <f t="shared" si="18"/>
        <v>0</v>
      </c>
      <c r="AY10" s="109">
        <f t="shared" si="19"/>
        <v>0</v>
      </c>
      <c r="AZ10" s="109">
        <f t="shared" si="20"/>
        <v>0</v>
      </c>
      <c r="BA10" s="109">
        <f t="shared" si="21"/>
        <v>0</v>
      </c>
      <c r="BB10" s="109">
        <f t="shared" si="22"/>
        <v>0</v>
      </c>
      <c r="BC10" s="109">
        <f t="shared" si="23"/>
        <v>0</v>
      </c>
      <c r="BD10" s="109">
        <f t="shared" si="24"/>
        <v>0</v>
      </c>
      <c r="BE10" s="107"/>
      <c r="BF10" s="107"/>
      <c r="BG10" s="107"/>
      <c r="BH10" s="107"/>
      <c r="BI10" s="107"/>
      <c r="BJ10" s="107"/>
      <c r="BK10" s="107"/>
      <c r="BL10" s="107"/>
    </row>
    <row r="11" spans="1:64" ht="12.75" customHeight="1" x14ac:dyDescent="0.2">
      <c r="A11" s="376"/>
      <c r="B11" s="376"/>
      <c r="C11" s="106" t="s">
        <v>274</v>
      </c>
      <c r="D11" s="377"/>
      <c r="E11" s="106"/>
      <c r="F11" s="106"/>
      <c r="G11" s="106"/>
      <c r="H11" s="106"/>
      <c r="I11" s="106"/>
      <c r="J11" s="106"/>
      <c r="K11" s="106"/>
      <c r="L11" s="106"/>
      <c r="M11" s="106"/>
      <c r="N11" s="106"/>
      <c r="O11" s="106"/>
      <c r="P11" s="106"/>
      <c r="Q11" s="106"/>
      <c r="R11" s="106"/>
      <c r="S11" s="106"/>
      <c r="T11" s="106"/>
      <c r="U11" s="106">
        <v>77.400000000000006</v>
      </c>
      <c r="V11" s="106">
        <v>77.400000000000006</v>
      </c>
      <c r="W11" s="106"/>
      <c r="X11" s="106"/>
      <c r="Y11" s="106"/>
      <c r="Z11" s="106"/>
      <c r="AA11" s="106"/>
      <c r="AB11" s="106"/>
      <c r="AC11" s="106" t="s">
        <v>275</v>
      </c>
      <c r="AD11" s="110">
        <f t="shared" si="0"/>
        <v>0.17</v>
      </c>
      <c r="AE11" s="108">
        <f>'1. SA ABA DE CARREGAMENTO'!B90</f>
        <v>22</v>
      </c>
      <c r="AF11" s="377"/>
      <c r="AG11" s="109">
        <f t="shared" si="1"/>
        <v>0</v>
      </c>
      <c r="AH11" s="109">
        <f t="shared" si="2"/>
        <v>0</v>
      </c>
      <c r="AI11" s="109">
        <f t="shared" si="3"/>
        <v>0</v>
      </c>
      <c r="AJ11" s="109">
        <f t="shared" si="4"/>
        <v>0</v>
      </c>
      <c r="AK11" s="109">
        <f t="shared" si="5"/>
        <v>0</v>
      </c>
      <c r="AL11" s="109">
        <f t="shared" si="6"/>
        <v>0</v>
      </c>
      <c r="AM11" s="109">
        <f t="shared" si="7"/>
        <v>0</v>
      </c>
      <c r="AN11" s="109">
        <f t="shared" si="8"/>
        <v>0</v>
      </c>
      <c r="AO11" s="109">
        <f t="shared" si="9"/>
        <v>0</v>
      </c>
      <c r="AP11" s="109">
        <f t="shared" si="10"/>
        <v>0</v>
      </c>
      <c r="AQ11" s="109">
        <f t="shared" si="11"/>
        <v>0</v>
      </c>
      <c r="AR11" s="109">
        <f t="shared" si="12"/>
        <v>0</v>
      </c>
      <c r="AS11" s="109">
        <f t="shared" si="13"/>
        <v>0</v>
      </c>
      <c r="AT11" s="109">
        <f t="shared" si="14"/>
        <v>0</v>
      </c>
      <c r="AU11" s="109">
        <f t="shared" si="15"/>
        <v>0</v>
      </c>
      <c r="AV11" s="109">
        <f t="shared" si="16"/>
        <v>0</v>
      </c>
      <c r="AW11" s="109">
        <f t="shared" si="17"/>
        <v>0.59809090909090912</v>
      </c>
      <c r="AX11" s="109">
        <f t="shared" si="18"/>
        <v>0.59809090909090912</v>
      </c>
      <c r="AY11" s="109">
        <f t="shared" si="19"/>
        <v>0</v>
      </c>
      <c r="AZ11" s="109">
        <f t="shared" si="20"/>
        <v>0</v>
      </c>
      <c r="BA11" s="109">
        <f t="shared" si="21"/>
        <v>0</v>
      </c>
      <c r="BB11" s="109">
        <f t="shared" si="22"/>
        <v>0</v>
      </c>
      <c r="BC11" s="109">
        <f t="shared" si="23"/>
        <v>0</v>
      </c>
      <c r="BD11" s="109">
        <f t="shared" si="24"/>
        <v>0</v>
      </c>
      <c r="BE11" s="107"/>
      <c r="BF11" s="107"/>
      <c r="BG11" s="107"/>
      <c r="BH11" s="107"/>
      <c r="BI11" s="107"/>
      <c r="BJ11" s="107"/>
      <c r="BK11" s="107"/>
      <c r="BL11" s="107"/>
    </row>
    <row r="12" spans="1:64" ht="12.75" customHeight="1" x14ac:dyDescent="0.2">
      <c r="A12" s="376"/>
      <c r="B12" s="376"/>
      <c r="C12" s="106" t="s">
        <v>276</v>
      </c>
      <c r="D12" s="377"/>
      <c r="E12" s="106"/>
      <c r="F12" s="106"/>
      <c r="G12" s="106"/>
      <c r="H12" s="106"/>
      <c r="I12" s="106"/>
      <c r="J12" s="106"/>
      <c r="K12" s="106"/>
      <c r="L12" s="106"/>
      <c r="M12" s="106"/>
      <c r="N12" s="106"/>
      <c r="O12" s="106"/>
      <c r="P12" s="106"/>
      <c r="Q12" s="106"/>
      <c r="R12" s="106"/>
      <c r="S12" s="106"/>
      <c r="T12" s="106"/>
      <c r="U12" s="106"/>
      <c r="V12" s="106"/>
      <c r="W12" s="106">
        <f>154.8+20</f>
        <v>174.8</v>
      </c>
      <c r="X12" s="106"/>
      <c r="Y12" s="106"/>
      <c r="Z12" s="106"/>
      <c r="AA12" s="106"/>
      <c r="AB12" s="106"/>
      <c r="AC12" s="106" t="s">
        <v>277</v>
      </c>
      <c r="AD12" s="110">
        <f t="shared" si="0"/>
        <v>8</v>
      </c>
      <c r="AE12" s="108">
        <f>'1. SA ABA DE CARREGAMENTO'!B90</f>
        <v>22</v>
      </c>
      <c r="AF12" s="377"/>
      <c r="AG12" s="109">
        <f t="shared" si="1"/>
        <v>0</v>
      </c>
      <c r="AH12" s="109">
        <f t="shared" si="2"/>
        <v>0</v>
      </c>
      <c r="AI12" s="109">
        <f t="shared" si="3"/>
        <v>0</v>
      </c>
      <c r="AJ12" s="109">
        <f t="shared" si="4"/>
        <v>0</v>
      </c>
      <c r="AK12" s="109">
        <f t="shared" si="5"/>
        <v>0</v>
      </c>
      <c r="AL12" s="109">
        <f t="shared" si="6"/>
        <v>0</v>
      </c>
      <c r="AM12" s="109">
        <f t="shared" si="7"/>
        <v>0</v>
      </c>
      <c r="AN12" s="109">
        <f t="shared" si="8"/>
        <v>0</v>
      </c>
      <c r="AO12" s="109">
        <f t="shared" si="9"/>
        <v>0</v>
      </c>
      <c r="AP12" s="109">
        <f t="shared" si="10"/>
        <v>0</v>
      </c>
      <c r="AQ12" s="109">
        <f t="shared" si="11"/>
        <v>0</v>
      </c>
      <c r="AR12" s="109">
        <f t="shared" si="12"/>
        <v>0</v>
      </c>
      <c r="AS12" s="109">
        <f t="shared" si="13"/>
        <v>0</v>
      </c>
      <c r="AT12" s="109">
        <f t="shared" si="14"/>
        <v>0</v>
      </c>
      <c r="AU12" s="109">
        <f t="shared" si="15"/>
        <v>0</v>
      </c>
      <c r="AV12" s="109">
        <f t="shared" si="16"/>
        <v>0</v>
      </c>
      <c r="AW12" s="109">
        <f t="shared" si="17"/>
        <v>0</v>
      </c>
      <c r="AX12" s="109">
        <f t="shared" si="18"/>
        <v>0</v>
      </c>
      <c r="AY12" s="109">
        <f t="shared" si="19"/>
        <v>63.56363636363637</v>
      </c>
      <c r="AZ12" s="109">
        <f t="shared" si="20"/>
        <v>0</v>
      </c>
      <c r="BA12" s="109">
        <f t="shared" si="21"/>
        <v>0</v>
      </c>
      <c r="BB12" s="109">
        <f t="shared" si="22"/>
        <v>0</v>
      </c>
      <c r="BC12" s="109">
        <f t="shared" si="23"/>
        <v>0</v>
      </c>
      <c r="BD12" s="109">
        <f t="shared" si="24"/>
        <v>0</v>
      </c>
      <c r="BE12" s="107"/>
      <c r="BF12" s="107"/>
      <c r="BG12" s="107"/>
      <c r="BH12" s="107"/>
      <c r="BI12" s="107"/>
      <c r="BJ12" s="107"/>
      <c r="BK12" s="107"/>
      <c r="BL12" s="107"/>
    </row>
    <row r="13" spans="1:64" ht="12.75" customHeight="1" x14ac:dyDescent="0.2">
      <c r="A13" s="376"/>
      <c r="B13" s="376"/>
      <c r="C13" s="106" t="s">
        <v>278</v>
      </c>
      <c r="D13" s="377"/>
      <c r="E13" s="106"/>
      <c r="F13" s="106"/>
      <c r="G13" s="106"/>
      <c r="H13" s="106"/>
      <c r="I13" s="106"/>
      <c r="J13" s="106"/>
      <c r="K13" s="106"/>
      <c r="L13" s="106"/>
      <c r="M13" s="106"/>
      <c r="N13" s="106"/>
      <c r="O13" s="106"/>
      <c r="P13" s="106"/>
      <c r="Q13" s="106"/>
      <c r="R13" s="106"/>
      <c r="S13" s="106"/>
      <c r="T13" s="106"/>
      <c r="U13" s="106"/>
      <c r="V13" s="106"/>
      <c r="W13" s="106"/>
      <c r="X13" s="106"/>
      <c r="Y13" s="106"/>
      <c r="Z13" s="106">
        <v>40.1</v>
      </c>
      <c r="AA13" s="106"/>
      <c r="AB13" s="106"/>
      <c r="AC13" s="106" t="s">
        <v>279</v>
      </c>
      <c r="AD13" s="110">
        <f t="shared" si="0"/>
        <v>132</v>
      </c>
      <c r="AE13" s="108">
        <f>'1. SA ABA DE CARREGAMENTO'!B90</f>
        <v>22</v>
      </c>
      <c r="AF13" s="377"/>
      <c r="AG13" s="109">
        <f t="shared" si="1"/>
        <v>0</v>
      </c>
      <c r="AH13" s="109">
        <f t="shared" si="2"/>
        <v>0</v>
      </c>
      <c r="AI13" s="109">
        <f t="shared" si="3"/>
        <v>0</v>
      </c>
      <c r="AJ13" s="109">
        <f t="shared" si="4"/>
        <v>0</v>
      </c>
      <c r="AK13" s="109">
        <f t="shared" si="5"/>
        <v>0</v>
      </c>
      <c r="AL13" s="109">
        <f t="shared" si="6"/>
        <v>0</v>
      </c>
      <c r="AM13" s="109">
        <f t="shared" si="7"/>
        <v>0</v>
      </c>
      <c r="AN13" s="109">
        <f t="shared" si="8"/>
        <v>0</v>
      </c>
      <c r="AO13" s="109">
        <f t="shared" si="9"/>
        <v>0</v>
      </c>
      <c r="AP13" s="109">
        <f t="shared" si="10"/>
        <v>0</v>
      </c>
      <c r="AQ13" s="109">
        <f t="shared" si="11"/>
        <v>0</v>
      </c>
      <c r="AR13" s="109">
        <f t="shared" si="12"/>
        <v>0</v>
      </c>
      <c r="AS13" s="109">
        <f t="shared" si="13"/>
        <v>0</v>
      </c>
      <c r="AT13" s="109">
        <f t="shared" si="14"/>
        <v>0</v>
      </c>
      <c r="AU13" s="109">
        <f t="shared" si="15"/>
        <v>0</v>
      </c>
      <c r="AV13" s="109">
        <f t="shared" si="16"/>
        <v>0</v>
      </c>
      <c r="AW13" s="109">
        <f t="shared" si="17"/>
        <v>0</v>
      </c>
      <c r="AX13" s="109">
        <f t="shared" si="18"/>
        <v>0</v>
      </c>
      <c r="AY13" s="109">
        <f t="shared" si="19"/>
        <v>0</v>
      </c>
      <c r="AZ13" s="109">
        <f t="shared" si="20"/>
        <v>0</v>
      </c>
      <c r="BA13" s="109">
        <f t="shared" si="21"/>
        <v>0</v>
      </c>
      <c r="BB13" s="109">
        <f t="shared" si="22"/>
        <v>240.6</v>
      </c>
      <c r="BC13" s="109">
        <f t="shared" si="23"/>
        <v>0</v>
      </c>
      <c r="BD13" s="109">
        <f t="shared" si="24"/>
        <v>0</v>
      </c>
      <c r="BE13" s="107"/>
      <c r="BF13" s="107"/>
      <c r="BG13" s="107"/>
      <c r="BH13" s="107"/>
      <c r="BI13" s="107"/>
      <c r="BJ13" s="107"/>
      <c r="BK13" s="107"/>
      <c r="BL13" s="107"/>
    </row>
    <row r="14" spans="1:64" ht="12.75" customHeight="1" x14ac:dyDescent="0.2">
      <c r="A14" s="376"/>
      <c r="B14" s="376"/>
      <c r="C14" s="106" t="s">
        <v>280</v>
      </c>
      <c r="D14" s="377"/>
      <c r="E14" s="106"/>
      <c r="F14" s="106"/>
      <c r="G14" s="106"/>
      <c r="H14" s="106"/>
      <c r="I14" s="106"/>
      <c r="J14" s="106"/>
      <c r="K14" s="106"/>
      <c r="L14" s="106"/>
      <c r="M14" s="106"/>
      <c r="N14" s="106"/>
      <c r="O14" s="106"/>
      <c r="P14" s="106"/>
      <c r="Q14" s="106"/>
      <c r="R14" s="106"/>
      <c r="S14" s="106"/>
      <c r="T14" s="106"/>
      <c r="U14" s="106"/>
      <c r="V14" s="106"/>
      <c r="W14" s="106"/>
      <c r="X14" s="106"/>
      <c r="Y14" s="106"/>
      <c r="Z14" s="106"/>
      <c r="AA14" s="106">
        <v>149.91999999999999</v>
      </c>
      <c r="AB14" s="106"/>
      <c r="AC14" s="106" t="s">
        <v>281</v>
      </c>
      <c r="AD14" s="110">
        <f t="shared" si="0"/>
        <v>4.33</v>
      </c>
      <c r="AE14" s="108">
        <f>'1. SA ABA DE CARREGAMENTO'!B90</f>
        <v>22</v>
      </c>
      <c r="AF14" s="377"/>
      <c r="AG14" s="109">
        <f t="shared" si="1"/>
        <v>0</v>
      </c>
      <c r="AH14" s="109">
        <f t="shared" si="2"/>
        <v>0</v>
      </c>
      <c r="AI14" s="109">
        <f t="shared" si="3"/>
        <v>0</v>
      </c>
      <c r="AJ14" s="109">
        <f t="shared" si="4"/>
        <v>0</v>
      </c>
      <c r="AK14" s="109">
        <f t="shared" si="5"/>
        <v>0</v>
      </c>
      <c r="AL14" s="109">
        <f t="shared" si="6"/>
        <v>0</v>
      </c>
      <c r="AM14" s="109">
        <f t="shared" si="7"/>
        <v>0</v>
      </c>
      <c r="AN14" s="109">
        <f t="shared" si="8"/>
        <v>0</v>
      </c>
      <c r="AO14" s="109">
        <f t="shared" si="9"/>
        <v>0</v>
      </c>
      <c r="AP14" s="109">
        <f t="shared" si="10"/>
        <v>0</v>
      </c>
      <c r="AQ14" s="109">
        <f t="shared" si="11"/>
        <v>0</v>
      </c>
      <c r="AR14" s="109">
        <f t="shared" si="12"/>
        <v>0</v>
      </c>
      <c r="AS14" s="109">
        <f t="shared" si="13"/>
        <v>0</v>
      </c>
      <c r="AT14" s="109">
        <f t="shared" si="14"/>
        <v>0</v>
      </c>
      <c r="AU14" s="109">
        <f t="shared" si="15"/>
        <v>0</v>
      </c>
      <c r="AV14" s="109">
        <f t="shared" si="16"/>
        <v>0</v>
      </c>
      <c r="AW14" s="109">
        <f t="shared" si="17"/>
        <v>0</v>
      </c>
      <c r="AX14" s="109">
        <f t="shared" si="18"/>
        <v>0</v>
      </c>
      <c r="AY14" s="109">
        <f t="shared" si="19"/>
        <v>0</v>
      </c>
      <c r="AZ14" s="109">
        <f t="shared" si="20"/>
        <v>0</v>
      </c>
      <c r="BA14" s="109">
        <f t="shared" si="21"/>
        <v>0</v>
      </c>
      <c r="BB14" s="109">
        <f t="shared" si="22"/>
        <v>0</v>
      </c>
      <c r="BC14" s="109">
        <f t="shared" si="23"/>
        <v>29.506981818181817</v>
      </c>
      <c r="BD14" s="109">
        <f t="shared" si="24"/>
        <v>0</v>
      </c>
      <c r="BE14" s="107"/>
      <c r="BF14" s="107"/>
      <c r="BG14" s="107"/>
      <c r="BH14" s="107"/>
      <c r="BI14" s="107"/>
      <c r="BJ14" s="107"/>
      <c r="BK14" s="107"/>
      <c r="BL14" s="107"/>
    </row>
    <row r="15" spans="1:64" ht="12.75" customHeight="1" x14ac:dyDescent="0.2">
      <c r="A15" s="376"/>
      <c r="B15" s="376"/>
      <c r="C15" s="106" t="s">
        <v>282</v>
      </c>
      <c r="D15" s="377"/>
      <c r="E15" s="106"/>
      <c r="F15" s="106"/>
      <c r="G15" s="106"/>
      <c r="H15" s="106"/>
      <c r="I15" s="106"/>
      <c r="J15" s="106"/>
      <c r="K15" s="106"/>
      <c r="L15" s="106"/>
      <c r="M15" s="106"/>
      <c r="N15" s="106"/>
      <c r="O15" s="106"/>
      <c r="P15" s="106"/>
      <c r="Q15" s="106"/>
      <c r="R15" s="106"/>
      <c r="S15" s="106"/>
      <c r="T15" s="106"/>
      <c r="U15" s="106"/>
      <c r="V15" s="106"/>
      <c r="W15" s="106"/>
      <c r="X15" s="106"/>
      <c r="Y15" s="106"/>
      <c r="Z15" s="106"/>
      <c r="AA15" s="106"/>
      <c r="AB15" s="106">
        <v>40.1</v>
      </c>
      <c r="AC15" s="106" t="s">
        <v>281</v>
      </c>
      <c r="AD15" s="110">
        <f t="shared" si="0"/>
        <v>4.33</v>
      </c>
      <c r="AE15" s="108">
        <f>'1. SA ABA DE CARREGAMENTO'!B90</f>
        <v>22</v>
      </c>
      <c r="AF15" s="377"/>
      <c r="AG15" s="109">
        <f t="shared" si="1"/>
        <v>0</v>
      </c>
      <c r="AH15" s="109">
        <f t="shared" si="2"/>
        <v>0</v>
      </c>
      <c r="AI15" s="109">
        <f t="shared" si="3"/>
        <v>0</v>
      </c>
      <c r="AJ15" s="109">
        <f t="shared" si="4"/>
        <v>0</v>
      </c>
      <c r="AK15" s="109">
        <f t="shared" si="5"/>
        <v>0</v>
      </c>
      <c r="AL15" s="109">
        <f t="shared" si="6"/>
        <v>0</v>
      </c>
      <c r="AM15" s="109">
        <f t="shared" si="7"/>
        <v>0</v>
      </c>
      <c r="AN15" s="109">
        <f t="shared" si="8"/>
        <v>0</v>
      </c>
      <c r="AO15" s="109">
        <f t="shared" si="9"/>
        <v>0</v>
      </c>
      <c r="AP15" s="109">
        <f t="shared" si="10"/>
        <v>0</v>
      </c>
      <c r="AQ15" s="109">
        <f t="shared" si="11"/>
        <v>0</v>
      </c>
      <c r="AR15" s="109">
        <f t="shared" si="12"/>
        <v>0</v>
      </c>
      <c r="AS15" s="109">
        <f t="shared" si="13"/>
        <v>0</v>
      </c>
      <c r="AT15" s="109">
        <f t="shared" si="14"/>
        <v>0</v>
      </c>
      <c r="AU15" s="109">
        <f t="shared" si="15"/>
        <v>0</v>
      </c>
      <c r="AV15" s="109">
        <f t="shared" si="16"/>
        <v>0</v>
      </c>
      <c r="AW15" s="109">
        <f t="shared" si="17"/>
        <v>0</v>
      </c>
      <c r="AX15" s="109">
        <f t="shared" si="18"/>
        <v>0</v>
      </c>
      <c r="AY15" s="109">
        <f t="shared" si="19"/>
        <v>0</v>
      </c>
      <c r="AZ15" s="109">
        <f t="shared" si="20"/>
        <v>0</v>
      </c>
      <c r="BA15" s="109">
        <f t="shared" si="21"/>
        <v>0</v>
      </c>
      <c r="BB15" s="109">
        <f t="shared" si="22"/>
        <v>0</v>
      </c>
      <c r="BC15" s="109">
        <f t="shared" si="23"/>
        <v>0</v>
      </c>
      <c r="BD15" s="109">
        <f t="shared" si="24"/>
        <v>7.8924090909090916</v>
      </c>
      <c r="BE15" s="107"/>
      <c r="BF15" s="107"/>
      <c r="BG15" s="107"/>
      <c r="BH15" s="107"/>
      <c r="BI15" s="107"/>
      <c r="BJ15" s="107"/>
      <c r="BK15" s="107"/>
      <c r="BL15" s="107"/>
    </row>
    <row r="16" spans="1:64" ht="15" customHeight="1" x14ac:dyDescent="0.2">
      <c r="A16" s="378">
        <v>2</v>
      </c>
      <c r="B16" s="379" t="s">
        <v>283</v>
      </c>
      <c r="C16" s="111" t="s">
        <v>284</v>
      </c>
      <c r="D16" s="380">
        <f>SUM(E16:AB21)</f>
        <v>173.03</v>
      </c>
      <c r="E16" s="111"/>
      <c r="F16" s="111">
        <v>40.9</v>
      </c>
      <c r="G16" s="111"/>
      <c r="H16" s="111"/>
      <c r="I16" s="111"/>
      <c r="J16" s="111"/>
      <c r="K16" s="111"/>
      <c r="L16" s="111"/>
      <c r="M16" s="111"/>
      <c r="N16" s="111"/>
      <c r="O16" s="111"/>
      <c r="P16" s="111"/>
      <c r="Q16" s="111"/>
      <c r="R16" s="111"/>
      <c r="S16" s="111"/>
      <c r="T16" s="111"/>
      <c r="U16" s="111"/>
      <c r="V16" s="111"/>
      <c r="W16" s="111"/>
      <c r="X16" s="111"/>
      <c r="Y16" s="111"/>
      <c r="Z16" s="111"/>
      <c r="AA16" s="111"/>
      <c r="AB16" s="111"/>
      <c r="AC16" s="113" t="s">
        <v>285</v>
      </c>
      <c r="AD16" s="114">
        <f t="shared" si="0"/>
        <v>44</v>
      </c>
      <c r="AE16" s="115">
        <f>'1. SA ABA DE CARREGAMENTO'!B90</f>
        <v>22</v>
      </c>
      <c r="AF16" s="380">
        <f>SUM(AG16:BD21)</f>
        <v>162.20064545454545</v>
      </c>
      <c r="AG16" s="116">
        <f t="shared" si="1"/>
        <v>0</v>
      </c>
      <c r="AH16" s="116">
        <f t="shared" si="2"/>
        <v>81.8</v>
      </c>
      <c r="AI16" s="116">
        <f t="shared" si="3"/>
        <v>0</v>
      </c>
      <c r="AJ16" s="116">
        <f t="shared" si="4"/>
        <v>0</v>
      </c>
      <c r="AK16" s="116">
        <f t="shared" si="5"/>
        <v>0</v>
      </c>
      <c r="AL16" s="117">
        <f t="shared" si="6"/>
        <v>0</v>
      </c>
      <c r="AM16" s="117">
        <f t="shared" si="7"/>
        <v>0</v>
      </c>
      <c r="AN16" s="117">
        <f t="shared" si="8"/>
        <v>0</v>
      </c>
      <c r="AO16" s="117">
        <f t="shared" si="9"/>
        <v>0</v>
      </c>
      <c r="AP16" s="117">
        <f t="shared" si="10"/>
        <v>0</v>
      </c>
      <c r="AQ16" s="117">
        <f t="shared" si="11"/>
        <v>0</v>
      </c>
      <c r="AR16" s="117">
        <f t="shared" si="12"/>
        <v>0</v>
      </c>
      <c r="AS16" s="117">
        <f t="shared" si="13"/>
        <v>0</v>
      </c>
      <c r="AT16" s="117">
        <f t="shared" si="14"/>
        <v>0</v>
      </c>
      <c r="AU16" s="117">
        <f t="shared" si="15"/>
        <v>0</v>
      </c>
      <c r="AV16" s="117">
        <f t="shared" si="16"/>
        <v>0</v>
      </c>
      <c r="AW16" s="117">
        <f t="shared" si="17"/>
        <v>0</v>
      </c>
      <c r="AX16" s="117">
        <f t="shared" si="18"/>
        <v>0</v>
      </c>
      <c r="AY16" s="117">
        <f t="shared" si="19"/>
        <v>0</v>
      </c>
      <c r="AZ16" s="117">
        <f t="shared" si="20"/>
        <v>0</v>
      </c>
      <c r="BA16" s="117">
        <f t="shared" si="21"/>
        <v>0</v>
      </c>
      <c r="BB16" s="117">
        <f t="shared" si="22"/>
        <v>0</v>
      </c>
      <c r="BC16" s="117">
        <f t="shared" si="23"/>
        <v>0</v>
      </c>
      <c r="BD16" s="117">
        <f t="shared" si="24"/>
        <v>0</v>
      </c>
      <c r="BE16" s="107"/>
      <c r="BF16" s="107"/>
      <c r="BG16" s="107"/>
      <c r="BH16" s="107"/>
      <c r="BI16" s="107"/>
      <c r="BJ16" s="107"/>
      <c r="BK16" s="107"/>
      <c r="BL16" s="107"/>
    </row>
    <row r="17" spans="1:64" ht="12.75" customHeight="1" x14ac:dyDescent="0.2">
      <c r="A17" s="378"/>
      <c r="B17" s="378"/>
      <c r="C17" s="111" t="s">
        <v>286</v>
      </c>
      <c r="D17" s="380"/>
      <c r="E17" s="111"/>
      <c r="F17" s="111">
        <v>7.87</v>
      </c>
      <c r="G17" s="111"/>
      <c r="H17" s="111"/>
      <c r="I17" s="111"/>
      <c r="J17" s="111"/>
      <c r="K17" s="111"/>
      <c r="L17" s="111"/>
      <c r="M17" s="111"/>
      <c r="N17" s="111"/>
      <c r="O17" s="111"/>
      <c r="P17" s="111"/>
      <c r="Q17" s="111"/>
      <c r="R17" s="111"/>
      <c r="S17" s="111"/>
      <c r="T17" s="111"/>
      <c r="U17" s="111"/>
      <c r="V17" s="111"/>
      <c r="W17" s="111"/>
      <c r="X17" s="111"/>
      <c r="Y17" s="111"/>
      <c r="Z17" s="111"/>
      <c r="AA17" s="111"/>
      <c r="AB17" s="111"/>
      <c r="AC17" s="113" t="s">
        <v>281</v>
      </c>
      <c r="AD17" s="114">
        <f t="shared" si="0"/>
        <v>4.33</v>
      </c>
      <c r="AE17" s="115">
        <f>'1. SA ABA DE CARREGAMENTO'!B90</f>
        <v>22</v>
      </c>
      <c r="AF17" s="380"/>
      <c r="AG17" s="116">
        <f t="shared" si="1"/>
        <v>0</v>
      </c>
      <c r="AH17" s="116">
        <f t="shared" si="2"/>
        <v>1.5489590909090909</v>
      </c>
      <c r="AI17" s="116">
        <f t="shared" si="3"/>
        <v>0</v>
      </c>
      <c r="AJ17" s="116">
        <f t="shared" si="4"/>
        <v>0</v>
      </c>
      <c r="AK17" s="116">
        <f t="shared" si="5"/>
        <v>0</v>
      </c>
      <c r="AL17" s="117">
        <f t="shared" si="6"/>
        <v>0</v>
      </c>
      <c r="AM17" s="117">
        <f t="shared" si="7"/>
        <v>0</v>
      </c>
      <c r="AN17" s="117">
        <f t="shared" si="8"/>
        <v>0</v>
      </c>
      <c r="AO17" s="117">
        <f t="shared" si="9"/>
        <v>0</v>
      </c>
      <c r="AP17" s="117">
        <f t="shared" si="10"/>
        <v>0</v>
      </c>
      <c r="AQ17" s="117">
        <f t="shared" si="11"/>
        <v>0</v>
      </c>
      <c r="AR17" s="117">
        <f t="shared" si="12"/>
        <v>0</v>
      </c>
      <c r="AS17" s="117">
        <f t="shared" si="13"/>
        <v>0</v>
      </c>
      <c r="AT17" s="117">
        <f t="shared" si="14"/>
        <v>0</v>
      </c>
      <c r="AU17" s="117">
        <f t="shared" si="15"/>
        <v>0</v>
      </c>
      <c r="AV17" s="117">
        <f t="shared" si="16"/>
        <v>0</v>
      </c>
      <c r="AW17" s="117">
        <f t="shared" si="17"/>
        <v>0</v>
      </c>
      <c r="AX17" s="117">
        <f t="shared" si="18"/>
        <v>0</v>
      </c>
      <c r="AY17" s="117">
        <f t="shared" si="19"/>
        <v>0</v>
      </c>
      <c r="AZ17" s="117">
        <f t="shared" si="20"/>
        <v>0</v>
      </c>
      <c r="BA17" s="117">
        <f t="shared" si="21"/>
        <v>0</v>
      </c>
      <c r="BB17" s="117">
        <f t="shared" si="22"/>
        <v>0</v>
      </c>
      <c r="BC17" s="117">
        <f t="shared" si="23"/>
        <v>0</v>
      </c>
      <c r="BD17" s="117">
        <f t="shared" si="24"/>
        <v>0</v>
      </c>
      <c r="BE17" s="107"/>
      <c r="BF17" s="107"/>
      <c r="BG17" s="107"/>
      <c r="BH17" s="107"/>
      <c r="BI17" s="107"/>
      <c r="BJ17" s="107"/>
      <c r="BK17" s="107"/>
      <c r="BL17" s="107"/>
    </row>
    <row r="18" spans="1:64" ht="12.75" customHeight="1" x14ac:dyDescent="0.2">
      <c r="A18" s="378"/>
      <c r="B18" s="378"/>
      <c r="C18" s="111" t="s">
        <v>287</v>
      </c>
      <c r="D18" s="380"/>
      <c r="E18" s="111"/>
      <c r="F18" s="111">
        <v>7.87</v>
      </c>
      <c r="G18" s="111"/>
      <c r="H18" s="111"/>
      <c r="I18" s="111"/>
      <c r="J18" s="111"/>
      <c r="K18" s="111"/>
      <c r="L18" s="111"/>
      <c r="M18" s="111"/>
      <c r="N18" s="111"/>
      <c r="O18" s="111"/>
      <c r="P18" s="111"/>
      <c r="Q18" s="111"/>
      <c r="R18" s="111"/>
      <c r="S18" s="111"/>
      <c r="T18" s="111"/>
      <c r="U18" s="111"/>
      <c r="V18" s="111"/>
      <c r="W18" s="111"/>
      <c r="X18" s="111"/>
      <c r="Y18" s="111"/>
      <c r="Z18" s="111"/>
      <c r="AA18" s="111"/>
      <c r="AB18" s="111"/>
      <c r="AC18" s="113" t="s">
        <v>281</v>
      </c>
      <c r="AD18" s="114">
        <f t="shared" si="0"/>
        <v>4.33</v>
      </c>
      <c r="AE18" s="115">
        <f>'1. SA ABA DE CARREGAMENTO'!B90</f>
        <v>22</v>
      </c>
      <c r="AF18" s="380"/>
      <c r="AG18" s="116">
        <f t="shared" si="1"/>
        <v>0</v>
      </c>
      <c r="AH18" s="116">
        <f t="shared" si="2"/>
        <v>1.5489590909090909</v>
      </c>
      <c r="AI18" s="116">
        <f t="shared" si="3"/>
        <v>0</v>
      </c>
      <c r="AJ18" s="116">
        <f t="shared" si="4"/>
        <v>0</v>
      </c>
      <c r="AK18" s="116">
        <f t="shared" si="5"/>
        <v>0</v>
      </c>
      <c r="AL18" s="117">
        <f t="shared" si="6"/>
        <v>0</v>
      </c>
      <c r="AM18" s="117">
        <f t="shared" si="7"/>
        <v>0</v>
      </c>
      <c r="AN18" s="117">
        <f t="shared" si="8"/>
        <v>0</v>
      </c>
      <c r="AO18" s="117">
        <f t="shared" si="9"/>
        <v>0</v>
      </c>
      <c r="AP18" s="117">
        <f t="shared" si="10"/>
        <v>0</v>
      </c>
      <c r="AQ18" s="117">
        <f t="shared" si="11"/>
        <v>0</v>
      </c>
      <c r="AR18" s="117">
        <f t="shared" si="12"/>
        <v>0</v>
      </c>
      <c r="AS18" s="117">
        <f t="shared" si="13"/>
        <v>0</v>
      </c>
      <c r="AT18" s="117">
        <f t="shared" si="14"/>
        <v>0</v>
      </c>
      <c r="AU18" s="117">
        <f t="shared" si="15"/>
        <v>0</v>
      </c>
      <c r="AV18" s="117">
        <f t="shared" si="16"/>
        <v>0</v>
      </c>
      <c r="AW18" s="117">
        <f t="shared" si="17"/>
        <v>0</v>
      </c>
      <c r="AX18" s="117">
        <f t="shared" si="18"/>
        <v>0</v>
      </c>
      <c r="AY18" s="117">
        <f t="shared" si="19"/>
        <v>0</v>
      </c>
      <c r="AZ18" s="117">
        <f t="shared" si="20"/>
        <v>0</v>
      </c>
      <c r="BA18" s="117">
        <f t="shared" si="21"/>
        <v>0</v>
      </c>
      <c r="BB18" s="117">
        <f t="shared" si="22"/>
        <v>0</v>
      </c>
      <c r="BC18" s="117">
        <f t="shared" si="23"/>
        <v>0</v>
      </c>
      <c r="BD18" s="117">
        <f t="shared" si="24"/>
        <v>0</v>
      </c>
      <c r="BE18" s="107"/>
      <c r="BF18" s="107"/>
      <c r="BG18" s="107"/>
      <c r="BH18" s="107"/>
      <c r="BI18" s="107"/>
      <c r="BJ18" s="107"/>
      <c r="BK18" s="107"/>
      <c r="BL18" s="107"/>
    </row>
    <row r="19" spans="1:64" ht="15" x14ac:dyDescent="0.2">
      <c r="A19" s="378"/>
      <c r="B19" s="378"/>
      <c r="C19" s="111" t="s">
        <v>288</v>
      </c>
      <c r="D19" s="380"/>
      <c r="E19" s="111"/>
      <c r="F19" s="111"/>
      <c r="G19" s="111"/>
      <c r="H19" s="111"/>
      <c r="I19" s="111"/>
      <c r="J19" s="111"/>
      <c r="K19" s="111"/>
      <c r="L19" s="111"/>
      <c r="M19" s="111">
        <v>68.39</v>
      </c>
      <c r="N19" s="111"/>
      <c r="O19" s="111"/>
      <c r="P19" s="111"/>
      <c r="Q19" s="111"/>
      <c r="R19" s="111"/>
      <c r="S19" s="111"/>
      <c r="T19" s="111"/>
      <c r="U19" s="111"/>
      <c r="V19" s="111"/>
      <c r="W19" s="111"/>
      <c r="X19" s="111"/>
      <c r="Y19" s="111"/>
      <c r="Z19" s="111"/>
      <c r="AA19" s="111"/>
      <c r="AB19" s="111"/>
      <c r="AC19" s="113" t="s">
        <v>289</v>
      </c>
      <c r="AD19" s="114">
        <f t="shared" si="0"/>
        <v>22</v>
      </c>
      <c r="AE19" s="115">
        <f>'1. SA ABA DE CARREGAMENTO'!B90</f>
        <v>22</v>
      </c>
      <c r="AF19" s="380"/>
      <c r="AG19" s="116">
        <f t="shared" si="1"/>
        <v>0</v>
      </c>
      <c r="AH19" s="116">
        <f t="shared" si="2"/>
        <v>0</v>
      </c>
      <c r="AI19" s="116">
        <f t="shared" si="3"/>
        <v>0</v>
      </c>
      <c r="AJ19" s="116">
        <f t="shared" si="4"/>
        <v>0</v>
      </c>
      <c r="AK19" s="116">
        <f t="shared" si="5"/>
        <v>0</v>
      </c>
      <c r="AL19" s="117">
        <f t="shared" si="6"/>
        <v>0</v>
      </c>
      <c r="AM19" s="117">
        <f t="shared" si="7"/>
        <v>0</v>
      </c>
      <c r="AN19" s="117">
        <f t="shared" si="8"/>
        <v>0</v>
      </c>
      <c r="AO19" s="117">
        <f t="shared" si="9"/>
        <v>68.39</v>
      </c>
      <c r="AP19" s="117">
        <f t="shared" si="10"/>
        <v>0</v>
      </c>
      <c r="AQ19" s="117">
        <f t="shared" si="11"/>
        <v>0</v>
      </c>
      <c r="AR19" s="117">
        <f t="shared" si="12"/>
        <v>0</v>
      </c>
      <c r="AS19" s="117">
        <f t="shared" si="13"/>
        <v>0</v>
      </c>
      <c r="AT19" s="117">
        <f t="shared" si="14"/>
        <v>0</v>
      </c>
      <c r="AU19" s="117">
        <f t="shared" si="15"/>
        <v>0</v>
      </c>
      <c r="AV19" s="117">
        <f t="shared" si="16"/>
        <v>0</v>
      </c>
      <c r="AW19" s="117">
        <f t="shared" si="17"/>
        <v>0</v>
      </c>
      <c r="AX19" s="117">
        <f t="shared" si="18"/>
        <v>0</v>
      </c>
      <c r="AY19" s="117">
        <f t="shared" si="19"/>
        <v>0</v>
      </c>
      <c r="AZ19" s="117">
        <f t="shared" si="20"/>
        <v>0</v>
      </c>
      <c r="BA19" s="117">
        <f t="shared" si="21"/>
        <v>0</v>
      </c>
      <c r="BB19" s="117">
        <f t="shared" si="22"/>
        <v>0</v>
      </c>
      <c r="BC19" s="117">
        <f t="shared" si="23"/>
        <v>0</v>
      </c>
      <c r="BD19" s="117">
        <f t="shared" si="24"/>
        <v>0</v>
      </c>
      <c r="BE19" s="107"/>
      <c r="BF19" s="107"/>
      <c r="BG19" s="107"/>
      <c r="BH19" s="107"/>
      <c r="BI19" s="107"/>
      <c r="BJ19" s="107"/>
      <c r="BK19" s="107"/>
      <c r="BL19" s="107"/>
    </row>
    <row r="20" spans="1:64" ht="12.75" customHeight="1" x14ac:dyDescent="0.2">
      <c r="A20" s="378"/>
      <c r="B20" s="378"/>
      <c r="C20" s="113" t="s">
        <v>274</v>
      </c>
      <c r="D20" s="380"/>
      <c r="E20" s="111"/>
      <c r="F20" s="111"/>
      <c r="G20" s="111"/>
      <c r="H20" s="111"/>
      <c r="I20" s="111"/>
      <c r="J20" s="111"/>
      <c r="K20" s="111"/>
      <c r="L20" s="111"/>
      <c r="M20" s="111"/>
      <c r="N20" s="111"/>
      <c r="O20" s="111"/>
      <c r="P20" s="111"/>
      <c r="Q20" s="111"/>
      <c r="R20" s="111"/>
      <c r="S20" s="111"/>
      <c r="T20" s="111"/>
      <c r="U20" s="111"/>
      <c r="V20" s="111">
        <v>24</v>
      </c>
      <c r="W20" s="111"/>
      <c r="X20" s="111"/>
      <c r="Y20" s="111"/>
      <c r="Z20" s="111"/>
      <c r="AA20" s="111"/>
      <c r="AB20" s="111"/>
      <c r="AC20" s="113" t="s">
        <v>275</v>
      </c>
      <c r="AD20" s="114">
        <f t="shared" si="0"/>
        <v>0.17</v>
      </c>
      <c r="AE20" s="115">
        <f>'1. SA ABA DE CARREGAMENTO'!B90</f>
        <v>22</v>
      </c>
      <c r="AF20" s="380"/>
      <c r="AG20" s="116">
        <f t="shared" si="1"/>
        <v>0</v>
      </c>
      <c r="AH20" s="116">
        <f t="shared" si="2"/>
        <v>0</v>
      </c>
      <c r="AI20" s="116">
        <f t="shared" si="3"/>
        <v>0</v>
      </c>
      <c r="AJ20" s="116">
        <f t="shared" si="4"/>
        <v>0</v>
      </c>
      <c r="AK20" s="116">
        <f t="shared" si="5"/>
        <v>0</v>
      </c>
      <c r="AL20" s="117">
        <f t="shared" si="6"/>
        <v>0</v>
      </c>
      <c r="AM20" s="117">
        <f t="shared" si="7"/>
        <v>0</v>
      </c>
      <c r="AN20" s="117">
        <f t="shared" si="8"/>
        <v>0</v>
      </c>
      <c r="AO20" s="117">
        <f t="shared" si="9"/>
        <v>0</v>
      </c>
      <c r="AP20" s="117">
        <f t="shared" si="10"/>
        <v>0</v>
      </c>
      <c r="AQ20" s="117">
        <f t="shared" si="11"/>
        <v>0</v>
      </c>
      <c r="AR20" s="117">
        <f t="shared" si="12"/>
        <v>0</v>
      </c>
      <c r="AS20" s="117">
        <f t="shared" si="13"/>
        <v>0</v>
      </c>
      <c r="AT20" s="117">
        <f t="shared" si="14"/>
        <v>0</v>
      </c>
      <c r="AU20" s="117">
        <f t="shared" si="15"/>
        <v>0</v>
      </c>
      <c r="AV20" s="117">
        <f t="shared" si="16"/>
        <v>0</v>
      </c>
      <c r="AW20" s="117">
        <f t="shared" si="17"/>
        <v>0</v>
      </c>
      <c r="AX20" s="117">
        <f t="shared" si="18"/>
        <v>0.18545454545454546</v>
      </c>
      <c r="AY20" s="117">
        <f t="shared" si="19"/>
        <v>0</v>
      </c>
      <c r="AZ20" s="117">
        <f t="shared" si="20"/>
        <v>0</v>
      </c>
      <c r="BA20" s="117">
        <f t="shared" si="21"/>
        <v>0</v>
      </c>
      <c r="BB20" s="117">
        <f t="shared" si="22"/>
        <v>0</v>
      </c>
      <c r="BC20" s="117">
        <f t="shared" si="23"/>
        <v>0</v>
      </c>
      <c r="BD20" s="117">
        <f t="shared" si="24"/>
        <v>0</v>
      </c>
      <c r="BE20" s="107"/>
      <c r="BF20" s="107"/>
      <c r="BG20" s="107"/>
      <c r="BH20" s="107"/>
      <c r="BI20" s="107"/>
      <c r="BJ20" s="107"/>
      <c r="BK20" s="107"/>
      <c r="BL20" s="107"/>
    </row>
    <row r="21" spans="1:64" ht="12.75" customHeight="1" x14ac:dyDescent="0.2">
      <c r="A21" s="378"/>
      <c r="B21" s="378"/>
      <c r="C21" s="113" t="s">
        <v>276</v>
      </c>
      <c r="D21" s="380"/>
      <c r="E21" s="111"/>
      <c r="F21" s="111"/>
      <c r="G21" s="111"/>
      <c r="H21" s="111"/>
      <c r="I21" s="111"/>
      <c r="J21" s="111"/>
      <c r="K21" s="111"/>
      <c r="L21" s="111"/>
      <c r="M21" s="111"/>
      <c r="N21" s="111"/>
      <c r="O21" s="111"/>
      <c r="P21" s="111"/>
      <c r="Q21" s="111"/>
      <c r="R21" s="111"/>
      <c r="S21" s="111"/>
      <c r="T21" s="111"/>
      <c r="U21" s="111"/>
      <c r="V21" s="111"/>
      <c r="W21" s="111">
        <v>24</v>
      </c>
      <c r="X21" s="111"/>
      <c r="Y21" s="111"/>
      <c r="Z21" s="111"/>
      <c r="AA21" s="111"/>
      <c r="AB21" s="111"/>
      <c r="AC21" s="113" t="s">
        <v>277</v>
      </c>
      <c r="AD21" s="114">
        <f t="shared" si="0"/>
        <v>8</v>
      </c>
      <c r="AE21" s="115">
        <f>'1. SA ABA DE CARREGAMENTO'!B90</f>
        <v>22</v>
      </c>
      <c r="AF21" s="380"/>
      <c r="AG21" s="116">
        <f t="shared" si="1"/>
        <v>0</v>
      </c>
      <c r="AH21" s="116">
        <f t="shared" si="2"/>
        <v>0</v>
      </c>
      <c r="AI21" s="116">
        <f t="shared" si="3"/>
        <v>0</v>
      </c>
      <c r="AJ21" s="116">
        <f t="shared" si="4"/>
        <v>0</v>
      </c>
      <c r="AK21" s="116">
        <f t="shared" si="5"/>
        <v>0</v>
      </c>
      <c r="AL21" s="117">
        <f t="shared" si="6"/>
        <v>0</v>
      </c>
      <c r="AM21" s="117">
        <f t="shared" si="7"/>
        <v>0</v>
      </c>
      <c r="AN21" s="117">
        <f t="shared" si="8"/>
        <v>0</v>
      </c>
      <c r="AO21" s="117">
        <f t="shared" si="9"/>
        <v>0</v>
      </c>
      <c r="AP21" s="117">
        <f t="shared" si="10"/>
        <v>0</v>
      </c>
      <c r="AQ21" s="117">
        <f t="shared" si="11"/>
        <v>0</v>
      </c>
      <c r="AR21" s="117">
        <f t="shared" si="12"/>
        <v>0</v>
      </c>
      <c r="AS21" s="117">
        <f t="shared" si="13"/>
        <v>0</v>
      </c>
      <c r="AT21" s="117">
        <f t="shared" si="14"/>
        <v>0</v>
      </c>
      <c r="AU21" s="117">
        <f t="shared" si="15"/>
        <v>0</v>
      </c>
      <c r="AV21" s="117">
        <f t="shared" si="16"/>
        <v>0</v>
      </c>
      <c r="AW21" s="117">
        <f t="shared" si="17"/>
        <v>0</v>
      </c>
      <c r="AX21" s="117">
        <f t="shared" si="18"/>
        <v>0</v>
      </c>
      <c r="AY21" s="117">
        <f t="shared" si="19"/>
        <v>8.7272727272727266</v>
      </c>
      <c r="AZ21" s="117">
        <f t="shared" si="20"/>
        <v>0</v>
      </c>
      <c r="BA21" s="117">
        <f t="shared" si="21"/>
        <v>0</v>
      </c>
      <c r="BB21" s="117">
        <f t="shared" si="22"/>
        <v>0</v>
      </c>
      <c r="BC21" s="117">
        <f t="shared" si="23"/>
        <v>0</v>
      </c>
      <c r="BD21" s="117">
        <f t="shared" si="24"/>
        <v>0</v>
      </c>
      <c r="BE21" s="107"/>
      <c r="BF21" s="107"/>
      <c r="BG21" s="107"/>
      <c r="BH21" s="107"/>
      <c r="BI21" s="107"/>
      <c r="BJ21" s="107"/>
      <c r="BK21" s="107"/>
      <c r="BL21" s="107"/>
    </row>
    <row r="22" spans="1:64" ht="15" customHeight="1" x14ac:dyDescent="0.2">
      <c r="A22" s="376">
        <v>3</v>
      </c>
      <c r="B22" s="375" t="s">
        <v>290</v>
      </c>
      <c r="C22" s="106" t="s">
        <v>291</v>
      </c>
      <c r="D22" s="377">
        <f>SUM(E22:AB24)</f>
        <v>87.539999999999992</v>
      </c>
      <c r="E22" s="106"/>
      <c r="F22" s="106">
        <v>60</v>
      </c>
      <c r="G22" s="106"/>
      <c r="H22" s="106"/>
      <c r="I22" s="106"/>
      <c r="J22" s="106"/>
      <c r="K22" s="106"/>
      <c r="L22" s="106"/>
      <c r="M22" s="106"/>
      <c r="N22" s="106"/>
      <c r="O22" s="106"/>
      <c r="P22" s="106"/>
      <c r="Q22" s="106"/>
      <c r="R22" s="106"/>
      <c r="S22" s="106"/>
      <c r="T22" s="106"/>
      <c r="U22" s="106"/>
      <c r="V22" s="106"/>
      <c r="W22" s="106"/>
      <c r="X22" s="106"/>
      <c r="Y22" s="106"/>
      <c r="Z22" s="106"/>
      <c r="AA22" s="106"/>
      <c r="AB22" s="106"/>
      <c r="AC22" s="106" t="s">
        <v>289</v>
      </c>
      <c r="AD22" s="110">
        <f t="shared" si="0"/>
        <v>22</v>
      </c>
      <c r="AE22" s="108">
        <f>'1. SA ABA DE CARREGAMENTO'!B90</f>
        <v>22</v>
      </c>
      <c r="AF22" s="377">
        <f>SUM(AG22:BD24)</f>
        <v>65.113677272727273</v>
      </c>
      <c r="AG22" s="109">
        <f t="shared" si="1"/>
        <v>0</v>
      </c>
      <c r="AH22" s="109">
        <f t="shared" si="2"/>
        <v>60</v>
      </c>
      <c r="AI22" s="109">
        <f t="shared" si="3"/>
        <v>0</v>
      </c>
      <c r="AJ22" s="109">
        <f t="shared" si="4"/>
        <v>0</v>
      </c>
      <c r="AK22" s="109">
        <f t="shared" si="5"/>
        <v>0</v>
      </c>
      <c r="AL22" s="109">
        <f t="shared" si="6"/>
        <v>0</v>
      </c>
      <c r="AM22" s="109">
        <f t="shared" si="7"/>
        <v>0</v>
      </c>
      <c r="AN22" s="109">
        <f t="shared" si="8"/>
        <v>0</v>
      </c>
      <c r="AO22" s="109">
        <f t="shared" si="9"/>
        <v>0</v>
      </c>
      <c r="AP22" s="109">
        <f t="shared" si="10"/>
        <v>0</v>
      </c>
      <c r="AQ22" s="109">
        <f t="shared" si="11"/>
        <v>0</v>
      </c>
      <c r="AR22" s="109">
        <f t="shared" si="12"/>
        <v>0</v>
      </c>
      <c r="AS22" s="109">
        <f t="shared" si="13"/>
        <v>0</v>
      </c>
      <c r="AT22" s="109">
        <f t="shared" si="14"/>
        <v>0</v>
      </c>
      <c r="AU22" s="109">
        <f t="shared" si="15"/>
        <v>0</v>
      </c>
      <c r="AV22" s="109">
        <f t="shared" si="16"/>
        <v>0</v>
      </c>
      <c r="AW22" s="109">
        <f t="shared" si="17"/>
        <v>0</v>
      </c>
      <c r="AX22" s="109">
        <f t="shared" si="18"/>
        <v>0</v>
      </c>
      <c r="AY22" s="109">
        <f t="shared" si="19"/>
        <v>0</v>
      </c>
      <c r="AZ22" s="109">
        <f t="shared" si="20"/>
        <v>0</v>
      </c>
      <c r="BA22" s="109">
        <f t="shared" si="21"/>
        <v>0</v>
      </c>
      <c r="BB22" s="109">
        <f t="shared" si="22"/>
        <v>0</v>
      </c>
      <c r="BC22" s="109">
        <f t="shared" si="23"/>
        <v>0</v>
      </c>
      <c r="BD22" s="109">
        <f t="shared" si="24"/>
        <v>0</v>
      </c>
      <c r="BE22" s="107"/>
      <c r="BF22" s="107"/>
      <c r="BG22" s="107"/>
      <c r="BH22" s="107"/>
      <c r="BI22" s="107"/>
      <c r="BJ22" s="107"/>
      <c r="BK22" s="107"/>
      <c r="BL22" s="107"/>
    </row>
    <row r="23" spans="1:64" ht="12.75" customHeight="1" x14ac:dyDescent="0.2">
      <c r="A23" s="376"/>
      <c r="B23" s="376"/>
      <c r="C23" s="106" t="s">
        <v>274</v>
      </c>
      <c r="D23" s="377"/>
      <c r="E23" s="106"/>
      <c r="F23" s="106"/>
      <c r="G23" s="106"/>
      <c r="H23" s="106"/>
      <c r="I23" s="106"/>
      <c r="J23" s="106"/>
      <c r="K23" s="106"/>
      <c r="L23" s="106"/>
      <c r="M23" s="106"/>
      <c r="N23" s="106"/>
      <c r="O23" s="106"/>
      <c r="P23" s="106"/>
      <c r="Q23" s="106"/>
      <c r="R23" s="106"/>
      <c r="S23" s="106"/>
      <c r="T23" s="106"/>
      <c r="U23" s="106"/>
      <c r="V23" s="106">
        <v>13.77</v>
      </c>
      <c r="W23" s="106"/>
      <c r="X23" s="106"/>
      <c r="Y23" s="106"/>
      <c r="Z23" s="106"/>
      <c r="AA23" s="106"/>
      <c r="AB23" s="106"/>
      <c r="AC23" s="106" t="s">
        <v>275</v>
      </c>
      <c r="AD23" s="110">
        <f t="shared" si="0"/>
        <v>0.17</v>
      </c>
      <c r="AE23" s="108">
        <f>'1. SA ABA DE CARREGAMENTO'!B90</f>
        <v>22</v>
      </c>
      <c r="AF23" s="377"/>
      <c r="AG23" s="109">
        <f t="shared" si="1"/>
        <v>0</v>
      </c>
      <c r="AH23" s="109">
        <f t="shared" si="2"/>
        <v>0</v>
      </c>
      <c r="AI23" s="109">
        <f t="shared" si="3"/>
        <v>0</v>
      </c>
      <c r="AJ23" s="109">
        <f t="shared" si="4"/>
        <v>0</v>
      </c>
      <c r="AK23" s="109">
        <f t="shared" si="5"/>
        <v>0</v>
      </c>
      <c r="AL23" s="109">
        <f t="shared" si="6"/>
        <v>0</v>
      </c>
      <c r="AM23" s="109">
        <f t="shared" si="7"/>
        <v>0</v>
      </c>
      <c r="AN23" s="109">
        <f t="shared" si="8"/>
        <v>0</v>
      </c>
      <c r="AO23" s="109">
        <f t="shared" si="9"/>
        <v>0</v>
      </c>
      <c r="AP23" s="109">
        <f t="shared" si="10"/>
        <v>0</v>
      </c>
      <c r="AQ23" s="109">
        <f t="shared" si="11"/>
        <v>0</v>
      </c>
      <c r="AR23" s="109">
        <f t="shared" si="12"/>
        <v>0</v>
      </c>
      <c r="AS23" s="109">
        <f t="shared" si="13"/>
        <v>0</v>
      </c>
      <c r="AT23" s="109">
        <f t="shared" si="14"/>
        <v>0</v>
      </c>
      <c r="AU23" s="109">
        <f t="shared" si="15"/>
        <v>0</v>
      </c>
      <c r="AV23" s="109">
        <f t="shared" si="16"/>
        <v>0</v>
      </c>
      <c r="AW23" s="109">
        <f t="shared" si="17"/>
        <v>0</v>
      </c>
      <c r="AX23" s="109">
        <f t="shared" si="18"/>
        <v>0.10640454545454546</v>
      </c>
      <c r="AY23" s="109">
        <f t="shared" si="19"/>
        <v>0</v>
      </c>
      <c r="AZ23" s="109">
        <f t="shared" si="20"/>
        <v>0</v>
      </c>
      <c r="BA23" s="109">
        <f t="shared" si="21"/>
        <v>0</v>
      </c>
      <c r="BB23" s="109">
        <f t="shared" si="22"/>
        <v>0</v>
      </c>
      <c r="BC23" s="109">
        <f t="shared" si="23"/>
        <v>0</v>
      </c>
      <c r="BD23" s="109">
        <f t="shared" si="24"/>
        <v>0</v>
      </c>
      <c r="BE23" s="107"/>
      <c r="BF23" s="107"/>
      <c r="BG23" s="107"/>
      <c r="BH23" s="107"/>
      <c r="BI23" s="107"/>
      <c r="BJ23" s="107"/>
      <c r="BK23" s="107"/>
      <c r="BL23" s="107"/>
    </row>
    <row r="24" spans="1:64" ht="126" customHeight="1" x14ac:dyDescent="0.2">
      <c r="A24" s="376"/>
      <c r="B24" s="376"/>
      <c r="C24" s="106" t="s">
        <v>276</v>
      </c>
      <c r="D24" s="377"/>
      <c r="E24" s="106"/>
      <c r="F24" s="106"/>
      <c r="G24" s="106"/>
      <c r="H24" s="106"/>
      <c r="I24" s="106"/>
      <c r="J24" s="106"/>
      <c r="K24" s="106"/>
      <c r="L24" s="106"/>
      <c r="M24" s="106"/>
      <c r="N24" s="106"/>
      <c r="O24" s="106"/>
      <c r="P24" s="106"/>
      <c r="Q24" s="106"/>
      <c r="R24" s="106"/>
      <c r="S24" s="106"/>
      <c r="T24" s="106"/>
      <c r="U24" s="106"/>
      <c r="V24" s="106"/>
      <c r="W24" s="106">
        <v>13.77</v>
      </c>
      <c r="X24" s="106"/>
      <c r="Y24" s="106"/>
      <c r="Z24" s="106"/>
      <c r="AA24" s="106"/>
      <c r="AB24" s="106"/>
      <c r="AC24" s="106" t="s">
        <v>277</v>
      </c>
      <c r="AD24" s="110">
        <f t="shared" si="0"/>
        <v>8</v>
      </c>
      <c r="AE24" s="108">
        <f>'1. SA ABA DE CARREGAMENTO'!B90</f>
        <v>22</v>
      </c>
      <c r="AF24" s="377"/>
      <c r="AG24" s="109">
        <f t="shared" si="1"/>
        <v>0</v>
      </c>
      <c r="AH24" s="109">
        <f t="shared" si="2"/>
        <v>0</v>
      </c>
      <c r="AI24" s="109">
        <f t="shared" si="3"/>
        <v>0</v>
      </c>
      <c r="AJ24" s="109">
        <f t="shared" si="4"/>
        <v>0</v>
      </c>
      <c r="AK24" s="109">
        <f t="shared" si="5"/>
        <v>0</v>
      </c>
      <c r="AL24" s="109">
        <f t="shared" si="6"/>
        <v>0</v>
      </c>
      <c r="AM24" s="109">
        <f t="shared" si="7"/>
        <v>0</v>
      </c>
      <c r="AN24" s="109">
        <f t="shared" si="8"/>
        <v>0</v>
      </c>
      <c r="AO24" s="109">
        <f t="shared" si="9"/>
        <v>0</v>
      </c>
      <c r="AP24" s="109">
        <f t="shared" si="10"/>
        <v>0</v>
      </c>
      <c r="AQ24" s="109">
        <f t="shared" si="11"/>
        <v>0</v>
      </c>
      <c r="AR24" s="109">
        <f t="shared" si="12"/>
        <v>0</v>
      </c>
      <c r="AS24" s="109">
        <f t="shared" si="13"/>
        <v>0</v>
      </c>
      <c r="AT24" s="109">
        <f t="shared" si="14"/>
        <v>0</v>
      </c>
      <c r="AU24" s="109">
        <f t="shared" si="15"/>
        <v>0</v>
      </c>
      <c r="AV24" s="109">
        <f t="shared" si="16"/>
        <v>0</v>
      </c>
      <c r="AW24" s="109">
        <f t="shared" si="17"/>
        <v>0</v>
      </c>
      <c r="AX24" s="109">
        <f t="shared" si="18"/>
        <v>0</v>
      </c>
      <c r="AY24" s="109">
        <f t="shared" si="19"/>
        <v>5.0072727272727269</v>
      </c>
      <c r="AZ24" s="109">
        <f t="shared" si="20"/>
        <v>0</v>
      </c>
      <c r="BA24" s="109">
        <f t="shared" si="21"/>
        <v>0</v>
      </c>
      <c r="BB24" s="109">
        <f t="shared" si="22"/>
        <v>0</v>
      </c>
      <c r="BC24" s="109">
        <f t="shared" si="23"/>
        <v>0</v>
      </c>
      <c r="BD24" s="109">
        <f t="shared" si="24"/>
        <v>0</v>
      </c>
      <c r="BE24" s="107"/>
      <c r="BF24" s="107"/>
      <c r="BG24" s="107"/>
      <c r="BH24" s="107"/>
      <c r="BI24" s="107"/>
      <c r="BJ24" s="107"/>
      <c r="BK24" s="107"/>
      <c r="BL24" s="107"/>
    </row>
    <row r="25" spans="1:64" ht="15" customHeight="1" x14ac:dyDescent="0.2">
      <c r="A25" s="381">
        <v>4</v>
      </c>
      <c r="B25" s="382" t="s">
        <v>292</v>
      </c>
      <c r="C25" s="113" t="s">
        <v>293</v>
      </c>
      <c r="D25" s="383">
        <f>SUM(E25:AB40)</f>
        <v>788.75</v>
      </c>
      <c r="E25" s="113"/>
      <c r="F25" s="113">
        <v>238.05</v>
      </c>
      <c r="G25" s="113"/>
      <c r="H25" s="113"/>
      <c r="I25" s="113"/>
      <c r="J25" s="113"/>
      <c r="K25" s="113"/>
      <c r="L25" s="113"/>
      <c r="M25" s="113"/>
      <c r="N25" s="113"/>
      <c r="O25" s="113"/>
      <c r="P25" s="113"/>
      <c r="Q25" s="113"/>
      <c r="R25" s="113"/>
      <c r="S25" s="113"/>
      <c r="T25" s="113"/>
      <c r="U25" s="113"/>
      <c r="V25" s="113"/>
      <c r="W25" s="113"/>
      <c r="X25" s="113"/>
      <c r="Y25" s="113"/>
      <c r="Z25" s="113"/>
      <c r="AA25" s="113"/>
      <c r="AB25" s="113"/>
      <c r="AC25" s="113" t="s">
        <v>270</v>
      </c>
      <c r="AD25" s="114">
        <f t="shared" si="0"/>
        <v>66</v>
      </c>
      <c r="AE25" s="115">
        <f>'1. SA ABA DE CARREGAMENTO'!B90</f>
        <v>22</v>
      </c>
      <c r="AF25" s="383">
        <f>SUM(AG25:BD40)</f>
        <v>1197.3077090909092</v>
      </c>
      <c r="AG25" s="117">
        <f t="shared" si="1"/>
        <v>0</v>
      </c>
      <c r="AH25" s="117">
        <f t="shared" si="2"/>
        <v>714.15000000000009</v>
      </c>
      <c r="AI25" s="117">
        <f t="shared" si="3"/>
        <v>0</v>
      </c>
      <c r="AJ25" s="117">
        <f t="shared" si="4"/>
        <v>0</v>
      </c>
      <c r="AK25" s="117">
        <f t="shared" si="5"/>
        <v>0</v>
      </c>
      <c r="AL25" s="117">
        <f t="shared" si="6"/>
        <v>0</v>
      </c>
      <c r="AM25" s="117">
        <f t="shared" si="7"/>
        <v>0</v>
      </c>
      <c r="AN25" s="117">
        <f t="shared" si="8"/>
        <v>0</v>
      </c>
      <c r="AO25" s="117">
        <f t="shared" si="9"/>
        <v>0</v>
      </c>
      <c r="AP25" s="117">
        <f t="shared" si="10"/>
        <v>0</v>
      </c>
      <c r="AQ25" s="117">
        <f t="shared" si="11"/>
        <v>0</v>
      </c>
      <c r="AR25" s="117">
        <f t="shared" si="12"/>
        <v>0</v>
      </c>
      <c r="AS25" s="117">
        <f t="shared" si="13"/>
        <v>0</v>
      </c>
      <c r="AT25" s="117">
        <f t="shared" si="14"/>
        <v>0</v>
      </c>
      <c r="AU25" s="117">
        <f t="shared" si="15"/>
        <v>0</v>
      </c>
      <c r="AV25" s="117">
        <f t="shared" si="16"/>
        <v>0</v>
      </c>
      <c r="AW25" s="117">
        <f t="shared" si="17"/>
        <v>0</v>
      </c>
      <c r="AX25" s="117">
        <f t="shared" si="18"/>
        <v>0</v>
      </c>
      <c r="AY25" s="117">
        <f t="shared" si="19"/>
        <v>0</v>
      </c>
      <c r="AZ25" s="117">
        <f t="shared" si="20"/>
        <v>0</v>
      </c>
      <c r="BA25" s="117">
        <f t="shared" si="21"/>
        <v>0</v>
      </c>
      <c r="BB25" s="117">
        <f t="shared" si="22"/>
        <v>0</v>
      </c>
      <c r="BC25" s="117">
        <f t="shared" si="23"/>
        <v>0</v>
      </c>
      <c r="BD25" s="117">
        <f t="shared" si="24"/>
        <v>0</v>
      </c>
      <c r="BE25" s="107"/>
      <c r="BF25" s="107"/>
      <c r="BG25" s="107"/>
      <c r="BH25" s="107"/>
      <c r="BI25" s="107"/>
      <c r="BJ25" s="107"/>
      <c r="BK25" s="107"/>
      <c r="BL25" s="107"/>
    </row>
    <row r="26" spans="1:64" ht="15" x14ac:dyDescent="0.2">
      <c r="A26" s="381"/>
      <c r="B26" s="381"/>
      <c r="C26" s="113" t="s">
        <v>294</v>
      </c>
      <c r="D26" s="383"/>
      <c r="E26" s="113"/>
      <c r="F26" s="113">
        <v>47.04</v>
      </c>
      <c r="G26" s="113"/>
      <c r="H26" s="113"/>
      <c r="I26" s="113"/>
      <c r="J26" s="113"/>
      <c r="K26" s="113"/>
      <c r="L26" s="113"/>
      <c r="M26" s="113"/>
      <c r="N26" s="113"/>
      <c r="O26" s="113"/>
      <c r="P26" s="113"/>
      <c r="Q26" s="113"/>
      <c r="R26" s="113"/>
      <c r="S26" s="113"/>
      <c r="T26" s="113"/>
      <c r="U26" s="113"/>
      <c r="V26" s="113"/>
      <c r="W26" s="113"/>
      <c r="X26" s="113"/>
      <c r="Y26" s="113"/>
      <c r="Z26" s="113"/>
      <c r="AA26" s="113"/>
      <c r="AB26" s="113"/>
      <c r="AC26" s="113" t="s">
        <v>270</v>
      </c>
      <c r="AD26" s="114">
        <f t="shared" si="0"/>
        <v>66</v>
      </c>
      <c r="AE26" s="115">
        <f>'1. SA ABA DE CARREGAMENTO'!B90</f>
        <v>22</v>
      </c>
      <c r="AF26" s="383"/>
      <c r="AG26" s="117">
        <f t="shared" si="1"/>
        <v>0</v>
      </c>
      <c r="AH26" s="117">
        <f t="shared" si="2"/>
        <v>141.12</v>
      </c>
      <c r="AI26" s="117">
        <f t="shared" si="3"/>
        <v>0</v>
      </c>
      <c r="AJ26" s="117">
        <f t="shared" si="4"/>
        <v>0</v>
      </c>
      <c r="AK26" s="117">
        <f t="shared" si="5"/>
        <v>0</v>
      </c>
      <c r="AL26" s="117">
        <f t="shared" si="6"/>
        <v>0</v>
      </c>
      <c r="AM26" s="117">
        <f t="shared" si="7"/>
        <v>0</v>
      </c>
      <c r="AN26" s="117">
        <f t="shared" si="8"/>
        <v>0</v>
      </c>
      <c r="AO26" s="117">
        <f t="shared" si="9"/>
        <v>0</v>
      </c>
      <c r="AP26" s="117">
        <f t="shared" si="10"/>
        <v>0</v>
      </c>
      <c r="AQ26" s="117">
        <f t="shared" si="11"/>
        <v>0</v>
      </c>
      <c r="AR26" s="117">
        <f t="shared" si="12"/>
        <v>0</v>
      </c>
      <c r="AS26" s="117">
        <f t="shared" si="13"/>
        <v>0</v>
      </c>
      <c r="AT26" s="117">
        <f t="shared" si="14"/>
        <v>0</v>
      </c>
      <c r="AU26" s="117">
        <f t="shared" si="15"/>
        <v>0</v>
      </c>
      <c r="AV26" s="117">
        <f t="shared" si="16"/>
        <v>0</v>
      </c>
      <c r="AW26" s="117">
        <f t="shared" si="17"/>
        <v>0</v>
      </c>
      <c r="AX26" s="117">
        <f t="shared" si="18"/>
        <v>0</v>
      </c>
      <c r="AY26" s="117">
        <f t="shared" si="19"/>
        <v>0</v>
      </c>
      <c r="AZ26" s="117">
        <f t="shared" si="20"/>
        <v>0</v>
      </c>
      <c r="BA26" s="117">
        <f t="shared" si="21"/>
        <v>0</v>
      </c>
      <c r="BB26" s="117">
        <f t="shared" si="22"/>
        <v>0</v>
      </c>
      <c r="BC26" s="117">
        <f t="shared" si="23"/>
        <v>0</v>
      </c>
      <c r="BD26" s="117">
        <f t="shared" si="24"/>
        <v>0</v>
      </c>
      <c r="BE26" s="107"/>
      <c r="BF26" s="107"/>
      <c r="BG26" s="107"/>
      <c r="BH26" s="107"/>
      <c r="BI26" s="107"/>
      <c r="BJ26" s="107"/>
      <c r="BK26" s="107"/>
      <c r="BL26" s="107"/>
    </row>
    <row r="27" spans="1:64" ht="15" x14ac:dyDescent="0.2">
      <c r="A27" s="381"/>
      <c r="B27" s="381"/>
      <c r="C27" s="113" t="s">
        <v>295</v>
      </c>
      <c r="D27" s="383"/>
      <c r="E27" s="113"/>
      <c r="F27" s="113"/>
      <c r="G27" s="113"/>
      <c r="H27" s="113">
        <v>22.59</v>
      </c>
      <c r="I27" s="113"/>
      <c r="J27" s="113"/>
      <c r="K27" s="113"/>
      <c r="L27" s="113"/>
      <c r="M27" s="113"/>
      <c r="N27" s="113"/>
      <c r="O27" s="113"/>
      <c r="P27" s="113"/>
      <c r="Q27" s="113"/>
      <c r="R27" s="113"/>
      <c r="S27" s="113"/>
      <c r="T27" s="113"/>
      <c r="U27" s="113"/>
      <c r="V27" s="113"/>
      <c r="W27" s="113"/>
      <c r="X27" s="113"/>
      <c r="Y27" s="113"/>
      <c r="Z27" s="113"/>
      <c r="AA27" s="113"/>
      <c r="AB27" s="113"/>
      <c r="AC27" s="113" t="s">
        <v>273</v>
      </c>
      <c r="AD27" s="114">
        <f t="shared" si="0"/>
        <v>1</v>
      </c>
      <c r="AE27" s="115">
        <f>'1. SA ABA DE CARREGAMENTO'!B90</f>
        <v>22</v>
      </c>
      <c r="AF27" s="383"/>
      <c r="AG27" s="117">
        <f t="shared" si="1"/>
        <v>0</v>
      </c>
      <c r="AH27" s="117">
        <f t="shared" si="2"/>
        <v>0</v>
      </c>
      <c r="AI27" s="117">
        <f t="shared" si="3"/>
        <v>0</v>
      </c>
      <c r="AJ27" s="117">
        <f t="shared" si="4"/>
        <v>1.0268181818181819</v>
      </c>
      <c r="AK27" s="117">
        <f t="shared" si="5"/>
        <v>0</v>
      </c>
      <c r="AL27" s="117">
        <f t="shared" si="6"/>
        <v>0</v>
      </c>
      <c r="AM27" s="117">
        <f t="shared" si="7"/>
        <v>0</v>
      </c>
      <c r="AN27" s="117">
        <f t="shared" si="8"/>
        <v>0</v>
      </c>
      <c r="AO27" s="117">
        <f t="shared" si="9"/>
        <v>0</v>
      </c>
      <c r="AP27" s="117">
        <f t="shared" si="10"/>
        <v>0</v>
      </c>
      <c r="AQ27" s="117">
        <f t="shared" si="11"/>
        <v>0</v>
      </c>
      <c r="AR27" s="117">
        <f t="shared" si="12"/>
        <v>0</v>
      </c>
      <c r="AS27" s="117">
        <f t="shared" si="13"/>
        <v>0</v>
      </c>
      <c r="AT27" s="117">
        <f t="shared" si="14"/>
        <v>0</v>
      </c>
      <c r="AU27" s="117">
        <f t="shared" si="15"/>
        <v>0</v>
      </c>
      <c r="AV27" s="117">
        <f t="shared" si="16"/>
        <v>0</v>
      </c>
      <c r="AW27" s="117">
        <f t="shared" si="17"/>
        <v>0</v>
      </c>
      <c r="AX27" s="117">
        <f t="shared" si="18"/>
        <v>0</v>
      </c>
      <c r="AY27" s="117">
        <f t="shared" si="19"/>
        <v>0</v>
      </c>
      <c r="AZ27" s="117">
        <f t="shared" si="20"/>
        <v>0</v>
      </c>
      <c r="BA27" s="117">
        <f t="shared" si="21"/>
        <v>0</v>
      </c>
      <c r="BB27" s="117">
        <f t="shared" si="22"/>
        <v>0</v>
      </c>
      <c r="BC27" s="117">
        <f t="shared" si="23"/>
        <v>0</v>
      </c>
      <c r="BD27" s="117">
        <f t="shared" si="24"/>
        <v>0</v>
      </c>
      <c r="BE27" s="107"/>
      <c r="BF27" s="107"/>
      <c r="BG27" s="107"/>
      <c r="BH27" s="107"/>
      <c r="BI27" s="107"/>
      <c r="BJ27" s="107"/>
      <c r="BK27" s="107"/>
      <c r="BL27" s="107"/>
    </row>
    <row r="28" spans="1:64" ht="15" x14ac:dyDescent="0.2">
      <c r="A28" s="381"/>
      <c r="B28" s="381"/>
      <c r="C28" s="113" t="s">
        <v>296</v>
      </c>
      <c r="D28" s="383"/>
      <c r="E28" s="113"/>
      <c r="F28" s="113">
        <v>82.06</v>
      </c>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t="s">
        <v>289</v>
      </c>
      <c r="AD28" s="114">
        <f t="shared" si="0"/>
        <v>22</v>
      </c>
      <c r="AE28" s="115">
        <f>'1. SA ABA DE CARREGAMENTO'!B90</f>
        <v>22</v>
      </c>
      <c r="AF28" s="383"/>
      <c r="AG28" s="117">
        <f t="shared" si="1"/>
        <v>0</v>
      </c>
      <c r="AH28" s="117">
        <f t="shared" si="2"/>
        <v>82.06</v>
      </c>
      <c r="AI28" s="117">
        <f t="shared" si="3"/>
        <v>0</v>
      </c>
      <c r="AJ28" s="117">
        <f t="shared" si="4"/>
        <v>0</v>
      </c>
      <c r="AK28" s="117">
        <f t="shared" si="5"/>
        <v>0</v>
      </c>
      <c r="AL28" s="117">
        <f t="shared" si="6"/>
        <v>0</v>
      </c>
      <c r="AM28" s="117">
        <f t="shared" si="7"/>
        <v>0</v>
      </c>
      <c r="AN28" s="117">
        <f t="shared" si="8"/>
        <v>0</v>
      </c>
      <c r="AO28" s="117">
        <f t="shared" si="9"/>
        <v>0</v>
      </c>
      <c r="AP28" s="117">
        <f t="shared" si="10"/>
        <v>0</v>
      </c>
      <c r="AQ28" s="117">
        <f t="shared" si="11"/>
        <v>0</v>
      </c>
      <c r="AR28" s="117">
        <f t="shared" si="12"/>
        <v>0</v>
      </c>
      <c r="AS28" s="117">
        <f t="shared" si="13"/>
        <v>0</v>
      </c>
      <c r="AT28" s="117">
        <f t="shared" si="14"/>
        <v>0</v>
      </c>
      <c r="AU28" s="117">
        <f t="shared" si="15"/>
        <v>0</v>
      </c>
      <c r="AV28" s="117">
        <f t="shared" si="16"/>
        <v>0</v>
      </c>
      <c r="AW28" s="117">
        <f t="shared" si="17"/>
        <v>0</v>
      </c>
      <c r="AX28" s="117">
        <f t="shared" si="18"/>
        <v>0</v>
      </c>
      <c r="AY28" s="117">
        <f t="shared" si="19"/>
        <v>0</v>
      </c>
      <c r="AZ28" s="117">
        <f t="shared" si="20"/>
        <v>0</v>
      </c>
      <c r="BA28" s="117">
        <f t="shared" si="21"/>
        <v>0</v>
      </c>
      <c r="BB28" s="117">
        <f t="shared" si="22"/>
        <v>0</v>
      </c>
      <c r="BC28" s="117">
        <f t="shared" si="23"/>
        <v>0</v>
      </c>
      <c r="BD28" s="117">
        <f t="shared" si="24"/>
        <v>0</v>
      </c>
      <c r="BE28" s="107"/>
      <c r="BF28" s="107"/>
      <c r="BG28" s="107"/>
      <c r="BH28" s="107"/>
      <c r="BI28" s="107"/>
      <c r="BJ28" s="107"/>
      <c r="BK28" s="107"/>
      <c r="BL28" s="107"/>
    </row>
    <row r="29" spans="1:64" ht="12.75" customHeight="1" x14ac:dyDescent="0.2">
      <c r="A29" s="381"/>
      <c r="B29" s="381"/>
      <c r="C29" s="113" t="s">
        <v>297</v>
      </c>
      <c r="D29" s="383"/>
      <c r="E29" s="113"/>
      <c r="F29" s="113">
        <v>6.28</v>
      </c>
      <c r="G29" s="113"/>
      <c r="H29" s="113"/>
      <c r="I29" s="113"/>
      <c r="J29" s="113"/>
      <c r="K29" s="113"/>
      <c r="L29" s="113"/>
      <c r="M29" s="113"/>
      <c r="N29" s="113"/>
      <c r="O29" s="113"/>
      <c r="P29" s="113"/>
      <c r="Q29" s="113"/>
      <c r="R29" s="113"/>
      <c r="S29" s="113"/>
      <c r="T29" s="113"/>
      <c r="U29" s="113"/>
      <c r="V29" s="113"/>
      <c r="W29" s="113"/>
      <c r="X29" s="113"/>
      <c r="Y29" s="113"/>
      <c r="Z29" s="113"/>
      <c r="AA29" s="113"/>
      <c r="AB29" s="113"/>
      <c r="AC29" s="113" t="s">
        <v>289</v>
      </c>
      <c r="AD29" s="114">
        <f t="shared" si="0"/>
        <v>22</v>
      </c>
      <c r="AE29" s="115">
        <f>'1. SA ABA DE CARREGAMENTO'!B90</f>
        <v>22</v>
      </c>
      <c r="AF29" s="383"/>
      <c r="AG29" s="117">
        <f t="shared" si="1"/>
        <v>0</v>
      </c>
      <c r="AH29" s="117">
        <f t="shared" si="2"/>
        <v>6.28</v>
      </c>
      <c r="AI29" s="117">
        <f t="shared" si="3"/>
        <v>0</v>
      </c>
      <c r="AJ29" s="117">
        <f t="shared" si="4"/>
        <v>0</v>
      </c>
      <c r="AK29" s="117">
        <f t="shared" si="5"/>
        <v>0</v>
      </c>
      <c r="AL29" s="117">
        <f t="shared" si="6"/>
        <v>0</v>
      </c>
      <c r="AM29" s="117">
        <f t="shared" si="7"/>
        <v>0</v>
      </c>
      <c r="AN29" s="117">
        <f t="shared" si="8"/>
        <v>0</v>
      </c>
      <c r="AO29" s="117">
        <f t="shared" si="9"/>
        <v>0</v>
      </c>
      <c r="AP29" s="117">
        <f t="shared" si="10"/>
        <v>0</v>
      </c>
      <c r="AQ29" s="117">
        <f t="shared" si="11"/>
        <v>0</v>
      </c>
      <c r="AR29" s="117">
        <f t="shared" si="12"/>
        <v>0</v>
      </c>
      <c r="AS29" s="117">
        <f t="shared" si="13"/>
        <v>0</v>
      </c>
      <c r="AT29" s="117">
        <f t="shared" si="14"/>
        <v>0</v>
      </c>
      <c r="AU29" s="117">
        <f t="shared" si="15"/>
        <v>0</v>
      </c>
      <c r="AV29" s="117">
        <f t="shared" si="16"/>
        <v>0</v>
      </c>
      <c r="AW29" s="117">
        <f t="shared" si="17"/>
        <v>0</v>
      </c>
      <c r="AX29" s="117">
        <f t="shared" si="18"/>
        <v>0</v>
      </c>
      <c r="AY29" s="117">
        <f t="shared" si="19"/>
        <v>0</v>
      </c>
      <c r="AZ29" s="117">
        <f t="shared" si="20"/>
        <v>0</v>
      </c>
      <c r="BA29" s="117">
        <f t="shared" si="21"/>
        <v>0</v>
      </c>
      <c r="BB29" s="117">
        <f t="shared" si="22"/>
        <v>0</v>
      </c>
      <c r="BC29" s="117">
        <f t="shared" si="23"/>
        <v>0</v>
      </c>
      <c r="BD29" s="117">
        <f t="shared" si="24"/>
        <v>0</v>
      </c>
      <c r="BE29" s="107"/>
      <c r="BF29" s="107"/>
      <c r="BG29" s="107"/>
      <c r="BH29" s="107"/>
      <c r="BI29" s="107"/>
      <c r="BJ29" s="107"/>
      <c r="BK29" s="107"/>
      <c r="BL29" s="107"/>
    </row>
    <row r="30" spans="1:64" ht="12.75" customHeight="1" x14ac:dyDescent="0.2">
      <c r="A30" s="381"/>
      <c r="B30" s="381"/>
      <c r="C30" s="113" t="s">
        <v>298</v>
      </c>
      <c r="D30" s="383"/>
      <c r="E30" s="113"/>
      <c r="F30" s="113">
        <v>8.8000000000000007</v>
      </c>
      <c r="G30" s="113"/>
      <c r="H30" s="113"/>
      <c r="I30" s="113"/>
      <c r="J30" s="113"/>
      <c r="K30" s="113"/>
      <c r="L30" s="113"/>
      <c r="M30" s="113"/>
      <c r="N30" s="113"/>
      <c r="O30" s="113"/>
      <c r="P30" s="113"/>
      <c r="Q30" s="113"/>
      <c r="R30" s="113"/>
      <c r="S30" s="113"/>
      <c r="T30" s="113"/>
      <c r="U30" s="113"/>
      <c r="V30" s="113"/>
      <c r="W30" s="113"/>
      <c r="X30" s="113"/>
      <c r="Y30" s="113"/>
      <c r="Z30" s="113"/>
      <c r="AA30" s="113"/>
      <c r="AB30" s="113"/>
      <c r="AC30" s="113" t="s">
        <v>289</v>
      </c>
      <c r="AD30" s="114">
        <f t="shared" si="0"/>
        <v>22</v>
      </c>
      <c r="AE30" s="115">
        <f>'1. SA ABA DE CARREGAMENTO'!B90</f>
        <v>22</v>
      </c>
      <c r="AF30" s="383"/>
      <c r="AG30" s="117">
        <f t="shared" si="1"/>
        <v>0</v>
      </c>
      <c r="AH30" s="117">
        <f t="shared" si="2"/>
        <v>8.8000000000000007</v>
      </c>
      <c r="AI30" s="117">
        <f t="shared" si="3"/>
        <v>0</v>
      </c>
      <c r="AJ30" s="117">
        <f t="shared" si="4"/>
        <v>0</v>
      </c>
      <c r="AK30" s="117">
        <f t="shared" si="5"/>
        <v>0</v>
      </c>
      <c r="AL30" s="117">
        <f t="shared" si="6"/>
        <v>0</v>
      </c>
      <c r="AM30" s="117">
        <f t="shared" si="7"/>
        <v>0</v>
      </c>
      <c r="AN30" s="117">
        <f t="shared" si="8"/>
        <v>0</v>
      </c>
      <c r="AO30" s="117">
        <f t="shared" si="9"/>
        <v>0</v>
      </c>
      <c r="AP30" s="117">
        <f t="shared" si="10"/>
        <v>0</v>
      </c>
      <c r="AQ30" s="117">
        <f t="shared" si="11"/>
        <v>0</v>
      </c>
      <c r="AR30" s="117">
        <f t="shared" si="12"/>
        <v>0</v>
      </c>
      <c r="AS30" s="117">
        <f t="shared" si="13"/>
        <v>0</v>
      </c>
      <c r="AT30" s="117">
        <f t="shared" si="14"/>
        <v>0</v>
      </c>
      <c r="AU30" s="117">
        <f t="shared" si="15"/>
        <v>0</v>
      </c>
      <c r="AV30" s="117">
        <f t="shared" si="16"/>
        <v>0</v>
      </c>
      <c r="AW30" s="117">
        <f t="shared" si="17"/>
        <v>0</v>
      </c>
      <c r="AX30" s="117">
        <f t="shared" si="18"/>
        <v>0</v>
      </c>
      <c r="AY30" s="117">
        <f t="shared" si="19"/>
        <v>0</v>
      </c>
      <c r="AZ30" s="117">
        <f t="shared" si="20"/>
        <v>0</v>
      </c>
      <c r="BA30" s="117">
        <f t="shared" si="21"/>
        <v>0</v>
      </c>
      <c r="BB30" s="117">
        <f t="shared" si="22"/>
        <v>0</v>
      </c>
      <c r="BC30" s="117">
        <f t="shared" si="23"/>
        <v>0</v>
      </c>
      <c r="BD30" s="117">
        <f t="shared" si="24"/>
        <v>0</v>
      </c>
      <c r="BE30" s="107"/>
      <c r="BF30" s="107"/>
      <c r="BG30" s="107"/>
      <c r="BH30" s="107"/>
      <c r="BI30" s="107"/>
      <c r="BJ30" s="107"/>
      <c r="BK30" s="107"/>
      <c r="BL30" s="107"/>
    </row>
    <row r="31" spans="1:64" ht="12.75" customHeight="1" x14ac:dyDescent="0.2">
      <c r="A31" s="381"/>
      <c r="B31" s="381"/>
      <c r="C31" s="113" t="s">
        <v>299</v>
      </c>
      <c r="D31" s="383"/>
      <c r="E31" s="113"/>
      <c r="F31" s="113">
        <v>4.0999999999999996</v>
      </c>
      <c r="G31" s="113"/>
      <c r="H31" s="113"/>
      <c r="I31" s="113"/>
      <c r="J31" s="113"/>
      <c r="K31" s="113"/>
      <c r="L31" s="113"/>
      <c r="M31" s="113"/>
      <c r="N31" s="113"/>
      <c r="O31" s="113"/>
      <c r="P31" s="113"/>
      <c r="Q31" s="113"/>
      <c r="R31" s="113"/>
      <c r="S31" s="113"/>
      <c r="T31" s="113"/>
      <c r="U31" s="113"/>
      <c r="V31" s="113"/>
      <c r="W31" s="113"/>
      <c r="X31" s="113"/>
      <c r="Y31" s="113"/>
      <c r="Z31" s="113"/>
      <c r="AA31" s="113"/>
      <c r="AB31" s="113"/>
      <c r="AC31" s="113" t="s">
        <v>289</v>
      </c>
      <c r="AD31" s="114">
        <f t="shared" si="0"/>
        <v>22</v>
      </c>
      <c r="AE31" s="115">
        <f>'1. SA ABA DE CARREGAMENTO'!B90</f>
        <v>22</v>
      </c>
      <c r="AF31" s="383"/>
      <c r="AG31" s="117">
        <f t="shared" si="1"/>
        <v>0</v>
      </c>
      <c r="AH31" s="117">
        <f t="shared" si="2"/>
        <v>4.0999999999999996</v>
      </c>
      <c r="AI31" s="117">
        <f t="shared" si="3"/>
        <v>0</v>
      </c>
      <c r="AJ31" s="117">
        <f t="shared" si="4"/>
        <v>0</v>
      </c>
      <c r="AK31" s="117">
        <f t="shared" si="5"/>
        <v>0</v>
      </c>
      <c r="AL31" s="117">
        <f t="shared" si="6"/>
        <v>0</v>
      </c>
      <c r="AM31" s="117">
        <f t="shared" si="7"/>
        <v>0</v>
      </c>
      <c r="AN31" s="117">
        <f t="shared" si="8"/>
        <v>0</v>
      </c>
      <c r="AO31" s="117">
        <f t="shared" si="9"/>
        <v>0</v>
      </c>
      <c r="AP31" s="117">
        <f t="shared" si="10"/>
        <v>0</v>
      </c>
      <c r="AQ31" s="117">
        <f t="shared" si="11"/>
        <v>0</v>
      </c>
      <c r="AR31" s="117">
        <f t="shared" si="12"/>
        <v>0</v>
      </c>
      <c r="AS31" s="117">
        <f t="shared" si="13"/>
        <v>0</v>
      </c>
      <c r="AT31" s="117">
        <f t="shared" si="14"/>
        <v>0</v>
      </c>
      <c r="AU31" s="117">
        <f t="shared" si="15"/>
        <v>0</v>
      </c>
      <c r="AV31" s="117">
        <f t="shared" si="16"/>
        <v>0</v>
      </c>
      <c r="AW31" s="117">
        <f t="shared" si="17"/>
        <v>0</v>
      </c>
      <c r="AX31" s="117">
        <f t="shared" si="18"/>
        <v>0</v>
      </c>
      <c r="AY31" s="117">
        <f t="shared" si="19"/>
        <v>0</v>
      </c>
      <c r="AZ31" s="117">
        <f t="shared" si="20"/>
        <v>0</v>
      </c>
      <c r="BA31" s="117">
        <f t="shared" si="21"/>
        <v>0</v>
      </c>
      <c r="BB31" s="117">
        <f t="shared" si="22"/>
        <v>0</v>
      </c>
      <c r="BC31" s="117">
        <f t="shared" si="23"/>
        <v>0</v>
      </c>
      <c r="BD31" s="117">
        <f t="shared" si="24"/>
        <v>0</v>
      </c>
      <c r="BE31" s="107"/>
      <c r="BF31" s="107"/>
      <c r="BG31" s="107"/>
      <c r="BH31" s="107"/>
      <c r="BI31" s="107"/>
      <c r="BJ31" s="107"/>
      <c r="BK31" s="107"/>
      <c r="BL31" s="107"/>
    </row>
    <row r="32" spans="1:64" ht="12.75" customHeight="1" x14ac:dyDescent="0.2">
      <c r="A32" s="381"/>
      <c r="B32" s="381"/>
      <c r="C32" s="113" t="s">
        <v>300</v>
      </c>
      <c r="D32" s="383"/>
      <c r="E32" s="113"/>
      <c r="F32" s="113">
        <v>23.54</v>
      </c>
      <c r="G32" s="113"/>
      <c r="H32" s="113"/>
      <c r="I32" s="113"/>
      <c r="J32" s="113"/>
      <c r="K32" s="113"/>
      <c r="L32" s="113"/>
      <c r="M32" s="113"/>
      <c r="N32" s="113"/>
      <c r="O32" s="113"/>
      <c r="P32" s="113"/>
      <c r="Q32" s="113"/>
      <c r="R32" s="113"/>
      <c r="S32" s="113"/>
      <c r="T32" s="113"/>
      <c r="U32" s="113"/>
      <c r="V32" s="113"/>
      <c r="W32" s="113"/>
      <c r="X32" s="113"/>
      <c r="Y32" s="113"/>
      <c r="Z32" s="113"/>
      <c r="AA32" s="113"/>
      <c r="AB32" s="113"/>
      <c r="AC32" s="113" t="s">
        <v>289</v>
      </c>
      <c r="AD32" s="114">
        <f t="shared" si="0"/>
        <v>22</v>
      </c>
      <c r="AE32" s="115">
        <f>'1. SA ABA DE CARREGAMENTO'!B90</f>
        <v>22</v>
      </c>
      <c r="AF32" s="383"/>
      <c r="AG32" s="117">
        <f t="shared" si="1"/>
        <v>0</v>
      </c>
      <c r="AH32" s="117">
        <f t="shared" si="2"/>
        <v>23.54</v>
      </c>
      <c r="AI32" s="117">
        <f t="shared" si="3"/>
        <v>0</v>
      </c>
      <c r="AJ32" s="117">
        <f t="shared" si="4"/>
        <v>0</v>
      </c>
      <c r="AK32" s="117">
        <f t="shared" si="5"/>
        <v>0</v>
      </c>
      <c r="AL32" s="117">
        <f t="shared" si="6"/>
        <v>0</v>
      </c>
      <c r="AM32" s="117">
        <f t="shared" si="7"/>
        <v>0</v>
      </c>
      <c r="AN32" s="117">
        <f t="shared" si="8"/>
        <v>0</v>
      </c>
      <c r="AO32" s="117">
        <f t="shared" si="9"/>
        <v>0</v>
      </c>
      <c r="AP32" s="117">
        <f t="shared" si="10"/>
        <v>0</v>
      </c>
      <c r="AQ32" s="117">
        <f t="shared" si="11"/>
        <v>0</v>
      </c>
      <c r="AR32" s="117">
        <f t="shared" si="12"/>
        <v>0</v>
      </c>
      <c r="AS32" s="117">
        <f t="shared" si="13"/>
        <v>0</v>
      </c>
      <c r="AT32" s="117">
        <f t="shared" si="14"/>
        <v>0</v>
      </c>
      <c r="AU32" s="117">
        <f t="shared" si="15"/>
        <v>0</v>
      </c>
      <c r="AV32" s="117">
        <f t="shared" si="16"/>
        <v>0</v>
      </c>
      <c r="AW32" s="117">
        <f t="shared" si="17"/>
        <v>0</v>
      </c>
      <c r="AX32" s="117">
        <f t="shared" si="18"/>
        <v>0</v>
      </c>
      <c r="AY32" s="117">
        <f t="shared" si="19"/>
        <v>0</v>
      </c>
      <c r="AZ32" s="117">
        <f t="shared" si="20"/>
        <v>0</v>
      </c>
      <c r="BA32" s="117">
        <f t="shared" si="21"/>
        <v>0</v>
      </c>
      <c r="BB32" s="117">
        <f t="shared" si="22"/>
        <v>0</v>
      </c>
      <c r="BC32" s="117">
        <f t="shared" si="23"/>
        <v>0</v>
      </c>
      <c r="BD32" s="117">
        <f t="shared" si="24"/>
        <v>0</v>
      </c>
      <c r="BE32" s="107"/>
      <c r="BF32" s="107"/>
      <c r="BG32" s="107"/>
      <c r="BH32" s="107"/>
      <c r="BI32" s="107"/>
      <c r="BJ32" s="107"/>
      <c r="BK32" s="107"/>
      <c r="BL32" s="107"/>
    </row>
    <row r="33" spans="1:64" ht="12.75" customHeight="1" x14ac:dyDescent="0.2">
      <c r="A33" s="381"/>
      <c r="B33" s="381"/>
      <c r="C33" s="113" t="s">
        <v>301</v>
      </c>
      <c r="D33" s="383"/>
      <c r="E33" s="113"/>
      <c r="F33" s="113">
        <v>17.97</v>
      </c>
      <c r="G33" s="113"/>
      <c r="H33" s="113"/>
      <c r="I33" s="113"/>
      <c r="J33" s="113"/>
      <c r="K33" s="113"/>
      <c r="L33" s="113"/>
      <c r="M33" s="113"/>
      <c r="N33" s="113"/>
      <c r="O33" s="113"/>
      <c r="P33" s="113"/>
      <c r="Q33" s="113"/>
      <c r="R33" s="113"/>
      <c r="S33" s="113"/>
      <c r="T33" s="113"/>
      <c r="U33" s="113"/>
      <c r="V33" s="113"/>
      <c r="W33" s="113"/>
      <c r="X33" s="113"/>
      <c r="Y33" s="113"/>
      <c r="Z33" s="113"/>
      <c r="AA33" s="113"/>
      <c r="AB33" s="113"/>
      <c r="AC33" s="113" t="s">
        <v>289</v>
      </c>
      <c r="AD33" s="114">
        <f t="shared" si="0"/>
        <v>22</v>
      </c>
      <c r="AE33" s="115">
        <f>'1. SA ABA DE CARREGAMENTO'!B90</f>
        <v>22</v>
      </c>
      <c r="AF33" s="383"/>
      <c r="AG33" s="117">
        <f t="shared" si="1"/>
        <v>0</v>
      </c>
      <c r="AH33" s="117">
        <f t="shared" si="2"/>
        <v>17.97</v>
      </c>
      <c r="AI33" s="117">
        <f t="shared" si="3"/>
        <v>0</v>
      </c>
      <c r="AJ33" s="117">
        <f t="shared" si="4"/>
        <v>0</v>
      </c>
      <c r="AK33" s="117">
        <f t="shared" si="5"/>
        <v>0</v>
      </c>
      <c r="AL33" s="117">
        <f t="shared" si="6"/>
        <v>0</v>
      </c>
      <c r="AM33" s="117">
        <f t="shared" si="7"/>
        <v>0</v>
      </c>
      <c r="AN33" s="117">
        <f t="shared" si="8"/>
        <v>0</v>
      </c>
      <c r="AO33" s="117">
        <f t="shared" si="9"/>
        <v>0</v>
      </c>
      <c r="AP33" s="117">
        <f t="shared" si="10"/>
        <v>0</v>
      </c>
      <c r="AQ33" s="117">
        <f t="shared" si="11"/>
        <v>0</v>
      </c>
      <c r="AR33" s="117">
        <f t="shared" si="12"/>
        <v>0</v>
      </c>
      <c r="AS33" s="117">
        <f t="shared" si="13"/>
        <v>0</v>
      </c>
      <c r="AT33" s="117">
        <f t="shared" si="14"/>
        <v>0</v>
      </c>
      <c r="AU33" s="117">
        <f t="shared" si="15"/>
        <v>0</v>
      </c>
      <c r="AV33" s="117">
        <f t="shared" si="16"/>
        <v>0</v>
      </c>
      <c r="AW33" s="117">
        <f t="shared" si="17"/>
        <v>0</v>
      </c>
      <c r="AX33" s="117">
        <f t="shared" si="18"/>
        <v>0</v>
      </c>
      <c r="AY33" s="117">
        <f t="shared" si="19"/>
        <v>0</v>
      </c>
      <c r="AZ33" s="117">
        <f t="shared" si="20"/>
        <v>0</v>
      </c>
      <c r="BA33" s="117">
        <f t="shared" si="21"/>
        <v>0</v>
      </c>
      <c r="BB33" s="117">
        <f t="shared" si="22"/>
        <v>0</v>
      </c>
      <c r="BC33" s="117">
        <f t="shared" si="23"/>
        <v>0</v>
      </c>
      <c r="BD33" s="117">
        <f t="shared" si="24"/>
        <v>0</v>
      </c>
      <c r="BE33" s="107"/>
      <c r="BF33" s="107"/>
      <c r="BG33" s="107"/>
      <c r="BH33" s="107"/>
      <c r="BI33" s="107"/>
      <c r="BJ33" s="107"/>
      <c r="BK33" s="107"/>
      <c r="BL33" s="107"/>
    </row>
    <row r="34" spans="1:64" ht="12.75" customHeight="1" x14ac:dyDescent="0.2">
      <c r="A34" s="381"/>
      <c r="B34" s="381"/>
      <c r="C34" s="113" t="s">
        <v>271</v>
      </c>
      <c r="D34" s="383"/>
      <c r="E34" s="113"/>
      <c r="F34" s="113"/>
      <c r="G34" s="113"/>
      <c r="H34" s="113"/>
      <c r="I34" s="113"/>
      <c r="J34" s="113"/>
      <c r="K34" s="113"/>
      <c r="L34" s="113">
        <v>3.5</v>
      </c>
      <c r="M34" s="113"/>
      <c r="N34" s="113"/>
      <c r="O34" s="113"/>
      <c r="P34" s="113"/>
      <c r="Q34" s="113"/>
      <c r="R34" s="113"/>
      <c r="S34" s="113"/>
      <c r="T34" s="113"/>
      <c r="U34" s="113"/>
      <c r="V34" s="113"/>
      <c r="W34" s="113"/>
      <c r="X34" s="113"/>
      <c r="Y34" s="113"/>
      <c r="Z34" s="113"/>
      <c r="AA34" s="113"/>
      <c r="AB34" s="113"/>
      <c r="AC34" s="113" t="s">
        <v>289</v>
      </c>
      <c r="AD34" s="114">
        <f t="shared" si="0"/>
        <v>22</v>
      </c>
      <c r="AE34" s="115">
        <f>'1. SA ABA DE CARREGAMENTO'!B90</f>
        <v>22</v>
      </c>
      <c r="AF34" s="383"/>
      <c r="AG34" s="117">
        <f t="shared" si="1"/>
        <v>0</v>
      </c>
      <c r="AH34" s="117">
        <f t="shared" si="2"/>
        <v>0</v>
      </c>
      <c r="AI34" s="117">
        <f t="shared" si="3"/>
        <v>0</v>
      </c>
      <c r="AJ34" s="117">
        <f t="shared" si="4"/>
        <v>0</v>
      </c>
      <c r="AK34" s="117">
        <f t="shared" si="5"/>
        <v>0</v>
      </c>
      <c r="AL34" s="117">
        <f t="shared" si="6"/>
        <v>0</v>
      </c>
      <c r="AM34" s="117">
        <f t="shared" si="7"/>
        <v>0</v>
      </c>
      <c r="AN34" s="117">
        <f t="shared" si="8"/>
        <v>3.5</v>
      </c>
      <c r="AO34" s="117">
        <f t="shared" si="9"/>
        <v>0</v>
      </c>
      <c r="AP34" s="117">
        <f t="shared" si="10"/>
        <v>0</v>
      </c>
      <c r="AQ34" s="117">
        <f t="shared" si="11"/>
        <v>0</v>
      </c>
      <c r="AR34" s="117">
        <f t="shared" si="12"/>
        <v>0</v>
      </c>
      <c r="AS34" s="117">
        <f t="shared" si="13"/>
        <v>0</v>
      </c>
      <c r="AT34" s="117">
        <f t="shared" si="14"/>
        <v>0</v>
      </c>
      <c r="AU34" s="117">
        <f t="shared" si="15"/>
        <v>0</v>
      </c>
      <c r="AV34" s="117">
        <f t="shared" si="16"/>
        <v>0</v>
      </c>
      <c r="AW34" s="117">
        <f t="shared" si="17"/>
        <v>0</v>
      </c>
      <c r="AX34" s="117">
        <f t="shared" si="18"/>
        <v>0</v>
      </c>
      <c r="AY34" s="117">
        <f t="shared" si="19"/>
        <v>0</v>
      </c>
      <c r="AZ34" s="117">
        <f t="shared" si="20"/>
        <v>0</v>
      </c>
      <c r="BA34" s="117">
        <f t="shared" si="21"/>
        <v>0</v>
      </c>
      <c r="BB34" s="117">
        <f t="shared" si="22"/>
        <v>0</v>
      </c>
      <c r="BC34" s="117">
        <f t="shared" si="23"/>
        <v>0</v>
      </c>
      <c r="BD34" s="117">
        <f t="shared" si="24"/>
        <v>0</v>
      </c>
      <c r="BE34" s="107"/>
      <c r="BF34" s="107"/>
      <c r="BG34" s="107"/>
      <c r="BH34" s="107"/>
      <c r="BI34" s="107"/>
      <c r="BJ34" s="107"/>
      <c r="BK34" s="107"/>
      <c r="BL34" s="107"/>
    </row>
    <row r="35" spans="1:64" ht="15" x14ac:dyDescent="0.2">
      <c r="A35" s="381"/>
      <c r="B35" s="381"/>
      <c r="C35" s="113" t="s">
        <v>288</v>
      </c>
      <c r="D35" s="383"/>
      <c r="E35" s="113"/>
      <c r="F35" s="113"/>
      <c r="G35" s="113"/>
      <c r="H35" s="113"/>
      <c r="I35" s="113"/>
      <c r="J35" s="113"/>
      <c r="K35" s="113"/>
      <c r="L35" s="113"/>
      <c r="M35" s="113">
        <v>125.56</v>
      </c>
      <c r="N35" s="113"/>
      <c r="O35" s="113"/>
      <c r="P35" s="113"/>
      <c r="Q35" s="113"/>
      <c r="R35" s="113"/>
      <c r="S35" s="113"/>
      <c r="T35" s="113"/>
      <c r="U35" s="113"/>
      <c r="V35" s="113"/>
      <c r="W35" s="113"/>
      <c r="X35" s="113"/>
      <c r="Y35" s="113"/>
      <c r="Z35" s="113"/>
      <c r="AA35" s="113"/>
      <c r="AB35" s="113"/>
      <c r="AC35" s="113" t="s">
        <v>289</v>
      </c>
      <c r="AD35" s="114">
        <f t="shared" si="0"/>
        <v>22</v>
      </c>
      <c r="AE35" s="115">
        <f>'1. SA ABA DE CARREGAMENTO'!B90</f>
        <v>22</v>
      </c>
      <c r="AF35" s="383"/>
      <c r="AG35" s="117">
        <f t="shared" si="1"/>
        <v>0</v>
      </c>
      <c r="AH35" s="117">
        <f t="shared" si="2"/>
        <v>0</v>
      </c>
      <c r="AI35" s="117">
        <f t="shared" si="3"/>
        <v>0</v>
      </c>
      <c r="AJ35" s="117">
        <f t="shared" si="4"/>
        <v>0</v>
      </c>
      <c r="AK35" s="117">
        <f t="shared" si="5"/>
        <v>0</v>
      </c>
      <c r="AL35" s="117">
        <f t="shared" si="6"/>
        <v>0</v>
      </c>
      <c r="AM35" s="117">
        <f t="shared" si="7"/>
        <v>0</v>
      </c>
      <c r="AN35" s="117">
        <f t="shared" si="8"/>
        <v>0</v>
      </c>
      <c r="AO35" s="117">
        <f t="shared" si="9"/>
        <v>125.56</v>
      </c>
      <c r="AP35" s="117">
        <f t="shared" si="10"/>
        <v>0</v>
      </c>
      <c r="AQ35" s="117">
        <f t="shared" si="11"/>
        <v>0</v>
      </c>
      <c r="AR35" s="117">
        <f t="shared" si="12"/>
        <v>0</v>
      </c>
      <c r="AS35" s="117">
        <f t="shared" si="13"/>
        <v>0</v>
      </c>
      <c r="AT35" s="117">
        <f t="shared" si="14"/>
        <v>0</v>
      </c>
      <c r="AU35" s="117">
        <f t="shared" si="15"/>
        <v>0</v>
      </c>
      <c r="AV35" s="117">
        <f t="shared" si="16"/>
        <v>0</v>
      </c>
      <c r="AW35" s="117">
        <f t="shared" si="17"/>
        <v>0</v>
      </c>
      <c r="AX35" s="117">
        <f t="shared" si="18"/>
        <v>0</v>
      </c>
      <c r="AY35" s="117">
        <f t="shared" si="19"/>
        <v>0</v>
      </c>
      <c r="AZ35" s="117">
        <f t="shared" si="20"/>
        <v>0</v>
      </c>
      <c r="BA35" s="117">
        <f t="shared" si="21"/>
        <v>0</v>
      </c>
      <c r="BB35" s="117">
        <f t="shared" si="22"/>
        <v>0</v>
      </c>
      <c r="BC35" s="117">
        <f t="shared" si="23"/>
        <v>0</v>
      </c>
      <c r="BD35" s="117">
        <f t="shared" si="24"/>
        <v>0</v>
      </c>
      <c r="BE35" s="107"/>
      <c r="BF35" s="107"/>
      <c r="BG35" s="107"/>
      <c r="BH35" s="107"/>
      <c r="BI35" s="107"/>
      <c r="BJ35" s="107"/>
      <c r="BK35" s="107"/>
      <c r="BL35" s="107"/>
    </row>
    <row r="36" spans="1:64" ht="12.75" customHeight="1" x14ac:dyDescent="0.2">
      <c r="A36" s="381"/>
      <c r="B36" s="381"/>
      <c r="C36" s="113" t="s">
        <v>274</v>
      </c>
      <c r="D36" s="383"/>
      <c r="E36" s="113"/>
      <c r="F36" s="113"/>
      <c r="G36" s="113"/>
      <c r="H36" s="113"/>
      <c r="I36" s="113"/>
      <c r="J36" s="113"/>
      <c r="K36" s="113"/>
      <c r="L36" s="113"/>
      <c r="M36" s="113"/>
      <c r="N36" s="113"/>
      <c r="O36" s="113"/>
      <c r="P36" s="113"/>
      <c r="Q36" s="113"/>
      <c r="R36" s="113"/>
      <c r="S36" s="113"/>
      <c r="T36" s="113"/>
      <c r="U36" s="113"/>
      <c r="V36" s="113">
        <v>73.58</v>
      </c>
      <c r="W36" s="113"/>
      <c r="X36" s="113"/>
      <c r="Y36" s="113"/>
      <c r="Z36" s="113"/>
      <c r="AA36" s="113"/>
      <c r="AB36" s="113"/>
      <c r="AC36" s="113" t="s">
        <v>275</v>
      </c>
      <c r="AD36" s="114">
        <f t="shared" si="0"/>
        <v>0.17</v>
      </c>
      <c r="AE36" s="115">
        <f>'1. SA ABA DE CARREGAMENTO'!B90</f>
        <v>22</v>
      </c>
      <c r="AF36" s="383"/>
      <c r="AG36" s="117">
        <f t="shared" si="1"/>
        <v>0</v>
      </c>
      <c r="AH36" s="117">
        <f t="shared" si="2"/>
        <v>0</v>
      </c>
      <c r="AI36" s="117">
        <f t="shared" si="3"/>
        <v>0</v>
      </c>
      <c r="AJ36" s="117">
        <f t="shared" si="4"/>
        <v>0</v>
      </c>
      <c r="AK36" s="117">
        <f t="shared" si="5"/>
        <v>0</v>
      </c>
      <c r="AL36" s="117">
        <f t="shared" si="6"/>
        <v>0</v>
      </c>
      <c r="AM36" s="117">
        <f t="shared" si="7"/>
        <v>0</v>
      </c>
      <c r="AN36" s="117">
        <f t="shared" si="8"/>
        <v>0</v>
      </c>
      <c r="AO36" s="117">
        <f t="shared" si="9"/>
        <v>0</v>
      </c>
      <c r="AP36" s="117">
        <f t="shared" si="10"/>
        <v>0</v>
      </c>
      <c r="AQ36" s="117">
        <f t="shared" si="11"/>
        <v>0</v>
      </c>
      <c r="AR36" s="117">
        <f t="shared" si="12"/>
        <v>0</v>
      </c>
      <c r="AS36" s="117">
        <f t="shared" si="13"/>
        <v>0</v>
      </c>
      <c r="AT36" s="117">
        <f t="shared" si="14"/>
        <v>0</v>
      </c>
      <c r="AU36" s="117">
        <f t="shared" si="15"/>
        <v>0</v>
      </c>
      <c r="AV36" s="117">
        <f t="shared" si="16"/>
        <v>0</v>
      </c>
      <c r="AW36" s="117">
        <f t="shared" si="17"/>
        <v>0</v>
      </c>
      <c r="AX36" s="117">
        <f t="shared" si="18"/>
        <v>0.56857272727272734</v>
      </c>
      <c r="AY36" s="117">
        <f t="shared" si="19"/>
        <v>0</v>
      </c>
      <c r="AZ36" s="117">
        <f t="shared" si="20"/>
        <v>0</v>
      </c>
      <c r="BA36" s="117">
        <f t="shared" si="21"/>
        <v>0</v>
      </c>
      <c r="BB36" s="117">
        <f t="shared" si="22"/>
        <v>0</v>
      </c>
      <c r="BC36" s="117">
        <f t="shared" si="23"/>
        <v>0</v>
      </c>
      <c r="BD36" s="117">
        <f t="shared" si="24"/>
        <v>0</v>
      </c>
      <c r="BE36" s="107"/>
      <c r="BF36" s="107"/>
      <c r="BG36" s="107"/>
      <c r="BH36" s="107"/>
      <c r="BI36" s="107"/>
      <c r="BJ36" s="107"/>
      <c r="BK36" s="107"/>
      <c r="BL36" s="107"/>
    </row>
    <row r="37" spans="1:64" ht="12.75" customHeight="1" x14ac:dyDescent="0.2">
      <c r="A37" s="381"/>
      <c r="B37" s="381"/>
      <c r="C37" s="113" t="s">
        <v>276</v>
      </c>
      <c r="D37" s="383"/>
      <c r="E37" s="113"/>
      <c r="F37" s="113"/>
      <c r="G37" s="113"/>
      <c r="H37" s="113"/>
      <c r="I37" s="113"/>
      <c r="J37" s="113"/>
      <c r="K37" s="113"/>
      <c r="L37" s="113"/>
      <c r="M37" s="113"/>
      <c r="N37" s="113"/>
      <c r="O37" s="113"/>
      <c r="P37" s="113"/>
      <c r="Q37" s="113"/>
      <c r="R37" s="113"/>
      <c r="S37" s="113"/>
      <c r="T37" s="113"/>
      <c r="U37" s="113"/>
      <c r="V37" s="113"/>
      <c r="W37" s="113">
        <f>73.58+3</f>
        <v>76.58</v>
      </c>
      <c r="X37" s="113"/>
      <c r="Y37" s="113"/>
      <c r="Z37" s="113"/>
      <c r="AA37" s="113"/>
      <c r="AB37" s="113"/>
      <c r="AC37" s="113" t="s">
        <v>277</v>
      </c>
      <c r="AD37" s="114">
        <f t="shared" si="0"/>
        <v>8</v>
      </c>
      <c r="AE37" s="115">
        <f>'1. SA ABA DE CARREGAMENTO'!B90</f>
        <v>22</v>
      </c>
      <c r="AF37" s="383"/>
      <c r="AG37" s="117">
        <f t="shared" si="1"/>
        <v>0</v>
      </c>
      <c r="AH37" s="117">
        <f t="shared" si="2"/>
        <v>0</v>
      </c>
      <c r="AI37" s="117">
        <f t="shared" si="3"/>
        <v>0</v>
      </c>
      <c r="AJ37" s="117">
        <f t="shared" si="4"/>
        <v>0</v>
      </c>
      <c r="AK37" s="117">
        <f t="shared" si="5"/>
        <v>0</v>
      </c>
      <c r="AL37" s="117">
        <f t="shared" si="6"/>
        <v>0</v>
      </c>
      <c r="AM37" s="117">
        <f t="shared" si="7"/>
        <v>0</v>
      </c>
      <c r="AN37" s="117">
        <f t="shared" si="8"/>
        <v>0</v>
      </c>
      <c r="AO37" s="117">
        <f t="shared" si="9"/>
        <v>0</v>
      </c>
      <c r="AP37" s="117">
        <f t="shared" si="10"/>
        <v>0</v>
      </c>
      <c r="AQ37" s="117">
        <f t="shared" si="11"/>
        <v>0</v>
      </c>
      <c r="AR37" s="117">
        <f t="shared" si="12"/>
        <v>0</v>
      </c>
      <c r="AS37" s="117">
        <f t="shared" si="13"/>
        <v>0</v>
      </c>
      <c r="AT37" s="117">
        <f t="shared" si="14"/>
        <v>0</v>
      </c>
      <c r="AU37" s="117">
        <f t="shared" si="15"/>
        <v>0</v>
      </c>
      <c r="AV37" s="117">
        <f t="shared" si="16"/>
        <v>0</v>
      </c>
      <c r="AW37" s="117">
        <f t="shared" si="17"/>
        <v>0</v>
      </c>
      <c r="AX37" s="117">
        <f t="shared" si="18"/>
        <v>0</v>
      </c>
      <c r="AY37" s="117">
        <f t="shared" si="19"/>
        <v>27.847272727272728</v>
      </c>
      <c r="AZ37" s="117">
        <f t="shared" si="20"/>
        <v>0</v>
      </c>
      <c r="BA37" s="117">
        <f t="shared" si="21"/>
        <v>0</v>
      </c>
      <c r="BB37" s="117">
        <f t="shared" si="22"/>
        <v>0</v>
      </c>
      <c r="BC37" s="117">
        <f t="shared" si="23"/>
        <v>0</v>
      </c>
      <c r="BD37" s="117">
        <f t="shared" si="24"/>
        <v>0</v>
      </c>
      <c r="BE37" s="107"/>
      <c r="BF37" s="107"/>
      <c r="BG37" s="107"/>
      <c r="BH37" s="107"/>
      <c r="BI37" s="107"/>
      <c r="BJ37" s="107"/>
      <c r="BK37" s="107"/>
      <c r="BL37" s="107"/>
    </row>
    <row r="38" spans="1:64" ht="12.75" customHeight="1" x14ac:dyDescent="0.2">
      <c r="A38" s="381"/>
      <c r="B38" s="381"/>
      <c r="C38" s="118" t="s">
        <v>278</v>
      </c>
      <c r="D38" s="383"/>
      <c r="E38" s="113"/>
      <c r="F38" s="113"/>
      <c r="G38" s="113"/>
      <c r="H38" s="113"/>
      <c r="I38" s="113"/>
      <c r="J38" s="113"/>
      <c r="K38" s="113"/>
      <c r="L38" s="113"/>
      <c r="M38" s="113"/>
      <c r="N38" s="113"/>
      <c r="O38" s="113"/>
      <c r="P38" s="113"/>
      <c r="Q38" s="113"/>
      <c r="R38" s="113"/>
      <c r="S38" s="113"/>
      <c r="T38" s="113"/>
      <c r="U38" s="113"/>
      <c r="V38" s="113"/>
      <c r="W38" s="113"/>
      <c r="X38" s="113"/>
      <c r="Y38" s="113"/>
      <c r="Z38" s="113">
        <v>10.4</v>
      </c>
      <c r="AA38" s="113"/>
      <c r="AB38" s="113"/>
      <c r="AC38" s="113" t="s">
        <v>270</v>
      </c>
      <c r="AD38" s="114">
        <f t="shared" si="0"/>
        <v>66</v>
      </c>
      <c r="AE38" s="115">
        <f>'1. SA ABA DE CARREGAMENTO'!B90</f>
        <v>22</v>
      </c>
      <c r="AF38" s="383"/>
      <c r="AG38" s="117">
        <f t="shared" si="1"/>
        <v>0</v>
      </c>
      <c r="AH38" s="117">
        <f t="shared" si="2"/>
        <v>0</v>
      </c>
      <c r="AI38" s="117">
        <f t="shared" si="3"/>
        <v>0</v>
      </c>
      <c r="AJ38" s="117">
        <f t="shared" si="4"/>
        <v>0</v>
      </c>
      <c r="AK38" s="117">
        <f t="shared" si="5"/>
        <v>0</v>
      </c>
      <c r="AL38" s="117">
        <f t="shared" si="6"/>
        <v>0</v>
      </c>
      <c r="AM38" s="117">
        <f t="shared" si="7"/>
        <v>0</v>
      </c>
      <c r="AN38" s="117">
        <f t="shared" si="8"/>
        <v>0</v>
      </c>
      <c r="AO38" s="117">
        <f t="shared" si="9"/>
        <v>0</v>
      </c>
      <c r="AP38" s="117">
        <f t="shared" si="10"/>
        <v>0</v>
      </c>
      <c r="AQ38" s="117">
        <f t="shared" si="11"/>
        <v>0</v>
      </c>
      <c r="AR38" s="117">
        <f t="shared" si="12"/>
        <v>0</v>
      </c>
      <c r="AS38" s="117">
        <f t="shared" si="13"/>
        <v>0</v>
      </c>
      <c r="AT38" s="117">
        <f t="shared" si="14"/>
        <v>0</v>
      </c>
      <c r="AU38" s="117">
        <f t="shared" si="15"/>
        <v>0</v>
      </c>
      <c r="AV38" s="117">
        <f t="shared" si="16"/>
        <v>0</v>
      </c>
      <c r="AW38" s="117">
        <f t="shared" si="17"/>
        <v>0</v>
      </c>
      <c r="AX38" s="117">
        <f t="shared" si="18"/>
        <v>0</v>
      </c>
      <c r="AY38" s="117">
        <f t="shared" si="19"/>
        <v>0</v>
      </c>
      <c r="AZ38" s="117">
        <f t="shared" si="20"/>
        <v>0</v>
      </c>
      <c r="BA38" s="117">
        <f t="shared" si="21"/>
        <v>0</v>
      </c>
      <c r="BB38" s="117">
        <f t="shared" si="22"/>
        <v>31.2</v>
      </c>
      <c r="BC38" s="117">
        <f t="shared" si="23"/>
        <v>0</v>
      </c>
      <c r="BD38" s="117">
        <f t="shared" si="24"/>
        <v>0</v>
      </c>
      <c r="BE38" s="107"/>
      <c r="BF38" s="107"/>
      <c r="BG38" s="107"/>
      <c r="BH38" s="107"/>
      <c r="BI38" s="107"/>
      <c r="BJ38" s="107"/>
      <c r="BK38" s="107"/>
      <c r="BL38" s="107"/>
    </row>
    <row r="39" spans="1:64" ht="12.75" customHeight="1" x14ac:dyDescent="0.2">
      <c r="A39" s="381"/>
      <c r="B39" s="381"/>
      <c r="C39" s="118" t="s">
        <v>280</v>
      </c>
      <c r="D39" s="383"/>
      <c r="E39" s="113"/>
      <c r="F39" s="113"/>
      <c r="G39" s="113"/>
      <c r="H39" s="113"/>
      <c r="I39" s="113"/>
      <c r="J39" s="113"/>
      <c r="K39" s="113"/>
      <c r="L39" s="113"/>
      <c r="M39" s="113"/>
      <c r="N39" s="113"/>
      <c r="O39" s="113"/>
      <c r="P39" s="113"/>
      <c r="Q39" s="113"/>
      <c r="R39" s="113"/>
      <c r="S39" s="113"/>
      <c r="T39" s="113"/>
      <c r="U39" s="113"/>
      <c r="V39" s="113"/>
      <c r="W39" s="113"/>
      <c r="X39" s="113"/>
      <c r="Y39" s="113"/>
      <c r="Z39" s="113"/>
      <c r="AA39" s="113">
        <v>38.299999999999997</v>
      </c>
      <c r="AB39" s="113"/>
      <c r="AC39" s="113" t="s">
        <v>281</v>
      </c>
      <c r="AD39" s="114">
        <f t="shared" si="0"/>
        <v>4.33</v>
      </c>
      <c r="AE39" s="115">
        <f>'1. SA ABA DE CARREGAMENTO'!B90</f>
        <v>22</v>
      </c>
      <c r="AF39" s="383"/>
      <c r="AG39" s="117">
        <f t="shared" si="1"/>
        <v>0</v>
      </c>
      <c r="AH39" s="117">
        <f t="shared" si="2"/>
        <v>0</v>
      </c>
      <c r="AI39" s="117">
        <f t="shared" si="3"/>
        <v>0</v>
      </c>
      <c r="AJ39" s="117">
        <f t="shared" si="4"/>
        <v>0</v>
      </c>
      <c r="AK39" s="117">
        <f t="shared" si="5"/>
        <v>0</v>
      </c>
      <c r="AL39" s="117">
        <f t="shared" si="6"/>
        <v>0</v>
      </c>
      <c r="AM39" s="117">
        <f t="shared" si="7"/>
        <v>0</v>
      </c>
      <c r="AN39" s="117">
        <f t="shared" si="8"/>
        <v>0</v>
      </c>
      <c r="AO39" s="117">
        <f t="shared" si="9"/>
        <v>0</v>
      </c>
      <c r="AP39" s="117">
        <f t="shared" si="10"/>
        <v>0</v>
      </c>
      <c r="AQ39" s="117">
        <f t="shared" si="11"/>
        <v>0</v>
      </c>
      <c r="AR39" s="117">
        <f t="shared" si="12"/>
        <v>0</v>
      </c>
      <c r="AS39" s="117">
        <f t="shared" si="13"/>
        <v>0</v>
      </c>
      <c r="AT39" s="117">
        <f t="shared" si="14"/>
        <v>0</v>
      </c>
      <c r="AU39" s="117">
        <f t="shared" si="15"/>
        <v>0</v>
      </c>
      <c r="AV39" s="117">
        <f t="shared" si="16"/>
        <v>0</v>
      </c>
      <c r="AW39" s="117">
        <f t="shared" si="17"/>
        <v>0</v>
      </c>
      <c r="AX39" s="117">
        <f t="shared" si="18"/>
        <v>0</v>
      </c>
      <c r="AY39" s="117">
        <f t="shared" si="19"/>
        <v>0</v>
      </c>
      <c r="AZ39" s="117">
        <f t="shared" si="20"/>
        <v>0</v>
      </c>
      <c r="BA39" s="117">
        <f t="shared" si="21"/>
        <v>0</v>
      </c>
      <c r="BB39" s="117">
        <f t="shared" si="22"/>
        <v>0</v>
      </c>
      <c r="BC39" s="117">
        <f t="shared" si="23"/>
        <v>7.5381363636363634</v>
      </c>
      <c r="BD39" s="117">
        <f t="shared" si="24"/>
        <v>0</v>
      </c>
      <c r="BE39" s="107"/>
      <c r="BF39" s="107"/>
      <c r="BG39" s="107"/>
      <c r="BH39" s="107"/>
      <c r="BI39" s="107"/>
      <c r="BJ39" s="107"/>
      <c r="BK39" s="107"/>
      <c r="BL39" s="107"/>
    </row>
    <row r="40" spans="1:64" ht="12.75" customHeight="1" x14ac:dyDescent="0.2">
      <c r="A40" s="381"/>
      <c r="B40" s="381"/>
      <c r="C40" s="118" t="s">
        <v>282</v>
      </c>
      <c r="D40" s="383"/>
      <c r="E40" s="113"/>
      <c r="F40" s="113"/>
      <c r="G40" s="113"/>
      <c r="H40" s="113"/>
      <c r="I40" s="113"/>
      <c r="J40" s="113"/>
      <c r="K40" s="113"/>
      <c r="L40" s="113"/>
      <c r="M40" s="113"/>
      <c r="N40" s="113"/>
      <c r="O40" s="113"/>
      <c r="P40" s="113"/>
      <c r="Q40" s="113"/>
      <c r="R40" s="113"/>
      <c r="S40" s="113"/>
      <c r="T40" s="113"/>
      <c r="U40" s="113"/>
      <c r="V40" s="113"/>
      <c r="W40" s="113"/>
      <c r="X40" s="113"/>
      <c r="Y40" s="113"/>
      <c r="Z40" s="113"/>
      <c r="AA40" s="113"/>
      <c r="AB40" s="113">
        <v>10.4</v>
      </c>
      <c r="AC40" s="113" t="s">
        <v>281</v>
      </c>
      <c r="AD40" s="114">
        <f t="shared" si="0"/>
        <v>4.33</v>
      </c>
      <c r="AE40" s="115">
        <f>'1. SA ABA DE CARREGAMENTO'!B90</f>
        <v>22</v>
      </c>
      <c r="AF40" s="383"/>
      <c r="AG40" s="117">
        <f t="shared" si="1"/>
        <v>0</v>
      </c>
      <c r="AH40" s="117">
        <f t="shared" si="2"/>
        <v>0</v>
      </c>
      <c r="AI40" s="117">
        <f t="shared" si="3"/>
        <v>0</v>
      </c>
      <c r="AJ40" s="117">
        <f t="shared" si="4"/>
        <v>0</v>
      </c>
      <c r="AK40" s="117">
        <f t="shared" si="5"/>
        <v>0</v>
      </c>
      <c r="AL40" s="117">
        <f t="shared" ref="AL40:AL61" si="25">(J40*AD40)/AE40</f>
        <v>0</v>
      </c>
      <c r="AM40" s="117">
        <f t="shared" ref="AM40:AM61" si="26">(K40*AD40)/AE40</f>
        <v>0</v>
      </c>
      <c r="AN40" s="117">
        <f t="shared" si="8"/>
        <v>0</v>
      </c>
      <c r="AO40" s="117">
        <f t="shared" si="9"/>
        <v>0</v>
      </c>
      <c r="AP40" s="117">
        <f t="shared" ref="AP40:AP61" si="27">(N40*AD40)/AE40</f>
        <v>0</v>
      </c>
      <c r="AQ40" s="117">
        <f t="shared" ref="AQ40:AQ61" si="28">(O40*AD40)/AE40</f>
        <v>0</v>
      </c>
      <c r="AR40" s="117">
        <f t="shared" si="12"/>
        <v>0</v>
      </c>
      <c r="AS40" s="117">
        <f t="shared" si="13"/>
        <v>0</v>
      </c>
      <c r="AT40" s="117">
        <f t="shared" si="14"/>
        <v>0</v>
      </c>
      <c r="AU40" s="117">
        <f t="shared" si="15"/>
        <v>0</v>
      </c>
      <c r="AV40" s="117">
        <f t="shared" si="16"/>
        <v>0</v>
      </c>
      <c r="AW40" s="117">
        <f t="shared" si="17"/>
        <v>0</v>
      </c>
      <c r="AX40" s="117">
        <f t="shared" si="18"/>
        <v>0</v>
      </c>
      <c r="AY40" s="117">
        <f t="shared" si="19"/>
        <v>0</v>
      </c>
      <c r="AZ40" s="117">
        <f t="shared" si="20"/>
        <v>0</v>
      </c>
      <c r="BA40" s="117">
        <f t="shared" si="21"/>
        <v>0</v>
      </c>
      <c r="BB40" s="117">
        <f t="shared" si="22"/>
        <v>0</v>
      </c>
      <c r="BC40" s="117">
        <f t="shared" si="23"/>
        <v>0</v>
      </c>
      <c r="BD40" s="117">
        <f t="shared" ref="BD40:BD58" si="29">(AB40*AD40)/AE40</f>
        <v>2.0469090909090912</v>
      </c>
      <c r="BE40" s="107"/>
      <c r="BF40" s="107"/>
      <c r="BG40" s="107"/>
      <c r="BH40" s="107"/>
      <c r="BI40" s="107"/>
      <c r="BJ40" s="107"/>
      <c r="BK40" s="107"/>
      <c r="BL40" s="107"/>
    </row>
    <row r="41" spans="1:64" ht="12.75" customHeight="1" x14ac:dyDescent="0.2">
      <c r="A41" s="376">
        <v>5</v>
      </c>
      <c r="B41" s="375" t="s">
        <v>302</v>
      </c>
      <c r="C41" s="119" t="s">
        <v>303</v>
      </c>
      <c r="D41" s="377">
        <f>SUM(E41:AB58)</f>
        <v>215.37</v>
      </c>
      <c r="E41" s="106"/>
      <c r="F41" s="106">
        <v>12.12</v>
      </c>
      <c r="G41" s="106"/>
      <c r="H41" s="106"/>
      <c r="I41" s="106"/>
      <c r="J41" s="106"/>
      <c r="K41" s="106"/>
      <c r="L41" s="106"/>
      <c r="M41" s="106"/>
      <c r="N41" s="106"/>
      <c r="O41" s="106"/>
      <c r="P41" s="106"/>
      <c r="Q41" s="106"/>
      <c r="R41" s="106"/>
      <c r="S41" s="106"/>
      <c r="T41" s="106"/>
      <c r="U41" s="106"/>
      <c r="V41" s="106"/>
      <c r="W41" s="106"/>
      <c r="X41" s="106"/>
      <c r="Y41" s="106"/>
      <c r="Z41" s="106"/>
      <c r="AA41" s="106"/>
      <c r="AB41" s="106"/>
      <c r="AC41" s="106" t="s">
        <v>285</v>
      </c>
      <c r="AD41" s="110">
        <f t="shared" si="0"/>
        <v>44</v>
      </c>
      <c r="AE41" s="108">
        <f>'1. SA ABA DE CARREGAMENTO'!B90</f>
        <v>22</v>
      </c>
      <c r="AF41" s="377">
        <f>SUM(AG41:BD58)</f>
        <v>313.47999545454553</v>
      </c>
      <c r="AG41" s="109">
        <f t="shared" si="1"/>
        <v>0</v>
      </c>
      <c r="AH41" s="109">
        <f t="shared" si="2"/>
        <v>24.24</v>
      </c>
      <c r="AI41" s="109">
        <f t="shared" si="3"/>
        <v>0</v>
      </c>
      <c r="AJ41" s="109">
        <f t="shared" si="4"/>
        <v>0</v>
      </c>
      <c r="AK41" s="109">
        <f t="shared" si="5"/>
        <v>0</v>
      </c>
      <c r="AL41" s="109">
        <f t="shared" si="25"/>
        <v>0</v>
      </c>
      <c r="AM41" s="109">
        <f t="shared" si="26"/>
        <v>0</v>
      </c>
      <c r="AN41" s="109">
        <f t="shared" si="8"/>
        <v>0</v>
      </c>
      <c r="AO41" s="109">
        <f t="shared" si="9"/>
        <v>0</v>
      </c>
      <c r="AP41" s="109">
        <f t="shared" si="27"/>
        <v>0</v>
      </c>
      <c r="AQ41" s="109">
        <f t="shared" si="28"/>
        <v>0</v>
      </c>
      <c r="AR41" s="109">
        <f t="shared" si="12"/>
        <v>0</v>
      </c>
      <c r="AS41" s="109">
        <f t="shared" si="13"/>
        <v>0</v>
      </c>
      <c r="AT41" s="109">
        <f t="shared" si="14"/>
        <v>0</v>
      </c>
      <c r="AU41" s="109">
        <f t="shared" si="15"/>
        <v>0</v>
      </c>
      <c r="AV41" s="109">
        <f t="shared" si="16"/>
        <v>0</v>
      </c>
      <c r="AW41" s="109">
        <f t="shared" si="17"/>
        <v>0</v>
      </c>
      <c r="AX41" s="109">
        <f t="shared" si="18"/>
        <v>0</v>
      </c>
      <c r="AY41" s="109">
        <f t="shared" si="19"/>
        <v>0</v>
      </c>
      <c r="AZ41" s="109">
        <f t="shared" si="20"/>
        <v>0</v>
      </c>
      <c r="BA41" s="109">
        <f t="shared" si="21"/>
        <v>0</v>
      </c>
      <c r="BB41" s="109">
        <f t="shared" si="22"/>
        <v>0</v>
      </c>
      <c r="BC41" s="109">
        <f t="shared" si="23"/>
        <v>0</v>
      </c>
      <c r="BD41" s="109">
        <f t="shared" si="29"/>
        <v>0</v>
      </c>
      <c r="BE41" s="107"/>
      <c r="BF41" s="107"/>
      <c r="BG41" s="107"/>
      <c r="BH41" s="107"/>
      <c r="BI41" s="107"/>
      <c r="BJ41" s="107"/>
      <c r="BK41" s="107"/>
      <c r="BL41" s="107"/>
    </row>
    <row r="42" spans="1:64" ht="12.75" customHeight="1" x14ac:dyDescent="0.2">
      <c r="A42" s="376"/>
      <c r="B42" s="376"/>
      <c r="C42" s="119" t="s">
        <v>304</v>
      </c>
      <c r="D42" s="377"/>
      <c r="E42" s="106"/>
      <c r="F42" s="106">
        <v>12.12</v>
      </c>
      <c r="G42" s="106"/>
      <c r="H42" s="106"/>
      <c r="I42" s="106"/>
      <c r="J42" s="106"/>
      <c r="K42" s="106"/>
      <c r="L42" s="106"/>
      <c r="M42" s="106"/>
      <c r="N42" s="106"/>
      <c r="O42" s="106"/>
      <c r="P42" s="106"/>
      <c r="Q42" s="106"/>
      <c r="R42" s="106"/>
      <c r="S42" s="106"/>
      <c r="T42" s="106"/>
      <c r="U42" s="106"/>
      <c r="V42" s="106"/>
      <c r="W42" s="106"/>
      <c r="X42" s="106"/>
      <c r="Y42" s="106"/>
      <c r="Z42" s="106"/>
      <c r="AA42" s="106"/>
      <c r="AB42" s="106"/>
      <c r="AC42" s="106" t="s">
        <v>285</v>
      </c>
      <c r="AD42" s="110">
        <f t="shared" si="0"/>
        <v>44</v>
      </c>
      <c r="AE42" s="108">
        <f>'1. SA ABA DE CARREGAMENTO'!B90</f>
        <v>22</v>
      </c>
      <c r="AF42" s="377"/>
      <c r="AG42" s="109">
        <f t="shared" si="1"/>
        <v>0</v>
      </c>
      <c r="AH42" s="109">
        <f t="shared" si="2"/>
        <v>24.24</v>
      </c>
      <c r="AI42" s="109">
        <f t="shared" si="3"/>
        <v>0</v>
      </c>
      <c r="AJ42" s="109">
        <f t="shared" si="4"/>
        <v>0</v>
      </c>
      <c r="AK42" s="109">
        <f t="shared" si="5"/>
        <v>0</v>
      </c>
      <c r="AL42" s="109">
        <f t="shared" si="25"/>
        <v>0</v>
      </c>
      <c r="AM42" s="109">
        <f t="shared" si="26"/>
        <v>0</v>
      </c>
      <c r="AN42" s="109">
        <f t="shared" si="8"/>
        <v>0</v>
      </c>
      <c r="AO42" s="109">
        <f t="shared" si="9"/>
        <v>0</v>
      </c>
      <c r="AP42" s="109">
        <f t="shared" si="27"/>
        <v>0</v>
      </c>
      <c r="AQ42" s="109">
        <f t="shared" si="28"/>
        <v>0</v>
      </c>
      <c r="AR42" s="109">
        <f t="shared" si="12"/>
        <v>0</v>
      </c>
      <c r="AS42" s="109">
        <f t="shared" si="13"/>
        <v>0</v>
      </c>
      <c r="AT42" s="109">
        <f t="shared" si="14"/>
        <v>0</v>
      </c>
      <c r="AU42" s="109">
        <f t="shared" si="15"/>
        <v>0</v>
      </c>
      <c r="AV42" s="109">
        <f t="shared" si="16"/>
        <v>0</v>
      </c>
      <c r="AW42" s="109">
        <f t="shared" si="17"/>
        <v>0</v>
      </c>
      <c r="AX42" s="109">
        <f t="shared" si="18"/>
        <v>0</v>
      </c>
      <c r="AY42" s="109">
        <f t="shared" si="19"/>
        <v>0</v>
      </c>
      <c r="AZ42" s="109">
        <f t="shared" si="20"/>
        <v>0</v>
      </c>
      <c r="BA42" s="109">
        <f t="shared" si="21"/>
        <v>0</v>
      </c>
      <c r="BB42" s="109">
        <f t="shared" si="22"/>
        <v>0</v>
      </c>
      <c r="BC42" s="109">
        <f t="shared" si="23"/>
        <v>0</v>
      </c>
      <c r="BD42" s="109">
        <f t="shared" si="29"/>
        <v>0</v>
      </c>
      <c r="BE42" s="107"/>
      <c r="BF42" s="107"/>
      <c r="BG42" s="107"/>
      <c r="BH42" s="107"/>
      <c r="BI42" s="107"/>
      <c r="BJ42" s="107"/>
      <c r="BK42" s="107"/>
      <c r="BL42" s="107"/>
    </row>
    <row r="43" spans="1:64" ht="30" x14ac:dyDescent="0.2">
      <c r="A43" s="376"/>
      <c r="B43" s="376"/>
      <c r="C43" s="119" t="s">
        <v>305</v>
      </c>
      <c r="D43" s="377"/>
      <c r="E43" s="106"/>
      <c r="F43" s="106"/>
      <c r="G43" s="106"/>
      <c r="H43" s="106"/>
      <c r="I43" s="106"/>
      <c r="J43" s="106"/>
      <c r="K43" s="106"/>
      <c r="L43" s="106"/>
      <c r="M43" s="106"/>
      <c r="N43" s="106"/>
      <c r="O43" s="106"/>
      <c r="P43" s="106"/>
      <c r="Q43" s="106"/>
      <c r="R43" s="106"/>
      <c r="S43" s="106"/>
      <c r="T43" s="106"/>
      <c r="U43" s="106"/>
      <c r="V43" s="106"/>
      <c r="W43" s="106"/>
      <c r="X43" s="106"/>
      <c r="Y43" s="106">
        <v>12.12</v>
      </c>
      <c r="Z43" s="106"/>
      <c r="AA43" s="106"/>
      <c r="AB43" s="106"/>
      <c r="AC43" s="106" t="s">
        <v>285</v>
      </c>
      <c r="AD43" s="110">
        <f t="shared" si="0"/>
        <v>44</v>
      </c>
      <c r="AE43" s="108">
        <f>'1. SA ABA DE CARREGAMENTO'!B90</f>
        <v>22</v>
      </c>
      <c r="AF43" s="377"/>
      <c r="AG43" s="109">
        <f t="shared" si="1"/>
        <v>0</v>
      </c>
      <c r="AH43" s="109">
        <f t="shared" si="2"/>
        <v>0</v>
      </c>
      <c r="AI43" s="109">
        <f t="shared" si="3"/>
        <v>0</v>
      </c>
      <c r="AJ43" s="109">
        <f t="shared" si="4"/>
        <v>0</v>
      </c>
      <c r="AK43" s="109">
        <f t="shared" si="5"/>
        <v>0</v>
      </c>
      <c r="AL43" s="109">
        <f t="shared" si="25"/>
        <v>0</v>
      </c>
      <c r="AM43" s="109">
        <f t="shared" si="26"/>
        <v>0</v>
      </c>
      <c r="AN43" s="109">
        <f t="shared" si="8"/>
        <v>0</v>
      </c>
      <c r="AO43" s="109">
        <f t="shared" si="9"/>
        <v>0</v>
      </c>
      <c r="AP43" s="109">
        <f t="shared" si="27"/>
        <v>0</v>
      </c>
      <c r="AQ43" s="109">
        <f t="shared" si="28"/>
        <v>0</v>
      </c>
      <c r="AR43" s="109">
        <f t="shared" si="12"/>
        <v>0</v>
      </c>
      <c r="AS43" s="109">
        <f t="shared" si="13"/>
        <v>0</v>
      </c>
      <c r="AT43" s="109">
        <f t="shared" si="14"/>
        <v>0</v>
      </c>
      <c r="AU43" s="109">
        <f t="shared" si="15"/>
        <v>0</v>
      </c>
      <c r="AV43" s="109">
        <f t="shared" si="16"/>
        <v>0</v>
      </c>
      <c r="AW43" s="109">
        <f t="shared" si="17"/>
        <v>0</v>
      </c>
      <c r="AX43" s="109">
        <f t="shared" si="18"/>
        <v>0</v>
      </c>
      <c r="AY43" s="109">
        <f t="shared" si="19"/>
        <v>0</v>
      </c>
      <c r="AZ43" s="109">
        <f t="shared" si="20"/>
        <v>0</v>
      </c>
      <c r="BA43" s="109">
        <f t="shared" si="21"/>
        <v>24.24</v>
      </c>
      <c r="BB43" s="109">
        <f t="shared" si="22"/>
        <v>0</v>
      </c>
      <c r="BC43" s="109">
        <f t="shared" si="23"/>
        <v>0</v>
      </c>
      <c r="BD43" s="109">
        <f t="shared" si="29"/>
        <v>0</v>
      </c>
      <c r="BE43" s="107"/>
      <c r="BF43" s="107"/>
      <c r="BG43" s="107"/>
      <c r="BH43" s="107"/>
      <c r="BI43" s="107"/>
      <c r="BJ43" s="107"/>
      <c r="BK43" s="107"/>
      <c r="BL43" s="107"/>
    </row>
    <row r="44" spans="1:64" ht="12.75" customHeight="1" x14ac:dyDescent="0.2">
      <c r="A44" s="376"/>
      <c r="B44" s="376"/>
      <c r="C44" s="119" t="s">
        <v>306</v>
      </c>
      <c r="D44" s="377"/>
      <c r="E44" s="106"/>
      <c r="F44" s="106">
        <v>3.57</v>
      </c>
      <c r="G44" s="106"/>
      <c r="H44" s="106"/>
      <c r="I44" s="106"/>
      <c r="J44" s="106"/>
      <c r="K44" s="106"/>
      <c r="L44" s="106"/>
      <c r="M44" s="106"/>
      <c r="N44" s="106"/>
      <c r="O44" s="106"/>
      <c r="P44" s="106"/>
      <c r="Q44" s="106"/>
      <c r="R44" s="106"/>
      <c r="S44" s="106"/>
      <c r="T44" s="106"/>
      <c r="U44" s="106"/>
      <c r="V44" s="106"/>
      <c r="W44" s="106"/>
      <c r="X44" s="106"/>
      <c r="Y44" s="106"/>
      <c r="Z44" s="106"/>
      <c r="AA44" s="106"/>
      <c r="AB44" s="106"/>
      <c r="AC44" s="106" t="s">
        <v>285</v>
      </c>
      <c r="AD44" s="110">
        <f t="shared" si="0"/>
        <v>44</v>
      </c>
      <c r="AE44" s="108">
        <f>'1. SA ABA DE CARREGAMENTO'!B90</f>
        <v>22</v>
      </c>
      <c r="AF44" s="377"/>
      <c r="AG44" s="109">
        <f t="shared" si="1"/>
        <v>0</v>
      </c>
      <c r="AH44" s="109">
        <f t="shared" si="2"/>
        <v>7.14</v>
      </c>
      <c r="AI44" s="109">
        <f t="shared" si="3"/>
        <v>0</v>
      </c>
      <c r="AJ44" s="109">
        <f t="shared" si="4"/>
        <v>0</v>
      </c>
      <c r="AK44" s="109">
        <f t="shared" si="5"/>
        <v>0</v>
      </c>
      <c r="AL44" s="109">
        <f t="shared" si="25"/>
        <v>0</v>
      </c>
      <c r="AM44" s="109">
        <f t="shared" si="26"/>
        <v>0</v>
      </c>
      <c r="AN44" s="109">
        <f t="shared" si="8"/>
        <v>0</v>
      </c>
      <c r="AO44" s="109">
        <f t="shared" si="9"/>
        <v>0</v>
      </c>
      <c r="AP44" s="109">
        <f t="shared" si="27"/>
        <v>0</v>
      </c>
      <c r="AQ44" s="109">
        <f t="shared" si="28"/>
        <v>0</v>
      </c>
      <c r="AR44" s="109">
        <f t="shared" si="12"/>
        <v>0</v>
      </c>
      <c r="AS44" s="109">
        <f t="shared" si="13"/>
        <v>0</v>
      </c>
      <c r="AT44" s="109">
        <f t="shared" si="14"/>
        <v>0</v>
      </c>
      <c r="AU44" s="109">
        <f t="shared" si="15"/>
        <v>0</v>
      </c>
      <c r="AV44" s="109">
        <f t="shared" si="16"/>
        <v>0</v>
      </c>
      <c r="AW44" s="109">
        <f t="shared" si="17"/>
        <v>0</v>
      </c>
      <c r="AX44" s="109">
        <f t="shared" si="18"/>
        <v>0</v>
      </c>
      <c r="AY44" s="109">
        <f t="shared" si="19"/>
        <v>0</v>
      </c>
      <c r="AZ44" s="109">
        <f t="shared" si="20"/>
        <v>0</v>
      </c>
      <c r="BA44" s="109">
        <f t="shared" si="21"/>
        <v>0</v>
      </c>
      <c r="BB44" s="109">
        <f t="shared" si="22"/>
        <v>0</v>
      </c>
      <c r="BC44" s="109">
        <f t="shared" si="23"/>
        <v>0</v>
      </c>
      <c r="BD44" s="109">
        <f t="shared" si="29"/>
        <v>0</v>
      </c>
      <c r="BE44" s="107"/>
      <c r="BF44" s="107"/>
      <c r="BG44" s="107"/>
      <c r="BH44" s="107"/>
      <c r="BI44" s="107"/>
      <c r="BJ44" s="107"/>
      <c r="BK44" s="107"/>
      <c r="BL44" s="107"/>
    </row>
    <row r="45" spans="1:64" ht="12.75" customHeight="1" x14ac:dyDescent="0.2">
      <c r="A45" s="376"/>
      <c r="B45" s="376"/>
      <c r="C45" s="119" t="s">
        <v>307</v>
      </c>
      <c r="D45" s="377"/>
      <c r="E45" s="106"/>
      <c r="F45" s="106"/>
      <c r="G45" s="106"/>
      <c r="H45" s="106">
        <v>9.1300000000000008</v>
      </c>
      <c r="I45" s="106"/>
      <c r="J45" s="106"/>
      <c r="K45" s="106"/>
      <c r="L45" s="106"/>
      <c r="M45" s="106"/>
      <c r="N45" s="106"/>
      <c r="O45" s="106"/>
      <c r="P45" s="106"/>
      <c r="Q45" s="106"/>
      <c r="R45" s="106"/>
      <c r="S45" s="106"/>
      <c r="T45" s="106"/>
      <c r="U45" s="106"/>
      <c r="V45" s="106"/>
      <c r="W45" s="106"/>
      <c r="X45" s="106"/>
      <c r="Y45" s="106"/>
      <c r="Z45" s="106"/>
      <c r="AA45" s="106"/>
      <c r="AB45" s="106"/>
      <c r="AC45" s="106" t="s">
        <v>289</v>
      </c>
      <c r="AD45" s="110">
        <f t="shared" si="0"/>
        <v>22</v>
      </c>
      <c r="AE45" s="108">
        <f>'1. SA ABA DE CARREGAMENTO'!B90</f>
        <v>22</v>
      </c>
      <c r="AF45" s="377"/>
      <c r="AG45" s="109">
        <f t="shared" si="1"/>
        <v>0</v>
      </c>
      <c r="AH45" s="109">
        <f t="shared" si="2"/>
        <v>0</v>
      </c>
      <c r="AI45" s="109">
        <f t="shared" si="3"/>
        <v>0</v>
      </c>
      <c r="AJ45" s="109">
        <f t="shared" si="4"/>
        <v>9.1300000000000008</v>
      </c>
      <c r="AK45" s="109">
        <f t="shared" si="5"/>
        <v>0</v>
      </c>
      <c r="AL45" s="109">
        <f t="shared" si="25"/>
        <v>0</v>
      </c>
      <c r="AM45" s="109">
        <f t="shared" si="26"/>
        <v>0</v>
      </c>
      <c r="AN45" s="109">
        <f t="shared" si="8"/>
        <v>0</v>
      </c>
      <c r="AO45" s="109">
        <f t="shared" si="9"/>
        <v>0</v>
      </c>
      <c r="AP45" s="109">
        <f t="shared" si="27"/>
        <v>0</v>
      </c>
      <c r="AQ45" s="109">
        <f t="shared" si="28"/>
        <v>0</v>
      </c>
      <c r="AR45" s="109">
        <f t="shared" si="12"/>
        <v>0</v>
      </c>
      <c r="AS45" s="109">
        <f t="shared" si="13"/>
        <v>0</v>
      </c>
      <c r="AT45" s="109">
        <f t="shared" si="14"/>
        <v>0</v>
      </c>
      <c r="AU45" s="109">
        <f t="shared" si="15"/>
        <v>0</v>
      </c>
      <c r="AV45" s="109">
        <f t="shared" si="16"/>
        <v>0</v>
      </c>
      <c r="AW45" s="109">
        <f t="shared" si="17"/>
        <v>0</v>
      </c>
      <c r="AX45" s="109">
        <f t="shared" si="18"/>
        <v>0</v>
      </c>
      <c r="AY45" s="109">
        <f t="shared" si="19"/>
        <v>0</v>
      </c>
      <c r="AZ45" s="109">
        <f t="shared" si="20"/>
        <v>0</v>
      </c>
      <c r="BA45" s="109">
        <f t="shared" si="21"/>
        <v>0</v>
      </c>
      <c r="BB45" s="109">
        <f t="shared" si="22"/>
        <v>0</v>
      </c>
      <c r="BC45" s="109">
        <f t="shared" si="23"/>
        <v>0</v>
      </c>
      <c r="BD45" s="109">
        <f t="shared" si="29"/>
        <v>0</v>
      </c>
      <c r="BE45" s="107"/>
      <c r="BF45" s="107"/>
      <c r="BG45" s="107"/>
      <c r="BH45" s="107"/>
      <c r="BI45" s="107"/>
      <c r="BJ45" s="107"/>
      <c r="BK45" s="107"/>
      <c r="BL45" s="107"/>
    </row>
    <row r="46" spans="1:64" ht="12.75" customHeight="1" x14ac:dyDescent="0.2">
      <c r="A46" s="376"/>
      <c r="B46" s="376"/>
      <c r="C46" s="119" t="s">
        <v>308</v>
      </c>
      <c r="D46" s="377"/>
      <c r="E46" s="106"/>
      <c r="F46" s="106">
        <v>3.57</v>
      </c>
      <c r="G46" s="106"/>
      <c r="H46" s="106"/>
      <c r="I46" s="106"/>
      <c r="J46" s="106"/>
      <c r="K46" s="106"/>
      <c r="L46" s="106"/>
      <c r="M46" s="106"/>
      <c r="N46" s="106"/>
      <c r="O46" s="106"/>
      <c r="P46" s="106"/>
      <c r="Q46" s="106"/>
      <c r="R46" s="106"/>
      <c r="S46" s="106"/>
      <c r="T46" s="106"/>
      <c r="U46" s="106"/>
      <c r="V46" s="106"/>
      <c r="W46" s="106"/>
      <c r="X46" s="106"/>
      <c r="Y46" s="106"/>
      <c r="Z46" s="106"/>
      <c r="AA46" s="106"/>
      <c r="AB46" s="106"/>
      <c r="AC46" s="106" t="s">
        <v>285</v>
      </c>
      <c r="AD46" s="110">
        <f t="shared" si="0"/>
        <v>44</v>
      </c>
      <c r="AE46" s="108">
        <f>'1. SA ABA DE CARREGAMENTO'!B90</f>
        <v>22</v>
      </c>
      <c r="AF46" s="377"/>
      <c r="AG46" s="109">
        <f t="shared" si="1"/>
        <v>0</v>
      </c>
      <c r="AH46" s="109">
        <f t="shared" si="2"/>
        <v>7.14</v>
      </c>
      <c r="AI46" s="109">
        <f t="shared" si="3"/>
        <v>0</v>
      </c>
      <c r="AJ46" s="109">
        <f t="shared" si="4"/>
        <v>0</v>
      </c>
      <c r="AK46" s="109">
        <f t="shared" si="5"/>
        <v>0</v>
      </c>
      <c r="AL46" s="109">
        <f t="shared" si="25"/>
        <v>0</v>
      </c>
      <c r="AM46" s="109">
        <f t="shared" si="26"/>
        <v>0</v>
      </c>
      <c r="AN46" s="109">
        <f t="shared" si="8"/>
        <v>0</v>
      </c>
      <c r="AO46" s="109">
        <f t="shared" si="9"/>
        <v>0</v>
      </c>
      <c r="AP46" s="109">
        <f t="shared" si="27"/>
        <v>0</v>
      </c>
      <c r="AQ46" s="109">
        <f t="shared" si="28"/>
        <v>0</v>
      </c>
      <c r="AR46" s="109">
        <f t="shared" si="12"/>
        <v>0</v>
      </c>
      <c r="AS46" s="109">
        <f t="shared" si="13"/>
        <v>0</v>
      </c>
      <c r="AT46" s="109">
        <f t="shared" si="14"/>
        <v>0</v>
      </c>
      <c r="AU46" s="109">
        <f t="shared" si="15"/>
        <v>0</v>
      </c>
      <c r="AV46" s="109">
        <f t="shared" si="16"/>
        <v>0</v>
      </c>
      <c r="AW46" s="109">
        <f t="shared" si="17"/>
        <v>0</v>
      </c>
      <c r="AX46" s="109">
        <f t="shared" si="18"/>
        <v>0</v>
      </c>
      <c r="AY46" s="109">
        <f t="shared" si="19"/>
        <v>0</v>
      </c>
      <c r="AZ46" s="109">
        <f t="shared" si="20"/>
        <v>0</v>
      </c>
      <c r="BA46" s="109">
        <f t="shared" si="21"/>
        <v>0</v>
      </c>
      <c r="BB46" s="109">
        <f t="shared" si="22"/>
        <v>0</v>
      </c>
      <c r="BC46" s="109">
        <f t="shared" si="23"/>
        <v>0</v>
      </c>
      <c r="BD46" s="109">
        <f t="shared" si="29"/>
        <v>0</v>
      </c>
      <c r="BE46" s="107"/>
      <c r="BF46" s="107"/>
      <c r="BG46" s="107"/>
      <c r="BH46" s="107"/>
      <c r="BI46" s="107"/>
      <c r="BJ46" s="107"/>
      <c r="BK46" s="107"/>
      <c r="BL46" s="107"/>
    </row>
    <row r="47" spans="1:64" ht="12.75" customHeight="1" x14ac:dyDescent="0.2">
      <c r="A47" s="376"/>
      <c r="B47" s="376"/>
      <c r="C47" s="119" t="s">
        <v>309</v>
      </c>
      <c r="D47" s="377"/>
      <c r="E47" s="106"/>
      <c r="F47" s="106"/>
      <c r="G47" s="106"/>
      <c r="H47" s="106"/>
      <c r="I47" s="106"/>
      <c r="J47" s="106"/>
      <c r="K47" s="106"/>
      <c r="L47" s="106">
        <v>25.79</v>
      </c>
      <c r="M47" s="106"/>
      <c r="N47" s="106"/>
      <c r="O47" s="106"/>
      <c r="P47" s="106"/>
      <c r="Q47" s="106"/>
      <c r="R47" s="106"/>
      <c r="S47" s="106"/>
      <c r="T47" s="106"/>
      <c r="U47" s="106"/>
      <c r="V47" s="106"/>
      <c r="W47" s="106"/>
      <c r="X47" s="106"/>
      <c r="Y47" s="106"/>
      <c r="Z47" s="106"/>
      <c r="AA47" s="106"/>
      <c r="AB47" s="106"/>
      <c r="AC47" s="106" t="s">
        <v>270</v>
      </c>
      <c r="AD47" s="110">
        <f t="shared" si="0"/>
        <v>66</v>
      </c>
      <c r="AE47" s="108">
        <f>'1. SA ABA DE CARREGAMENTO'!B90</f>
        <v>22</v>
      </c>
      <c r="AF47" s="377"/>
      <c r="AG47" s="109">
        <f t="shared" si="1"/>
        <v>0</v>
      </c>
      <c r="AH47" s="109">
        <f t="shared" si="2"/>
        <v>0</v>
      </c>
      <c r="AI47" s="109">
        <f t="shared" si="3"/>
        <v>0</v>
      </c>
      <c r="AJ47" s="109">
        <f t="shared" si="4"/>
        <v>0</v>
      </c>
      <c r="AK47" s="109">
        <f t="shared" si="5"/>
        <v>0</v>
      </c>
      <c r="AL47" s="109">
        <f t="shared" si="25"/>
        <v>0</v>
      </c>
      <c r="AM47" s="109">
        <f t="shared" si="26"/>
        <v>0</v>
      </c>
      <c r="AN47" s="109">
        <f t="shared" si="8"/>
        <v>77.36999999999999</v>
      </c>
      <c r="AO47" s="109">
        <f t="shared" si="9"/>
        <v>0</v>
      </c>
      <c r="AP47" s="109">
        <f t="shared" si="27"/>
        <v>0</v>
      </c>
      <c r="AQ47" s="109">
        <f t="shared" si="28"/>
        <v>0</v>
      </c>
      <c r="AR47" s="109">
        <f t="shared" si="12"/>
        <v>0</v>
      </c>
      <c r="AS47" s="109">
        <f t="shared" si="13"/>
        <v>0</v>
      </c>
      <c r="AT47" s="109">
        <f t="shared" si="14"/>
        <v>0</v>
      </c>
      <c r="AU47" s="109">
        <f t="shared" si="15"/>
        <v>0</v>
      </c>
      <c r="AV47" s="109">
        <f t="shared" si="16"/>
        <v>0</v>
      </c>
      <c r="AW47" s="109">
        <f t="shared" si="17"/>
        <v>0</v>
      </c>
      <c r="AX47" s="109">
        <f t="shared" si="18"/>
        <v>0</v>
      </c>
      <c r="AY47" s="109">
        <f t="shared" si="19"/>
        <v>0</v>
      </c>
      <c r="AZ47" s="109">
        <f t="shared" si="20"/>
        <v>0</v>
      </c>
      <c r="BA47" s="109">
        <f t="shared" si="21"/>
        <v>0</v>
      </c>
      <c r="BB47" s="109">
        <f t="shared" si="22"/>
        <v>0</v>
      </c>
      <c r="BC47" s="109">
        <f t="shared" si="23"/>
        <v>0</v>
      </c>
      <c r="BD47" s="109">
        <f t="shared" si="29"/>
        <v>0</v>
      </c>
      <c r="BE47" s="107"/>
      <c r="BF47" s="107"/>
      <c r="BG47" s="107"/>
      <c r="BH47" s="107"/>
      <c r="BI47" s="107"/>
      <c r="BJ47" s="107"/>
      <c r="BK47" s="107"/>
      <c r="BL47" s="107"/>
    </row>
    <row r="48" spans="1:64" ht="12.75" customHeight="1" x14ac:dyDescent="0.2">
      <c r="A48" s="376"/>
      <c r="B48" s="376"/>
      <c r="C48" s="119" t="s">
        <v>310</v>
      </c>
      <c r="D48" s="377"/>
      <c r="E48" s="106"/>
      <c r="F48" s="106">
        <v>7.65</v>
      </c>
      <c r="G48" s="106"/>
      <c r="H48" s="106"/>
      <c r="I48" s="106"/>
      <c r="J48" s="106"/>
      <c r="K48" s="106"/>
      <c r="L48" s="106"/>
      <c r="M48" s="106"/>
      <c r="N48" s="106"/>
      <c r="O48" s="106"/>
      <c r="P48" s="106"/>
      <c r="Q48" s="106"/>
      <c r="R48" s="106"/>
      <c r="S48" s="106"/>
      <c r="T48" s="106"/>
      <c r="U48" s="106"/>
      <c r="V48" s="106"/>
      <c r="W48" s="106"/>
      <c r="X48" s="106"/>
      <c r="Y48" s="106"/>
      <c r="Z48" s="106"/>
      <c r="AA48" s="106"/>
      <c r="AB48" s="106"/>
      <c r="AC48" s="106" t="s">
        <v>285</v>
      </c>
      <c r="AD48" s="110">
        <f t="shared" si="0"/>
        <v>44</v>
      </c>
      <c r="AE48" s="108">
        <f>'1. SA ABA DE CARREGAMENTO'!B90</f>
        <v>22</v>
      </c>
      <c r="AF48" s="377"/>
      <c r="AG48" s="109">
        <f t="shared" si="1"/>
        <v>0</v>
      </c>
      <c r="AH48" s="109">
        <f t="shared" si="2"/>
        <v>15.3</v>
      </c>
      <c r="AI48" s="109">
        <f t="shared" si="3"/>
        <v>0</v>
      </c>
      <c r="AJ48" s="109">
        <f t="shared" si="4"/>
        <v>0</v>
      </c>
      <c r="AK48" s="109">
        <f t="shared" si="5"/>
        <v>0</v>
      </c>
      <c r="AL48" s="109">
        <f t="shared" si="25"/>
        <v>0</v>
      </c>
      <c r="AM48" s="109">
        <f t="shared" si="26"/>
        <v>0</v>
      </c>
      <c r="AN48" s="109">
        <f t="shared" si="8"/>
        <v>0</v>
      </c>
      <c r="AO48" s="109">
        <f t="shared" si="9"/>
        <v>0</v>
      </c>
      <c r="AP48" s="109">
        <f t="shared" si="27"/>
        <v>0</v>
      </c>
      <c r="AQ48" s="109">
        <f t="shared" si="28"/>
        <v>0</v>
      </c>
      <c r="AR48" s="109">
        <f t="shared" si="12"/>
        <v>0</v>
      </c>
      <c r="AS48" s="109">
        <f t="shared" si="13"/>
        <v>0</v>
      </c>
      <c r="AT48" s="109">
        <f t="shared" si="14"/>
        <v>0</v>
      </c>
      <c r="AU48" s="109">
        <f t="shared" si="15"/>
        <v>0</v>
      </c>
      <c r="AV48" s="109">
        <f t="shared" si="16"/>
        <v>0</v>
      </c>
      <c r="AW48" s="109">
        <f t="shared" si="17"/>
        <v>0</v>
      </c>
      <c r="AX48" s="109">
        <f t="shared" si="18"/>
        <v>0</v>
      </c>
      <c r="AY48" s="109">
        <f t="shared" si="19"/>
        <v>0</v>
      </c>
      <c r="AZ48" s="109">
        <f t="shared" si="20"/>
        <v>0</v>
      </c>
      <c r="BA48" s="109">
        <f t="shared" si="21"/>
        <v>0</v>
      </c>
      <c r="BB48" s="109">
        <f t="shared" si="22"/>
        <v>0</v>
      </c>
      <c r="BC48" s="109">
        <f t="shared" si="23"/>
        <v>0</v>
      </c>
      <c r="BD48" s="109">
        <f t="shared" si="29"/>
        <v>0</v>
      </c>
      <c r="BE48" s="107"/>
      <c r="BF48" s="107"/>
      <c r="BG48" s="107"/>
      <c r="BH48" s="107"/>
      <c r="BI48" s="107"/>
      <c r="BJ48" s="107"/>
      <c r="BK48" s="107"/>
      <c r="BL48" s="107"/>
    </row>
    <row r="49" spans="1:64" ht="12.75" customHeight="1" x14ac:dyDescent="0.2">
      <c r="A49" s="376"/>
      <c r="B49" s="376"/>
      <c r="C49" s="119" t="s">
        <v>311</v>
      </c>
      <c r="D49" s="377"/>
      <c r="E49" s="106"/>
      <c r="F49" s="106">
        <v>8.02</v>
      </c>
      <c r="G49" s="106"/>
      <c r="H49" s="106"/>
      <c r="I49" s="106"/>
      <c r="J49" s="106"/>
      <c r="K49" s="106"/>
      <c r="L49" s="106"/>
      <c r="M49" s="106"/>
      <c r="N49" s="106"/>
      <c r="O49" s="106"/>
      <c r="P49" s="106"/>
      <c r="Q49" s="106"/>
      <c r="R49" s="106"/>
      <c r="S49" s="106"/>
      <c r="T49" s="106"/>
      <c r="U49" s="106"/>
      <c r="V49" s="106"/>
      <c r="W49" s="106"/>
      <c r="X49" s="106"/>
      <c r="Y49" s="106"/>
      <c r="Z49" s="106"/>
      <c r="AA49" s="106"/>
      <c r="AB49" s="106"/>
      <c r="AC49" s="106" t="s">
        <v>285</v>
      </c>
      <c r="AD49" s="110">
        <f t="shared" si="0"/>
        <v>44</v>
      </c>
      <c r="AE49" s="108">
        <f>'1. SA ABA DE CARREGAMENTO'!B90</f>
        <v>22</v>
      </c>
      <c r="AF49" s="377"/>
      <c r="AG49" s="109">
        <f t="shared" si="1"/>
        <v>0</v>
      </c>
      <c r="AH49" s="109">
        <f t="shared" si="2"/>
        <v>16.04</v>
      </c>
      <c r="AI49" s="109">
        <f t="shared" si="3"/>
        <v>0</v>
      </c>
      <c r="AJ49" s="109">
        <f t="shared" si="4"/>
        <v>0</v>
      </c>
      <c r="AK49" s="109">
        <f t="shared" si="5"/>
        <v>0</v>
      </c>
      <c r="AL49" s="109">
        <f t="shared" si="25"/>
        <v>0</v>
      </c>
      <c r="AM49" s="109">
        <f t="shared" si="26"/>
        <v>0</v>
      </c>
      <c r="AN49" s="109">
        <f t="shared" si="8"/>
        <v>0</v>
      </c>
      <c r="AO49" s="109">
        <f t="shared" si="9"/>
        <v>0</v>
      </c>
      <c r="AP49" s="109">
        <f t="shared" si="27"/>
        <v>0</v>
      </c>
      <c r="AQ49" s="109">
        <f t="shared" si="28"/>
        <v>0</v>
      </c>
      <c r="AR49" s="109">
        <f t="shared" si="12"/>
        <v>0</v>
      </c>
      <c r="AS49" s="109">
        <f t="shared" si="13"/>
        <v>0</v>
      </c>
      <c r="AT49" s="109">
        <f t="shared" si="14"/>
        <v>0</v>
      </c>
      <c r="AU49" s="109">
        <f t="shared" si="15"/>
        <v>0</v>
      </c>
      <c r="AV49" s="109">
        <f t="shared" si="16"/>
        <v>0</v>
      </c>
      <c r="AW49" s="109">
        <f t="shared" si="17"/>
        <v>0</v>
      </c>
      <c r="AX49" s="109">
        <f t="shared" si="18"/>
        <v>0</v>
      </c>
      <c r="AY49" s="109">
        <f t="shared" si="19"/>
        <v>0</v>
      </c>
      <c r="AZ49" s="109">
        <f t="shared" si="20"/>
        <v>0</v>
      </c>
      <c r="BA49" s="109">
        <f t="shared" si="21"/>
        <v>0</v>
      </c>
      <c r="BB49" s="109">
        <f t="shared" si="22"/>
        <v>0</v>
      </c>
      <c r="BC49" s="109">
        <f t="shared" si="23"/>
        <v>0</v>
      </c>
      <c r="BD49" s="109">
        <f t="shared" si="29"/>
        <v>0</v>
      </c>
      <c r="BE49" s="107"/>
      <c r="BF49" s="107"/>
      <c r="BG49" s="107"/>
      <c r="BH49" s="107"/>
      <c r="BI49" s="107"/>
      <c r="BJ49" s="107"/>
      <c r="BK49" s="107"/>
      <c r="BL49" s="107"/>
    </row>
    <row r="50" spans="1:64" ht="12.75" customHeight="1" x14ac:dyDescent="0.2">
      <c r="A50" s="376"/>
      <c r="B50" s="376"/>
      <c r="C50" s="119" t="s">
        <v>312</v>
      </c>
      <c r="D50" s="377"/>
      <c r="E50" s="106"/>
      <c r="F50" s="106"/>
      <c r="G50" s="106"/>
      <c r="H50" s="106"/>
      <c r="I50" s="106"/>
      <c r="J50" s="106"/>
      <c r="K50" s="106"/>
      <c r="L50" s="106"/>
      <c r="M50" s="106"/>
      <c r="N50" s="106"/>
      <c r="O50" s="106"/>
      <c r="P50" s="106"/>
      <c r="Q50" s="106"/>
      <c r="R50" s="106"/>
      <c r="S50" s="106"/>
      <c r="T50" s="106"/>
      <c r="U50" s="106"/>
      <c r="V50" s="106"/>
      <c r="W50" s="106"/>
      <c r="X50" s="106"/>
      <c r="Y50" s="106">
        <v>8.92</v>
      </c>
      <c r="Z50" s="106"/>
      <c r="AA50" s="106"/>
      <c r="AB50" s="106"/>
      <c r="AC50" s="106" t="s">
        <v>285</v>
      </c>
      <c r="AD50" s="110">
        <f t="shared" si="0"/>
        <v>44</v>
      </c>
      <c r="AE50" s="108">
        <f>'1. SA ABA DE CARREGAMENTO'!B90</f>
        <v>22</v>
      </c>
      <c r="AF50" s="377"/>
      <c r="AG50" s="109">
        <f t="shared" si="1"/>
        <v>0</v>
      </c>
      <c r="AH50" s="109">
        <f t="shared" si="2"/>
        <v>0</v>
      </c>
      <c r="AI50" s="109">
        <f t="shared" si="3"/>
        <v>0</v>
      </c>
      <c r="AJ50" s="109">
        <f t="shared" si="4"/>
        <v>0</v>
      </c>
      <c r="AK50" s="109">
        <f t="shared" si="5"/>
        <v>0</v>
      </c>
      <c r="AL50" s="109">
        <f t="shared" si="25"/>
        <v>0</v>
      </c>
      <c r="AM50" s="109">
        <f t="shared" si="26"/>
        <v>0</v>
      </c>
      <c r="AN50" s="109">
        <f t="shared" si="8"/>
        <v>0</v>
      </c>
      <c r="AO50" s="109">
        <f t="shared" si="9"/>
        <v>0</v>
      </c>
      <c r="AP50" s="109">
        <f t="shared" si="27"/>
        <v>0</v>
      </c>
      <c r="AQ50" s="109">
        <f t="shared" si="28"/>
        <v>0</v>
      </c>
      <c r="AR50" s="109">
        <f t="shared" si="12"/>
        <v>0</v>
      </c>
      <c r="AS50" s="109">
        <f t="shared" si="13"/>
        <v>0</v>
      </c>
      <c r="AT50" s="109">
        <f t="shared" si="14"/>
        <v>0</v>
      </c>
      <c r="AU50" s="109">
        <f t="shared" si="15"/>
        <v>0</v>
      </c>
      <c r="AV50" s="109">
        <f t="shared" si="16"/>
        <v>0</v>
      </c>
      <c r="AW50" s="109">
        <f t="shared" si="17"/>
        <v>0</v>
      </c>
      <c r="AX50" s="109">
        <f t="shared" si="18"/>
        <v>0</v>
      </c>
      <c r="AY50" s="109">
        <f t="shared" si="19"/>
        <v>0</v>
      </c>
      <c r="AZ50" s="109">
        <f t="shared" si="20"/>
        <v>0</v>
      </c>
      <c r="BA50" s="109">
        <f t="shared" si="21"/>
        <v>17.84</v>
      </c>
      <c r="BB50" s="109">
        <f t="shared" si="22"/>
        <v>0</v>
      </c>
      <c r="BC50" s="109">
        <f t="shared" si="23"/>
        <v>0</v>
      </c>
      <c r="BD50" s="109">
        <f t="shared" si="29"/>
        <v>0</v>
      </c>
      <c r="BE50" s="107"/>
      <c r="BF50" s="107"/>
      <c r="BG50" s="107"/>
      <c r="BH50" s="107"/>
      <c r="BI50" s="107"/>
      <c r="BJ50" s="107"/>
      <c r="BK50" s="107"/>
      <c r="BL50" s="107"/>
    </row>
    <row r="51" spans="1:64" ht="12.75" customHeight="1" x14ac:dyDescent="0.2">
      <c r="A51" s="376"/>
      <c r="B51" s="376"/>
      <c r="C51" s="119" t="s">
        <v>312</v>
      </c>
      <c r="D51" s="377"/>
      <c r="E51" s="106"/>
      <c r="F51" s="106"/>
      <c r="G51" s="106"/>
      <c r="H51" s="106"/>
      <c r="I51" s="106"/>
      <c r="J51" s="106"/>
      <c r="K51" s="106"/>
      <c r="L51" s="106"/>
      <c r="M51" s="106"/>
      <c r="N51" s="106"/>
      <c r="O51" s="106"/>
      <c r="P51" s="106"/>
      <c r="Q51" s="106"/>
      <c r="R51" s="106"/>
      <c r="S51" s="106"/>
      <c r="T51" s="106"/>
      <c r="U51" s="106"/>
      <c r="V51" s="106"/>
      <c r="W51" s="106"/>
      <c r="X51" s="106"/>
      <c r="Y51" s="106">
        <f>9.3+9.8</f>
        <v>19.100000000000001</v>
      </c>
      <c r="Z51" s="106"/>
      <c r="AA51" s="106"/>
      <c r="AB51" s="106"/>
      <c r="AC51" s="106" t="s">
        <v>285</v>
      </c>
      <c r="AD51" s="110">
        <f t="shared" si="0"/>
        <v>44</v>
      </c>
      <c r="AE51" s="108">
        <f>'1. SA ABA DE CARREGAMENTO'!B90</f>
        <v>22</v>
      </c>
      <c r="AF51" s="377"/>
      <c r="AG51" s="109">
        <f t="shared" si="1"/>
        <v>0</v>
      </c>
      <c r="AH51" s="109">
        <f t="shared" si="2"/>
        <v>0</v>
      </c>
      <c r="AI51" s="109">
        <f t="shared" si="3"/>
        <v>0</v>
      </c>
      <c r="AJ51" s="109">
        <f t="shared" si="4"/>
        <v>0</v>
      </c>
      <c r="AK51" s="109">
        <f t="shared" si="5"/>
        <v>0</v>
      </c>
      <c r="AL51" s="109">
        <f t="shared" si="25"/>
        <v>0</v>
      </c>
      <c r="AM51" s="109">
        <f t="shared" si="26"/>
        <v>0</v>
      </c>
      <c r="AN51" s="109">
        <f t="shared" si="8"/>
        <v>0</v>
      </c>
      <c r="AO51" s="109">
        <f t="shared" si="9"/>
        <v>0</v>
      </c>
      <c r="AP51" s="109">
        <f t="shared" si="27"/>
        <v>0</v>
      </c>
      <c r="AQ51" s="109">
        <f t="shared" si="28"/>
        <v>0</v>
      </c>
      <c r="AR51" s="109">
        <f t="shared" si="12"/>
        <v>0</v>
      </c>
      <c r="AS51" s="109">
        <f t="shared" si="13"/>
        <v>0</v>
      </c>
      <c r="AT51" s="109">
        <f t="shared" si="14"/>
        <v>0</v>
      </c>
      <c r="AU51" s="109">
        <f t="shared" si="15"/>
        <v>0</v>
      </c>
      <c r="AV51" s="109">
        <f t="shared" si="16"/>
        <v>0</v>
      </c>
      <c r="AW51" s="109">
        <f t="shared" si="17"/>
        <v>0</v>
      </c>
      <c r="AX51" s="109">
        <f t="shared" si="18"/>
        <v>0</v>
      </c>
      <c r="AY51" s="109">
        <f t="shared" si="19"/>
        <v>0</v>
      </c>
      <c r="AZ51" s="109">
        <f t="shared" si="20"/>
        <v>0</v>
      </c>
      <c r="BA51" s="109">
        <f t="shared" si="21"/>
        <v>38.200000000000003</v>
      </c>
      <c r="BB51" s="109">
        <f t="shared" si="22"/>
        <v>0</v>
      </c>
      <c r="BC51" s="109">
        <f t="shared" si="23"/>
        <v>0</v>
      </c>
      <c r="BD51" s="109">
        <f t="shared" si="29"/>
        <v>0</v>
      </c>
      <c r="BE51" s="107"/>
      <c r="BF51" s="107"/>
      <c r="BG51" s="107"/>
      <c r="BH51" s="107"/>
      <c r="BI51" s="107"/>
      <c r="BJ51" s="107"/>
      <c r="BK51" s="107"/>
      <c r="BL51" s="107"/>
    </row>
    <row r="52" spans="1:64" ht="12.75" customHeight="1" x14ac:dyDescent="0.2">
      <c r="A52" s="376"/>
      <c r="B52" s="376"/>
      <c r="C52" s="119" t="s">
        <v>313</v>
      </c>
      <c r="D52" s="377"/>
      <c r="E52" s="106"/>
      <c r="F52" s="106">
        <v>6.12</v>
      </c>
      <c r="G52" s="106"/>
      <c r="H52" s="106"/>
      <c r="I52" s="106"/>
      <c r="J52" s="106"/>
      <c r="K52" s="106"/>
      <c r="L52" s="106"/>
      <c r="M52" s="106"/>
      <c r="N52" s="106"/>
      <c r="O52" s="106"/>
      <c r="P52" s="106"/>
      <c r="Q52" s="106"/>
      <c r="R52" s="106"/>
      <c r="S52" s="106"/>
      <c r="T52" s="106"/>
      <c r="U52" s="106"/>
      <c r="V52" s="106"/>
      <c r="W52" s="106"/>
      <c r="X52" s="106"/>
      <c r="Y52" s="106"/>
      <c r="Z52" s="106"/>
      <c r="AA52" s="106"/>
      <c r="AB52" s="106"/>
      <c r="AC52" s="106" t="s">
        <v>289</v>
      </c>
      <c r="AD52" s="110">
        <f t="shared" si="0"/>
        <v>22</v>
      </c>
      <c r="AE52" s="108">
        <f>'1. SA ABA DE CARREGAMENTO'!B90</f>
        <v>22</v>
      </c>
      <c r="AF52" s="377"/>
      <c r="AG52" s="109">
        <f t="shared" si="1"/>
        <v>0</v>
      </c>
      <c r="AH52" s="109">
        <f t="shared" si="2"/>
        <v>6.120000000000001</v>
      </c>
      <c r="AI52" s="109">
        <f t="shared" si="3"/>
        <v>0</v>
      </c>
      <c r="AJ52" s="109">
        <f t="shared" si="4"/>
        <v>0</v>
      </c>
      <c r="AK52" s="109">
        <f t="shared" si="5"/>
        <v>0</v>
      </c>
      <c r="AL52" s="109">
        <f t="shared" si="25"/>
        <v>0</v>
      </c>
      <c r="AM52" s="109">
        <f t="shared" si="26"/>
        <v>0</v>
      </c>
      <c r="AN52" s="109">
        <f t="shared" si="8"/>
        <v>0</v>
      </c>
      <c r="AO52" s="109">
        <f t="shared" si="9"/>
        <v>0</v>
      </c>
      <c r="AP52" s="109">
        <f t="shared" si="27"/>
        <v>0</v>
      </c>
      <c r="AQ52" s="109">
        <f t="shared" si="28"/>
        <v>0</v>
      </c>
      <c r="AR52" s="109">
        <f t="shared" si="12"/>
        <v>0</v>
      </c>
      <c r="AS52" s="109">
        <f t="shared" si="13"/>
        <v>0</v>
      </c>
      <c r="AT52" s="109">
        <f t="shared" si="14"/>
        <v>0</v>
      </c>
      <c r="AU52" s="109">
        <f t="shared" si="15"/>
        <v>0</v>
      </c>
      <c r="AV52" s="109">
        <f t="shared" si="16"/>
        <v>0</v>
      </c>
      <c r="AW52" s="109">
        <f t="shared" si="17"/>
        <v>0</v>
      </c>
      <c r="AX52" s="109">
        <f t="shared" si="18"/>
        <v>0</v>
      </c>
      <c r="AY52" s="109">
        <f t="shared" si="19"/>
        <v>0</v>
      </c>
      <c r="AZ52" s="109">
        <f t="shared" si="20"/>
        <v>0</v>
      </c>
      <c r="BA52" s="109">
        <f t="shared" si="21"/>
        <v>0</v>
      </c>
      <c r="BB52" s="109">
        <f t="shared" si="22"/>
        <v>0</v>
      </c>
      <c r="BC52" s="109">
        <f t="shared" si="23"/>
        <v>0</v>
      </c>
      <c r="BD52" s="109">
        <f t="shared" si="29"/>
        <v>0</v>
      </c>
      <c r="BE52" s="107"/>
      <c r="BF52" s="107"/>
      <c r="BG52" s="107"/>
      <c r="BH52" s="107"/>
      <c r="BI52" s="107"/>
      <c r="BJ52" s="107"/>
      <c r="BK52" s="107"/>
      <c r="BL52" s="107"/>
    </row>
    <row r="53" spans="1:64" ht="30" x14ac:dyDescent="0.2">
      <c r="A53" s="376"/>
      <c r="B53" s="376"/>
      <c r="C53" s="106" t="s">
        <v>314</v>
      </c>
      <c r="D53" s="377"/>
      <c r="E53" s="106"/>
      <c r="F53" s="106"/>
      <c r="G53" s="106"/>
      <c r="H53" s="106"/>
      <c r="I53" s="106"/>
      <c r="J53" s="106"/>
      <c r="K53" s="106"/>
      <c r="L53" s="106"/>
      <c r="M53" s="106">
        <v>7</v>
      </c>
      <c r="N53" s="106"/>
      <c r="O53" s="106"/>
      <c r="P53" s="106"/>
      <c r="Q53" s="106"/>
      <c r="R53" s="106"/>
      <c r="S53" s="106"/>
      <c r="T53" s="106"/>
      <c r="U53" s="106"/>
      <c r="V53" s="106"/>
      <c r="W53" s="106"/>
      <c r="X53" s="106"/>
      <c r="Y53" s="106"/>
      <c r="Z53" s="106"/>
      <c r="AA53" s="106"/>
      <c r="AB53" s="106"/>
      <c r="AC53" s="106" t="s">
        <v>281</v>
      </c>
      <c r="AD53" s="110">
        <f t="shared" si="0"/>
        <v>4.33</v>
      </c>
      <c r="AE53" s="108">
        <f>'1. SA ABA DE CARREGAMENTO'!B90</f>
        <v>22</v>
      </c>
      <c r="AF53" s="377"/>
      <c r="AG53" s="109">
        <f t="shared" si="1"/>
        <v>0</v>
      </c>
      <c r="AH53" s="109">
        <f t="shared" si="2"/>
        <v>0</v>
      </c>
      <c r="AI53" s="109">
        <f t="shared" si="3"/>
        <v>0</v>
      </c>
      <c r="AJ53" s="109">
        <f t="shared" si="4"/>
        <v>0</v>
      </c>
      <c r="AK53" s="109">
        <f t="shared" si="5"/>
        <v>0</v>
      </c>
      <c r="AL53" s="109">
        <f t="shared" si="25"/>
        <v>0</v>
      </c>
      <c r="AM53" s="109">
        <f t="shared" si="26"/>
        <v>0</v>
      </c>
      <c r="AN53" s="109">
        <f t="shared" si="8"/>
        <v>0</v>
      </c>
      <c r="AO53" s="109">
        <f t="shared" si="9"/>
        <v>1.3777272727272729</v>
      </c>
      <c r="AP53" s="109">
        <f t="shared" si="27"/>
        <v>0</v>
      </c>
      <c r="AQ53" s="109">
        <f t="shared" si="28"/>
        <v>0</v>
      </c>
      <c r="AR53" s="109">
        <f t="shared" si="12"/>
        <v>0</v>
      </c>
      <c r="AS53" s="109">
        <f t="shared" si="13"/>
        <v>0</v>
      </c>
      <c r="AT53" s="109">
        <f t="shared" si="14"/>
        <v>0</v>
      </c>
      <c r="AU53" s="109">
        <f t="shared" si="15"/>
        <v>0</v>
      </c>
      <c r="AV53" s="109">
        <f t="shared" si="16"/>
        <v>0</v>
      </c>
      <c r="AW53" s="109">
        <f t="shared" si="17"/>
        <v>0</v>
      </c>
      <c r="AX53" s="109">
        <f t="shared" si="18"/>
        <v>0</v>
      </c>
      <c r="AY53" s="109">
        <f t="shared" si="19"/>
        <v>0</v>
      </c>
      <c r="AZ53" s="109">
        <f t="shared" si="20"/>
        <v>0</v>
      </c>
      <c r="BA53" s="109">
        <f t="shared" si="21"/>
        <v>0</v>
      </c>
      <c r="BB53" s="109">
        <f t="shared" si="22"/>
        <v>0</v>
      </c>
      <c r="BC53" s="109">
        <f t="shared" si="23"/>
        <v>0</v>
      </c>
      <c r="BD53" s="109">
        <f t="shared" si="29"/>
        <v>0</v>
      </c>
      <c r="BE53" s="107"/>
      <c r="BF53" s="107"/>
      <c r="BG53" s="107"/>
      <c r="BH53" s="107"/>
      <c r="BI53" s="107"/>
      <c r="BJ53" s="107"/>
      <c r="BK53" s="107"/>
      <c r="BL53" s="107"/>
    </row>
    <row r="54" spans="1:64" ht="12.75" customHeight="1" x14ac:dyDescent="0.2">
      <c r="A54" s="376"/>
      <c r="B54" s="376"/>
      <c r="C54" s="106" t="s">
        <v>274</v>
      </c>
      <c r="D54" s="377"/>
      <c r="E54" s="106"/>
      <c r="F54" s="106"/>
      <c r="G54" s="106"/>
      <c r="H54" s="106"/>
      <c r="I54" s="106"/>
      <c r="J54" s="106"/>
      <c r="K54" s="106"/>
      <c r="L54" s="106"/>
      <c r="M54" s="106"/>
      <c r="N54" s="106"/>
      <c r="O54" s="106"/>
      <c r="P54" s="106"/>
      <c r="Q54" s="106"/>
      <c r="R54" s="106"/>
      <c r="S54" s="106"/>
      <c r="T54" s="106"/>
      <c r="U54" s="106"/>
      <c r="V54" s="106">
        <v>23.97</v>
      </c>
      <c r="W54" s="106"/>
      <c r="X54" s="120"/>
      <c r="Y54" s="106"/>
      <c r="Z54" s="106"/>
      <c r="AA54" s="106"/>
      <c r="AB54" s="106"/>
      <c r="AC54" s="106" t="s">
        <v>275</v>
      </c>
      <c r="AD54" s="110">
        <f t="shared" si="0"/>
        <v>0.17</v>
      </c>
      <c r="AE54" s="108">
        <f>'1. SA ABA DE CARREGAMENTO'!B90</f>
        <v>22</v>
      </c>
      <c r="AF54" s="377"/>
      <c r="AG54" s="109">
        <f t="shared" si="1"/>
        <v>0</v>
      </c>
      <c r="AH54" s="109">
        <f t="shared" si="2"/>
        <v>0</v>
      </c>
      <c r="AI54" s="109">
        <f t="shared" si="3"/>
        <v>0</v>
      </c>
      <c r="AJ54" s="109">
        <f t="shared" si="4"/>
        <v>0</v>
      </c>
      <c r="AK54" s="109">
        <f t="shared" si="5"/>
        <v>0</v>
      </c>
      <c r="AL54" s="109">
        <f t="shared" si="25"/>
        <v>0</v>
      </c>
      <c r="AM54" s="109">
        <f t="shared" si="26"/>
        <v>0</v>
      </c>
      <c r="AN54" s="109">
        <f t="shared" si="8"/>
        <v>0</v>
      </c>
      <c r="AO54" s="109">
        <f t="shared" si="9"/>
        <v>0</v>
      </c>
      <c r="AP54" s="109">
        <f t="shared" si="27"/>
        <v>0</v>
      </c>
      <c r="AQ54" s="109">
        <f t="shared" si="28"/>
        <v>0</v>
      </c>
      <c r="AR54" s="109">
        <f t="shared" si="12"/>
        <v>0</v>
      </c>
      <c r="AS54" s="109">
        <f t="shared" si="13"/>
        <v>0</v>
      </c>
      <c r="AT54" s="109">
        <f t="shared" si="14"/>
        <v>0</v>
      </c>
      <c r="AU54" s="109">
        <f t="shared" si="15"/>
        <v>0</v>
      </c>
      <c r="AV54" s="109">
        <f t="shared" si="16"/>
        <v>0</v>
      </c>
      <c r="AW54" s="109">
        <f t="shared" si="17"/>
        <v>0</v>
      </c>
      <c r="AX54" s="109">
        <f t="shared" si="18"/>
        <v>0.18522272727272729</v>
      </c>
      <c r="AY54" s="109">
        <f t="shared" si="19"/>
        <v>0</v>
      </c>
      <c r="AZ54" s="109">
        <f t="shared" si="20"/>
        <v>0</v>
      </c>
      <c r="BA54" s="109">
        <f t="shared" si="21"/>
        <v>0</v>
      </c>
      <c r="BB54" s="109">
        <f t="shared" si="22"/>
        <v>0</v>
      </c>
      <c r="BC54" s="109">
        <f t="shared" si="23"/>
        <v>0</v>
      </c>
      <c r="BD54" s="109">
        <f t="shared" si="29"/>
        <v>0</v>
      </c>
      <c r="BE54" s="107"/>
      <c r="BF54" s="107"/>
      <c r="BG54" s="107"/>
      <c r="BH54" s="107"/>
      <c r="BI54" s="107"/>
      <c r="BJ54" s="107"/>
      <c r="BK54" s="107"/>
      <c r="BL54" s="107"/>
    </row>
    <row r="55" spans="1:64" ht="12.75" customHeight="1" x14ac:dyDescent="0.2">
      <c r="A55" s="376"/>
      <c r="B55" s="376"/>
      <c r="C55" s="106" t="s">
        <v>276</v>
      </c>
      <c r="D55" s="377"/>
      <c r="E55" s="106"/>
      <c r="F55" s="106"/>
      <c r="G55" s="106"/>
      <c r="H55" s="106"/>
      <c r="I55" s="106"/>
      <c r="J55" s="106"/>
      <c r="K55" s="106"/>
      <c r="L55" s="106"/>
      <c r="M55" s="106"/>
      <c r="N55" s="106"/>
      <c r="O55" s="106"/>
      <c r="P55" s="106"/>
      <c r="Q55" s="106"/>
      <c r="R55" s="106"/>
      <c r="S55" s="106"/>
      <c r="T55" s="106"/>
      <c r="U55" s="106"/>
      <c r="V55" s="106"/>
      <c r="W55" s="121">
        <f>1.6+23.97</f>
        <v>25.57</v>
      </c>
      <c r="X55" s="106"/>
      <c r="Y55" s="106"/>
      <c r="Z55" s="106"/>
      <c r="AA55" s="106"/>
      <c r="AB55" s="106"/>
      <c r="AC55" s="106" t="s">
        <v>277</v>
      </c>
      <c r="AD55" s="110">
        <f t="shared" si="0"/>
        <v>8</v>
      </c>
      <c r="AE55" s="108">
        <f>'1. SA ABA DE CARREGAMENTO'!B90</f>
        <v>22</v>
      </c>
      <c r="AF55" s="377"/>
      <c r="AG55" s="109">
        <f t="shared" si="1"/>
        <v>0</v>
      </c>
      <c r="AH55" s="109">
        <f t="shared" si="2"/>
        <v>0</v>
      </c>
      <c r="AI55" s="109">
        <f t="shared" si="3"/>
        <v>0</v>
      </c>
      <c r="AJ55" s="109">
        <f t="shared" si="4"/>
        <v>0</v>
      </c>
      <c r="AK55" s="109">
        <f t="shared" si="5"/>
        <v>0</v>
      </c>
      <c r="AL55" s="109">
        <f t="shared" si="25"/>
        <v>0</v>
      </c>
      <c r="AM55" s="109">
        <f t="shared" si="26"/>
        <v>0</v>
      </c>
      <c r="AN55" s="109">
        <f t="shared" si="8"/>
        <v>0</v>
      </c>
      <c r="AO55" s="109">
        <f t="shared" si="9"/>
        <v>0</v>
      </c>
      <c r="AP55" s="109">
        <f t="shared" si="27"/>
        <v>0</v>
      </c>
      <c r="AQ55" s="109">
        <f t="shared" si="28"/>
        <v>0</v>
      </c>
      <c r="AR55" s="109">
        <f t="shared" si="12"/>
        <v>0</v>
      </c>
      <c r="AS55" s="109">
        <f t="shared" si="13"/>
        <v>0</v>
      </c>
      <c r="AT55" s="109">
        <f t="shared" si="14"/>
        <v>0</v>
      </c>
      <c r="AU55" s="109">
        <f t="shared" si="15"/>
        <v>0</v>
      </c>
      <c r="AV55" s="109">
        <f t="shared" si="16"/>
        <v>0</v>
      </c>
      <c r="AW55" s="109">
        <f t="shared" si="17"/>
        <v>0</v>
      </c>
      <c r="AX55" s="109">
        <f t="shared" si="18"/>
        <v>0</v>
      </c>
      <c r="AY55" s="109">
        <f t="shared" si="19"/>
        <v>9.2981818181818188</v>
      </c>
      <c r="AZ55" s="109">
        <f t="shared" si="20"/>
        <v>0</v>
      </c>
      <c r="BA55" s="109">
        <f t="shared" si="21"/>
        <v>0</v>
      </c>
      <c r="BB55" s="109">
        <f t="shared" si="22"/>
        <v>0</v>
      </c>
      <c r="BC55" s="109">
        <f t="shared" si="23"/>
        <v>0</v>
      </c>
      <c r="BD55" s="109">
        <f t="shared" si="29"/>
        <v>0</v>
      </c>
      <c r="BE55" s="107"/>
      <c r="BF55" s="107"/>
      <c r="BG55" s="107"/>
      <c r="BH55" s="107"/>
      <c r="BI55" s="107"/>
      <c r="BJ55" s="107"/>
      <c r="BK55" s="107"/>
      <c r="BL55" s="107"/>
    </row>
    <row r="56" spans="1:64" ht="12.75" customHeight="1" x14ac:dyDescent="0.2">
      <c r="A56" s="376"/>
      <c r="B56" s="376"/>
      <c r="C56" s="106" t="s">
        <v>278</v>
      </c>
      <c r="D56" s="377"/>
      <c r="E56" s="106"/>
      <c r="F56" s="106"/>
      <c r="G56" s="106"/>
      <c r="H56" s="106"/>
      <c r="I56" s="106"/>
      <c r="J56" s="106"/>
      <c r="K56" s="106"/>
      <c r="L56" s="106"/>
      <c r="M56" s="106"/>
      <c r="N56" s="106"/>
      <c r="O56" s="106"/>
      <c r="P56" s="106"/>
      <c r="Q56" s="106"/>
      <c r="R56" s="106"/>
      <c r="S56" s="106"/>
      <c r="T56" s="106"/>
      <c r="U56" s="106"/>
      <c r="V56" s="106"/>
      <c r="W56" s="106"/>
      <c r="X56" s="106"/>
      <c r="Y56" s="106"/>
      <c r="Z56" s="106">
        <v>5.0999999999999996</v>
      </c>
      <c r="AA56" s="106"/>
      <c r="AB56" s="106"/>
      <c r="AC56" s="106" t="s">
        <v>279</v>
      </c>
      <c r="AD56" s="110">
        <f t="shared" si="0"/>
        <v>132</v>
      </c>
      <c r="AE56" s="108">
        <f>'1. SA ABA DE CARREGAMENTO'!B90</f>
        <v>22</v>
      </c>
      <c r="AF56" s="377"/>
      <c r="AG56" s="109">
        <f t="shared" si="1"/>
        <v>0</v>
      </c>
      <c r="AH56" s="109">
        <f t="shared" si="2"/>
        <v>0</v>
      </c>
      <c r="AI56" s="109">
        <f t="shared" si="3"/>
        <v>0</v>
      </c>
      <c r="AJ56" s="109">
        <f t="shared" si="4"/>
        <v>0</v>
      </c>
      <c r="AK56" s="109">
        <f t="shared" si="5"/>
        <v>0</v>
      </c>
      <c r="AL56" s="109">
        <f t="shared" si="25"/>
        <v>0</v>
      </c>
      <c r="AM56" s="109">
        <f t="shared" si="26"/>
        <v>0</v>
      </c>
      <c r="AN56" s="109">
        <f t="shared" si="8"/>
        <v>0</v>
      </c>
      <c r="AO56" s="109">
        <f t="shared" si="9"/>
        <v>0</v>
      </c>
      <c r="AP56" s="109">
        <f t="shared" si="27"/>
        <v>0</v>
      </c>
      <c r="AQ56" s="109">
        <f t="shared" si="28"/>
        <v>0</v>
      </c>
      <c r="AR56" s="109">
        <f t="shared" si="12"/>
        <v>0</v>
      </c>
      <c r="AS56" s="109">
        <f t="shared" si="13"/>
        <v>0</v>
      </c>
      <c r="AT56" s="109">
        <f t="shared" si="14"/>
        <v>0</v>
      </c>
      <c r="AU56" s="109">
        <f t="shared" si="15"/>
        <v>0</v>
      </c>
      <c r="AV56" s="109">
        <f t="shared" si="16"/>
        <v>0</v>
      </c>
      <c r="AW56" s="109">
        <f t="shared" si="17"/>
        <v>0</v>
      </c>
      <c r="AX56" s="109">
        <f t="shared" si="18"/>
        <v>0</v>
      </c>
      <c r="AY56" s="109">
        <f t="shared" si="19"/>
        <v>0</v>
      </c>
      <c r="AZ56" s="109">
        <f t="shared" si="20"/>
        <v>0</v>
      </c>
      <c r="BA56" s="109">
        <f t="shared" si="21"/>
        <v>0</v>
      </c>
      <c r="BB56" s="109">
        <f t="shared" si="22"/>
        <v>30.599999999999998</v>
      </c>
      <c r="BC56" s="109">
        <f t="shared" si="23"/>
        <v>0</v>
      </c>
      <c r="BD56" s="109">
        <f t="shared" si="29"/>
        <v>0</v>
      </c>
      <c r="BE56" s="107"/>
      <c r="BF56" s="107"/>
      <c r="BG56" s="107"/>
      <c r="BH56" s="107"/>
      <c r="BI56" s="107"/>
      <c r="BJ56" s="107"/>
      <c r="BK56" s="107"/>
      <c r="BL56" s="107"/>
    </row>
    <row r="57" spans="1:64" ht="12.75" customHeight="1" x14ac:dyDescent="0.2">
      <c r="A57" s="376"/>
      <c r="B57" s="376"/>
      <c r="C57" s="106" t="s">
        <v>280</v>
      </c>
      <c r="D57" s="377"/>
      <c r="E57" s="106"/>
      <c r="F57" s="106"/>
      <c r="G57" s="106"/>
      <c r="H57" s="106"/>
      <c r="I57" s="106"/>
      <c r="J57" s="106"/>
      <c r="K57" s="106"/>
      <c r="L57" s="106"/>
      <c r="M57" s="106"/>
      <c r="N57" s="106"/>
      <c r="O57" s="106"/>
      <c r="P57" s="106"/>
      <c r="Q57" s="106"/>
      <c r="R57" s="106"/>
      <c r="S57" s="106"/>
      <c r="T57" s="106"/>
      <c r="U57" s="106"/>
      <c r="V57" s="106"/>
      <c r="W57" s="106"/>
      <c r="X57" s="106"/>
      <c r="Y57" s="106"/>
      <c r="Z57" s="106"/>
      <c r="AA57" s="106">
        <v>20.399999999999999</v>
      </c>
      <c r="AB57" s="106"/>
      <c r="AC57" s="106" t="s">
        <v>281</v>
      </c>
      <c r="AD57" s="110">
        <f t="shared" si="0"/>
        <v>4.33</v>
      </c>
      <c r="AE57" s="108">
        <f>'1. SA ABA DE CARREGAMENTO'!B90</f>
        <v>22</v>
      </c>
      <c r="AF57" s="377"/>
      <c r="AG57" s="109">
        <f t="shared" si="1"/>
        <v>0</v>
      </c>
      <c r="AH57" s="109">
        <f t="shared" si="2"/>
        <v>0</v>
      </c>
      <c r="AI57" s="109">
        <f t="shared" si="3"/>
        <v>0</v>
      </c>
      <c r="AJ57" s="109">
        <f t="shared" si="4"/>
        <v>0</v>
      </c>
      <c r="AK57" s="109">
        <f t="shared" si="5"/>
        <v>0</v>
      </c>
      <c r="AL57" s="109">
        <f t="shared" si="25"/>
        <v>0</v>
      </c>
      <c r="AM57" s="109">
        <f t="shared" si="26"/>
        <v>0</v>
      </c>
      <c r="AN57" s="109">
        <f t="shared" si="8"/>
        <v>0</v>
      </c>
      <c r="AO57" s="109">
        <f t="shared" si="9"/>
        <v>0</v>
      </c>
      <c r="AP57" s="109">
        <f t="shared" si="27"/>
        <v>0</v>
      </c>
      <c r="AQ57" s="109">
        <f t="shared" si="28"/>
        <v>0</v>
      </c>
      <c r="AR57" s="109">
        <f t="shared" si="12"/>
        <v>0</v>
      </c>
      <c r="AS57" s="109">
        <f t="shared" si="13"/>
        <v>0</v>
      </c>
      <c r="AT57" s="109">
        <f t="shared" si="14"/>
        <v>0</v>
      </c>
      <c r="AU57" s="109">
        <f t="shared" si="15"/>
        <v>0</v>
      </c>
      <c r="AV57" s="109">
        <f t="shared" si="16"/>
        <v>0</v>
      </c>
      <c r="AW57" s="109">
        <f t="shared" si="17"/>
        <v>0</v>
      </c>
      <c r="AX57" s="109">
        <f t="shared" si="18"/>
        <v>0</v>
      </c>
      <c r="AY57" s="109">
        <f t="shared" si="19"/>
        <v>0</v>
      </c>
      <c r="AZ57" s="109">
        <f t="shared" si="20"/>
        <v>0</v>
      </c>
      <c r="BA57" s="109">
        <f t="shared" si="21"/>
        <v>0</v>
      </c>
      <c r="BB57" s="109">
        <f t="shared" si="22"/>
        <v>0</v>
      </c>
      <c r="BC57" s="109">
        <f t="shared" si="23"/>
        <v>4.015090909090909</v>
      </c>
      <c r="BD57" s="109">
        <f t="shared" si="29"/>
        <v>0</v>
      </c>
      <c r="BE57" s="107"/>
      <c r="BF57" s="107"/>
      <c r="BG57" s="107"/>
      <c r="BH57" s="107"/>
      <c r="BI57" s="107"/>
      <c r="BJ57" s="107"/>
      <c r="BK57" s="107"/>
      <c r="BL57" s="107"/>
    </row>
    <row r="58" spans="1:64" ht="12.75" customHeight="1" x14ac:dyDescent="0.2">
      <c r="A58" s="376"/>
      <c r="B58" s="376"/>
      <c r="C58" s="106" t="s">
        <v>282</v>
      </c>
      <c r="D58" s="377"/>
      <c r="E58" s="106"/>
      <c r="F58" s="106"/>
      <c r="G58" s="106"/>
      <c r="H58" s="106"/>
      <c r="I58" s="106"/>
      <c r="J58" s="106"/>
      <c r="K58" s="106"/>
      <c r="L58" s="106"/>
      <c r="M58" s="106"/>
      <c r="N58" s="106"/>
      <c r="O58" s="106"/>
      <c r="P58" s="106"/>
      <c r="Q58" s="106"/>
      <c r="R58" s="106"/>
      <c r="S58" s="106"/>
      <c r="T58" s="106"/>
      <c r="U58" s="106"/>
      <c r="V58" s="106"/>
      <c r="W58" s="106"/>
      <c r="X58" s="106"/>
      <c r="Y58" s="106"/>
      <c r="Z58" s="106"/>
      <c r="AA58" s="106"/>
      <c r="AB58" s="106">
        <v>5.0999999999999996</v>
      </c>
      <c r="AC58" s="106" t="s">
        <v>281</v>
      </c>
      <c r="AD58" s="110">
        <f t="shared" si="0"/>
        <v>4.33</v>
      </c>
      <c r="AE58" s="108">
        <f>'1. SA ABA DE CARREGAMENTO'!B90</f>
        <v>22</v>
      </c>
      <c r="AF58" s="377"/>
      <c r="AG58" s="109">
        <f t="shared" si="1"/>
        <v>0</v>
      </c>
      <c r="AH58" s="109">
        <f t="shared" si="2"/>
        <v>0</v>
      </c>
      <c r="AI58" s="109">
        <f t="shared" si="3"/>
        <v>0</v>
      </c>
      <c r="AJ58" s="109">
        <f t="shared" si="4"/>
        <v>0</v>
      </c>
      <c r="AK58" s="109">
        <f t="shared" si="5"/>
        <v>0</v>
      </c>
      <c r="AL58" s="109">
        <f t="shared" si="25"/>
        <v>0</v>
      </c>
      <c r="AM58" s="109">
        <f t="shared" si="26"/>
        <v>0</v>
      </c>
      <c r="AN58" s="109">
        <f t="shared" si="8"/>
        <v>0</v>
      </c>
      <c r="AO58" s="109">
        <f t="shared" si="9"/>
        <v>0</v>
      </c>
      <c r="AP58" s="109">
        <f t="shared" si="27"/>
        <v>0</v>
      </c>
      <c r="AQ58" s="109">
        <f t="shared" si="28"/>
        <v>0</v>
      </c>
      <c r="AR58" s="109">
        <f t="shared" si="12"/>
        <v>0</v>
      </c>
      <c r="AS58" s="109">
        <f t="shared" si="13"/>
        <v>0</v>
      </c>
      <c r="AT58" s="109">
        <f t="shared" si="14"/>
        <v>0</v>
      </c>
      <c r="AU58" s="109">
        <f t="shared" si="15"/>
        <v>0</v>
      </c>
      <c r="AV58" s="109">
        <f t="shared" si="16"/>
        <v>0</v>
      </c>
      <c r="AW58" s="109">
        <f t="shared" si="17"/>
        <v>0</v>
      </c>
      <c r="AX58" s="109">
        <f t="shared" si="18"/>
        <v>0</v>
      </c>
      <c r="AY58" s="109">
        <f t="shared" si="19"/>
        <v>0</v>
      </c>
      <c r="AZ58" s="109">
        <f t="shared" si="20"/>
        <v>0</v>
      </c>
      <c r="BA58" s="109">
        <f t="shared" si="21"/>
        <v>0</v>
      </c>
      <c r="BB58" s="109">
        <f t="shared" si="22"/>
        <v>0</v>
      </c>
      <c r="BC58" s="109">
        <f t="shared" si="23"/>
        <v>0</v>
      </c>
      <c r="BD58" s="109">
        <f t="shared" si="29"/>
        <v>1.0037727272727273</v>
      </c>
      <c r="BE58" s="107"/>
      <c r="BF58" s="107"/>
      <c r="BG58" s="107"/>
      <c r="BH58" s="107"/>
      <c r="BI58" s="107"/>
      <c r="BJ58" s="107"/>
      <c r="BK58" s="107"/>
      <c r="BL58" s="107"/>
    </row>
    <row r="59" spans="1:64" ht="15" customHeight="1" x14ac:dyDescent="0.2">
      <c r="A59" s="378">
        <v>6</v>
      </c>
      <c r="B59" s="379" t="s">
        <v>315</v>
      </c>
      <c r="C59" s="111" t="s">
        <v>316</v>
      </c>
      <c r="D59" s="380">
        <f>SUM(E59:AB72)</f>
        <v>2515.58</v>
      </c>
      <c r="E59" s="111"/>
      <c r="F59" s="111">
        <v>199.32</v>
      </c>
      <c r="G59" s="111"/>
      <c r="H59" s="111"/>
      <c r="I59" s="111"/>
      <c r="J59" s="111"/>
      <c r="K59" s="111"/>
      <c r="L59" s="111"/>
      <c r="M59" s="111"/>
      <c r="N59" s="111"/>
      <c r="O59" s="111"/>
      <c r="P59" s="111"/>
      <c r="Q59" s="111"/>
      <c r="R59" s="111"/>
      <c r="S59" s="111"/>
      <c r="T59" s="111"/>
      <c r="U59" s="111"/>
      <c r="V59" s="111"/>
      <c r="W59" s="111"/>
      <c r="X59" s="111"/>
      <c r="Y59" s="111"/>
      <c r="Z59" s="111"/>
      <c r="AA59" s="111"/>
      <c r="AB59" s="111"/>
      <c r="AC59" s="113" t="s">
        <v>270</v>
      </c>
      <c r="AD59" s="114">
        <f t="shared" si="0"/>
        <v>66</v>
      </c>
      <c r="AE59" s="115">
        <f>'1. SA ABA DE CARREGAMENTO'!B90</f>
        <v>22</v>
      </c>
      <c r="AF59" s="383">
        <f>SUM(AG59:BD72)</f>
        <v>4131.5523909090907</v>
      </c>
      <c r="AG59" s="117">
        <f t="shared" si="1"/>
        <v>0</v>
      </c>
      <c r="AH59" s="117">
        <f t="shared" si="2"/>
        <v>597.95999999999992</v>
      </c>
      <c r="AI59" s="117">
        <f t="shared" si="3"/>
        <v>0</v>
      </c>
      <c r="AJ59" s="117">
        <f t="shared" si="4"/>
        <v>0</v>
      </c>
      <c r="AK59" s="117">
        <f t="shared" si="5"/>
        <v>0</v>
      </c>
      <c r="AL59" s="117">
        <f t="shared" si="25"/>
        <v>0</v>
      </c>
      <c r="AM59" s="117">
        <f t="shared" si="26"/>
        <v>0</v>
      </c>
      <c r="AN59" s="117">
        <f t="shared" si="8"/>
        <v>0</v>
      </c>
      <c r="AO59" s="117">
        <f t="shared" si="9"/>
        <v>0</v>
      </c>
      <c r="AP59" s="117">
        <f t="shared" si="27"/>
        <v>0</v>
      </c>
      <c r="AQ59" s="117">
        <f t="shared" si="28"/>
        <v>0</v>
      </c>
      <c r="AR59" s="117">
        <f t="shared" si="12"/>
        <v>0</v>
      </c>
      <c r="AS59" s="117">
        <f t="shared" si="13"/>
        <v>0</v>
      </c>
      <c r="AT59" s="117">
        <f t="shared" si="14"/>
        <v>0</v>
      </c>
      <c r="AU59" s="117">
        <f t="shared" si="15"/>
        <v>0</v>
      </c>
      <c r="AV59" s="117">
        <f t="shared" si="16"/>
        <v>0</v>
      </c>
      <c r="AW59" s="117">
        <f t="shared" si="17"/>
        <v>0</v>
      </c>
      <c r="AX59" s="117">
        <f t="shared" si="18"/>
        <v>0</v>
      </c>
      <c r="AY59" s="117">
        <f t="shared" si="19"/>
        <v>0</v>
      </c>
      <c r="AZ59" s="117">
        <f t="shared" si="20"/>
        <v>0</v>
      </c>
      <c r="BA59" s="117">
        <f t="shared" si="21"/>
        <v>0</v>
      </c>
      <c r="BB59" s="117">
        <f t="shared" si="22"/>
        <v>0</v>
      </c>
      <c r="BC59" s="117">
        <f t="shared" si="23"/>
        <v>0</v>
      </c>
      <c r="BD59" s="117">
        <f>(AB59*AD59)/AE60</f>
        <v>0</v>
      </c>
      <c r="BE59" s="107"/>
      <c r="BF59" s="107"/>
      <c r="BG59" s="107"/>
      <c r="BH59" s="107"/>
      <c r="BI59" s="107"/>
      <c r="BJ59" s="107"/>
      <c r="BK59" s="107"/>
      <c r="BL59" s="107"/>
    </row>
    <row r="60" spans="1:64" ht="12.75" customHeight="1" x14ac:dyDescent="0.2">
      <c r="A60" s="378"/>
      <c r="B60" s="378"/>
      <c r="C60" s="111" t="s">
        <v>29</v>
      </c>
      <c r="D60" s="380"/>
      <c r="E60" s="111"/>
      <c r="F60" s="111"/>
      <c r="G60" s="111">
        <v>644.72</v>
      </c>
      <c r="H60" s="111"/>
      <c r="I60" s="111"/>
      <c r="J60" s="111"/>
      <c r="K60" s="111"/>
      <c r="L60" s="111"/>
      <c r="M60" s="111"/>
      <c r="N60" s="111"/>
      <c r="O60" s="111"/>
      <c r="P60" s="111"/>
      <c r="Q60" s="111"/>
      <c r="R60" s="111"/>
      <c r="S60" s="111"/>
      <c r="T60" s="111"/>
      <c r="U60" s="111"/>
      <c r="V60" s="111"/>
      <c r="W60" s="111"/>
      <c r="X60" s="111"/>
      <c r="Y60" s="111"/>
      <c r="Z60" s="111"/>
      <c r="AA60" s="111"/>
      <c r="AB60" s="111"/>
      <c r="AC60" s="113" t="s">
        <v>285</v>
      </c>
      <c r="AD60" s="114">
        <f t="shared" si="0"/>
        <v>44</v>
      </c>
      <c r="AE60" s="115">
        <f>'1. SA ABA DE CARREGAMENTO'!$B$90</f>
        <v>22</v>
      </c>
      <c r="AF60" s="383"/>
      <c r="AG60" s="117">
        <f t="shared" si="1"/>
        <v>0</v>
      </c>
      <c r="AH60" s="117">
        <f t="shared" si="2"/>
        <v>0</v>
      </c>
      <c r="AI60" s="117">
        <f t="shared" si="3"/>
        <v>1289.44</v>
      </c>
      <c r="AJ60" s="117">
        <f t="shared" si="4"/>
        <v>0</v>
      </c>
      <c r="AK60" s="117">
        <f t="shared" si="5"/>
        <v>0</v>
      </c>
      <c r="AL60" s="117">
        <f t="shared" si="25"/>
        <v>0</v>
      </c>
      <c r="AM60" s="117">
        <f t="shared" si="26"/>
        <v>0</v>
      </c>
      <c r="AN60" s="117">
        <f t="shared" si="8"/>
        <v>0</v>
      </c>
      <c r="AO60" s="117">
        <f t="shared" si="9"/>
        <v>0</v>
      </c>
      <c r="AP60" s="117">
        <f t="shared" si="27"/>
        <v>0</v>
      </c>
      <c r="AQ60" s="117">
        <f t="shared" si="28"/>
        <v>0</v>
      </c>
      <c r="AR60" s="117">
        <f t="shared" si="12"/>
        <v>0</v>
      </c>
      <c r="AS60" s="117">
        <f t="shared" si="13"/>
        <v>0</v>
      </c>
      <c r="AT60" s="117">
        <f t="shared" si="14"/>
        <v>0</v>
      </c>
      <c r="AU60" s="117">
        <f t="shared" si="15"/>
        <v>0</v>
      </c>
      <c r="AV60" s="117">
        <f t="shared" si="16"/>
        <v>0</v>
      </c>
      <c r="AW60" s="117">
        <f t="shared" si="17"/>
        <v>0</v>
      </c>
      <c r="AX60" s="117">
        <f t="shared" si="18"/>
        <v>0</v>
      </c>
      <c r="AY60" s="117">
        <f t="shared" si="19"/>
        <v>0</v>
      </c>
      <c r="AZ60" s="117">
        <f t="shared" si="20"/>
        <v>0</v>
      </c>
      <c r="BA60" s="117">
        <f t="shared" si="21"/>
        <v>0</v>
      </c>
      <c r="BB60" s="117">
        <f t="shared" si="22"/>
        <v>0</v>
      </c>
      <c r="BC60" s="117">
        <f t="shared" si="23"/>
        <v>0</v>
      </c>
      <c r="BD60" s="117">
        <f>(AB60*AD60)/AE61</f>
        <v>0</v>
      </c>
      <c r="BE60" s="107"/>
      <c r="BF60" s="107"/>
      <c r="BG60" s="107"/>
      <c r="BH60" s="107"/>
      <c r="BI60" s="107"/>
      <c r="BJ60" s="107"/>
      <c r="BK60" s="107"/>
      <c r="BL60" s="107"/>
    </row>
    <row r="61" spans="1:64" ht="15" x14ac:dyDescent="0.2">
      <c r="A61" s="378"/>
      <c r="B61" s="378"/>
      <c r="C61" s="111" t="s">
        <v>271</v>
      </c>
      <c r="D61" s="380"/>
      <c r="E61" s="111"/>
      <c r="F61" s="111"/>
      <c r="G61" s="111"/>
      <c r="H61" s="111"/>
      <c r="I61" s="111"/>
      <c r="J61" s="111"/>
      <c r="K61" s="111"/>
      <c r="L61" s="111">
        <f>450.56+99.88</f>
        <v>550.44000000000005</v>
      </c>
      <c r="M61" s="111"/>
      <c r="N61" s="111"/>
      <c r="O61" s="111"/>
      <c r="P61" s="111"/>
      <c r="Q61" s="111"/>
      <c r="R61" s="111"/>
      <c r="S61" s="111"/>
      <c r="T61" s="111"/>
      <c r="U61" s="111"/>
      <c r="V61" s="111"/>
      <c r="W61" s="111"/>
      <c r="X61" s="111"/>
      <c r="Y61" s="111"/>
      <c r="Z61" s="111"/>
      <c r="AA61" s="111"/>
      <c r="AB61" s="111"/>
      <c r="AC61" s="113" t="s">
        <v>270</v>
      </c>
      <c r="AD61" s="114">
        <f t="shared" si="0"/>
        <v>66</v>
      </c>
      <c r="AE61" s="115">
        <f>'1. SA ABA DE CARREGAMENTO'!$B$90</f>
        <v>22</v>
      </c>
      <c r="AF61" s="383"/>
      <c r="AG61" s="117">
        <f t="shared" si="1"/>
        <v>0</v>
      </c>
      <c r="AH61" s="117">
        <f t="shared" si="2"/>
        <v>0</v>
      </c>
      <c r="AI61" s="117">
        <f t="shared" si="3"/>
        <v>0</v>
      </c>
      <c r="AJ61" s="117">
        <f t="shared" si="4"/>
        <v>0</v>
      </c>
      <c r="AK61" s="117">
        <f t="shared" si="5"/>
        <v>0</v>
      </c>
      <c r="AL61" s="117">
        <f t="shared" si="25"/>
        <v>0</v>
      </c>
      <c r="AM61" s="117">
        <f t="shared" si="26"/>
        <v>0</v>
      </c>
      <c r="AN61" s="117">
        <f t="shared" si="8"/>
        <v>1651.32</v>
      </c>
      <c r="AO61" s="117">
        <f t="shared" si="9"/>
        <v>0</v>
      </c>
      <c r="AP61" s="117">
        <f t="shared" si="27"/>
        <v>0</v>
      </c>
      <c r="AQ61" s="117">
        <f t="shared" si="28"/>
        <v>0</v>
      </c>
      <c r="AR61" s="117">
        <f t="shared" si="12"/>
        <v>0</v>
      </c>
      <c r="AS61" s="117">
        <f t="shared" si="13"/>
        <v>0</v>
      </c>
      <c r="AT61" s="117">
        <f t="shared" si="14"/>
        <v>0</v>
      </c>
      <c r="AU61" s="117">
        <f t="shared" si="15"/>
        <v>0</v>
      </c>
      <c r="AV61" s="117">
        <f t="shared" si="16"/>
        <v>0</v>
      </c>
      <c r="AW61" s="117">
        <f t="shared" si="17"/>
        <v>0</v>
      </c>
      <c r="AX61" s="117">
        <f t="shared" si="18"/>
        <v>0</v>
      </c>
      <c r="AY61" s="117">
        <f t="shared" si="19"/>
        <v>0</v>
      </c>
      <c r="AZ61" s="117">
        <f t="shared" si="20"/>
        <v>0</v>
      </c>
      <c r="BA61" s="117">
        <f t="shared" si="21"/>
        <v>0</v>
      </c>
      <c r="BB61" s="117">
        <f t="shared" si="22"/>
        <v>0</v>
      </c>
      <c r="BC61" s="117">
        <f t="shared" si="23"/>
        <v>0</v>
      </c>
      <c r="BD61" s="117">
        <f t="shared" ref="BD61:BD67" si="30">(AB61*AD61)/AE68</f>
        <v>0</v>
      </c>
      <c r="BE61" s="107"/>
      <c r="BF61" s="107"/>
      <c r="BG61" s="107"/>
      <c r="BH61" s="107"/>
      <c r="BI61" s="107"/>
      <c r="BJ61" s="107"/>
      <c r="BK61" s="107"/>
      <c r="BL61" s="107"/>
    </row>
    <row r="62" spans="1:64" ht="15" x14ac:dyDescent="0.2">
      <c r="A62" s="378"/>
      <c r="B62" s="378"/>
      <c r="C62" s="111" t="s">
        <v>308</v>
      </c>
      <c r="D62" s="380"/>
      <c r="E62" s="111"/>
      <c r="F62" s="111">
        <v>4.8</v>
      </c>
      <c r="G62" s="111"/>
      <c r="H62" s="111"/>
      <c r="I62" s="111"/>
      <c r="J62" s="111"/>
      <c r="K62" s="111"/>
      <c r="L62" s="111"/>
      <c r="M62" s="111"/>
      <c r="N62" s="111"/>
      <c r="O62" s="111"/>
      <c r="P62" s="111"/>
      <c r="Q62" s="111"/>
      <c r="R62" s="111"/>
      <c r="S62" s="111"/>
      <c r="T62" s="111"/>
      <c r="U62" s="111"/>
      <c r="V62" s="111"/>
      <c r="W62" s="111"/>
      <c r="X62" s="111"/>
      <c r="Y62" s="111"/>
      <c r="Z62" s="111"/>
      <c r="AA62" s="111"/>
      <c r="AB62" s="111"/>
      <c r="AC62" s="113" t="s">
        <v>289</v>
      </c>
      <c r="AD62" s="114">
        <f t="shared" si="0"/>
        <v>22</v>
      </c>
      <c r="AE62" s="115">
        <f>'1. SA ABA DE CARREGAMENTO'!$B$90</f>
        <v>22</v>
      </c>
      <c r="AF62" s="383"/>
      <c r="AG62" s="117">
        <f t="shared" si="1"/>
        <v>0</v>
      </c>
      <c r="AH62" s="117">
        <f t="shared" si="2"/>
        <v>4.8</v>
      </c>
      <c r="AI62" s="117">
        <f t="shared" si="3"/>
        <v>0</v>
      </c>
      <c r="AJ62" s="117">
        <f t="shared" si="4"/>
        <v>0</v>
      </c>
      <c r="AK62" s="117">
        <f t="shared" si="5"/>
        <v>0</v>
      </c>
      <c r="AL62" s="117"/>
      <c r="AM62" s="117"/>
      <c r="AN62" s="117">
        <f t="shared" si="8"/>
        <v>0</v>
      </c>
      <c r="AO62" s="117">
        <f t="shared" si="9"/>
        <v>0</v>
      </c>
      <c r="AP62" s="117"/>
      <c r="AQ62" s="117"/>
      <c r="AR62" s="117">
        <f t="shared" si="12"/>
        <v>0</v>
      </c>
      <c r="AS62" s="117">
        <f t="shared" si="13"/>
        <v>0</v>
      </c>
      <c r="AT62" s="117">
        <f t="shared" si="14"/>
        <v>0</v>
      </c>
      <c r="AU62" s="117">
        <f t="shared" si="15"/>
        <v>0</v>
      </c>
      <c r="AV62" s="117">
        <f t="shared" si="16"/>
        <v>0</v>
      </c>
      <c r="AW62" s="117">
        <f t="shared" si="17"/>
        <v>0</v>
      </c>
      <c r="AX62" s="117">
        <f t="shared" si="18"/>
        <v>0</v>
      </c>
      <c r="AY62" s="117">
        <f t="shared" si="19"/>
        <v>0</v>
      </c>
      <c r="AZ62" s="117">
        <f t="shared" si="20"/>
        <v>0</v>
      </c>
      <c r="BA62" s="117">
        <f t="shared" si="21"/>
        <v>0</v>
      </c>
      <c r="BB62" s="117">
        <f t="shared" si="22"/>
        <v>0</v>
      </c>
      <c r="BC62" s="117">
        <f t="shared" si="23"/>
        <v>0</v>
      </c>
      <c r="BD62" s="117">
        <f t="shared" si="30"/>
        <v>0</v>
      </c>
      <c r="BE62" s="107"/>
      <c r="BF62" s="107"/>
      <c r="BG62" s="107"/>
      <c r="BH62" s="107"/>
      <c r="BI62" s="107"/>
      <c r="BJ62" s="107"/>
      <c r="BK62" s="107"/>
      <c r="BL62" s="107"/>
    </row>
    <row r="63" spans="1:64" ht="15" x14ac:dyDescent="0.2">
      <c r="A63" s="378"/>
      <c r="B63" s="378"/>
      <c r="C63" s="111" t="s">
        <v>317</v>
      </c>
      <c r="D63" s="380"/>
      <c r="E63" s="111"/>
      <c r="F63" s="111">
        <v>9.1999999999999993</v>
      </c>
      <c r="G63" s="111"/>
      <c r="H63" s="111"/>
      <c r="I63" s="111"/>
      <c r="J63" s="111"/>
      <c r="K63" s="111"/>
      <c r="L63" s="111"/>
      <c r="M63" s="111"/>
      <c r="N63" s="111"/>
      <c r="O63" s="111"/>
      <c r="P63" s="111"/>
      <c r="Q63" s="111"/>
      <c r="R63" s="111"/>
      <c r="S63" s="111"/>
      <c r="T63" s="111"/>
      <c r="U63" s="111"/>
      <c r="V63" s="111"/>
      <c r="W63" s="111"/>
      <c r="X63" s="111"/>
      <c r="Y63" s="111"/>
      <c r="Z63" s="111"/>
      <c r="AA63" s="111"/>
      <c r="AB63" s="111"/>
      <c r="AC63" s="113" t="s">
        <v>289</v>
      </c>
      <c r="AD63" s="114">
        <f t="shared" si="0"/>
        <v>22</v>
      </c>
      <c r="AE63" s="115">
        <f>'1. SA ABA DE CARREGAMENTO'!$B$90</f>
        <v>22</v>
      </c>
      <c r="AF63" s="383"/>
      <c r="AG63" s="117">
        <f t="shared" si="1"/>
        <v>0</v>
      </c>
      <c r="AH63" s="117">
        <f t="shared" si="2"/>
        <v>9.1999999999999993</v>
      </c>
      <c r="AI63" s="117">
        <f t="shared" si="3"/>
        <v>0</v>
      </c>
      <c r="AJ63" s="117">
        <f t="shared" si="4"/>
        <v>0</v>
      </c>
      <c r="AK63" s="117">
        <f t="shared" si="5"/>
        <v>0</v>
      </c>
      <c r="AL63" s="117"/>
      <c r="AM63" s="117"/>
      <c r="AN63" s="117">
        <f t="shared" si="8"/>
        <v>0</v>
      </c>
      <c r="AO63" s="117">
        <f t="shared" si="9"/>
        <v>0</v>
      </c>
      <c r="AP63" s="117"/>
      <c r="AQ63" s="117"/>
      <c r="AR63" s="117">
        <f t="shared" si="12"/>
        <v>0</v>
      </c>
      <c r="AS63" s="117">
        <f t="shared" si="13"/>
        <v>0</v>
      </c>
      <c r="AT63" s="117">
        <f t="shared" si="14"/>
        <v>0</v>
      </c>
      <c r="AU63" s="117">
        <f t="shared" si="15"/>
        <v>0</v>
      </c>
      <c r="AV63" s="117">
        <f t="shared" si="16"/>
        <v>0</v>
      </c>
      <c r="AW63" s="117">
        <f t="shared" si="17"/>
        <v>0</v>
      </c>
      <c r="AX63" s="117">
        <f t="shared" si="18"/>
        <v>0</v>
      </c>
      <c r="AY63" s="117">
        <f t="shared" si="19"/>
        <v>0</v>
      </c>
      <c r="AZ63" s="117">
        <f t="shared" si="20"/>
        <v>0</v>
      </c>
      <c r="BA63" s="117">
        <f t="shared" si="21"/>
        <v>0</v>
      </c>
      <c r="BB63" s="117">
        <f t="shared" si="22"/>
        <v>0</v>
      </c>
      <c r="BC63" s="117">
        <f t="shared" si="23"/>
        <v>0</v>
      </c>
      <c r="BD63" s="117">
        <f t="shared" si="30"/>
        <v>0</v>
      </c>
      <c r="BE63" s="107"/>
      <c r="BF63" s="107"/>
      <c r="BG63" s="107"/>
      <c r="BH63" s="107"/>
      <c r="BI63" s="107"/>
      <c r="BJ63" s="107"/>
      <c r="BK63" s="107"/>
      <c r="BL63" s="107"/>
    </row>
    <row r="64" spans="1:64" ht="15" x14ac:dyDescent="0.2">
      <c r="A64" s="378"/>
      <c r="B64" s="378"/>
      <c r="C64" s="111" t="s">
        <v>306</v>
      </c>
      <c r="D64" s="380"/>
      <c r="E64" s="111"/>
      <c r="F64" s="111">
        <f>63.36+63.36</f>
        <v>126.72</v>
      </c>
      <c r="G64" s="111"/>
      <c r="H64" s="111"/>
      <c r="I64" s="111"/>
      <c r="J64" s="111"/>
      <c r="K64" s="111"/>
      <c r="L64" s="111"/>
      <c r="M64" s="111"/>
      <c r="N64" s="111"/>
      <c r="O64" s="111"/>
      <c r="P64" s="111"/>
      <c r="Q64" s="111"/>
      <c r="R64" s="111"/>
      <c r="S64" s="111"/>
      <c r="T64" s="111"/>
      <c r="U64" s="111"/>
      <c r="V64" s="111"/>
      <c r="W64" s="111"/>
      <c r="X64" s="111"/>
      <c r="Y64" s="111"/>
      <c r="Z64" s="111"/>
      <c r="AA64" s="111"/>
      <c r="AB64" s="111"/>
      <c r="AC64" s="113" t="s">
        <v>289</v>
      </c>
      <c r="AD64" s="114">
        <f t="shared" si="0"/>
        <v>22</v>
      </c>
      <c r="AE64" s="115">
        <f>'1. SA ABA DE CARREGAMENTO'!$B$90</f>
        <v>22</v>
      </c>
      <c r="AF64" s="383"/>
      <c r="AG64" s="117">
        <f t="shared" si="1"/>
        <v>0</v>
      </c>
      <c r="AH64" s="117">
        <f t="shared" si="2"/>
        <v>126.72000000000001</v>
      </c>
      <c r="AI64" s="117">
        <f t="shared" si="3"/>
        <v>0</v>
      </c>
      <c r="AJ64" s="117">
        <f t="shared" si="4"/>
        <v>0</v>
      </c>
      <c r="AK64" s="117">
        <f t="shared" si="5"/>
        <v>0</v>
      </c>
      <c r="AL64" s="117"/>
      <c r="AM64" s="117"/>
      <c r="AN64" s="117">
        <f t="shared" si="8"/>
        <v>0</v>
      </c>
      <c r="AO64" s="117">
        <f t="shared" si="9"/>
        <v>0</v>
      </c>
      <c r="AP64" s="117"/>
      <c r="AQ64" s="117"/>
      <c r="AR64" s="117">
        <f t="shared" si="12"/>
        <v>0</v>
      </c>
      <c r="AS64" s="117">
        <f t="shared" si="13"/>
        <v>0</v>
      </c>
      <c r="AT64" s="117">
        <f t="shared" si="14"/>
        <v>0</v>
      </c>
      <c r="AU64" s="117">
        <f t="shared" si="15"/>
        <v>0</v>
      </c>
      <c r="AV64" s="117">
        <f t="shared" si="16"/>
        <v>0</v>
      </c>
      <c r="AW64" s="117">
        <f t="shared" si="17"/>
        <v>0</v>
      </c>
      <c r="AX64" s="117">
        <f t="shared" si="18"/>
        <v>0</v>
      </c>
      <c r="AY64" s="117">
        <f t="shared" si="19"/>
        <v>0</v>
      </c>
      <c r="AZ64" s="117">
        <f t="shared" si="20"/>
        <v>0</v>
      </c>
      <c r="BA64" s="117">
        <f t="shared" si="21"/>
        <v>0</v>
      </c>
      <c r="BB64" s="117">
        <f t="shared" si="22"/>
        <v>0</v>
      </c>
      <c r="BC64" s="117">
        <f t="shared" si="23"/>
        <v>0</v>
      </c>
      <c r="BD64" s="117">
        <f t="shared" si="30"/>
        <v>0</v>
      </c>
      <c r="BE64" s="107"/>
      <c r="BF64" s="107"/>
      <c r="BG64" s="107"/>
      <c r="BH64" s="107"/>
      <c r="BI64" s="107"/>
      <c r="BJ64" s="107"/>
      <c r="BK64" s="107"/>
      <c r="BL64" s="107"/>
    </row>
    <row r="65" spans="1:64" ht="15" x14ac:dyDescent="0.2">
      <c r="A65" s="378"/>
      <c r="B65" s="378"/>
      <c r="C65" s="111" t="s">
        <v>318</v>
      </c>
      <c r="D65" s="380"/>
      <c r="E65" s="111"/>
      <c r="F65" s="111">
        <v>15.84</v>
      </c>
      <c r="G65" s="111"/>
      <c r="H65" s="111"/>
      <c r="I65" s="111"/>
      <c r="J65" s="111"/>
      <c r="K65" s="111"/>
      <c r="L65" s="111"/>
      <c r="M65" s="111"/>
      <c r="N65" s="111"/>
      <c r="O65" s="111"/>
      <c r="P65" s="111"/>
      <c r="Q65" s="111"/>
      <c r="R65" s="111"/>
      <c r="S65" s="111"/>
      <c r="T65" s="111"/>
      <c r="U65" s="111"/>
      <c r="V65" s="111"/>
      <c r="W65" s="111"/>
      <c r="X65" s="111"/>
      <c r="Y65" s="111"/>
      <c r="Z65" s="111"/>
      <c r="AA65" s="111"/>
      <c r="AB65" s="111"/>
      <c r="AC65" s="113" t="s">
        <v>289</v>
      </c>
      <c r="AD65" s="114">
        <f t="shared" si="0"/>
        <v>22</v>
      </c>
      <c r="AE65" s="115">
        <f>'1. SA ABA DE CARREGAMENTO'!$B$90</f>
        <v>22</v>
      </c>
      <c r="AF65" s="383"/>
      <c r="AG65" s="117">
        <f t="shared" si="1"/>
        <v>0</v>
      </c>
      <c r="AH65" s="117">
        <f t="shared" si="2"/>
        <v>15.840000000000002</v>
      </c>
      <c r="AI65" s="117">
        <f t="shared" si="3"/>
        <v>0</v>
      </c>
      <c r="AJ65" s="117">
        <f t="shared" si="4"/>
        <v>0</v>
      </c>
      <c r="AK65" s="117">
        <f t="shared" si="5"/>
        <v>0</v>
      </c>
      <c r="AL65" s="117"/>
      <c r="AM65" s="117"/>
      <c r="AN65" s="117">
        <f t="shared" si="8"/>
        <v>0</v>
      </c>
      <c r="AO65" s="117">
        <f t="shared" si="9"/>
        <v>0</v>
      </c>
      <c r="AP65" s="117"/>
      <c r="AQ65" s="117"/>
      <c r="AR65" s="117">
        <f t="shared" si="12"/>
        <v>0</v>
      </c>
      <c r="AS65" s="117">
        <f t="shared" si="13"/>
        <v>0</v>
      </c>
      <c r="AT65" s="117">
        <f t="shared" si="14"/>
        <v>0</v>
      </c>
      <c r="AU65" s="117">
        <f t="shared" si="15"/>
        <v>0</v>
      </c>
      <c r="AV65" s="117">
        <f t="shared" si="16"/>
        <v>0</v>
      </c>
      <c r="AW65" s="117">
        <f t="shared" si="17"/>
        <v>0</v>
      </c>
      <c r="AX65" s="117">
        <f t="shared" si="18"/>
        <v>0</v>
      </c>
      <c r="AY65" s="117">
        <f t="shared" si="19"/>
        <v>0</v>
      </c>
      <c r="AZ65" s="117">
        <f t="shared" si="20"/>
        <v>0</v>
      </c>
      <c r="BA65" s="117">
        <f t="shared" si="21"/>
        <v>0</v>
      </c>
      <c r="BB65" s="117">
        <f t="shared" si="22"/>
        <v>0</v>
      </c>
      <c r="BC65" s="117">
        <f t="shared" si="23"/>
        <v>0</v>
      </c>
      <c r="BD65" s="117">
        <f t="shared" si="30"/>
        <v>0</v>
      </c>
      <c r="BE65" s="107"/>
      <c r="BF65" s="107"/>
      <c r="BG65" s="107"/>
      <c r="BH65" s="107"/>
      <c r="BI65" s="107"/>
      <c r="BJ65" s="107"/>
      <c r="BK65" s="107"/>
      <c r="BL65" s="107"/>
    </row>
    <row r="66" spans="1:64" ht="15" x14ac:dyDescent="0.2">
      <c r="A66" s="378"/>
      <c r="B66" s="378"/>
      <c r="C66" s="111" t="s">
        <v>319</v>
      </c>
      <c r="D66" s="380"/>
      <c r="E66" s="111"/>
      <c r="F66" s="111">
        <v>12.97</v>
      </c>
      <c r="G66" s="111"/>
      <c r="H66" s="111"/>
      <c r="I66" s="111"/>
      <c r="J66" s="111"/>
      <c r="K66" s="111"/>
      <c r="L66" s="111"/>
      <c r="M66" s="111"/>
      <c r="N66" s="111"/>
      <c r="O66" s="111"/>
      <c r="P66" s="111"/>
      <c r="Q66" s="111"/>
      <c r="R66" s="111"/>
      <c r="S66" s="111"/>
      <c r="T66" s="111"/>
      <c r="U66" s="111"/>
      <c r="V66" s="111"/>
      <c r="W66" s="111"/>
      <c r="X66" s="111"/>
      <c r="Y66" s="111"/>
      <c r="Z66" s="111"/>
      <c r="AA66" s="111"/>
      <c r="AB66" s="111"/>
      <c r="AC66" s="113" t="s">
        <v>289</v>
      </c>
      <c r="AD66" s="114">
        <f t="shared" si="0"/>
        <v>22</v>
      </c>
      <c r="AE66" s="115">
        <f>'1. SA ABA DE CARREGAMENTO'!$B$90</f>
        <v>22</v>
      </c>
      <c r="AF66" s="383"/>
      <c r="AG66" s="117">
        <f t="shared" si="1"/>
        <v>0</v>
      </c>
      <c r="AH66" s="117">
        <f t="shared" si="2"/>
        <v>12.97</v>
      </c>
      <c r="AI66" s="117">
        <f t="shared" si="3"/>
        <v>0</v>
      </c>
      <c r="AJ66" s="117">
        <f t="shared" si="4"/>
        <v>0</v>
      </c>
      <c r="AK66" s="117">
        <f t="shared" si="5"/>
        <v>0</v>
      </c>
      <c r="AL66" s="117"/>
      <c r="AM66" s="117"/>
      <c r="AN66" s="117">
        <f t="shared" si="8"/>
        <v>0</v>
      </c>
      <c r="AO66" s="117">
        <f t="shared" si="9"/>
        <v>0</v>
      </c>
      <c r="AP66" s="117"/>
      <c r="AQ66" s="117"/>
      <c r="AR66" s="117">
        <f t="shared" si="12"/>
        <v>0</v>
      </c>
      <c r="AS66" s="117">
        <f t="shared" si="13"/>
        <v>0</v>
      </c>
      <c r="AT66" s="117">
        <f t="shared" si="14"/>
        <v>0</v>
      </c>
      <c r="AU66" s="117">
        <f t="shared" si="15"/>
        <v>0</v>
      </c>
      <c r="AV66" s="117">
        <f t="shared" si="16"/>
        <v>0</v>
      </c>
      <c r="AW66" s="117">
        <f t="shared" si="17"/>
        <v>0</v>
      </c>
      <c r="AX66" s="117">
        <f t="shared" si="18"/>
        <v>0</v>
      </c>
      <c r="AY66" s="117">
        <f t="shared" si="19"/>
        <v>0</v>
      </c>
      <c r="AZ66" s="117">
        <f t="shared" si="20"/>
        <v>0</v>
      </c>
      <c r="BA66" s="117">
        <f t="shared" si="21"/>
        <v>0</v>
      </c>
      <c r="BB66" s="117">
        <f t="shared" si="22"/>
        <v>0</v>
      </c>
      <c r="BC66" s="117">
        <f t="shared" si="23"/>
        <v>0</v>
      </c>
      <c r="BD66" s="117">
        <f t="shared" si="30"/>
        <v>0</v>
      </c>
      <c r="BE66" s="107"/>
      <c r="BF66" s="107"/>
      <c r="BG66" s="107"/>
      <c r="BH66" s="107"/>
      <c r="BI66" s="107"/>
      <c r="BJ66" s="107"/>
      <c r="BK66" s="107"/>
      <c r="BL66" s="107"/>
    </row>
    <row r="67" spans="1:64" ht="15" x14ac:dyDescent="0.2">
      <c r="A67" s="378"/>
      <c r="B67" s="378"/>
      <c r="C67" s="111" t="s">
        <v>320</v>
      </c>
      <c r="D67" s="380"/>
      <c r="E67" s="111"/>
      <c r="F67" s="111">
        <v>48.97</v>
      </c>
      <c r="G67" s="111"/>
      <c r="H67" s="111"/>
      <c r="I67" s="111"/>
      <c r="J67" s="111"/>
      <c r="K67" s="111"/>
      <c r="L67" s="111"/>
      <c r="M67" s="111"/>
      <c r="N67" s="111"/>
      <c r="O67" s="111"/>
      <c r="P67" s="111"/>
      <c r="Q67" s="111"/>
      <c r="R67" s="111"/>
      <c r="S67" s="111"/>
      <c r="T67" s="111"/>
      <c r="U67" s="111"/>
      <c r="V67" s="111"/>
      <c r="W67" s="111"/>
      <c r="X67" s="111"/>
      <c r="Y67" s="111"/>
      <c r="Z67" s="111"/>
      <c r="AA67" s="111"/>
      <c r="AB67" s="111"/>
      <c r="AC67" s="113" t="s">
        <v>289</v>
      </c>
      <c r="AD67" s="114">
        <f t="shared" si="0"/>
        <v>22</v>
      </c>
      <c r="AE67" s="115">
        <f>'1. SA ABA DE CARREGAMENTO'!$B$90</f>
        <v>22</v>
      </c>
      <c r="AF67" s="383"/>
      <c r="AG67" s="117">
        <f t="shared" si="1"/>
        <v>0</v>
      </c>
      <c r="AH67" s="117">
        <f t="shared" si="2"/>
        <v>48.97</v>
      </c>
      <c r="AI67" s="117">
        <f t="shared" si="3"/>
        <v>0</v>
      </c>
      <c r="AJ67" s="117">
        <f t="shared" si="4"/>
        <v>0</v>
      </c>
      <c r="AK67" s="117">
        <f t="shared" si="5"/>
        <v>0</v>
      </c>
      <c r="AL67" s="117"/>
      <c r="AM67" s="117"/>
      <c r="AN67" s="117">
        <f t="shared" si="8"/>
        <v>0</v>
      </c>
      <c r="AO67" s="117">
        <f t="shared" si="9"/>
        <v>0</v>
      </c>
      <c r="AP67" s="117"/>
      <c r="AQ67" s="117"/>
      <c r="AR67" s="117">
        <f t="shared" si="12"/>
        <v>0</v>
      </c>
      <c r="AS67" s="117">
        <f t="shared" si="13"/>
        <v>0</v>
      </c>
      <c r="AT67" s="117">
        <f t="shared" si="14"/>
        <v>0</v>
      </c>
      <c r="AU67" s="117">
        <f t="shared" si="15"/>
        <v>0</v>
      </c>
      <c r="AV67" s="117">
        <f t="shared" si="16"/>
        <v>0</v>
      </c>
      <c r="AW67" s="117">
        <f t="shared" si="17"/>
        <v>0</v>
      </c>
      <c r="AX67" s="117">
        <f t="shared" si="18"/>
        <v>0</v>
      </c>
      <c r="AY67" s="117">
        <f t="shared" si="19"/>
        <v>0</v>
      </c>
      <c r="AZ67" s="117">
        <f t="shared" si="20"/>
        <v>0</v>
      </c>
      <c r="BA67" s="117">
        <f t="shared" si="21"/>
        <v>0</v>
      </c>
      <c r="BB67" s="117">
        <f t="shared" si="22"/>
        <v>0</v>
      </c>
      <c r="BC67" s="117">
        <f t="shared" si="23"/>
        <v>0</v>
      </c>
      <c r="BD67" s="117">
        <f t="shared" si="30"/>
        <v>0</v>
      </c>
      <c r="BE67" s="107"/>
      <c r="BF67" s="107"/>
      <c r="BG67" s="107"/>
      <c r="BH67" s="107"/>
      <c r="BI67" s="107"/>
      <c r="BJ67" s="107"/>
      <c r="BK67" s="107"/>
      <c r="BL67" s="107"/>
    </row>
    <row r="68" spans="1:64" ht="12.75" customHeight="1" x14ac:dyDescent="0.2">
      <c r="A68" s="378"/>
      <c r="B68" s="378"/>
      <c r="C68" s="111" t="s">
        <v>274</v>
      </c>
      <c r="D68" s="380"/>
      <c r="E68" s="111"/>
      <c r="F68" s="111"/>
      <c r="G68" s="111"/>
      <c r="H68" s="111"/>
      <c r="I68" s="111"/>
      <c r="J68" s="111"/>
      <c r="K68" s="111"/>
      <c r="L68" s="111"/>
      <c r="M68" s="111"/>
      <c r="N68" s="111"/>
      <c r="O68" s="111"/>
      <c r="P68" s="111"/>
      <c r="Q68" s="111"/>
      <c r="R68" s="111"/>
      <c r="S68" s="111"/>
      <c r="T68" s="111"/>
      <c r="U68" s="111">
        <v>118.02</v>
      </c>
      <c r="V68" s="111">
        <v>156.80000000000001</v>
      </c>
      <c r="W68" s="111"/>
      <c r="X68" s="111"/>
      <c r="Y68" s="111"/>
      <c r="Z68" s="111"/>
      <c r="AA68" s="111"/>
      <c r="AB68" s="111"/>
      <c r="AC68" s="113" t="s">
        <v>275</v>
      </c>
      <c r="AD68" s="114">
        <f t="shared" si="0"/>
        <v>0.17</v>
      </c>
      <c r="AE68" s="115">
        <f>'1. SA ABA DE CARREGAMENTO'!B90</f>
        <v>22</v>
      </c>
      <c r="AF68" s="383"/>
      <c r="AG68" s="117">
        <f t="shared" si="1"/>
        <v>0</v>
      </c>
      <c r="AH68" s="117">
        <f t="shared" si="2"/>
        <v>0</v>
      </c>
      <c r="AI68" s="117">
        <f t="shared" si="3"/>
        <v>0</v>
      </c>
      <c r="AJ68" s="117">
        <f t="shared" si="4"/>
        <v>0</v>
      </c>
      <c r="AK68" s="117">
        <f t="shared" si="5"/>
        <v>0</v>
      </c>
      <c r="AL68" s="117">
        <f t="shared" ref="AL68:AL131" si="31">(J68*AD68)/AE68</f>
        <v>0</v>
      </c>
      <c r="AM68" s="117">
        <f t="shared" ref="AM68:AM131" si="32">(K68*AD68)/AE68</f>
        <v>0</v>
      </c>
      <c r="AN68" s="117">
        <f t="shared" si="8"/>
        <v>0</v>
      </c>
      <c r="AO68" s="117">
        <f t="shared" si="9"/>
        <v>0</v>
      </c>
      <c r="AP68" s="117">
        <f t="shared" ref="AP68:AP131" si="33">(N68*AD68)/AE68</f>
        <v>0</v>
      </c>
      <c r="AQ68" s="117">
        <f t="shared" ref="AQ68:AQ131" si="34">(O68*AD68)/AE68</f>
        <v>0</v>
      </c>
      <c r="AR68" s="117">
        <f t="shared" si="12"/>
        <v>0</v>
      </c>
      <c r="AS68" s="117">
        <f t="shared" si="13"/>
        <v>0</v>
      </c>
      <c r="AT68" s="117">
        <f t="shared" si="14"/>
        <v>0</v>
      </c>
      <c r="AU68" s="117">
        <f t="shared" si="15"/>
        <v>0</v>
      </c>
      <c r="AV68" s="117">
        <f t="shared" si="16"/>
        <v>0</v>
      </c>
      <c r="AW68" s="117">
        <f t="shared" si="17"/>
        <v>0.91197272727272738</v>
      </c>
      <c r="AX68" s="117">
        <f t="shared" si="18"/>
        <v>1.2116363636363638</v>
      </c>
      <c r="AY68" s="117">
        <f t="shared" si="19"/>
        <v>0</v>
      </c>
      <c r="AZ68" s="117">
        <f t="shared" si="20"/>
        <v>0</v>
      </c>
      <c r="BA68" s="117">
        <f t="shared" si="21"/>
        <v>0</v>
      </c>
      <c r="BB68" s="117">
        <f t="shared" si="22"/>
        <v>0</v>
      </c>
      <c r="BC68" s="117">
        <f t="shared" si="23"/>
        <v>0</v>
      </c>
      <c r="BD68" s="117">
        <f>(AB68*AD68)/AE69</f>
        <v>0</v>
      </c>
      <c r="BE68" s="107"/>
      <c r="BF68" s="107"/>
      <c r="BG68" s="107"/>
      <c r="BH68" s="107"/>
      <c r="BI68" s="107"/>
      <c r="BJ68" s="107"/>
      <c r="BK68" s="107"/>
      <c r="BL68" s="107"/>
    </row>
    <row r="69" spans="1:64" ht="12.75" customHeight="1" x14ac:dyDescent="0.2">
      <c r="A69" s="378"/>
      <c r="B69" s="378"/>
      <c r="C69" s="111" t="s">
        <v>276</v>
      </c>
      <c r="D69" s="380"/>
      <c r="E69" s="111"/>
      <c r="F69" s="111"/>
      <c r="G69" s="111"/>
      <c r="H69" s="111"/>
      <c r="I69" s="111"/>
      <c r="J69" s="111"/>
      <c r="K69" s="111"/>
      <c r="L69" s="111"/>
      <c r="M69" s="111"/>
      <c r="N69" s="111"/>
      <c r="O69" s="111"/>
      <c r="P69" s="111"/>
      <c r="Q69" s="111"/>
      <c r="R69" s="111"/>
      <c r="S69" s="111"/>
      <c r="T69" s="111"/>
      <c r="U69" s="111"/>
      <c r="V69" s="111"/>
      <c r="W69" s="111">
        <f>24+274.82</f>
        <v>298.82</v>
      </c>
      <c r="X69" s="111"/>
      <c r="Y69" s="111"/>
      <c r="Z69" s="111"/>
      <c r="AA69" s="111"/>
      <c r="AB69" s="111"/>
      <c r="AC69" s="113" t="s">
        <v>277</v>
      </c>
      <c r="AD69" s="114">
        <f t="shared" si="0"/>
        <v>8</v>
      </c>
      <c r="AE69" s="115">
        <f>'1. SA ABA DE CARREGAMENTO'!B90</f>
        <v>22</v>
      </c>
      <c r="AF69" s="383"/>
      <c r="AG69" s="117">
        <f t="shared" si="1"/>
        <v>0</v>
      </c>
      <c r="AH69" s="117">
        <f t="shared" si="2"/>
        <v>0</v>
      </c>
      <c r="AI69" s="117">
        <f t="shared" si="3"/>
        <v>0</v>
      </c>
      <c r="AJ69" s="117">
        <f t="shared" si="4"/>
        <v>0</v>
      </c>
      <c r="AK69" s="117">
        <f t="shared" si="5"/>
        <v>0</v>
      </c>
      <c r="AL69" s="117">
        <f t="shared" si="31"/>
        <v>0</v>
      </c>
      <c r="AM69" s="117">
        <f t="shared" si="32"/>
        <v>0</v>
      </c>
      <c r="AN69" s="117">
        <f t="shared" si="8"/>
        <v>0</v>
      </c>
      <c r="AO69" s="117">
        <f t="shared" si="9"/>
        <v>0</v>
      </c>
      <c r="AP69" s="117">
        <f t="shared" si="33"/>
        <v>0</v>
      </c>
      <c r="AQ69" s="117">
        <f t="shared" si="34"/>
        <v>0</v>
      </c>
      <c r="AR69" s="117">
        <f t="shared" si="12"/>
        <v>0</v>
      </c>
      <c r="AS69" s="117">
        <f t="shared" si="13"/>
        <v>0</v>
      </c>
      <c r="AT69" s="117">
        <f t="shared" si="14"/>
        <v>0</v>
      </c>
      <c r="AU69" s="117">
        <f t="shared" si="15"/>
        <v>0</v>
      </c>
      <c r="AV69" s="117">
        <f t="shared" si="16"/>
        <v>0</v>
      </c>
      <c r="AW69" s="117">
        <f t="shared" si="17"/>
        <v>0</v>
      </c>
      <c r="AX69" s="117">
        <f t="shared" si="18"/>
        <v>0</v>
      </c>
      <c r="AY69" s="117">
        <f t="shared" si="19"/>
        <v>108.66181818181818</v>
      </c>
      <c r="AZ69" s="117">
        <f t="shared" si="20"/>
        <v>0</v>
      </c>
      <c r="BA69" s="117">
        <f t="shared" si="21"/>
        <v>0</v>
      </c>
      <c r="BB69" s="117">
        <f t="shared" si="22"/>
        <v>0</v>
      </c>
      <c r="BC69" s="117">
        <f t="shared" si="23"/>
        <v>0</v>
      </c>
      <c r="BD69" s="117">
        <f>(AB69*AD69)/AE70</f>
        <v>0</v>
      </c>
      <c r="BE69" s="107"/>
      <c r="BF69" s="107"/>
      <c r="BG69" s="107"/>
      <c r="BH69" s="107"/>
      <c r="BI69" s="107"/>
      <c r="BJ69" s="107"/>
      <c r="BK69" s="107"/>
      <c r="BL69" s="107"/>
    </row>
    <row r="70" spans="1:64" ht="12.75" customHeight="1" x14ac:dyDescent="0.2">
      <c r="A70" s="378"/>
      <c r="B70" s="378"/>
      <c r="C70" s="111" t="s">
        <v>278</v>
      </c>
      <c r="D70" s="380"/>
      <c r="E70" s="111"/>
      <c r="F70" s="111"/>
      <c r="G70" s="111"/>
      <c r="H70" s="111"/>
      <c r="I70" s="111"/>
      <c r="J70" s="111"/>
      <c r="K70" s="111"/>
      <c r="L70" s="111"/>
      <c r="M70" s="111"/>
      <c r="N70" s="111"/>
      <c r="O70" s="111"/>
      <c r="P70" s="111"/>
      <c r="Q70" s="111"/>
      <c r="R70" s="111"/>
      <c r="S70" s="111"/>
      <c r="T70" s="111"/>
      <c r="U70" s="111"/>
      <c r="V70" s="111"/>
      <c r="W70" s="111"/>
      <c r="X70" s="111"/>
      <c r="Y70" s="111"/>
      <c r="Z70" s="111">
        <v>70.92</v>
      </c>
      <c r="AA70" s="111"/>
      <c r="AB70" s="111"/>
      <c r="AC70" s="113" t="s">
        <v>270</v>
      </c>
      <c r="AD70" s="114">
        <f t="shared" si="0"/>
        <v>66</v>
      </c>
      <c r="AE70" s="115">
        <f>'1. SA ABA DE CARREGAMENTO'!B90</f>
        <v>22</v>
      </c>
      <c r="AF70" s="383"/>
      <c r="AG70" s="117">
        <f t="shared" si="1"/>
        <v>0</v>
      </c>
      <c r="AH70" s="117">
        <f t="shared" si="2"/>
        <v>0</v>
      </c>
      <c r="AI70" s="117">
        <f t="shared" si="3"/>
        <v>0</v>
      </c>
      <c r="AJ70" s="117">
        <f t="shared" si="4"/>
        <v>0</v>
      </c>
      <c r="AK70" s="117">
        <f t="shared" si="5"/>
        <v>0</v>
      </c>
      <c r="AL70" s="117">
        <f t="shared" si="31"/>
        <v>0</v>
      </c>
      <c r="AM70" s="117">
        <f t="shared" si="32"/>
        <v>0</v>
      </c>
      <c r="AN70" s="117">
        <f t="shared" si="8"/>
        <v>0</v>
      </c>
      <c r="AO70" s="117">
        <f t="shared" si="9"/>
        <v>0</v>
      </c>
      <c r="AP70" s="117">
        <f t="shared" si="33"/>
        <v>0</v>
      </c>
      <c r="AQ70" s="117">
        <f t="shared" si="34"/>
        <v>0</v>
      </c>
      <c r="AR70" s="117">
        <f t="shared" si="12"/>
        <v>0</v>
      </c>
      <c r="AS70" s="117">
        <f t="shared" si="13"/>
        <v>0</v>
      </c>
      <c r="AT70" s="117">
        <f t="shared" si="14"/>
        <v>0</v>
      </c>
      <c r="AU70" s="117">
        <f t="shared" si="15"/>
        <v>0</v>
      </c>
      <c r="AV70" s="117">
        <f t="shared" si="16"/>
        <v>0</v>
      </c>
      <c r="AW70" s="117">
        <f t="shared" si="17"/>
        <v>0</v>
      </c>
      <c r="AX70" s="117">
        <f t="shared" si="18"/>
        <v>0</v>
      </c>
      <c r="AY70" s="117">
        <f t="shared" si="19"/>
        <v>0</v>
      </c>
      <c r="AZ70" s="117">
        <f t="shared" si="20"/>
        <v>0</v>
      </c>
      <c r="BA70" s="117">
        <f t="shared" si="21"/>
        <v>0</v>
      </c>
      <c r="BB70" s="117">
        <f t="shared" si="22"/>
        <v>212.76000000000002</v>
      </c>
      <c r="BC70" s="117">
        <f t="shared" si="23"/>
        <v>0</v>
      </c>
      <c r="BD70" s="117">
        <f>(AB70*AD70)/AE71</f>
        <v>0</v>
      </c>
      <c r="BE70" s="107"/>
      <c r="BF70" s="107"/>
      <c r="BG70" s="107"/>
      <c r="BH70" s="107"/>
      <c r="BI70" s="107"/>
      <c r="BJ70" s="107"/>
      <c r="BK70" s="107"/>
      <c r="BL70" s="107"/>
    </row>
    <row r="71" spans="1:64" ht="12.75" customHeight="1" x14ac:dyDescent="0.2">
      <c r="A71" s="378"/>
      <c r="B71" s="378"/>
      <c r="C71" s="111" t="s">
        <v>280</v>
      </c>
      <c r="D71" s="380"/>
      <c r="E71" s="111"/>
      <c r="F71" s="111"/>
      <c r="G71" s="111"/>
      <c r="H71" s="111"/>
      <c r="I71" s="111"/>
      <c r="J71" s="111"/>
      <c r="K71" s="111"/>
      <c r="L71" s="111"/>
      <c r="M71" s="111"/>
      <c r="N71" s="111"/>
      <c r="O71" s="111"/>
      <c r="P71" s="111"/>
      <c r="Q71" s="111"/>
      <c r="R71" s="111"/>
      <c r="S71" s="111"/>
      <c r="T71" s="111"/>
      <c r="U71" s="111"/>
      <c r="V71" s="111"/>
      <c r="W71" s="111"/>
      <c r="X71" s="111"/>
      <c r="Y71" s="111"/>
      <c r="Z71" s="111"/>
      <c r="AA71" s="111">
        <v>187.12</v>
      </c>
      <c r="AB71" s="111"/>
      <c r="AC71" s="113" t="s">
        <v>281</v>
      </c>
      <c r="AD71" s="114">
        <f t="shared" si="0"/>
        <v>4.33</v>
      </c>
      <c r="AE71" s="115">
        <f>'1. SA ABA DE CARREGAMENTO'!B90</f>
        <v>22</v>
      </c>
      <c r="AF71" s="383"/>
      <c r="AG71" s="117">
        <f t="shared" si="1"/>
        <v>0</v>
      </c>
      <c r="AH71" s="117">
        <f t="shared" si="2"/>
        <v>0</v>
      </c>
      <c r="AI71" s="117">
        <f t="shared" si="3"/>
        <v>0</v>
      </c>
      <c r="AJ71" s="117">
        <f t="shared" si="4"/>
        <v>0</v>
      </c>
      <c r="AK71" s="117">
        <f t="shared" si="5"/>
        <v>0</v>
      </c>
      <c r="AL71" s="117">
        <f t="shared" si="31"/>
        <v>0</v>
      </c>
      <c r="AM71" s="117">
        <f t="shared" si="32"/>
        <v>0</v>
      </c>
      <c r="AN71" s="117">
        <f t="shared" si="8"/>
        <v>0</v>
      </c>
      <c r="AO71" s="117">
        <f t="shared" si="9"/>
        <v>0</v>
      </c>
      <c r="AP71" s="117">
        <f t="shared" si="33"/>
        <v>0</v>
      </c>
      <c r="AQ71" s="117">
        <f t="shared" si="34"/>
        <v>0</v>
      </c>
      <c r="AR71" s="117">
        <f t="shared" si="12"/>
        <v>0</v>
      </c>
      <c r="AS71" s="117">
        <f t="shared" si="13"/>
        <v>0</v>
      </c>
      <c r="AT71" s="117">
        <f t="shared" si="14"/>
        <v>0</v>
      </c>
      <c r="AU71" s="117">
        <f t="shared" si="15"/>
        <v>0</v>
      </c>
      <c r="AV71" s="117">
        <f t="shared" si="16"/>
        <v>0</v>
      </c>
      <c r="AW71" s="117">
        <f t="shared" si="17"/>
        <v>0</v>
      </c>
      <c r="AX71" s="117">
        <f t="shared" si="18"/>
        <v>0</v>
      </c>
      <c r="AY71" s="117">
        <f t="shared" si="19"/>
        <v>0</v>
      </c>
      <c r="AZ71" s="117">
        <f t="shared" si="20"/>
        <v>0</v>
      </c>
      <c r="BA71" s="117">
        <f t="shared" si="21"/>
        <v>0</v>
      </c>
      <c r="BB71" s="117">
        <f t="shared" si="22"/>
        <v>0</v>
      </c>
      <c r="BC71" s="117">
        <f t="shared" si="23"/>
        <v>36.828618181818179</v>
      </c>
      <c r="BD71" s="117">
        <f>(AB71*AD71)/AE72</f>
        <v>0</v>
      </c>
      <c r="BE71" s="107"/>
      <c r="BF71" s="107"/>
      <c r="BG71" s="107"/>
      <c r="BH71" s="107"/>
      <c r="BI71" s="107"/>
      <c r="BJ71" s="107"/>
      <c r="BK71" s="107"/>
      <c r="BL71" s="107"/>
    </row>
    <row r="72" spans="1:64" ht="12.75" customHeight="1" x14ac:dyDescent="0.2">
      <c r="A72" s="378"/>
      <c r="B72" s="378"/>
      <c r="C72" s="111" t="s">
        <v>282</v>
      </c>
      <c r="D72" s="380"/>
      <c r="E72" s="111"/>
      <c r="F72" s="111"/>
      <c r="G72" s="111"/>
      <c r="H72" s="111"/>
      <c r="I72" s="111"/>
      <c r="J72" s="111"/>
      <c r="K72" s="111"/>
      <c r="L72" s="111"/>
      <c r="M72" s="111"/>
      <c r="N72" s="111"/>
      <c r="O72" s="111"/>
      <c r="P72" s="111"/>
      <c r="Q72" s="111"/>
      <c r="R72" s="111"/>
      <c r="S72" s="111"/>
      <c r="T72" s="111"/>
      <c r="U72" s="111"/>
      <c r="V72" s="111"/>
      <c r="W72" s="111"/>
      <c r="X72" s="111"/>
      <c r="Y72" s="111"/>
      <c r="Z72" s="111"/>
      <c r="AA72" s="111"/>
      <c r="AB72" s="111">
        <v>70.92</v>
      </c>
      <c r="AC72" s="113" t="s">
        <v>281</v>
      </c>
      <c r="AD72" s="114">
        <f t="shared" ref="AD72:AD135" si="35">IF(AC72="DIÁRIA",AE72,IF(AC72="2xDIA",(AE72*2),IF(AC72="3xDIA",(AE72*3),IF(AC72="4xDIA",(AE72*4),IF(AC72="5xDIA",(AE72*5),IF(AC72="6xDIA",(AE72*6),IF(AC72="SEMANAL",4.33,IF(AC72="2xSEMANA",8,IF(AC72="3xSEMANA",12,IF(AC72="QUINZENAL",2,IF(AC72="MENSAL",1,IF(AC72="BIMESTRAL",0.5,IF(AC72="TRIMESTRAL",0.33,IF(AC72="SEMESTRAL",0.17,0))))))))))))))</f>
        <v>4.33</v>
      </c>
      <c r="AE72" s="115">
        <f>'1. SA ABA DE CARREGAMENTO'!B90</f>
        <v>22</v>
      </c>
      <c r="AF72" s="383"/>
      <c r="AG72" s="117">
        <f t="shared" ref="AG72:AG135" si="36">(E72*AD72)/AE72</f>
        <v>0</v>
      </c>
      <c r="AH72" s="117">
        <f t="shared" ref="AH72:AH135" si="37">(F72*AD72)/AE72</f>
        <v>0</v>
      </c>
      <c r="AI72" s="117">
        <f t="shared" ref="AI72:AI135" si="38">(G72*AD72)/AE72</f>
        <v>0</v>
      </c>
      <c r="AJ72" s="117">
        <f t="shared" ref="AJ72:AJ135" si="39">(H72*AD72)/AE72</f>
        <v>0</v>
      </c>
      <c r="AK72" s="117">
        <f t="shared" ref="AK72:AK135" si="40">(I72*AD72)/AE72</f>
        <v>0</v>
      </c>
      <c r="AL72" s="117">
        <f t="shared" si="31"/>
        <v>0</v>
      </c>
      <c r="AM72" s="117">
        <f t="shared" si="32"/>
        <v>0</v>
      </c>
      <c r="AN72" s="117">
        <f t="shared" ref="AN72:AN135" si="41">(L72*AD72)/AE72</f>
        <v>0</v>
      </c>
      <c r="AO72" s="117">
        <f t="shared" ref="AO72:AO135" si="42">(M72*AD72)/AE72</f>
        <v>0</v>
      </c>
      <c r="AP72" s="117">
        <f t="shared" si="33"/>
        <v>0</v>
      </c>
      <c r="AQ72" s="117">
        <f t="shared" si="34"/>
        <v>0</v>
      </c>
      <c r="AR72" s="117">
        <f t="shared" ref="AR72:AR135" si="43">(P72*AD72)/AE72</f>
        <v>0</v>
      </c>
      <c r="AS72" s="117">
        <f t="shared" ref="AS72:AS135" si="44">(Q72*AD72)/AE72</f>
        <v>0</v>
      </c>
      <c r="AT72" s="117">
        <f t="shared" ref="AT72:AT135" si="45">(R72*AD72)/AE72</f>
        <v>0</v>
      </c>
      <c r="AU72" s="117">
        <f t="shared" ref="AU72:AU135" si="46">(S72*AD72)/AE72</f>
        <v>0</v>
      </c>
      <c r="AV72" s="117">
        <f t="shared" ref="AV72:AV135" si="47">(T72*AD72)/AE72</f>
        <v>0</v>
      </c>
      <c r="AW72" s="117">
        <f t="shared" ref="AW72:AW135" si="48">(U72*AD72)/AE72</f>
        <v>0</v>
      </c>
      <c r="AX72" s="117">
        <f t="shared" ref="AX72:AX135" si="49">(V72*AD72)/AE72</f>
        <v>0</v>
      </c>
      <c r="AY72" s="117">
        <f t="shared" ref="AY72:AY135" si="50">(W72*AD72)/AE72</f>
        <v>0</v>
      </c>
      <c r="AZ72" s="117">
        <f t="shared" ref="AZ72:AZ135" si="51">(X72*AD72)/AE72</f>
        <v>0</v>
      </c>
      <c r="BA72" s="117">
        <f t="shared" ref="BA72:BA135" si="52">(Y72*AD72)/AE72</f>
        <v>0</v>
      </c>
      <c r="BB72" s="117">
        <f t="shared" ref="BB72:BB135" si="53">(Z72*AD72)/AE72</f>
        <v>0</v>
      </c>
      <c r="BC72" s="117">
        <f t="shared" ref="BC72:BC135" si="54">(AA72*AD72)/AE72</f>
        <v>0</v>
      </c>
      <c r="BD72" s="117">
        <f>(AB72*AD72)/AE73</f>
        <v>13.958345454545453</v>
      </c>
      <c r="BE72" s="107"/>
      <c r="BF72" s="107"/>
      <c r="BG72" s="107"/>
      <c r="BH72" s="107"/>
      <c r="BI72" s="107"/>
      <c r="BJ72" s="107"/>
      <c r="BK72" s="107"/>
      <c r="BL72" s="107"/>
    </row>
    <row r="73" spans="1:64" ht="15" customHeight="1" x14ac:dyDescent="0.2">
      <c r="A73" s="376">
        <v>7</v>
      </c>
      <c r="B73" s="375" t="s">
        <v>321</v>
      </c>
      <c r="C73" s="106" t="s">
        <v>322</v>
      </c>
      <c r="D73" s="384">
        <f>SUM(E73:AB77)</f>
        <v>573.6</v>
      </c>
      <c r="E73" s="106"/>
      <c r="F73" s="106">
        <v>60</v>
      </c>
      <c r="G73" s="106"/>
      <c r="H73" s="106"/>
      <c r="I73" s="106"/>
      <c r="J73" s="106"/>
      <c r="K73" s="106"/>
      <c r="L73" s="106"/>
      <c r="M73" s="106"/>
      <c r="N73" s="106"/>
      <c r="O73" s="106"/>
      <c r="P73" s="106"/>
      <c r="Q73" s="106"/>
      <c r="R73" s="106"/>
      <c r="S73" s="106"/>
      <c r="T73" s="106"/>
      <c r="U73" s="106"/>
      <c r="V73" s="106"/>
      <c r="W73" s="106"/>
      <c r="X73" s="106"/>
      <c r="Y73" s="106"/>
      <c r="Z73" s="106"/>
      <c r="AA73" s="106"/>
      <c r="AB73" s="106"/>
      <c r="AC73" s="106" t="s">
        <v>270</v>
      </c>
      <c r="AD73" s="110">
        <f t="shared" si="35"/>
        <v>66</v>
      </c>
      <c r="AE73" s="108">
        <f>'1. SA ABA DE CARREGAMENTO'!B90</f>
        <v>22</v>
      </c>
      <c r="AF73" s="385">
        <f>SUM(AG73:BD77)</f>
        <v>1334.9734545454546</v>
      </c>
      <c r="AG73" s="109">
        <f t="shared" si="36"/>
        <v>0</v>
      </c>
      <c r="AH73" s="109">
        <f t="shared" si="37"/>
        <v>180</v>
      </c>
      <c r="AI73" s="109">
        <f t="shared" si="38"/>
        <v>0</v>
      </c>
      <c r="AJ73" s="109">
        <f t="shared" si="39"/>
        <v>0</v>
      </c>
      <c r="AK73" s="109">
        <f t="shared" si="40"/>
        <v>0</v>
      </c>
      <c r="AL73" s="109">
        <f t="shared" si="31"/>
        <v>0</v>
      </c>
      <c r="AM73" s="109">
        <f t="shared" si="32"/>
        <v>0</v>
      </c>
      <c r="AN73" s="109">
        <f t="shared" si="41"/>
        <v>0</v>
      </c>
      <c r="AO73" s="109">
        <f t="shared" si="42"/>
        <v>0</v>
      </c>
      <c r="AP73" s="109">
        <f t="shared" si="33"/>
        <v>0</v>
      </c>
      <c r="AQ73" s="109">
        <f t="shared" si="34"/>
        <v>0</v>
      </c>
      <c r="AR73" s="109">
        <f t="shared" si="43"/>
        <v>0</v>
      </c>
      <c r="AS73" s="109">
        <f t="shared" si="44"/>
        <v>0</v>
      </c>
      <c r="AT73" s="109">
        <f t="shared" si="45"/>
        <v>0</v>
      </c>
      <c r="AU73" s="109">
        <f t="shared" si="46"/>
        <v>0</v>
      </c>
      <c r="AV73" s="109">
        <f t="shared" si="47"/>
        <v>0</v>
      </c>
      <c r="AW73" s="109">
        <f t="shared" si="48"/>
        <v>0</v>
      </c>
      <c r="AX73" s="109">
        <f t="shared" si="49"/>
        <v>0</v>
      </c>
      <c r="AY73" s="109">
        <f t="shared" si="50"/>
        <v>0</v>
      </c>
      <c r="AZ73" s="109">
        <f t="shared" si="51"/>
        <v>0</v>
      </c>
      <c r="BA73" s="109">
        <f t="shared" si="52"/>
        <v>0</v>
      </c>
      <c r="BB73" s="109">
        <f t="shared" si="53"/>
        <v>0</v>
      </c>
      <c r="BC73" s="109">
        <f t="shared" si="54"/>
        <v>0</v>
      </c>
      <c r="BD73" s="109">
        <f t="shared" ref="BD73:BD136" si="55">(AB73*AD73)/AE73</f>
        <v>0</v>
      </c>
      <c r="BE73" s="107"/>
      <c r="BF73" s="107"/>
      <c r="BG73" s="107"/>
      <c r="BH73" s="107"/>
      <c r="BI73" s="107"/>
      <c r="BJ73" s="107"/>
      <c r="BK73" s="107"/>
      <c r="BL73" s="107"/>
    </row>
    <row r="74" spans="1:64" ht="30" x14ac:dyDescent="0.2">
      <c r="A74" s="376"/>
      <c r="B74" s="375"/>
      <c r="C74" s="106" t="s">
        <v>323</v>
      </c>
      <c r="D74" s="384"/>
      <c r="E74" s="106"/>
      <c r="F74" s="106">
        <v>301.5</v>
      </c>
      <c r="G74" s="106"/>
      <c r="H74" s="106"/>
      <c r="I74" s="106"/>
      <c r="J74" s="106"/>
      <c r="K74" s="106"/>
      <c r="L74" s="106"/>
      <c r="M74" s="106"/>
      <c r="N74" s="106"/>
      <c r="O74" s="106"/>
      <c r="P74" s="106"/>
      <c r="Q74" s="106"/>
      <c r="R74" s="106"/>
      <c r="S74" s="106"/>
      <c r="T74" s="106"/>
      <c r="U74" s="106"/>
      <c r="V74" s="106"/>
      <c r="W74" s="106"/>
      <c r="X74" s="106"/>
      <c r="Y74" s="106"/>
      <c r="Z74" s="106"/>
      <c r="AA74" s="106"/>
      <c r="AB74" s="106"/>
      <c r="AC74" s="106" t="s">
        <v>270</v>
      </c>
      <c r="AD74" s="110">
        <f t="shared" si="35"/>
        <v>66</v>
      </c>
      <c r="AE74" s="108">
        <f>'1. SA ABA DE CARREGAMENTO'!B90</f>
        <v>22</v>
      </c>
      <c r="AF74" s="385"/>
      <c r="AG74" s="109">
        <f t="shared" si="36"/>
        <v>0</v>
      </c>
      <c r="AH74" s="109">
        <f t="shared" si="37"/>
        <v>904.5</v>
      </c>
      <c r="AI74" s="109">
        <f t="shared" si="38"/>
        <v>0</v>
      </c>
      <c r="AJ74" s="109">
        <f t="shared" si="39"/>
        <v>0</v>
      </c>
      <c r="AK74" s="109">
        <f t="shared" si="40"/>
        <v>0</v>
      </c>
      <c r="AL74" s="109">
        <f t="shared" si="31"/>
        <v>0</v>
      </c>
      <c r="AM74" s="109">
        <f t="shared" si="32"/>
        <v>0</v>
      </c>
      <c r="AN74" s="109">
        <f t="shared" si="41"/>
        <v>0</v>
      </c>
      <c r="AO74" s="109">
        <f t="shared" si="42"/>
        <v>0</v>
      </c>
      <c r="AP74" s="109">
        <f t="shared" si="33"/>
        <v>0</v>
      </c>
      <c r="AQ74" s="109">
        <f t="shared" si="34"/>
        <v>0</v>
      </c>
      <c r="AR74" s="109">
        <f t="shared" si="43"/>
        <v>0</v>
      </c>
      <c r="AS74" s="109">
        <f t="shared" si="44"/>
        <v>0</v>
      </c>
      <c r="AT74" s="109">
        <f t="shared" si="45"/>
        <v>0</v>
      </c>
      <c r="AU74" s="109">
        <f t="shared" si="46"/>
        <v>0</v>
      </c>
      <c r="AV74" s="109">
        <f t="shared" si="47"/>
        <v>0</v>
      </c>
      <c r="AW74" s="109">
        <f t="shared" si="48"/>
        <v>0</v>
      </c>
      <c r="AX74" s="109">
        <f t="shared" si="49"/>
        <v>0</v>
      </c>
      <c r="AY74" s="109">
        <f t="shared" si="50"/>
        <v>0</v>
      </c>
      <c r="AZ74" s="109">
        <f t="shared" si="51"/>
        <v>0</v>
      </c>
      <c r="BA74" s="109">
        <f t="shared" si="52"/>
        <v>0</v>
      </c>
      <c r="BB74" s="109">
        <f t="shared" si="53"/>
        <v>0</v>
      </c>
      <c r="BC74" s="109">
        <f t="shared" si="54"/>
        <v>0</v>
      </c>
      <c r="BD74" s="109">
        <f t="shared" si="55"/>
        <v>0</v>
      </c>
      <c r="BE74" s="107"/>
      <c r="BF74" s="107"/>
      <c r="BG74" s="107"/>
      <c r="BH74" s="107"/>
      <c r="BI74" s="107"/>
      <c r="BJ74" s="107"/>
      <c r="BK74" s="107"/>
      <c r="BL74" s="107"/>
    </row>
    <row r="75" spans="1:64" ht="12.75" customHeight="1" x14ac:dyDescent="0.2">
      <c r="A75" s="376"/>
      <c r="B75" s="375"/>
      <c r="C75" s="106" t="s">
        <v>271</v>
      </c>
      <c r="D75" s="384"/>
      <c r="E75" s="106"/>
      <c r="F75" s="106"/>
      <c r="G75" s="106"/>
      <c r="H75" s="106"/>
      <c r="I75" s="106"/>
      <c r="J75" s="106"/>
      <c r="K75" s="106"/>
      <c r="L75" s="106">
        <v>74.5</v>
      </c>
      <c r="M75" s="106"/>
      <c r="N75" s="106"/>
      <c r="O75" s="106"/>
      <c r="P75" s="106"/>
      <c r="Q75" s="106"/>
      <c r="R75" s="106"/>
      <c r="S75" s="106"/>
      <c r="T75" s="106"/>
      <c r="U75" s="106"/>
      <c r="V75" s="106"/>
      <c r="W75" s="106"/>
      <c r="X75" s="106"/>
      <c r="Y75" s="106"/>
      <c r="Z75" s="106"/>
      <c r="AA75" s="106"/>
      <c r="AB75" s="106"/>
      <c r="AC75" s="106" t="s">
        <v>270</v>
      </c>
      <c r="AD75" s="110">
        <f t="shared" si="35"/>
        <v>66</v>
      </c>
      <c r="AE75" s="108">
        <f>'1. SA ABA DE CARREGAMENTO'!B90</f>
        <v>22</v>
      </c>
      <c r="AF75" s="385"/>
      <c r="AG75" s="109">
        <f t="shared" si="36"/>
        <v>0</v>
      </c>
      <c r="AH75" s="109">
        <f t="shared" si="37"/>
        <v>0</v>
      </c>
      <c r="AI75" s="109">
        <f t="shared" si="38"/>
        <v>0</v>
      </c>
      <c r="AJ75" s="109">
        <f t="shared" si="39"/>
        <v>0</v>
      </c>
      <c r="AK75" s="109">
        <f t="shared" si="40"/>
        <v>0</v>
      </c>
      <c r="AL75" s="109">
        <f t="shared" si="31"/>
        <v>0</v>
      </c>
      <c r="AM75" s="109">
        <f t="shared" si="32"/>
        <v>0</v>
      </c>
      <c r="AN75" s="109">
        <f t="shared" si="41"/>
        <v>223.5</v>
      </c>
      <c r="AO75" s="109">
        <f t="shared" si="42"/>
        <v>0</v>
      </c>
      <c r="AP75" s="109">
        <f t="shared" si="33"/>
        <v>0</v>
      </c>
      <c r="AQ75" s="109">
        <f t="shared" si="34"/>
        <v>0</v>
      </c>
      <c r="AR75" s="109">
        <f t="shared" si="43"/>
        <v>0</v>
      </c>
      <c r="AS75" s="109">
        <f t="shared" si="44"/>
        <v>0</v>
      </c>
      <c r="AT75" s="109">
        <f t="shared" si="45"/>
        <v>0</v>
      </c>
      <c r="AU75" s="109">
        <f t="shared" si="46"/>
        <v>0</v>
      </c>
      <c r="AV75" s="109">
        <f t="shared" si="47"/>
        <v>0</v>
      </c>
      <c r="AW75" s="109">
        <f t="shared" si="48"/>
        <v>0</v>
      </c>
      <c r="AX75" s="109">
        <f t="shared" si="49"/>
        <v>0</v>
      </c>
      <c r="AY75" s="109">
        <f t="shared" si="50"/>
        <v>0</v>
      </c>
      <c r="AZ75" s="109">
        <f t="shared" si="51"/>
        <v>0</v>
      </c>
      <c r="BA75" s="109">
        <f t="shared" si="52"/>
        <v>0</v>
      </c>
      <c r="BB75" s="109">
        <f t="shared" si="53"/>
        <v>0</v>
      </c>
      <c r="BC75" s="109">
        <f t="shared" si="54"/>
        <v>0</v>
      </c>
      <c r="BD75" s="109">
        <f t="shared" si="55"/>
        <v>0</v>
      </c>
      <c r="BE75" s="107"/>
      <c r="BF75" s="107"/>
      <c r="BG75" s="107"/>
      <c r="BH75" s="107"/>
      <c r="BI75" s="107"/>
      <c r="BJ75" s="107"/>
      <c r="BK75" s="107"/>
      <c r="BL75" s="107"/>
    </row>
    <row r="76" spans="1:64" ht="12.75" customHeight="1" x14ac:dyDescent="0.2">
      <c r="A76" s="376"/>
      <c r="B76" s="375"/>
      <c r="C76" s="106" t="s">
        <v>274</v>
      </c>
      <c r="D76" s="384"/>
      <c r="E76" s="106"/>
      <c r="F76" s="106"/>
      <c r="G76" s="106"/>
      <c r="H76" s="106"/>
      <c r="I76" s="106"/>
      <c r="J76" s="106"/>
      <c r="K76" s="106"/>
      <c r="L76" s="106"/>
      <c r="M76" s="106"/>
      <c r="N76" s="106"/>
      <c r="O76" s="106"/>
      <c r="P76" s="106"/>
      <c r="Q76" s="106"/>
      <c r="R76" s="106"/>
      <c r="S76" s="106"/>
      <c r="T76" s="106"/>
      <c r="U76" s="106"/>
      <c r="V76" s="106">
        <v>64.8</v>
      </c>
      <c r="W76" s="106"/>
      <c r="X76" s="106"/>
      <c r="Y76" s="106"/>
      <c r="Z76" s="106"/>
      <c r="AA76" s="106"/>
      <c r="AB76" s="106"/>
      <c r="AC76" s="106" t="s">
        <v>275</v>
      </c>
      <c r="AD76" s="110">
        <f t="shared" si="35"/>
        <v>0.17</v>
      </c>
      <c r="AE76" s="108">
        <f>'1. SA ABA DE CARREGAMENTO'!B90</f>
        <v>22</v>
      </c>
      <c r="AF76" s="385"/>
      <c r="AG76" s="109">
        <f t="shared" si="36"/>
        <v>0</v>
      </c>
      <c r="AH76" s="109">
        <f t="shared" si="37"/>
        <v>0</v>
      </c>
      <c r="AI76" s="109">
        <f t="shared" si="38"/>
        <v>0</v>
      </c>
      <c r="AJ76" s="109">
        <f t="shared" si="39"/>
        <v>0</v>
      </c>
      <c r="AK76" s="109">
        <f t="shared" si="40"/>
        <v>0</v>
      </c>
      <c r="AL76" s="109">
        <f t="shared" si="31"/>
        <v>0</v>
      </c>
      <c r="AM76" s="109">
        <f t="shared" si="32"/>
        <v>0</v>
      </c>
      <c r="AN76" s="109">
        <f t="shared" si="41"/>
        <v>0</v>
      </c>
      <c r="AO76" s="109">
        <f t="shared" si="42"/>
        <v>0</v>
      </c>
      <c r="AP76" s="109">
        <f t="shared" si="33"/>
        <v>0</v>
      </c>
      <c r="AQ76" s="109">
        <f t="shared" si="34"/>
        <v>0</v>
      </c>
      <c r="AR76" s="109">
        <f t="shared" si="43"/>
        <v>0</v>
      </c>
      <c r="AS76" s="109">
        <f t="shared" si="44"/>
        <v>0</v>
      </c>
      <c r="AT76" s="109">
        <f t="shared" si="45"/>
        <v>0</v>
      </c>
      <c r="AU76" s="109">
        <f t="shared" si="46"/>
        <v>0</v>
      </c>
      <c r="AV76" s="109">
        <f t="shared" si="47"/>
        <v>0</v>
      </c>
      <c r="AW76" s="109">
        <f t="shared" si="48"/>
        <v>0</v>
      </c>
      <c r="AX76" s="109">
        <f t="shared" si="49"/>
        <v>0.50072727272727269</v>
      </c>
      <c r="AY76" s="109">
        <f t="shared" si="50"/>
        <v>0</v>
      </c>
      <c r="AZ76" s="109">
        <f t="shared" si="51"/>
        <v>0</v>
      </c>
      <c r="BA76" s="109">
        <f t="shared" si="52"/>
        <v>0</v>
      </c>
      <c r="BB76" s="109">
        <f t="shared" si="53"/>
        <v>0</v>
      </c>
      <c r="BC76" s="109">
        <f t="shared" si="54"/>
        <v>0</v>
      </c>
      <c r="BD76" s="109">
        <f t="shared" si="55"/>
        <v>0</v>
      </c>
      <c r="BE76" s="107"/>
      <c r="BF76" s="107"/>
      <c r="BG76" s="107"/>
      <c r="BH76" s="107"/>
      <c r="BI76" s="107"/>
      <c r="BJ76" s="107"/>
      <c r="BK76" s="107"/>
      <c r="BL76" s="107"/>
    </row>
    <row r="77" spans="1:64" ht="12.75" customHeight="1" x14ac:dyDescent="0.2">
      <c r="A77" s="376"/>
      <c r="B77" s="375"/>
      <c r="C77" s="106" t="s">
        <v>276</v>
      </c>
      <c r="D77" s="384"/>
      <c r="E77" s="106"/>
      <c r="F77" s="106"/>
      <c r="G77" s="106"/>
      <c r="H77" s="106"/>
      <c r="I77" s="106"/>
      <c r="J77" s="106"/>
      <c r="K77" s="106"/>
      <c r="L77" s="106"/>
      <c r="M77" s="106"/>
      <c r="N77" s="106"/>
      <c r="O77" s="106"/>
      <c r="P77" s="106"/>
      <c r="Q77" s="106"/>
      <c r="R77" s="106"/>
      <c r="S77" s="106"/>
      <c r="T77" s="106"/>
      <c r="U77" s="106"/>
      <c r="V77" s="106"/>
      <c r="W77" s="106">
        <f>8+64.8</f>
        <v>72.8</v>
      </c>
      <c r="X77" s="106"/>
      <c r="Y77" s="106"/>
      <c r="Z77" s="106"/>
      <c r="AA77" s="106"/>
      <c r="AB77" s="106"/>
      <c r="AC77" s="106" t="s">
        <v>277</v>
      </c>
      <c r="AD77" s="110">
        <f t="shared" si="35"/>
        <v>8</v>
      </c>
      <c r="AE77" s="108">
        <f>'1. SA ABA DE CARREGAMENTO'!B90</f>
        <v>22</v>
      </c>
      <c r="AF77" s="385"/>
      <c r="AG77" s="109">
        <f t="shared" si="36"/>
        <v>0</v>
      </c>
      <c r="AH77" s="109">
        <f t="shared" si="37"/>
        <v>0</v>
      </c>
      <c r="AI77" s="109">
        <f t="shared" si="38"/>
        <v>0</v>
      </c>
      <c r="AJ77" s="109">
        <f t="shared" si="39"/>
        <v>0</v>
      </c>
      <c r="AK77" s="109">
        <f t="shared" si="40"/>
        <v>0</v>
      </c>
      <c r="AL77" s="109">
        <f t="shared" si="31"/>
        <v>0</v>
      </c>
      <c r="AM77" s="109">
        <f t="shared" si="32"/>
        <v>0</v>
      </c>
      <c r="AN77" s="109">
        <f t="shared" si="41"/>
        <v>0</v>
      </c>
      <c r="AO77" s="109">
        <f t="shared" si="42"/>
        <v>0</v>
      </c>
      <c r="AP77" s="109">
        <f t="shared" si="33"/>
        <v>0</v>
      </c>
      <c r="AQ77" s="109">
        <f t="shared" si="34"/>
        <v>0</v>
      </c>
      <c r="AR77" s="109">
        <f t="shared" si="43"/>
        <v>0</v>
      </c>
      <c r="AS77" s="109">
        <f t="shared" si="44"/>
        <v>0</v>
      </c>
      <c r="AT77" s="109">
        <f t="shared" si="45"/>
        <v>0</v>
      </c>
      <c r="AU77" s="109">
        <f t="shared" si="46"/>
        <v>0</v>
      </c>
      <c r="AV77" s="109">
        <f t="shared" si="47"/>
        <v>0</v>
      </c>
      <c r="AW77" s="109">
        <f t="shared" si="48"/>
        <v>0</v>
      </c>
      <c r="AX77" s="109">
        <f t="shared" si="49"/>
        <v>0</v>
      </c>
      <c r="AY77" s="109">
        <f t="shared" si="50"/>
        <v>26.472727272727273</v>
      </c>
      <c r="AZ77" s="109">
        <f t="shared" si="51"/>
        <v>0</v>
      </c>
      <c r="BA77" s="109">
        <f t="shared" si="52"/>
        <v>0</v>
      </c>
      <c r="BB77" s="109">
        <f t="shared" si="53"/>
        <v>0</v>
      </c>
      <c r="BC77" s="109">
        <f t="shared" si="54"/>
        <v>0</v>
      </c>
      <c r="BD77" s="109">
        <f t="shared" si="55"/>
        <v>0</v>
      </c>
      <c r="BE77" s="107"/>
      <c r="BF77" s="107"/>
      <c r="BG77" s="107"/>
      <c r="BH77" s="107"/>
      <c r="BI77" s="107"/>
      <c r="BJ77" s="107"/>
      <c r="BK77" s="107"/>
      <c r="BL77" s="107"/>
    </row>
    <row r="78" spans="1:64" ht="30" customHeight="1" x14ac:dyDescent="0.2">
      <c r="A78" s="378">
        <v>8</v>
      </c>
      <c r="B78" s="379" t="s">
        <v>324</v>
      </c>
      <c r="C78" s="111" t="s">
        <v>325</v>
      </c>
      <c r="D78" s="380">
        <f>SUM(E78:AB92)</f>
        <v>2577.6899999999991</v>
      </c>
      <c r="E78" s="111"/>
      <c r="F78" s="111">
        <v>44.49</v>
      </c>
      <c r="G78" s="111"/>
      <c r="H78" s="111"/>
      <c r="I78" s="111"/>
      <c r="J78" s="111"/>
      <c r="K78" s="111"/>
      <c r="L78" s="111"/>
      <c r="M78" s="111"/>
      <c r="N78" s="111"/>
      <c r="O78" s="111"/>
      <c r="P78" s="111"/>
      <c r="Q78" s="111"/>
      <c r="R78" s="111"/>
      <c r="S78" s="111"/>
      <c r="T78" s="111"/>
      <c r="U78" s="111"/>
      <c r="V78" s="111"/>
      <c r="W78" s="111"/>
      <c r="X78" s="111"/>
      <c r="Y78" s="111"/>
      <c r="Z78" s="111"/>
      <c r="AA78" s="111"/>
      <c r="AB78" s="111"/>
      <c r="AC78" s="113" t="s">
        <v>289</v>
      </c>
      <c r="AD78" s="114">
        <f t="shared" si="35"/>
        <v>22</v>
      </c>
      <c r="AE78" s="115">
        <f>'1. SA ABA DE CARREGAMENTO'!B90</f>
        <v>22</v>
      </c>
      <c r="AF78" s="383">
        <f>SUM(AG78:BD92)</f>
        <v>647.99234545454556</v>
      </c>
      <c r="AG78" s="117">
        <f t="shared" si="36"/>
        <v>0</v>
      </c>
      <c r="AH78" s="117">
        <f t="shared" si="37"/>
        <v>44.49</v>
      </c>
      <c r="AI78" s="117">
        <f t="shared" si="38"/>
        <v>0</v>
      </c>
      <c r="AJ78" s="117">
        <f t="shared" si="39"/>
        <v>0</v>
      </c>
      <c r="AK78" s="117">
        <f t="shared" si="40"/>
        <v>0</v>
      </c>
      <c r="AL78" s="117">
        <f t="shared" si="31"/>
        <v>0</v>
      </c>
      <c r="AM78" s="117">
        <f t="shared" si="32"/>
        <v>0</v>
      </c>
      <c r="AN78" s="117">
        <f t="shared" si="41"/>
        <v>0</v>
      </c>
      <c r="AO78" s="117">
        <f t="shared" si="42"/>
        <v>0</v>
      </c>
      <c r="AP78" s="117">
        <f t="shared" si="33"/>
        <v>0</v>
      </c>
      <c r="AQ78" s="117">
        <f t="shared" si="34"/>
        <v>0</v>
      </c>
      <c r="AR78" s="117">
        <f t="shared" si="43"/>
        <v>0</v>
      </c>
      <c r="AS78" s="117">
        <f t="shared" si="44"/>
        <v>0</v>
      </c>
      <c r="AT78" s="117">
        <f t="shared" si="45"/>
        <v>0</v>
      </c>
      <c r="AU78" s="117">
        <f t="shared" si="46"/>
        <v>0</v>
      </c>
      <c r="AV78" s="117">
        <f t="shared" si="47"/>
        <v>0</v>
      </c>
      <c r="AW78" s="117">
        <f t="shared" si="48"/>
        <v>0</v>
      </c>
      <c r="AX78" s="117">
        <f t="shared" si="49"/>
        <v>0</v>
      </c>
      <c r="AY78" s="117">
        <f t="shared" si="50"/>
        <v>0</v>
      </c>
      <c r="AZ78" s="117">
        <f t="shared" si="51"/>
        <v>0</v>
      </c>
      <c r="BA78" s="117">
        <f t="shared" si="52"/>
        <v>0</v>
      </c>
      <c r="BB78" s="117">
        <f t="shared" si="53"/>
        <v>0</v>
      </c>
      <c r="BC78" s="117">
        <f t="shared" si="54"/>
        <v>0</v>
      </c>
      <c r="BD78" s="112">
        <f t="shared" si="55"/>
        <v>0</v>
      </c>
      <c r="BE78" s="107"/>
      <c r="BF78" s="107"/>
      <c r="BG78" s="107"/>
      <c r="BH78" s="107"/>
      <c r="BI78" s="107"/>
      <c r="BJ78" s="107"/>
      <c r="BK78" s="107"/>
      <c r="BL78" s="107"/>
    </row>
    <row r="79" spans="1:64" ht="15" x14ac:dyDescent="0.2">
      <c r="A79" s="378"/>
      <c r="B79" s="378"/>
      <c r="C79" s="111" t="s">
        <v>326</v>
      </c>
      <c r="D79" s="380"/>
      <c r="E79" s="111">
        <v>720</v>
      </c>
      <c r="F79" s="111"/>
      <c r="G79" s="111"/>
      <c r="H79" s="111"/>
      <c r="I79" s="111"/>
      <c r="J79" s="111"/>
      <c r="K79" s="111"/>
      <c r="L79" s="111"/>
      <c r="M79" s="111"/>
      <c r="N79" s="111"/>
      <c r="O79" s="111"/>
      <c r="P79" s="111"/>
      <c r="Q79" s="111"/>
      <c r="R79" s="111"/>
      <c r="S79" s="111"/>
      <c r="T79" s="111"/>
      <c r="U79" s="111"/>
      <c r="V79" s="111"/>
      <c r="W79" s="111"/>
      <c r="X79" s="111"/>
      <c r="Y79" s="111"/>
      <c r="Z79" s="111"/>
      <c r="AA79" s="111"/>
      <c r="AB79" s="111"/>
      <c r="AC79" s="113" t="s">
        <v>281</v>
      </c>
      <c r="AD79" s="114">
        <f t="shared" si="35"/>
        <v>4.33</v>
      </c>
      <c r="AE79" s="115">
        <f>'1. SA ABA DE CARREGAMENTO'!B90</f>
        <v>22</v>
      </c>
      <c r="AF79" s="383"/>
      <c r="AG79" s="117">
        <f t="shared" si="36"/>
        <v>141.70909090909092</v>
      </c>
      <c r="AH79" s="117">
        <f t="shared" si="37"/>
        <v>0</v>
      </c>
      <c r="AI79" s="117">
        <f t="shared" si="38"/>
        <v>0</v>
      </c>
      <c r="AJ79" s="117">
        <f t="shared" si="39"/>
        <v>0</v>
      </c>
      <c r="AK79" s="117">
        <f t="shared" si="40"/>
        <v>0</v>
      </c>
      <c r="AL79" s="117">
        <f t="shared" si="31"/>
        <v>0</v>
      </c>
      <c r="AM79" s="117">
        <f t="shared" si="32"/>
        <v>0</v>
      </c>
      <c r="AN79" s="117">
        <f t="shared" si="41"/>
        <v>0</v>
      </c>
      <c r="AO79" s="117">
        <f t="shared" si="42"/>
        <v>0</v>
      </c>
      <c r="AP79" s="117">
        <f t="shared" si="33"/>
        <v>0</v>
      </c>
      <c r="AQ79" s="117">
        <f t="shared" si="34"/>
        <v>0</v>
      </c>
      <c r="AR79" s="117">
        <f t="shared" si="43"/>
        <v>0</v>
      </c>
      <c r="AS79" s="117">
        <f t="shared" si="44"/>
        <v>0</v>
      </c>
      <c r="AT79" s="117">
        <f t="shared" si="45"/>
        <v>0</v>
      </c>
      <c r="AU79" s="117">
        <f t="shared" si="46"/>
        <v>0</v>
      </c>
      <c r="AV79" s="117">
        <f t="shared" si="47"/>
        <v>0</v>
      </c>
      <c r="AW79" s="117">
        <f t="shared" si="48"/>
        <v>0</v>
      </c>
      <c r="AX79" s="117">
        <f t="shared" si="49"/>
        <v>0</v>
      </c>
      <c r="AY79" s="117">
        <f t="shared" si="50"/>
        <v>0</v>
      </c>
      <c r="AZ79" s="117">
        <f t="shared" si="51"/>
        <v>0</v>
      </c>
      <c r="BA79" s="117">
        <f t="shared" si="52"/>
        <v>0</v>
      </c>
      <c r="BB79" s="117">
        <f t="shared" si="53"/>
        <v>0</v>
      </c>
      <c r="BC79" s="117">
        <f t="shared" si="54"/>
        <v>0</v>
      </c>
      <c r="BD79" s="112">
        <f t="shared" si="55"/>
        <v>0</v>
      </c>
      <c r="BE79" s="107"/>
      <c r="BF79" s="107"/>
      <c r="BG79" s="107"/>
      <c r="BH79" s="107"/>
      <c r="BI79" s="107"/>
      <c r="BJ79" s="107"/>
      <c r="BK79" s="107"/>
      <c r="BL79" s="107"/>
    </row>
    <row r="80" spans="1:64" ht="15" x14ac:dyDescent="0.2">
      <c r="A80" s="378"/>
      <c r="B80" s="378"/>
      <c r="C80" s="111" t="s">
        <v>327</v>
      </c>
      <c r="D80" s="380"/>
      <c r="E80" s="111"/>
      <c r="F80" s="111">
        <v>480</v>
      </c>
      <c r="G80" s="111"/>
      <c r="H80" s="111"/>
      <c r="I80" s="111"/>
      <c r="J80" s="111"/>
      <c r="K80" s="111"/>
      <c r="L80" s="111"/>
      <c r="M80" s="111"/>
      <c r="N80" s="111"/>
      <c r="O80" s="111"/>
      <c r="P80" s="111"/>
      <c r="Q80" s="111"/>
      <c r="R80" s="111"/>
      <c r="S80" s="111"/>
      <c r="T80" s="111"/>
      <c r="U80" s="111"/>
      <c r="V80" s="111"/>
      <c r="W80" s="111"/>
      <c r="X80" s="111"/>
      <c r="Y80" s="111"/>
      <c r="Z80" s="111"/>
      <c r="AA80" s="111"/>
      <c r="AB80" s="111"/>
      <c r="AC80" s="113" t="s">
        <v>281</v>
      </c>
      <c r="AD80" s="114">
        <f t="shared" si="35"/>
        <v>4.33</v>
      </c>
      <c r="AE80" s="115">
        <f>'1. SA ABA DE CARREGAMENTO'!B90</f>
        <v>22</v>
      </c>
      <c r="AF80" s="383"/>
      <c r="AG80" s="117">
        <f t="shared" si="36"/>
        <v>0</v>
      </c>
      <c r="AH80" s="117">
        <f t="shared" si="37"/>
        <v>94.472727272727283</v>
      </c>
      <c r="AI80" s="117">
        <f t="shared" si="38"/>
        <v>0</v>
      </c>
      <c r="AJ80" s="117">
        <f t="shared" si="39"/>
        <v>0</v>
      </c>
      <c r="AK80" s="117">
        <f t="shared" si="40"/>
        <v>0</v>
      </c>
      <c r="AL80" s="117">
        <f t="shared" si="31"/>
        <v>0</v>
      </c>
      <c r="AM80" s="117">
        <f t="shared" si="32"/>
        <v>0</v>
      </c>
      <c r="AN80" s="117">
        <f t="shared" si="41"/>
        <v>0</v>
      </c>
      <c r="AO80" s="117">
        <f t="shared" si="42"/>
        <v>0</v>
      </c>
      <c r="AP80" s="117">
        <f t="shared" si="33"/>
        <v>0</v>
      </c>
      <c r="AQ80" s="117">
        <f t="shared" si="34"/>
        <v>0</v>
      </c>
      <c r="AR80" s="117">
        <f t="shared" si="43"/>
        <v>0</v>
      </c>
      <c r="AS80" s="117">
        <f t="shared" si="44"/>
        <v>0</v>
      </c>
      <c r="AT80" s="117">
        <f t="shared" si="45"/>
        <v>0</v>
      </c>
      <c r="AU80" s="117">
        <f t="shared" si="46"/>
        <v>0</v>
      </c>
      <c r="AV80" s="117">
        <f t="shared" si="47"/>
        <v>0</v>
      </c>
      <c r="AW80" s="117">
        <f t="shared" si="48"/>
        <v>0</v>
      </c>
      <c r="AX80" s="117">
        <f t="shared" si="49"/>
        <v>0</v>
      </c>
      <c r="AY80" s="117">
        <f t="shared" si="50"/>
        <v>0</v>
      </c>
      <c r="AZ80" s="117">
        <f t="shared" si="51"/>
        <v>0</v>
      </c>
      <c r="BA80" s="117">
        <f t="shared" si="52"/>
        <v>0</v>
      </c>
      <c r="BB80" s="117">
        <f t="shared" si="53"/>
        <v>0</v>
      </c>
      <c r="BC80" s="117">
        <f t="shared" si="54"/>
        <v>0</v>
      </c>
      <c r="BD80" s="112">
        <f t="shared" si="55"/>
        <v>0</v>
      </c>
      <c r="BE80" s="107"/>
      <c r="BF80" s="107"/>
      <c r="BG80" s="107"/>
      <c r="BH80" s="107"/>
      <c r="BI80" s="107"/>
      <c r="BJ80" s="107"/>
      <c r="BK80" s="107"/>
      <c r="BL80" s="107"/>
    </row>
    <row r="81" spans="1:64" ht="15" x14ac:dyDescent="0.2">
      <c r="A81" s="378"/>
      <c r="B81" s="378"/>
      <c r="C81" s="111" t="s">
        <v>328</v>
      </c>
      <c r="D81" s="380"/>
      <c r="E81" s="111"/>
      <c r="F81" s="111">
        <v>129.16999999999999</v>
      </c>
      <c r="G81" s="111"/>
      <c r="H81" s="111"/>
      <c r="I81" s="111"/>
      <c r="J81" s="111"/>
      <c r="K81" s="111"/>
      <c r="L81" s="111"/>
      <c r="M81" s="111"/>
      <c r="N81" s="111"/>
      <c r="O81" s="111"/>
      <c r="P81" s="111"/>
      <c r="Q81" s="111"/>
      <c r="R81" s="111"/>
      <c r="S81" s="111"/>
      <c r="T81" s="111"/>
      <c r="U81" s="111"/>
      <c r="V81" s="111"/>
      <c r="W81" s="111"/>
      <c r="X81" s="111"/>
      <c r="Y81" s="111"/>
      <c r="Z81" s="111"/>
      <c r="AA81" s="111"/>
      <c r="AB81" s="111"/>
      <c r="AC81" s="113" t="s">
        <v>281</v>
      </c>
      <c r="AD81" s="114">
        <f t="shared" si="35"/>
        <v>4.33</v>
      </c>
      <c r="AE81" s="115">
        <f>'1. SA ABA DE CARREGAMENTO'!B90</f>
        <v>22</v>
      </c>
      <c r="AF81" s="383"/>
      <c r="AG81" s="117">
        <f t="shared" si="36"/>
        <v>0</v>
      </c>
      <c r="AH81" s="117">
        <f t="shared" si="37"/>
        <v>25.423004545454543</v>
      </c>
      <c r="AI81" s="117">
        <f t="shared" si="38"/>
        <v>0</v>
      </c>
      <c r="AJ81" s="117">
        <f t="shared" si="39"/>
        <v>0</v>
      </c>
      <c r="AK81" s="117">
        <f t="shared" si="40"/>
        <v>0</v>
      </c>
      <c r="AL81" s="117">
        <f t="shared" si="31"/>
        <v>0</v>
      </c>
      <c r="AM81" s="117">
        <f t="shared" si="32"/>
        <v>0</v>
      </c>
      <c r="AN81" s="117">
        <f t="shared" si="41"/>
        <v>0</v>
      </c>
      <c r="AO81" s="117">
        <f t="shared" si="42"/>
        <v>0</v>
      </c>
      <c r="AP81" s="117">
        <f t="shared" si="33"/>
        <v>0</v>
      </c>
      <c r="AQ81" s="117">
        <f t="shared" si="34"/>
        <v>0</v>
      </c>
      <c r="AR81" s="117">
        <f t="shared" si="43"/>
        <v>0</v>
      </c>
      <c r="AS81" s="117">
        <f t="shared" si="44"/>
        <v>0</v>
      </c>
      <c r="AT81" s="117">
        <f t="shared" si="45"/>
        <v>0</v>
      </c>
      <c r="AU81" s="117">
        <f t="shared" si="46"/>
        <v>0</v>
      </c>
      <c r="AV81" s="117">
        <f t="shared" si="47"/>
        <v>0</v>
      </c>
      <c r="AW81" s="117">
        <f t="shared" si="48"/>
        <v>0</v>
      </c>
      <c r="AX81" s="117">
        <f t="shared" si="49"/>
        <v>0</v>
      </c>
      <c r="AY81" s="117">
        <f t="shared" si="50"/>
        <v>0</v>
      </c>
      <c r="AZ81" s="117">
        <f t="shared" si="51"/>
        <v>0</v>
      </c>
      <c r="BA81" s="117">
        <f t="shared" si="52"/>
        <v>0</v>
      </c>
      <c r="BB81" s="117">
        <f t="shared" si="53"/>
        <v>0</v>
      </c>
      <c r="BC81" s="117">
        <f t="shared" si="54"/>
        <v>0</v>
      </c>
      <c r="BD81" s="112">
        <f t="shared" si="55"/>
        <v>0</v>
      </c>
      <c r="BE81" s="107"/>
      <c r="BF81" s="107"/>
      <c r="BG81" s="107"/>
      <c r="BH81" s="107"/>
      <c r="BI81" s="107"/>
      <c r="BJ81" s="107"/>
      <c r="BK81" s="107"/>
      <c r="BL81" s="107"/>
    </row>
    <row r="82" spans="1:64" ht="15" x14ac:dyDescent="0.2">
      <c r="A82" s="378"/>
      <c r="B82" s="378"/>
      <c r="C82" s="111" t="s">
        <v>329</v>
      </c>
      <c r="D82" s="380"/>
      <c r="E82" s="111"/>
      <c r="F82" s="111">
        <v>80.25</v>
      </c>
      <c r="G82" s="111"/>
      <c r="H82" s="111"/>
      <c r="I82" s="111"/>
      <c r="J82" s="111"/>
      <c r="K82" s="111"/>
      <c r="L82" s="111"/>
      <c r="M82" s="111"/>
      <c r="N82" s="111"/>
      <c r="O82" s="111"/>
      <c r="P82" s="111"/>
      <c r="Q82" s="111"/>
      <c r="R82" s="111"/>
      <c r="S82" s="111"/>
      <c r="T82" s="111"/>
      <c r="U82" s="111"/>
      <c r="V82" s="111"/>
      <c r="W82" s="111"/>
      <c r="X82" s="111"/>
      <c r="Y82" s="111"/>
      <c r="Z82" s="111"/>
      <c r="AA82" s="111"/>
      <c r="AB82" s="111"/>
      <c r="AC82" s="113" t="s">
        <v>281</v>
      </c>
      <c r="AD82" s="114">
        <f t="shared" si="35"/>
        <v>4.33</v>
      </c>
      <c r="AE82" s="115">
        <f>'1. SA ABA DE CARREGAMENTO'!B90</f>
        <v>22</v>
      </c>
      <c r="AF82" s="383"/>
      <c r="AG82" s="117">
        <f t="shared" si="36"/>
        <v>0</v>
      </c>
      <c r="AH82" s="117">
        <f t="shared" si="37"/>
        <v>15.794659090909091</v>
      </c>
      <c r="AI82" s="117">
        <f t="shared" si="38"/>
        <v>0</v>
      </c>
      <c r="AJ82" s="117">
        <f t="shared" si="39"/>
        <v>0</v>
      </c>
      <c r="AK82" s="117">
        <f t="shared" si="40"/>
        <v>0</v>
      </c>
      <c r="AL82" s="117">
        <f t="shared" si="31"/>
        <v>0</v>
      </c>
      <c r="AM82" s="117">
        <f t="shared" si="32"/>
        <v>0</v>
      </c>
      <c r="AN82" s="117">
        <f t="shared" si="41"/>
        <v>0</v>
      </c>
      <c r="AO82" s="117">
        <f t="shared" si="42"/>
        <v>0</v>
      </c>
      <c r="AP82" s="117">
        <f t="shared" si="33"/>
        <v>0</v>
      </c>
      <c r="AQ82" s="117">
        <f t="shared" si="34"/>
        <v>0</v>
      </c>
      <c r="AR82" s="117">
        <f t="shared" si="43"/>
        <v>0</v>
      </c>
      <c r="AS82" s="117">
        <f t="shared" si="44"/>
        <v>0</v>
      </c>
      <c r="AT82" s="117">
        <f t="shared" si="45"/>
        <v>0</v>
      </c>
      <c r="AU82" s="117">
        <f t="shared" si="46"/>
        <v>0</v>
      </c>
      <c r="AV82" s="117">
        <f t="shared" si="47"/>
        <v>0</v>
      </c>
      <c r="AW82" s="117">
        <f t="shared" si="48"/>
        <v>0</v>
      </c>
      <c r="AX82" s="117">
        <f t="shared" si="49"/>
        <v>0</v>
      </c>
      <c r="AY82" s="117">
        <f t="shared" si="50"/>
        <v>0</v>
      </c>
      <c r="AZ82" s="117">
        <f t="shared" si="51"/>
        <v>0</v>
      </c>
      <c r="BA82" s="117">
        <f t="shared" si="52"/>
        <v>0</v>
      </c>
      <c r="BB82" s="117">
        <f t="shared" si="53"/>
        <v>0</v>
      </c>
      <c r="BC82" s="117">
        <f t="shared" si="54"/>
        <v>0</v>
      </c>
      <c r="BD82" s="112">
        <f t="shared" si="55"/>
        <v>0</v>
      </c>
      <c r="BE82" s="107"/>
      <c r="BF82" s="107"/>
      <c r="BG82" s="107"/>
      <c r="BH82" s="107"/>
      <c r="BI82" s="107"/>
      <c r="BJ82" s="107"/>
      <c r="BK82" s="107"/>
      <c r="BL82" s="107"/>
    </row>
    <row r="83" spans="1:64" ht="30" x14ac:dyDescent="0.2">
      <c r="A83" s="378"/>
      <c r="B83" s="378"/>
      <c r="C83" s="111" t="s">
        <v>330</v>
      </c>
      <c r="D83" s="380"/>
      <c r="E83" s="111"/>
      <c r="F83" s="111"/>
      <c r="G83" s="111"/>
      <c r="H83" s="111">
        <v>29.49</v>
      </c>
      <c r="I83" s="111"/>
      <c r="J83" s="111"/>
      <c r="K83" s="111"/>
      <c r="L83" s="111"/>
      <c r="M83" s="111"/>
      <c r="N83" s="111"/>
      <c r="O83" s="111"/>
      <c r="P83" s="111"/>
      <c r="Q83" s="111"/>
      <c r="R83" s="111"/>
      <c r="S83" s="111"/>
      <c r="T83" s="111"/>
      <c r="U83" s="111"/>
      <c r="V83" s="111"/>
      <c r="W83" s="111"/>
      <c r="X83" s="111"/>
      <c r="Y83" s="111"/>
      <c r="Z83" s="111"/>
      <c r="AA83" s="111"/>
      <c r="AB83" s="111"/>
      <c r="AC83" s="113" t="s">
        <v>281</v>
      </c>
      <c r="AD83" s="114">
        <f t="shared" si="35"/>
        <v>4.33</v>
      </c>
      <c r="AE83" s="115">
        <f>'1. SA ABA DE CARREGAMENTO'!B90</f>
        <v>22</v>
      </c>
      <c r="AF83" s="383"/>
      <c r="AG83" s="117">
        <f t="shared" si="36"/>
        <v>0</v>
      </c>
      <c r="AH83" s="117">
        <f t="shared" si="37"/>
        <v>0</v>
      </c>
      <c r="AI83" s="117">
        <f t="shared" si="38"/>
        <v>0</v>
      </c>
      <c r="AJ83" s="117">
        <f t="shared" si="39"/>
        <v>5.8041681818181816</v>
      </c>
      <c r="AK83" s="117">
        <f t="shared" si="40"/>
        <v>0</v>
      </c>
      <c r="AL83" s="117">
        <f t="shared" si="31"/>
        <v>0</v>
      </c>
      <c r="AM83" s="117">
        <f t="shared" si="32"/>
        <v>0</v>
      </c>
      <c r="AN83" s="117">
        <f t="shared" si="41"/>
        <v>0</v>
      </c>
      <c r="AO83" s="117">
        <f t="shared" si="42"/>
        <v>0</v>
      </c>
      <c r="AP83" s="117">
        <f t="shared" si="33"/>
        <v>0</v>
      </c>
      <c r="AQ83" s="117">
        <f t="shared" si="34"/>
        <v>0</v>
      </c>
      <c r="AR83" s="117">
        <f t="shared" si="43"/>
        <v>0</v>
      </c>
      <c r="AS83" s="117">
        <f t="shared" si="44"/>
        <v>0</v>
      </c>
      <c r="AT83" s="117">
        <f t="shared" si="45"/>
        <v>0</v>
      </c>
      <c r="AU83" s="117">
        <f t="shared" si="46"/>
        <v>0</v>
      </c>
      <c r="AV83" s="117">
        <f t="shared" si="47"/>
        <v>0</v>
      </c>
      <c r="AW83" s="117">
        <f t="shared" si="48"/>
        <v>0</v>
      </c>
      <c r="AX83" s="117">
        <f t="shared" si="49"/>
        <v>0</v>
      </c>
      <c r="AY83" s="117">
        <f t="shared" si="50"/>
        <v>0</v>
      </c>
      <c r="AZ83" s="117">
        <f t="shared" si="51"/>
        <v>0</v>
      </c>
      <c r="BA83" s="117">
        <f t="shared" si="52"/>
        <v>0</v>
      </c>
      <c r="BB83" s="117">
        <f t="shared" si="53"/>
        <v>0</v>
      </c>
      <c r="BC83" s="117">
        <f t="shared" si="54"/>
        <v>0</v>
      </c>
      <c r="BD83" s="112">
        <f t="shared" si="55"/>
        <v>0</v>
      </c>
      <c r="BE83" s="107"/>
      <c r="BF83" s="107"/>
      <c r="BG83" s="107"/>
      <c r="BH83" s="107"/>
      <c r="BI83" s="107"/>
      <c r="BJ83" s="107"/>
      <c r="BK83" s="107"/>
      <c r="BL83" s="107"/>
    </row>
    <row r="84" spans="1:64" ht="15" x14ac:dyDescent="0.2">
      <c r="A84" s="378"/>
      <c r="B84" s="378"/>
      <c r="C84" s="111" t="s">
        <v>331</v>
      </c>
      <c r="D84" s="380"/>
      <c r="E84" s="111"/>
      <c r="F84" s="111">
        <v>84.9</v>
      </c>
      <c r="G84" s="111"/>
      <c r="H84" s="111"/>
      <c r="I84" s="111"/>
      <c r="J84" s="111"/>
      <c r="K84" s="111"/>
      <c r="L84" s="111"/>
      <c r="M84" s="111"/>
      <c r="N84" s="111"/>
      <c r="O84" s="111"/>
      <c r="P84" s="111"/>
      <c r="Q84" s="111"/>
      <c r="R84" s="111"/>
      <c r="S84" s="111"/>
      <c r="T84" s="111"/>
      <c r="U84" s="111"/>
      <c r="V84" s="111"/>
      <c r="W84" s="111"/>
      <c r="X84" s="111"/>
      <c r="Y84" s="111"/>
      <c r="Z84" s="111"/>
      <c r="AA84" s="111"/>
      <c r="AB84" s="111"/>
      <c r="AC84" s="113" t="s">
        <v>281</v>
      </c>
      <c r="AD84" s="114">
        <f t="shared" si="35"/>
        <v>4.33</v>
      </c>
      <c r="AE84" s="115">
        <f>'1. SA ABA DE CARREGAMENTO'!B90</f>
        <v>22</v>
      </c>
      <c r="AF84" s="383"/>
      <c r="AG84" s="117">
        <f t="shared" si="36"/>
        <v>0</v>
      </c>
      <c r="AH84" s="117">
        <f t="shared" si="37"/>
        <v>16.709863636363636</v>
      </c>
      <c r="AI84" s="117">
        <f t="shared" si="38"/>
        <v>0</v>
      </c>
      <c r="AJ84" s="117">
        <f t="shared" si="39"/>
        <v>0</v>
      </c>
      <c r="AK84" s="117">
        <f t="shared" si="40"/>
        <v>0</v>
      </c>
      <c r="AL84" s="117">
        <f t="shared" si="31"/>
        <v>0</v>
      </c>
      <c r="AM84" s="117">
        <f t="shared" si="32"/>
        <v>0</v>
      </c>
      <c r="AN84" s="117">
        <f t="shared" si="41"/>
        <v>0</v>
      </c>
      <c r="AO84" s="117">
        <f t="shared" si="42"/>
        <v>0</v>
      </c>
      <c r="AP84" s="117">
        <f t="shared" si="33"/>
        <v>0</v>
      </c>
      <c r="AQ84" s="117">
        <f t="shared" si="34"/>
        <v>0</v>
      </c>
      <c r="AR84" s="117">
        <f t="shared" si="43"/>
        <v>0</v>
      </c>
      <c r="AS84" s="117">
        <f t="shared" si="44"/>
        <v>0</v>
      </c>
      <c r="AT84" s="117">
        <f t="shared" si="45"/>
        <v>0</v>
      </c>
      <c r="AU84" s="117">
        <f t="shared" si="46"/>
        <v>0</v>
      </c>
      <c r="AV84" s="117">
        <f t="shared" si="47"/>
        <v>0</v>
      </c>
      <c r="AW84" s="117">
        <f t="shared" si="48"/>
        <v>0</v>
      </c>
      <c r="AX84" s="117">
        <f t="shared" si="49"/>
        <v>0</v>
      </c>
      <c r="AY84" s="117">
        <f t="shared" si="50"/>
        <v>0</v>
      </c>
      <c r="AZ84" s="117">
        <f t="shared" si="51"/>
        <v>0</v>
      </c>
      <c r="BA84" s="117">
        <f t="shared" si="52"/>
        <v>0</v>
      </c>
      <c r="BB84" s="117">
        <f t="shared" si="53"/>
        <v>0</v>
      </c>
      <c r="BC84" s="117">
        <f t="shared" si="54"/>
        <v>0</v>
      </c>
      <c r="BD84" s="112">
        <f t="shared" si="55"/>
        <v>0</v>
      </c>
      <c r="BE84" s="107"/>
      <c r="BF84" s="107"/>
      <c r="BG84" s="107"/>
      <c r="BH84" s="107"/>
      <c r="BI84" s="107"/>
      <c r="BJ84" s="107"/>
      <c r="BK84" s="107"/>
      <c r="BL84" s="107"/>
    </row>
    <row r="85" spans="1:64" ht="15" x14ac:dyDescent="0.2">
      <c r="A85" s="378"/>
      <c r="B85" s="378"/>
      <c r="C85" s="111" t="s">
        <v>332</v>
      </c>
      <c r="D85" s="380"/>
      <c r="E85" s="111"/>
      <c r="F85" s="111">
        <v>41.59</v>
      </c>
      <c r="G85" s="111"/>
      <c r="H85" s="111"/>
      <c r="I85" s="111"/>
      <c r="J85" s="111"/>
      <c r="K85" s="111"/>
      <c r="L85" s="111"/>
      <c r="M85" s="111"/>
      <c r="N85" s="111"/>
      <c r="O85" s="111"/>
      <c r="P85" s="111"/>
      <c r="Q85" s="111"/>
      <c r="R85" s="111"/>
      <c r="S85" s="111"/>
      <c r="T85" s="111"/>
      <c r="U85" s="111"/>
      <c r="V85" s="111"/>
      <c r="W85" s="111"/>
      <c r="X85" s="111"/>
      <c r="Y85" s="111"/>
      <c r="Z85" s="111"/>
      <c r="AA85" s="111"/>
      <c r="AB85" s="111"/>
      <c r="AC85" s="113" t="s">
        <v>281</v>
      </c>
      <c r="AD85" s="114">
        <f t="shared" si="35"/>
        <v>4.33</v>
      </c>
      <c r="AE85" s="115">
        <f>'1. SA ABA DE CARREGAMENTO'!B90</f>
        <v>22</v>
      </c>
      <c r="AF85" s="383"/>
      <c r="AG85" s="117">
        <f t="shared" si="36"/>
        <v>0</v>
      </c>
      <c r="AH85" s="117">
        <f t="shared" si="37"/>
        <v>8.1856681818181833</v>
      </c>
      <c r="AI85" s="117">
        <f t="shared" si="38"/>
        <v>0</v>
      </c>
      <c r="AJ85" s="117">
        <f t="shared" si="39"/>
        <v>0</v>
      </c>
      <c r="AK85" s="117">
        <f t="shared" si="40"/>
        <v>0</v>
      </c>
      <c r="AL85" s="117">
        <f t="shared" si="31"/>
        <v>0</v>
      </c>
      <c r="AM85" s="117">
        <f t="shared" si="32"/>
        <v>0</v>
      </c>
      <c r="AN85" s="117">
        <f t="shared" si="41"/>
        <v>0</v>
      </c>
      <c r="AO85" s="117">
        <f t="shared" si="42"/>
        <v>0</v>
      </c>
      <c r="AP85" s="117">
        <f t="shared" si="33"/>
        <v>0</v>
      </c>
      <c r="AQ85" s="117">
        <f t="shared" si="34"/>
        <v>0</v>
      </c>
      <c r="AR85" s="117">
        <f t="shared" si="43"/>
        <v>0</v>
      </c>
      <c r="AS85" s="117">
        <f t="shared" si="44"/>
        <v>0</v>
      </c>
      <c r="AT85" s="117">
        <f t="shared" si="45"/>
        <v>0</v>
      </c>
      <c r="AU85" s="117">
        <f t="shared" si="46"/>
        <v>0</v>
      </c>
      <c r="AV85" s="117">
        <f t="shared" si="47"/>
        <v>0</v>
      </c>
      <c r="AW85" s="117">
        <f t="shared" si="48"/>
        <v>0</v>
      </c>
      <c r="AX85" s="117">
        <f t="shared" si="49"/>
        <v>0</v>
      </c>
      <c r="AY85" s="117">
        <f t="shared" si="50"/>
        <v>0</v>
      </c>
      <c r="AZ85" s="117">
        <f t="shared" si="51"/>
        <v>0</v>
      </c>
      <c r="BA85" s="117">
        <f t="shared" si="52"/>
        <v>0</v>
      </c>
      <c r="BB85" s="117">
        <f t="shared" si="53"/>
        <v>0</v>
      </c>
      <c r="BC85" s="117">
        <f t="shared" si="54"/>
        <v>0</v>
      </c>
      <c r="BD85" s="112">
        <f t="shared" si="55"/>
        <v>0</v>
      </c>
      <c r="BE85" s="107"/>
      <c r="BF85" s="107"/>
      <c r="BG85" s="107"/>
      <c r="BH85" s="107"/>
      <c r="BI85" s="107"/>
      <c r="BJ85" s="107"/>
      <c r="BK85" s="107"/>
      <c r="BL85" s="107"/>
    </row>
    <row r="86" spans="1:64" ht="15" x14ac:dyDescent="0.2">
      <c r="A86" s="378"/>
      <c r="B86" s="378"/>
      <c r="C86" s="111" t="s">
        <v>333</v>
      </c>
      <c r="D86" s="380"/>
      <c r="E86" s="111"/>
      <c r="F86" s="111">
        <v>5.0999999999999996</v>
      </c>
      <c r="G86" s="111"/>
      <c r="H86" s="111"/>
      <c r="I86" s="111"/>
      <c r="J86" s="111"/>
      <c r="K86" s="111"/>
      <c r="L86" s="111"/>
      <c r="M86" s="111"/>
      <c r="N86" s="111"/>
      <c r="O86" s="111"/>
      <c r="P86" s="111"/>
      <c r="Q86" s="111"/>
      <c r="R86" s="111"/>
      <c r="S86" s="111"/>
      <c r="T86" s="111"/>
      <c r="U86" s="111"/>
      <c r="V86" s="111"/>
      <c r="W86" s="111"/>
      <c r="X86" s="111"/>
      <c r="Y86" s="111"/>
      <c r="Z86" s="111"/>
      <c r="AA86" s="111"/>
      <c r="AB86" s="111"/>
      <c r="AC86" s="113" t="s">
        <v>281</v>
      </c>
      <c r="AD86" s="114">
        <f t="shared" si="35"/>
        <v>4.33</v>
      </c>
      <c r="AE86" s="115">
        <f>'1. SA ABA DE CARREGAMENTO'!B90</f>
        <v>22</v>
      </c>
      <c r="AF86" s="383"/>
      <c r="AG86" s="117">
        <f t="shared" si="36"/>
        <v>0</v>
      </c>
      <c r="AH86" s="117">
        <f t="shared" si="37"/>
        <v>1.0037727272727273</v>
      </c>
      <c r="AI86" s="117">
        <f t="shared" si="38"/>
        <v>0</v>
      </c>
      <c r="AJ86" s="117">
        <f t="shared" si="39"/>
        <v>0</v>
      </c>
      <c r="AK86" s="117">
        <f t="shared" si="40"/>
        <v>0</v>
      </c>
      <c r="AL86" s="117">
        <f t="shared" si="31"/>
        <v>0</v>
      </c>
      <c r="AM86" s="117">
        <f t="shared" si="32"/>
        <v>0</v>
      </c>
      <c r="AN86" s="117">
        <f t="shared" si="41"/>
        <v>0</v>
      </c>
      <c r="AO86" s="117">
        <f t="shared" si="42"/>
        <v>0</v>
      </c>
      <c r="AP86" s="117">
        <f t="shared" si="33"/>
        <v>0</v>
      </c>
      <c r="AQ86" s="117">
        <f t="shared" si="34"/>
        <v>0</v>
      </c>
      <c r="AR86" s="117">
        <f t="shared" si="43"/>
        <v>0</v>
      </c>
      <c r="AS86" s="117">
        <f t="shared" si="44"/>
        <v>0</v>
      </c>
      <c r="AT86" s="117">
        <f t="shared" si="45"/>
        <v>0</v>
      </c>
      <c r="AU86" s="117">
        <f t="shared" si="46"/>
        <v>0</v>
      </c>
      <c r="AV86" s="117">
        <f t="shared" si="47"/>
        <v>0</v>
      </c>
      <c r="AW86" s="117">
        <f t="shared" si="48"/>
        <v>0</v>
      </c>
      <c r="AX86" s="117">
        <f t="shared" si="49"/>
        <v>0</v>
      </c>
      <c r="AY86" s="117">
        <f t="shared" si="50"/>
        <v>0</v>
      </c>
      <c r="AZ86" s="117">
        <f t="shared" si="51"/>
        <v>0</v>
      </c>
      <c r="BA86" s="117">
        <f t="shared" si="52"/>
        <v>0</v>
      </c>
      <c r="BB86" s="117">
        <f t="shared" si="53"/>
        <v>0</v>
      </c>
      <c r="BC86" s="117">
        <f t="shared" si="54"/>
        <v>0</v>
      </c>
      <c r="BD86" s="112">
        <f t="shared" si="55"/>
        <v>0</v>
      </c>
      <c r="BE86" s="107"/>
      <c r="BF86" s="107"/>
      <c r="BG86" s="107"/>
      <c r="BH86" s="107"/>
      <c r="BI86" s="107"/>
      <c r="BJ86" s="107"/>
      <c r="BK86" s="107"/>
      <c r="BL86" s="107"/>
    </row>
    <row r="87" spans="1:64" ht="12.75" customHeight="1" x14ac:dyDescent="0.2">
      <c r="A87" s="378"/>
      <c r="B87" s="378"/>
      <c r="C87" s="111" t="s">
        <v>334</v>
      </c>
      <c r="D87" s="380"/>
      <c r="E87" s="111"/>
      <c r="F87" s="111"/>
      <c r="G87" s="111"/>
      <c r="H87" s="111"/>
      <c r="I87" s="111"/>
      <c r="J87" s="111"/>
      <c r="K87" s="111"/>
      <c r="L87" s="111">
        <v>15.12</v>
      </c>
      <c r="M87" s="111"/>
      <c r="N87" s="111"/>
      <c r="O87" s="111"/>
      <c r="P87" s="111"/>
      <c r="Q87" s="111"/>
      <c r="R87" s="111"/>
      <c r="S87" s="111"/>
      <c r="T87" s="111"/>
      <c r="U87" s="111"/>
      <c r="V87" s="111"/>
      <c r="W87" s="111"/>
      <c r="X87" s="111"/>
      <c r="Y87" s="111"/>
      <c r="Z87" s="111"/>
      <c r="AA87" s="111"/>
      <c r="AB87" s="111"/>
      <c r="AC87" s="113" t="s">
        <v>281</v>
      </c>
      <c r="AD87" s="114">
        <f t="shared" si="35"/>
        <v>4.33</v>
      </c>
      <c r="AE87" s="115">
        <f>'1. SA ABA DE CARREGAMENTO'!B90</f>
        <v>22</v>
      </c>
      <c r="AF87" s="383"/>
      <c r="AG87" s="117">
        <f t="shared" si="36"/>
        <v>0</v>
      </c>
      <c r="AH87" s="117">
        <f t="shared" si="37"/>
        <v>0</v>
      </c>
      <c r="AI87" s="117">
        <f t="shared" si="38"/>
        <v>0</v>
      </c>
      <c r="AJ87" s="117">
        <f t="shared" si="39"/>
        <v>0</v>
      </c>
      <c r="AK87" s="117">
        <f t="shared" si="40"/>
        <v>0</v>
      </c>
      <c r="AL87" s="117">
        <f t="shared" si="31"/>
        <v>0</v>
      </c>
      <c r="AM87" s="117">
        <f t="shared" si="32"/>
        <v>0</v>
      </c>
      <c r="AN87" s="117">
        <f t="shared" si="41"/>
        <v>2.9758909090909089</v>
      </c>
      <c r="AO87" s="117">
        <f t="shared" si="42"/>
        <v>0</v>
      </c>
      <c r="AP87" s="117">
        <f t="shared" si="33"/>
        <v>0</v>
      </c>
      <c r="AQ87" s="117">
        <f t="shared" si="34"/>
        <v>0</v>
      </c>
      <c r="AR87" s="117">
        <f t="shared" si="43"/>
        <v>0</v>
      </c>
      <c r="AS87" s="117">
        <f t="shared" si="44"/>
        <v>0</v>
      </c>
      <c r="AT87" s="117">
        <f t="shared" si="45"/>
        <v>0</v>
      </c>
      <c r="AU87" s="117">
        <f t="shared" si="46"/>
        <v>0</v>
      </c>
      <c r="AV87" s="117">
        <f t="shared" si="47"/>
        <v>0</v>
      </c>
      <c r="AW87" s="117">
        <f t="shared" si="48"/>
        <v>0</v>
      </c>
      <c r="AX87" s="117">
        <f t="shared" si="49"/>
        <v>0</v>
      </c>
      <c r="AY87" s="117">
        <f t="shared" si="50"/>
        <v>0</v>
      </c>
      <c r="AZ87" s="117">
        <f t="shared" si="51"/>
        <v>0</v>
      </c>
      <c r="BA87" s="117">
        <f t="shared" si="52"/>
        <v>0</v>
      </c>
      <c r="BB87" s="117">
        <f t="shared" si="53"/>
        <v>0</v>
      </c>
      <c r="BC87" s="117">
        <f t="shared" si="54"/>
        <v>0</v>
      </c>
      <c r="BD87" s="112">
        <f t="shared" si="55"/>
        <v>0</v>
      </c>
      <c r="BE87" s="107"/>
      <c r="BF87" s="107"/>
      <c r="BG87" s="107"/>
      <c r="BH87" s="107"/>
      <c r="BI87" s="107"/>
      <c r="BJ87" s="107"/>
      <c r="BK87" s="107"/>
      <c r="BL87" s="107"/>
    </row>
    <row r="88" spans="1:64" ht="12.75" customHeight="1" x14ac:dyDescent="0.2">
      <c r="A88" s="378"/>
      <c r="B88" s="378"/>
      <c r="C88" s="111" t="s">
        <v>274</v>
      </c>
      <c r="D88" s="380"/>
      <c r="E88" s="111"/>
      <c r="F88" s="111"/>
      <c r="G88" s="111"/>
      <c r="H88" s="111"/>
      <c r="I88" s="111"/>
      <c r="J88" s="111"/>
      <c r="K88" s="111"/>
      <c r="L88" s="111"/>
      <c r="M88" s="111"/>
      <c r="N88" s="111"/>
      <c r="O88" s="111"/>
      <c r="P88" s="111"/>
      <c r="Q88" s="111"/>
      <c r="R88" s="111"/>
      <c r="S88" s="111"/>
      <c r="T88" s="111"/>
      <c r="U88" s="111">
        <v>200</v>
      </c>
      <c r="V88" s="111">
        <v>37</v>
      </c>
      <c r="W88" s="111"/>
      <c r="X88" s="111"/>
      <c r="Y88" s="111"/>
      <c r="Z88" s="111"/>
      <c r="AA88" s="111"/>
      <c r="AB88" s="111"/>
      <c r="AC88" s="113" t="s">
        <v>275</v>
      </c>
      <c r="AD88" s="114">
        <f t="shared" si="35"/>
        <v>0.17</v>
      </c>
      <c r="AE88" s="115">
        <f>'1. SA ABA DE CARREGAMENTO'!B90</f>
        <v>22</v>
      </c>
      <c r="AF88" s="383"/>
      <c r="AG88" s="117">
        <f t="shared" si="36"/>
        <v>0</v>
      </c>
      <c r="AH88" s="117">
        <f t="shared" si="37"/>
        <v>0</v>
      </c>
      <c r="AI88" s="117">
        <f t="shared" si="38"/>
        <v>0</v>
      </c>
      <c r="AJ88" s="117">
        <f t="shared" si="39"/>
        <v>0</v>
      </c>
      <c r="AK88" s="117">
        <f t="shared" si="40"/>
        <v>0</v>
      </c>
      <c r="AL88" s="117">
        <f t="shared" si="31"/>
        <v>0</v>
      </c>
      <c r="AM88" s="117">
        <f t="shared" si="32"/>
        <v>0</v>
      </c>
      <c r="AN88" s="117">
        <f t="shared" si="41"/>
        <v>0</v>
      </c>
      <c r="AO88" s="117">
        <f t="shared" si="42"/>
        <v>0</v>
      </c>
      <c r="AP88" s="117">
        <f t="shared" si="33"/>
        <v>0</v>
      </c>
      <c r="AQ88" s="117">
        <f t="shared" si="34"/>
        <v>0</v>
      </c>
      <c r="AR88" s="117">
        <f t="shared" si="43"/>
        <v>0</v>
      </c>
      <c r="AS88" s="117">
        <f t="shared" si="44"/>
        <v>0</v>
      </c>
      <c r="AT88" s="117">
        <f t="shared" si="45"/>
        <v>0</v>
      </c>
      <c r="AU88" s="117">
        <f t="shared" si="46"/>
        <v>0</v>
      </c>
      <c r="AV88" s="117">
        <f t="shared" si="47"/>
        <v>0</v>
      </c>
      <c r="AW88" s="117">
        <f t="shared" si="48"/>
        <v>1.5454545454545454</v>
      </c>
      <c r="AX88" s="117">
        <f t="shared" si="49"/>
        <v>0.28590909090909089</v>
      </c>
      <c r="AY88" s="117">
        <f t="shared" si="50"/>
        <v>0</v>
      </c>
      <c r="AZ88" s="117">
        <f t="shared" si="51"/>
        <v>0</v>
      </c>
      <c r="BA88" s="117">
        <f t="shared" si="52"/>
        <v>0</v>
      </c>
      <c r="BB88" s="117">
        <f t="shared" si="53"/>
        <v>0</v>
      </c>
      <c r="BC88" s="117">
        <f t="shared" si="54"/>
        <v>0</v>
      </c>
      <c r="BD88" s="112">
        <f t="shared" si="55"/>
        <v>0</v>
      </c>
      <c r="BE88" s="107"/>
      <c r="BF88" s="107"/>
      <c r="BG88" s="107"/>
      <c r="BH88" s="107"/>
      <c r="BI88" s="107"/>
      <c r="BJ88" s="107"/>
      <c r="BK88" s="107"/>
      <c r="BL88" s="107"/>
    </row>
    <row r="89" spans="1:64" ht="12.75" customHeight="1" x14ac:dyDescent="0.2">
      <c r="A89" s="378"/>
      <c r="B89" s="378"/>
      <c r="C89" s="111" t="s">
        <v>276</v>
      </c>
      <c r="D89" s="380"/>
      <c r="E89" s="111"/>
      <c r="F89" s="111"/>
      <c r="G89" s="111"/>
      <c r="H89" s="111"/>
      <c r="I89" s="111"/>
      <c r="J89" s="111"/>
      <c r="K89" s="111"/>
      <c r="L89" s="111"/>
      <c r="M89" s="111"/>
      <c r="N89" s="111"/>
      <c r="O89" s="111"/>
      <c r="P89" s="111"/>
      <c r="Q89" s="111"/>
      <c r="R89" s="111"/>
      <c r="S89" s="111"/>
      <c r="T89" s="111"/>
      <c r="U89" s="111"/>
      <c r="V89" s="111"/>
      <c r="W89" s="111">
        <f>7.5+237</f>
        <v>244.5</v>
      </c>
      <c r="X89" s="111"/>
      <c r="Y89" s="111"/>
      <c r="Z89" s="111"/>
      <c r="AA89" s="111"/>
      <c r="AB89" s="111"/>
      <c r="AC89" s="113" t="s">
        <v>275</v>
      </c>
      <c r="AD89" s="114">
        <f t="shared" si="35"/>
        <v>0.17</v>
      </c>
      <c r="AE89" s="115">
        <f>'1. SA ABA DE CARREGAMENTO'!B90</f>
        <v>22</v>
      </c>
      <c r="AF89" s="383"/>
      <c r="AG89" s="117">
        <f t="shared" si="36"/>
        <v>0</v>
      </c>
      <c r="AH89" s="117">
        <f t="shared" si="37"/>
        <v>0</v>
      </c>
      <c r="AI89" s="117">
        <f t="shared" si="38"/>
        <v>0</v>
      </c>
      <c r="AJ89" s="117">
        <f t="shared" si="39"/>
        <v>0</v>
      </c>
      <c r="AK89" s="117">
        <f t="shared" si="40"/>
        <v>0</v>
      </c>
      <c r="AL89" s="117">
        <f t="shared" si="31"/>
        <v>0</v>
      </c>
      <c r="AM89" s="117">
        <f t="shared" si="32"/>
        <v>0</v>
      </c>
      <c r="AN89" s="117">
        <f t="shared" si="41"/>
        <v>0</v>
      </c>
      <c r="AO89" s="117">
        <f t="shared" si="42"/>
        <v>0</v>
      </c>
      <c r="AP89" s="117">
        <f t="shared" si="33"/>
        <v>0</v>
      </c>
      <c r="AQ89" s="117">
        <f t="shared" si="34"/>
        <v>0</v>
      </c>
      <c r="AR89" s="117">
        <f t="shared" si="43"/>
        <v>0</v>
      </c>
      <c r="AS89" s="117">
        <f t="shared" si="44"/>
        <v>0</v>
      </c>
      <c r="AT89" s="117">
        <f t="shared" si="45"/>
        <v>0</v>
      </c>
      <c r="AU89" s="117">
        <f t="shared" si="46"/>
        <v>0</v>
      </c>
      <c r="AV89" s="117">
        <f t="shared" si="47"/>
        <v>0</v>
      </c>
      <c r="AW89" s="117">
        <f t="shared" si="48"/>
        <v>0</v>
      </c>
      <c r="AX89" s="117">
        <f t="shared" si="49"/>
        <v>0</v>
      </c>
      <c r="AY89" s="117">
        <f t="shared" si="50"/>
        <v>1.8893181818181821</v>
      </c>
      <c r="AZ89" s="117">
        <f t="shared" si="51"/>
        <v>0</v>
      </c>
      <c r="BA89" s="117">
        <f t="shared" si="52"/>
        <v>0</v>
      </c>
      <c r="BB89" s="117">
        <f t="shared" si="53"/>
        <v>0</v>
      </c>
      <c r="BC89" s="117">
        <f t="shared" si="54"/>
        <v>0</v>
      </c>
      <c r="BD89" s="112">
        <f t="shared" si="55"/>
        <v>0</v>
      </c>
      <c r="BE89" s="107"/>
      <c r="BF89" s="107"/>
      <c r="BG89" s="107"/>
      <c r="BH89" s="107"/>
      <c r="BI89" s="107"/>
      <c r="BJ89" s="107"/>
      <c r="BK89" s="107"/>
      <c r="BL89" s="107"/>
    </row>
    <row r="90" spans="1:64" ht="12.75" customHeight="1" x14ac:dyDescent="0.2">
      <c r="A90" s="378"/>
      <c r="B90" s="378"/>
      <c r="C90" s="111" t="s">
        <v>335</v>
      </c>
      <c r="D90" s="380"/>
      <c r="E90" s="111"/>
      <c r="F90" s="111"/>
      <c r="G90" s="111"/>
      <c r="H90" s="111"/>
      <c r="I90" s="111"/>
      <c r="J90" s="111"/>
      <c r="K90" s="111"/>
      <c r="L90" s="111"/>
      <c r="M90" s="111"/>
      <c r="N90" s="111"/>
      <c r="O90" s="111"/>
      <c r="P90" s="111"/>
      <c r="Q90" s="111"/>
      <c r="R90" s="111"/>
      <c r="S90" s="111"/>
      <c r="T90" s="111"/>
      <c r="U90" s="111"/>
      <c r="V90" s="111"/>
      <c r="W90" s="111"/>
      <c r="X90" s="111"/>
      <c r="Y90" s="111"/>
      <c r="Z90" s="111">
        <v>108.68</v>
      </c>
      <c r="AA90" s="111"/>
      <c r="AB90" s="111"/>
      <c r="AC90" s="113" t="s">
        <v>285</v>
      </c>
      <c r="AD90" s="114">
        <f t="shared" si="35"/>
        <v>44</v>
      </c>
      <c r="AE90" s="115">
        <f>'1. SA ABA DE CARREGAMENTO'!B90</f>
        <v>22</v>
      </c>
      <c r="AF90" s="383"/>
      <c r="AG90" s="117">
        <f t="shared" si="36"/>
        <v>0</v>
      </c>
      <c r="AH90" s="117">
        <f t="shared" si="37"/>
        <v>0</v>
      </c>
      <c r="AI90" s="117">
        <f t="shared" si="38"/>
        <v>0</v>
      </c>
      <c r="AJ90" s="117">
        <f t="shared" si="39"/>
        <v>0</v>
      </c>
      <c r="AK90" s="117">
        <f t="shared" si="40"/>
        <v>0</v>
      </c>
      <c r="AL90" s="117">
        <f t="shared" si="31"/>
        <v>0</v>
      </c>
      <c r="AM90" s="117">
        <f t="shared" si="32"/>
        <v>0</v>
      </c>
      <c r="AN90" s="117">
        <f t="shared" si="41"/>
        <v>0</v>
      </c>
      <c r="AO90" s="117">
        <f t="shared" si="42"/>
        <v>0</v>
      </c>
      <c r="AP90" s="117">
        <f t="shared" si="33"/>
        <v>0</v>
      </c>
      <c r="AQ90" s="117">
        <f t="shared" si="34"/>
        <v>0</v>
      </c>
      <c r="AR90" s="117">
        <f t="shared" si="43"/>
        <v>0</v>
      </c>
      <c r="AS90" s="117">
        <f t="shared" si="44"/>
        <v>0</v>
      </c>
      <c r="AT90" s="117">
        <f t="shared" si="45"/>
        <v>0</v>
      </c>
      <c r="AU90" s="117">
        <f t="shared" si="46"/>
        <v>0</v>
      </c>
      <c r="AV90" s="117">
        <f t="shared" si="47"/>
        <v>0</v>
      </c>
      <c r="AW90" s="117">
        <f t="shared" si="48"/>
        <v>0</v>
      </c>
      <c r="AX90" s="117">
        <f t="shared" si="49"/>
        <v>0</v>
      </c>
      <c r="AY90" s="117">
        <f t="shared" si="50"/>
        <v>0</v>
      </c>
      <c r="AZ90" s="117">
        <f t="shared" si="51"/>
        <v>0</v>
      </c>
      <c r="BA90" s="117">
        <f t="shared" si="52"/>
        <v>0</v>
      </c>
      <c r="BB90" s="117">
        <f t="shared" si="53"/>
        <v>217.36</v>
      </c>
      <c r="BC90" s="117">
        <f t="shared" si="54"/>
        <v>0</v>
      </c>
      <c r="BD90" s="112">
        <f t="shared" si="55"/>
        <v>0</v>
      </c>
      <c r="BE90" s="107"/>
      <c r="BF90" s="107"/>
      <c r="BG90" s="107"/>
      <c r="BH90" s="107"/>
      <c r="BI90" s="107"/>
      <c r="BJ90" s="107"/>
      <c r="BK90" s="107"/>
      <c r="BL90" s="107"/>
    </row>
    <row r="91" spans="1:64" ht="12.75" customHeight="1" x14ac:dyDescent="0.2">
      <c r="A91" s="378"/>
      <c r="B91" s="378"/>
      <c r="C91" s="111" t="s">
        <v>336</v>
      </c>
      <c r="D91" s="380"/>
      <c r="E91" s="111"/>
      <c r="F91" s="111"/>
      <c r="G91" s="111"/>
      <c r="H91" s="111"/>
      <c r="I91" s="111"/>
      <c r="J91" s="111"/>
      <c r="K91" s="111"/>
      <c r="L91" s="111"/>
      <c r="M91" s="111"/>
      <c r="N91" s="111"/>
      <c r="O91" s="111"/>
      <c r="P91" s="111"/>
      <c r="Q91" s="111"/>
      <c r="R91" s="111"/>
      <c r="S91" s="111"/>
      <c r="T91" s="111"/>
      <c r="U91" s="111"/>
      <c r="V91" s="111"/>
      <c r="W91" s="111"/>
      <c r="X91" s="111"/>
      <c r="Y91" s="111"/>
      <c r="Z91" s="111"/>
      <c r="AA91" s="111">
        <v>248.72</v>
      </c>
      <c r="AB91" s="111"/>
      <c r="AC91" s="113" t="s">
        <v>281</v>
      </c>
      <c r="AD91" s="114">
        <f t="shared" si="35"/>
        <v>4.33</v>
      </c>
      <c r="AE91" s="115">
        <f>'1. SA ABA DE CARREGAMENTO'!B90</f>
        <v>22</v>
      </c>
      <c r="AF91" s="383"/>
      <c r="AG91" s="117">
        <f t="shared" si="36"/>
        <v>0</v>
      </c>
      <c r="AH91" s="117">
        <f t="shared" si="37"/>
        <v>0</v>
      </c>
      <c r="AI91" s="117">
        <f t="shared" si="38"/>
        <v>0</v>
      </c>
      <c r="AJ91" s="117">
        <f t="shared" si="39"/>
        <v>0</v>
      </c>
      <c r="AK91" s="117">
        <f t="shared" si="40"/>
        <v>0</v>
      </c>
      <c r="AL91" s="117">
        <f t="shared" si="31"/>
        <v>0</v>
      </c>
      <c r="AM91" s="117">
        <f t="shared" si="32"/>
        <v>0</v>
      </c>
      <c r="AN91" s="117">
        <f t="shared" si="41"/>
        <v>0</v>
      </c>
      <c r="AO91" s="117">
        <f t="shared" si="42"/>
        <v>0</v>
      </c>
      <c r="AP91" s="117">
        <f t="shared" si="33"/>
        <v>0</v>
      </c>
      <c r="AQ91" s="117">
        <f t="shared" si="34"/>
        <v>0</v>
      </c>
      <c r="AR91" s="117">
        <f t="shared" si="43"/>
        <v>0</v>
      </c>
      <c r="AS91" s="117">
        <f t="shared" si="44"/>
        <v>0</v>
      </c>
      <c r="AT91" s="117">
        <f t="shared" si="45"/>
        <v>0</v>
      </c>
      <c r="AU91" s="117">
        <f t="shared" si="46"/>
        <v>0</v>
      </c>
      <c r="AV91" s="117">
        <f t="shared" si="47"/>
        <v>0</v>
      </c>
      <c r="AW91" s="117">
        <f t="shared" si="48"/>
        <v>0</v>
      </c>
      <c r="AX91" s="117">
        <f t="shared" si="49"/>
        <v>0</v>
      </c>
      <c r="AY91" s="117">
        <f t="shared" si="50"/>
        <v>0</v>
      </c>
      <c r="AZ91" s="117">
        <f t="shared" si="51"/>
        <v>0</v>
      </c>
      <c r="BA91" s="117">
        <f t="shared" si="52"/>
        <v>0</v>
      </c>
      <c r="BB91" s="117">
        <f t="shared" si="53"/>
        <v>0</v>
      </c>
      <c r="BC91" s="117">
        <f t="shared" si="54"/>
        <v>48.952618181818181</v>
      </c>
      <c r="BD91" s="112">
        <f t="shared" si="55"/>
        <v>0</v>
      </c>
      <c r="BE91" s="107"/>
      <c r="BF91" s="107"/>
      <c r="BG91" s="107"/>
      <c r="BH91" s="107"/>
      <c r="BI91" s="107"/>
      <c r="BJ91" s="107"/>
      <c r="BK91" s="107"/>
      <c r="BL91" s="107"/>
    </row>
    <row r="92" spans="1:64" ht="12.75" customHeight="1" x14ac:dyDescent="0.2">
      <c r="A92" s="378"/>
      <c r="B92" s="378"/>
      <c r="C92" s="111" t="s">
        <v>282</v>
      </c>
      <c r="D92" s="380"/>
      <c r="E92" s="111"/>
      <c r="F92" s="111"/>
      <c r="G92" s="111"/>
      <c r="H92" s="111"/>
      <c r="I92" s="111"/>
      <c r="J92" s="111"/>
      <c r="K92" s="111"/>
      <c r="L92" s="111"/>
      <c r="M92" s="111"/>
      <c r="N92" s="111"/>
      <c r="O92" s="111"/>
      <c r="P92" s="111"/>
      <c r="Q92" s="111"/>
      <c r="R92" s="111"/>
      <c r="S92" s="111"/>
      <c r="T92" s="111"/>
      <c r="U92" s="111"/>
      <c r="V92" s="111"/>
      <c r="W92" s="111"/>
      <c r="X92" s="111"/>
      <c r="Y92" s="111"/>
      <c r="Z92" s="111"/>
      <c r="AA92" s="111"/>
      <c r="AB92" s="111">
        <v>108.68</v>
      </c>
      <c r="AC92" s="113" t="s">
        <v>281</v>
      </c>
      <c r="AD92" s="114">
        <f t="shared" si="35"/>
        <v>4.33</v>
      </c>
      <c r="AE92" s="115">
        <f>'1. SA ABA DE CARREGAMENTO'!B90</f>
        <v>22</v>
      </c>
      <c r="AF92" s="383"/>
      <c r="AG92" s="117">
        <f t="shared" si="36"/>
        <v>0</v>
      </c>
      <c r="AH92" s="117">
        <f t="shared" si="37"/>
        <v>0</v>
      </c>
      <c r="AI92" s="117">
        <f t="shared" si="38"/>
        <v>0</v>
      </c>
      <c r="AJ92" s="117">
        <f t="shared" si="39"/>
        <v>0</v>
      </c>
      <c r="AK92" s="117">
        <f t="shared" si="40"/>
        <v>0</v>
      </c>
      <c r="AL92" s="117">
        <f t="shared" si="31"/>
        <v>0</v>
      </c>
      <c r="AM92" s="117">
        <f t="shared" si="32"/>
        <v>0</v>
      </c>
      <c r="AN92" s="117">
        <f t="shared" si="41"/>
        <v>0</v>
      </c>
      <c r="AO92" s="117">
        <f t="shared" si="42"/>
        <v>0</v>
      </c>
      <c r="AP92" s="117">
        <f t="shared" si="33"/>
        <v>0</v>
      </c>
      <c r="AQ92" s="117">
        <f t="shared" si="34"/>
        <v>0</v>
      </c>
      <c r="AR92" s="117">
        <f t="shared" si="43"/>
        <v>0</v>
      </c>
      <c r="AS92" s="117">
        <f t="shared" si="44"/>
        <v>0</v>
      </c>
      <c r="AT92" s="117">
        <f t="shared" si="45"/>
        <v>0</v>
      </c>
      <c r="AU92" s="117">
        <f t="shared" si="46"/>
        <v>0</v>
      </c>
      <c r="AV92" s="117">
        <f t="shared" si="47"/>
        <v>0</v>
      </c>
      <c r="AW92" s="117">
        <f t="shared" si="48"/>
        <v>0</v>
      </c>
      <c r="AX92" s="117">
        <f t="shared" si="49"/>
        <v>0</v>
      </c>
      <c r="AY92" s="117">
        <f t="shared" si="50"/>
        <v>0</v>
      </c>
      <c r="AZ92" s="117">
        <f t="shared" si="51"/>
        <v>0</v>
      </c>
      <c r="BA92" s="117">
        <f t="shared" si="52"/>
        <v>0</v>
      </c>
      <c r="BB92" s="117">
        <f t="shared" si="53"/>
        <v>0</v>
      </c>
      <c r="BC92" s="117">
        <f t="shared" si="54"/>
        <v>0</v>
      </c>
      <c r="BD92" s="112">
        <f t="shared" si="55"/>
        <v>21.3902</v>
      </c>
      <c r="BE92" s="107"/>
      <c r="BF92" s="107"/>
      <c r="BG92" s="107"/>
      <c r="BH92" s="107"/>
      <c r="BI92" s="107"/>
      <c r="BJ92" s="107"/>
      <c r="BK92" s="107"/>
      <c r="BL92" s="107"/>
    </row>
    <row r="93" spans="1:64" ht="15" customHeight="1" x14ac:dyDescent="0.2">
      <c r="A93" s="376">
        <v>9</v>
      </c>
      <c r="B93" s="375" t="s">
        <v>337</v>
      </c>
      <c r="C93" s="106" t="s">
        <v>338</v>
      </c>
      <c r="D93" s="377">
        <f>SUM(E93:AB97)</f>
        <v>99.31</v>
      </c>
      <c r="E93" s="106"/>
      <c r="F93" s="106">
        <v>31.18</v>
      </c>
      <c r="G93" s="106"/>
      <c r="H93" s="106"/>
      <c r="I93" s="106"/>
      <c r="J93" s="106"/>
      <c r="K93" s="106"/>
      <c r="L93" s="106"/>
      <c r="M93" s="106"/>
      <c r="N93" s="106"/>
      <c r="O93" s="106"/>
      <c r="P93" s="106"/>
      <c r="Q93" s="106"/>
      <c r="R93" s="106"/>
      <c r="S93" s="106"/>
      <c r="T93" s="106"/>
      <c r="U93" s="106"/>
      <c r="V93" s="106"/>
      <c r="W93" s="106"/>
      <c r="X93" s="106"/>
      <c r="Y93" s="106"/>
      <c r="Z93" s="106"/>
      <c r="AA93" s="106"/>
      <c r="AB93" s="106"/>
      <c r="AC93" s="106" t="s">
        <v>281</v>
      </c>
      <c r="AD93" s="110">
        <f t="shared" si="35"/>
        <v>4.33</v>
      </c>
      <c r="AE93" s="108">
        <f>'1. SA ABA DE CARREGAMENTO'!B90</f>
        <v>22</v>
      </c>
      <c r="AF93" s="377">
        <f>SUM(AG93:BD97)</f>
        <v>53.094786363636359</v>
      </c>
      <c r="AG93" s="109">
        <f t="shared" si="36"/>
        <v>0</v>
      </c>
      <c r="AH93" s="109">
        <f t="shared" si="37"/>
        <v>6.1367909090909087</v>
      </c>
      <c r="AI93" s="109">
        <f t="shared" si="38"/>
        <v>0</v>
      </c>
      <c r="AJ93" s="109">
        <f t="shared" si="39"/>
        <v>0</v>
      </c>
      <c r="AK93" s="109">
        <f t="shared" si="40"/>
        <v>0</v>
      </c>
      <c r="AL93" s="109">
        <f t="shared" si="31"/>
        <v>0</v>
      </c>
      <c r="AM93" s="109">
        <f t="shared" si="32"/>
        <v>0</v>
      </c>
      <c r="AN93" s="109">
        <f t="shared" si="41"/>
        <v>0</v>
      </c>
      <c r="AO93" s="109">
        <f t="shared" si="42"/>
        <v>0</v>
      </c>
      <c r="AP93" s="109">
        <f t="shared" si="33"/>
        <v>0</v>
      </c>
      <c r="AQ93" s="109">
        <f t="shared" si="34"/>
        <v>0</v>
      </c>
      <c r="AR93" s="109">
        <f t="shared" si="43"/>
        <v>0</v>
      </c>
      <c r="AS93" s="109">
        <f t="shared" si="44"/>
        <v>0</v>
      </c>
      <c r="AT93" s="109">
        <f t="shared" si="45"/>
        <v>0</v>
      </c>
      <c r="AU93" s="109">
        <f t="shared" si="46"/>
        <v>0</v>
      </c>
      <c r="AV93" s="109">
        <f t="shared" si="47"/>
        <v>0</v>
      </c>
      <c r="AW93" s="109">
        <f t="shared" si="48"/>
        <v>0</v>
      </c>
      <c r="AX93" s="109">
        <f t="shared" si="49"/>
        <v>0</v>
      </c>
      <c r="AY93" s="109">
        <f t="shared" si="50"/>
        <v>0</v>
      </c>
      <c r="AZ93" s="109">
        <f t="shared" si="51"/>
        <v>0</v>
      </c>
      <c r="BA93" s="109">
        <f t="shared" si="52"/>
        <v>0</v>
      </c>
      <c r="BB93" s="109">
        <f t="shared" si="53"/>
        <v>0</v>
      </c>
      <c r="BC93" s="109">
        <f t="shared" si="54"/>
        <v>0</v>
      </c>
      <c r="BD93" s="109">
        <f t="shared" si="55"/>
        <v>0</v>
      </c>
      <c r="BE93" s="107"/>
      <c r="BF93" s="107"/>
      <c r="BG93" s="107"/>
      <c r="BH93" s="107"/>
      <c r="BI93" s="107"/>
      <c r="BJ93" s="107"/>
      <c r="BK93" s="107"/>
      <c r="BL93" s="107"/>
    </row>
    <row r="94" spans="1:64" ht="30" x14ac:dyDescent="0.2">
      <c r="A94" s="376"/>
      <c r="B94" s="376"/>
      <c r="C94" s="106" t="s">
        <v>339</v>
      </c>
      <c r="D94" s="377"/>
      <c r="E94" s="106"/>
      <c r="F94" s="106"/>
      <c r="G94" s="106"/>
      <c r="H94" s="106">
        <v>9.5299999999999994</v>
      </c>
      <c r="I94" s="106"/>
      <c r="J94" s="106"/>
      <c r="K94" s="106"/>
      <c r="L94" s="106"/>
      <c r="M94" s="106"/>
      <c r="N94" s="106"/>
      <c r="O94" s="106"/>
      <c r="P94" s="106"/>
      <c r="Q94" s="106"/>
      <c r="R94" s="106"/>
      <c r="S94" s="106"/>
      <c r="T94" s="106"/>
      <c r="U94" s="106"/>
      <c r="V94" s="106"/>
      <c r="W94" s="106"/>
      <c r="X94" s="106"/>
      <c r="Y94" s="106"/>
      <c r="Z94" s="106"/>
      <c r="AA94" s="106"/>
      <c r="AB94" s="106"/>
      <c r="AC94" s="106" t="s">
        <v>281</v>
      </c>
      <c r="AD94" s="110">
        <f t="shared" si="35"/>
        <v>4.33</v>
      </c>
      <c r="AE94" s="108">
        <f>'1. SA ABA DE CARREGAMENTO'!B90</f>
        <v>22</v>
      </c>
      <c r="AF94" s="377"/>
      <c r="AG94" s="109">
        <f t="shared" si="36"/>
        <v>0</v>
      </c>
      <c r="AH94" s="109">
        <f t="shared" si="37"/>
        <v>0</v>
      </c>
      <c r="AI94" s="109">
        <f t="shared" si="38"/>
        <v>0</v>
      </c>
      <c r="AJ94" s="109">
        <f t="shared" si="39"/>
        <v>1.8756772727272726</v>
      </c>
      <c r="AK94" s="109">
        <f t="shared" si="40"/>
        <v>0</v>
      </c>
      <c r="AL94" s="109">
        <f t="shared" si="31"/>
        <v>0</v>
      </c>
      <c r="AM94" s="109">
        <f t="shared" si="32"/>
        <v>0</v>
      </c>
      <c r="AN94" s="109">
        <f t="shared" si="41"/>
        <v>0</v>
      </c>
      <c r="AO94" s="109">
        <f t="shared" si="42"/>
        <v>0</v>
      </c>
      <c r="AP94" s="109">
        <f t="shared" si="33"/>
        <v>0</v>
      </c>
      <c r="AQ94" s="109">
        <f t="shared" si="34"/>
        <v>0</v>
      </c>
      <c r="AR94" s="109">
        <f t="shared" si="43"/>
        <v>0</v>
      </c>
      <c r="AS94" s="109">
        <f t="shared" si="44"/>
        <v>0</v>
      </c>
      <c r="AT94" s="109">
        <f t="shared" si="45"/>
        <v>0</v>
      </c>
      <c r="AU94" s="109">
        <f t="shared" si="46"/>
        <v>0</v>
      </c>
      <c r="AV94" s="109">
        <f t="shared" si="47"/>
        <v>0</v>
      </c>
      <c r="AW94" s="109">
        <f t="shared" si="48"/>
        <v>0</v>
      </c>
      <c r="AX94" s="109">
        <f t="shared" si="49"/>
        <v>0</v>
      </c>
      <c r="AY94" s="109">
        <f t="shared" si="50"/>
        <v>0</v>
      </c>
      <c r="AZ94" s="109">
        <f t="shared" si="51"/>
        <v>0</v>
      </c>
      <c r="BA94" s="109">
        <f t="shared" si="52"/>
        <v>0</v>
      </c>
      <c r="BB94" s="109">
        <f t="shared" si="53"/>
        <v>0</v>
      </c>
      <c r="BC94" s="109">
        <f t="shared" si="54"/>
        <v>0</v>
      </c>
      <c r="BD94" s="109">
        <f t="shared" si="55"/>
        <v>0</v>
      </c>
      <c r="BE94" s="107"/>
      <c r="BF94" s="107"/>
      <c r="BG94" s="107"/>
      <c r="BH94" s="107"/>
      <c r="BI94" s="107"/>
      <c r="BJ94" s="107"/>
      <c r="BK94" s="107"/>
      <c r="BL94" s="107"/>
    </row>
    <row r="95" spans="1:64" ht="15" x14ac:dyDescent="0.2">
      <c r="A95" s="376"/>
      <c r="B95" s="376"/>
      <c r="C95" s="106" t="s">
        <v>288</v>
      </c>
      <c r="D95" s="377"/>
      <c r="E95" s="106"/>
      <c r="F95" s="106"/>
      <c r="G95" s="106"/>
      <c r="H95" s="106"/>
      <c r="I95" s="106"/>
      <c r="J95" s="106"/>
      <c r="K95" s="106"/>
      <c r="L95" s="106"/>
      <c r="M95" s="106">
        <v>42</v>
      </c>
      <c r="N95" s="106"/>
      <c r="O95" s="106"/>
      <c r="P95" s="106"/>
      <c r="Q95" s="106"/>
      <c r="R95" s="106"/>
      <c r="S95" s="106"/>
      <c r="T95" s="106"/>
      <c r="U95" s="106"/>
      <c r="V95" s="106"/>
      <c r="W95" s="106"/>
      <c r="X95" s="106"/>
      <c r="Y95" s="106"/>
      <c r="Z95" s="106"/>
      <c r="AA95" s="106"/>
      <c r="AB95" s="106"/>
      <c r="AC95" s="106" t="s">
        <v>289</v>
      </c>
      <c r="AD95" s="110">
        <f t="shared" si="35"/>
        <v>22</v>
      </c>
      <c r="AE95" s="108">
        <f>'1. SA ABA DE CARREGAMENTO'!B90</f>
        <v>22</v>
      </c>
      <c r="AF95" s="377"/>
      <c r="AG95" s="109">
        <f t="shared" si="36"/>
        <v>0</v>
      </c>
      <c r="AH95" s="109">
        <f t="shared" si="37"/>
        <v>0</v>
      </c>
      <c r="AI95" s="109">
        <f t="shared" si="38"/>
        <v>0</v>
      </c>
      <c r="AJ95" s="109">
        <f t="shared" si="39"/>
        <v>0</v>
      </c>
      <c r="AK95" s="109">
        <f t="shared" si="40"/>
        <v>0</v>
      </c>
      <c r="AL95" s="109">
        <f t="shared" si="31"/>
        <v>0</v>
      </c>
      <c r="AM95" s="109">
        <f t="shared" si="32"/>
        <v>0</v>
      </c>
      <c r="AN95" s="109">
        <f t="shared" si="41"/>
        <v>0</v>
      </c>
      <c r="AO95" s="109">
        <f t="shared" si="42"/>
        <v>42</v>
      </c>
      <c r="AP95" s="109">
        <f t="shared" si="33"/>
        <v>0</v>
      </c>
      <c r="AQ95" s="109">
        <f t="shared" si="34"/>
        <v>0</v>
      </c>
      <c r="AR95" s="109">
        <f t="shared" si="43"/>
        <v>0</v>
      </c>
      <c r="AS95" s="109">
        <f t="shared" si="44"/>
        <v>0</v>
      </c>
      <c r="AT95" s="109">
        <f t="shared" si="45"/>
        <v>0</v>
      </c>
      <c r="AU95" s="109">
        <f t="shared" si="46"/>
        <v>0</v>
      </c>
      <c r="AV95" s="109">
        <f t="shared" si="47"/>
        <v>0</v>
      </c>
      <c r="AW95" s="109">
        <f t="shared" si="48"/>
        <v>0</v>
      </c>
      <c r="AX95" s="109">
        <f t="shared" si="49"/>
        <v>0</v>
      </c>
      <c r="AY95" s="109">
        <f t="shared" si="50"/>
        <v>0</v>
      </c>
      <c r="AZ95" s="109">
        <f t="shared" si="51"/>
        <v>0</v>
      </c>
      <c r="BA95" s="109">
        <f t="shared" si="52"/>
        <v>0</v>
      </c>
      <c r="BB95" s="109">
        <f t="shared" si="53"/>
        <v>0</v>
      </c>
      <c r="BC95" s="109">
        <f t="shared" si="54"/>
        <v>0</v>
      </c>
      <c r="BD95" s="109">
        <f t="shared" si="55"/>
        <v>0</v>
      </c>
      <c r="BE95" s="107"/>
      <c r="BF95" s="107"/>
      <c r="BG95" s="107"/>
      <c r="BH95" s="107"/>
      <c r="BI95" s="107"/>
      <c r="BJ95" s="107"/>
      <c r="BK95" s="107"/>
      <c r="BL95" s="107"/>
    </row>
    <row r="96" spans="1:64" ht="12.75" customHeight="1" x14ac:dyDescent="0.2">
      <c r="A96" s="376"/>
      <c r="B96" s="376"/>
      <c r="C96" s="106" t="s">
        <v>274</v>
      </c>
      <c r="D96" s="377"/>
      <c r="E96" s="106"/>
      <c r="F96" s="106"/>
      <c r="G96" s="106"/>
      <c r="H96" s="106"/>
      <c r="I96" s="106"/>
      <c r="J96" s="106"/>
      <c r="K96" s="106"/>
      <c r="L96" s="106"/>
      <c r="M96" s="106"/>
      <c r="N96" s="106"/>
      <c r="O96" s="106"/>
      <c r="P96" s="106"/>
      <c r="Q96" s="106"/>
      <c r="R96" s="106"/>
      <c r="S96" s="106"/>
      <c r="T96" s="106"/>
      <c r="U96" s="106"/>
      <c r="V96" s="106">
        <v>8.3000000000000007</v>
      </c>
      <c r="W96" s="106"/>
      <c r="X96" s="106"/>
      <c r="Y96" s="106"/>
      <c r="Z96" s="106"/>
      <c r="AA96" s="106"/>
      <c r="AB96" s="106"/>
      <c r="AC96" s="106" t="s">
        <v>275</v>
      </c>
      <c r="AD96" s="110">
        <f t="shared" si="35"/>
        <v>0.17</v>
      </c>
      <c r="AE96" s="108">
        <f>'1. SA ABA DE CARREGAMENTO'!B90</f>
        <v>22</v>
      </c>
      <c r="AF96" s="377"/>
      <c r="AG96" s="109">
        <f t="shared" si="36"/>
        <v>0</v>
      </c>
      <c r="AH96" s="109">
        <f t="shared" si="37"/>
        <v>0</v>
      </c>
      <c r="AI96" s="109">
        <f t="shared" si="38"/>
        <v>0</v>
      </c>
      <c r="AJ96" s="109">
        <f t="shared" si="39"/>
        <v>0</v>
      </c>
      <c r="AK96" s="109">
        <f t="shared" si="40"/>
        <v>0</v>
      </c>
      <c r="AL96" s="109">
        <f t="shared" si="31"/>
        <v>0</v>
      </c>
      <c r="AM96" s="109">
        <f t="shared" si="32"/>
        <v>0</v>
      </c>
      <c r="AN96" s="109">
        <f t="shared" si="41"/>
        <v>0</v>
      </c>
      <c r="AO96" s="109">
        <f t="shared" si="42"/>
        <v>0</v>
      </c>
      <c r="AP96" s="109">
        <f t="shared" si="33"/>
        <v>0</v>
      </c>
      <c r="AQ96" s="109">
        <f t="shared" si="34"/>
        <v>0</v>
      </c>
      <c r="AR96" s="109">
        <f t="shared" si="43"/>
        <v>0</v>
      </c>
      <c r="AS96" s="109">
        <f t="shared" si="44"/>
        <v>0</v>
      </c>
      <c r="AT96" s="109">
        <f t="shared" si="45"/>
        <v>0</v>
      </c>
      <c r="AU96" s="109">
        <f t="shared" si="46"/>
        <v>0</v>
      </c>
      <c r="AV96" s="109">
        <f t="shared" si="47"/>
        <v>0</v>
      </c>
      <c r="AW96" s="109">
        <f t="shared" si="48"/>
        <v>0</v>
      </c>
      <c r="AX96" s="109">
        <f t="shared" si="49"/>
        <v>6.4136363636363644E-2</v>
      </c>
      <c r="AY96" s="109">
        <f t="shared" si="50"/>
        <v>0</v>
      </c>
      <c r="AZ96" s="109">
        <f t="shared" si="51"/>
        <v>0</v>
      </c>
      <c r="BA96" s="109">
        <f t="shared" si="52"/>
        <v>0</v>
      </c>
      <c r="BB96" s="109">
        <f t="shared" si="53"/>
        <v>0</v>
      </c>
      <c r="BC96" s="109">
        <f t="shared" si="54"/>
        <v>0</v>
      </c>
      <c r="BD96" s="109">
        <f t="shared" si="55"/>
        <v>0</v>
      </c>
      <c r="BE96" s="107"/>
      <c r="BF96" s="107"/>
      <c r="BG96" s="107"/>
      <c r="BH96" s="107"/>
      <c r="BI96" s="107"/>
      <c r="BJ96" s="107"/>
      <c r="BK96" s="107"/>
      <c r="BL96" s="107"/>
    </row>
    <row r="97" spans="1:64" ht="12.75" customHeight="1" x14ac:dyDescent="0.2">
      <c r="A97" s="376"/>
      <c r="B97" s="376"/>
      <c r="C97" s="106" t="s">
        <v>276</v>
      </c>
      <c r="D97" s="377"/>
      <c r="E97" s="106"/>
      <c r="F97" s="106"/>
      <c r="G97" s="106"/>
      <c r="H97" s="106"/>
      <c r="I97" s="106"/>
      <c r="J97" s="106"/>
      <c r="K97" s="106"/>
      <c r="L97" s="106"/>
      <c r="M97" s="106"/>
      <c r="N97" s="106"/>
      <c r="O97" s="106"/>
      <c r="P97" s="106"/>
      <c r="Q97" s="106"/>
      <c r="R97" s="106"/>
      <c r="S97" s="106"/>
      <c r="T97" s="106"/>
      <c r="U97" s="106"/>
      <c r="V97" s="106"/>
      <c r="W97" s="106">
        <v>8.3000000000000007</v>
      </c>
      <c r="X97" s="106"/>
      <c r="Y97" s="106"/>
      <c r="Z97" s="106"/>
      <c r="AA97" s="106"/>
      <c r="AB97" s="106"/>
      <c r="AC97" s="106" t="s">
        <v>277</v>
      </c>
      <c r="AD97" s="110">
        <f t="shared" si="35"/>
        <v>8</v>
      </c>
      <c r="AE97" s="108">
        <f>'1. SA ABA DE CARREGAMENTO'!B90</f>
        <v>22</v>
      </c>
      <c r="AF97" s="377"/>
      <c r="AG97" s="109">
        <f t="shared" si="36"/>
        <v>0</v>
      </c>
      <c r="AH97" s="109">
        <f t="shared" si="37"/>
        <v>0</v>
      </c>
      <c r="AI97" s="109">
        <f t="shared" si="38"/>
        <v>0</v>
      </c>
      <c r="AJ97" s="109">
        <f t="shared" si="39"/>
        <v>0</v>
      </c>
      <c r="AK97" s="109">
        <f t="shared" si="40"/>
        <v>0</v>
      </c>
      <c r="AL97" s="109">
        <f t="shared" si="31"/>
        <v>0</v>
      </c>
      <c r="AM97" s="109">
        <f t="shared" si="32"/>
        <v>0</v>
      </c>
      <c r="AN97" s="109">
        <f t="shared" si="41"/>
        <v>0</v>
      </c>
      <c r="AO97" s="109">
        <f t="shared" si="42"/>
        <v>0</v>
      </c>
      <c r="AP97" s="109">
        <f t="shared" si="33"/>
        <v>0</v>
      </c>
      <c r="AQ97" s="109">
        <f t="shared" si="34"/>
        <v>0</v>
      </c>
      <c r="AR97" s="109">
        <f t="shared" si="43"/>
        <v>0</v>
      </c>
      <c r="AS97" s="109">
        <f t="shared" si="44"/>
        <v>0</v>
      </c>
      <c r="AT97" s="109">
        <f t="shared" si="45"/>
        <v>0</v>
      </c>
      <c r="AU97" s="109">
        <f t="shared" si="46"/>
        <v>0</v>
      </c>
      <c r="AV97" s="109">
        <f t="shared" si="47"/>
        <v>0</v>
      </c>
      <c r="AW97" s="109">
        <f t="shared" si="48"/>
        <v>0</v>
      </c>
      <c r="AX97" s="109">
        <f t="shared" si="49"/>
        <v>0</v>
      </c>
      <c r="AY97" s="109">
        <f t="shared" si="50"/>
        <v>3.0181818181818185</v>
      </c>
      <c r="AZ97" s="109">
        <f t="shared" si="51"/>
        <v>0</v>
      </c>
      <c r="BA97" s="109">
        <f t="shared" si="52"/>
        <v>0</v>
      </c>
      <c r="BB97" s="109">
        <f t="shared" si="53"/>
        <v>0</v>
      </c>
      <c r="BC97" s="109">
        <f t="shared" si="54"/>
        <v>0</v>
      </c>
      <c r="BD97" s="109">
        <f t="shared" si="55"/>
        <v>0</v>
      </c>
      <c r="BE97" s="107"/>
      <c r="BF97" s="107"/>
      <c r="BG97" s="107"/>
      <c r="BH97" s="107"/>
      <c r="BI97" s="107"/>
      <c r="BJ97" s="107"/>
      <c r="BK97" s="107"/>
      <c r="BL97" s="107"/>
    </row>
    <row r="98" spans="1:64" ht="15" x14ac:dyDescent="0.2">
      <c r="A98" s="386">
        <v>10</v>
      </c>
      <c r="B98" s="122"/>
      <c r="C98" s="123" t="s">
        <v>340</v>
      </c>
      <c r="D98" s="387">
        <f>SUM(E98:AB104)</f>
        <v>39.76</v>
      </c>
      <c r="E98" s="124"/>
      <c r="F98" s="111">
        <v>4.82</v>
      </c>
      <c r="G98" s="111"/>
      <c r="H98" s="111"/>
      <c r="I98" s="111"/>
      <c r="J98" s="111"/>
      <c r="K98" s="111"/>
      <c r="L98" s="111"/>
      <c r="M98" s="111"/>
      <c r="N98" s="111"/>
      <c r="O98" s="111"/>
      <c r="P98" s="111"/>
      <c r="Q98" s="111"/>
      <c r="R98" s="111"/>
      <c r="S98" s="111"/>
      <c r="T98" s="111"/>
      <c r="U98" s="111"/>
      <c r="V98" s="111"/>
      <c r="W98" s="111"/>
      <c r="X98" s="111"/>
      <c r="Y98" s="111"/>
      <c r="Z98" s="111"/>
      <c r="AA98" s="111"/>
      <c r="AB98" s="111"/>
      <c r="AC98" s="113" t="s">
        <v>289</v>
      </c>
      <c r="AD98" s="114">
        <f t="shared" si="35"/>
        <v>22</v>
      </c>
      <c r="AE98" s="115">
        <f>'1. SA ABA DE CARREGAMENTO'!B90</f>
        <v>22</v>
      </c>
      <c r="AF98" s="387">
        <f>SUM(AG98:BD104)</f>
        <v>21.968840909090911</v>
      </c>
      <c r="AG98" s="117">
        <f t="shared" si="36"/>
        <v>0</v>
      </c>
      <c r="AH98" s="117">
        <f t="shared" si="37"/>
        <v>4.82</v>
      </c>
      <c r="AI98" s="117">
        <f t="shared" si="38"/>
        <v>0</v>
      </c>
      <c r="AJ98" s="117">
        <f t="shared" si="39"/>
        <v>0</v>
      </c>
      <c r="AK98" s="117">
        <f t="shared" si="40"/>
        <v>0</v>
      </c>
      <c r="AL98" s="117">
        <f t="shared" si="31"/>
        <v>0</v>
      </c>
      <c r="AM98" s="117">
        <f t="shared" si="32"/>
        <v>0</v>
      </c>
      <c r="AN98" s="117">
        <f t="shared" si="41"/>
        <v>0</v>
      </c>
      <c r="AO98" s="117">
        <f t="shared" si="42"/>
        <v>0</v>
      </c>
      <c r="AP98" s="117">
        <f t="shared" si="33"/>
        <v>0</v>
      </c>
      <c r="AQ98" s="117">
        <f t="shared" si="34"/>
        <v>0</v>
      </c>
      <c r="AR98" s="117">
        <f t="shared" si="43"/>
        <v>0</v>
      </c>
      <c r="AS98" s="117">
        <f t="shared" si="44"/>
        <v>0</v>
      </c>
      <c r="AT98" s="117">
        <f t="shared" si="45"/>
        <v>0</v>
      </c>
      <c r="AU98" s="117">
        <f t="shared" si="46"/>
        <v>0</v>
      </c>
      <c r="AV98" s="117">
        <f t="shared" si="47"/>
        <v>0</v>
      </c>
      <c r="AW98" s="117">
        <f t="shared" si="48"/>
        <v>0</v>
      </c>
      <c r="AX98" s="117">
        <f t="shared" si="49"/>
        <v>0</v>
      </c>
      <c r="AY98" s="117">
        <f t="shared" si="50"/>
        <v>0</v>
      </c>
      <c r="AZ98" s="117">
        <f t="shared" si="51"/>
        <v>0</v>
      </c>
      <c r="BA98" s="117">
        <f t="shared" si="52"/>
        <v>0</v>
      </c>
      <c r="BB98" s="117">
        <f t="shared" si="53"/>
        <v>0</v>
      </c>
      <c r="BC98" s="117">
        <f t="shared" si="54"/>
        <v>0</v>
      </c>
      <c r="BD98" s="117">
        <f t="shared" si="55"/>
        <v>0</v>
      </c>
      <c r="BE98" s="107"/>
      <c r="BF98" s="107"/>
      <c r="BG98" s="107"/>
      <c r="BH98" s="107"/>
      <c r="BI98" s="107"/>
      <c r="BJ98" s="107"/>
      <c r="BK98" s="107"/>
      <c r="BL98" s="107"/>
    </row>
    <row r="99" spans="1:64" ht="15" x14ac:dyDescent="0.2">
      <c r="A99" s="386"/>
      <c r="B99" s="122"/>
      <c r="C99" s="123" t="s">
        <v>341</v>
      </c>
      <c r="D99" s="387"/>
      <c r="E99" s="124"/>
      <c r="F99" s="111">
        <v>9.8000000000000007</v>
      </c>
      <c r="G99" s="111"/>
      <c r="H99" s="111"/>
      <c r="I99" s="111"/>
      <c r="J99" s="111"/>
      <c r="K99" s="111"/>
      <c r="L99" s="111"/>
      <c r="M99" s="111"/>
      <c r="N99" s="111"/>
      <c r="O99" s="111"/>
      <c r="P99" s="111"/>
      <c r="Q99" s="111"/>
      <c r="R99" s="111"/>
      <c r="S99" s="111"/>
      <c r="T99" s="111"/>
      <c r="U99" s="111"/>
      <c r="V99" s="111"/>
      <c r="W99" s="111"/>
      <c r="X99" s="111"/>
      <c r="Y99" s="111"/>
      <c r="Z99" s="111"/>
      <c r="AA99" s="111"/>
      <c r="AB99" s="111"/>
      <c r="AC99" s="113" t="s">
        <v>289</v>
      </c>
      <c r="AD99" s="114">
        <f t="shared" si="35"/>
        <v>22</v>
      </c>
      <c r="AE99" s="115">
        <f>'1. SA ABA DE CARREGAMENTO'!B90</f>
        <v>22</v>
      </c>
      <c r="AF99" s="387"/>
      <c r="AG99" s="117">
        <f t="shared" si="36"/>
        <v>0</v>
      </c>
      <c r="AH99" s="117">
        <f t="shared" si="37"/>
        <v>9.8000000000000007</v>
      </c>
      <c r="AI99" s="117">
        <f t="shared" si="38"/>
        <v>0</v>
      </c>
      <c r="AJ99" s="117">
        <f t="shared" si="39"/>
        <v>0</v>
      </c>
      <c r="AK99" s="117">
        <f t="shared" si="40"/>
        <v>0</v>
      </c>
      <c r="AL99" s="117">
        <f t="shared" si="31"/>
        <v>0</v>
      </c>
      <c r="AM99" s="117">
        <f t="shared" si="32"/>
        <v>0</v>
      </c>
      <c r="AN99" s="117">
        <f t="shared" si="41"/>
        <v>0</v>
      </c>
      <c r="AO99" s="117">
        <f t="shared" si="42"/>
        <v>0</v>
      </c>
      <c r="AP99" s="117">
        <f t="shared" si="33"/>
        <v>0</v>
      </c>
      <c r="AQ99" s="117">
        <f t="shared" si="34"/>
        <v>0</v>
      </c>
      <c r="AR99" s="117">
        <f t="shared" si="43"/>
        <v>0</v>
      </c>
      <c r="AS99" s="117">
        <f t="shared" si="44"/>
        <v>0</v>
      </c>
      <c r="AT99" s="117">
        <f t="shared" si="45"/>
        <v>0</v>
      </c>
      <c r="AU99" s="117">
        <f t="shared" si="46"/>
        <v>0</v>
      </c>
      <c r="AV99" s="117">
        <f t="shared" si="47"/>
        <v>0</v>
      </c>
      <c r="AW99" s="117">
        <f t="shared" si="48"/>
        <v>0</v>
      </c>
      <c r="AX99" s="117">
        <f t="shared" si="49"/>
        <v>0</v>
      </c>
      <c r="AY99" s="117">
        <f t="shared" si="50"/>
        <v>0</v>
      </c>
      <c r="AZ99" s="117">
        <f t="shared" si="51"/>
        <v>0</v>
      </c>
      <c r="BA99" s="117">
        <f t="shared" si="52"/>
        <v>0</v>
      </c>
      <c r="BB99" s="117">
        <f t="shared" si="53"/>
        <v>0</v>
      </c>
      <c r="BC99" s="117">
        <f t="shared" si="54"/>
        <v>0</v>
      </c>
      <c r="BD99" s="117">
        <f t="shared" si="55"/>
        <v>0</v>
      </c>
      <c r="BE99" s="107"/>
      <c r="BF99" s="107"/>
      <c r="BG99" s="107"/>
      <c r="BH99" s="107"/>
      <c r="BI99" s="107"/>
      <c r="BJ99" s="107"/>
      <c r="BK99" s="107"/>
      <c r="BL99" s="107"/>
    </row>
    <row r="100" spans="1:64" ht="15" x14ac:dyDescent="0.2">
      <c r="A100" s="386"/>
      <c r="B100" s="122"/>
      <c r="C100" s="123" t="s">
        <v>342</v>
      </c>
      <c r="D100" s="387"/>
      <c r="E100" s="124"/>
      <c r="F100" s="111"/>
      <c r="G100" s="111"/>
      <c r="H100" s="111"/>
      <c r="I100" s="111"/>
      <c r="J100" s="111"/>
      <c r="K100" s="111"/>
      <c r="L100" s="111"/>
      <c r="M100" s="111"/>
      <c r="N100" s="111"/>
      <c r="O100" s="111"/>
      <c r="P100" s="111"/>
      <c r="Q100" s="111"/>
      <c r="R100" s="111"/>
      <c r="S100" s="111"/>
      <c r="T100" s="111"/>
      <c r="U100" s="111"/>
      <c r="V100" s="111">
        <v>6.36</v>
      </c>
      <c r="W100" s="111"/>
      <c r="X100" s="111"/>
      <c r="Y100" s="111"/>
      <c r="Z100" s="111"/>
      <c r="AA100" s="111"/>
      <c r="AB100" s="111"/>
      <c r="AC100" s="113" t="s">
        <v>275</v>
      </c>
      <c r="AD100" s="114">
        <f t="shared" si="35"/>
        <v>0.17</v>
      </c>
      <c r="AE100" s="115">
        <f>'1. SA ABA DE CARREGAMENTO'!B90</f>
        <v>22</v>
      </c>
      <c r="AF100" s="387"/>
      <c r="AG100" s="117">
        <f t="shared" si="36"/>
        <v>0</v>
      </c>
      <c r="AH100" s="117">
        <f t="shared" si="37"/>
        <v>0</v>
      </c>
      <c r="AI100" s="117">
        <f t="shared" si="38"/>
        <v>0</v>
      </c>
      <c r="AJ100" s="117">
        <f t="shared" si="39"/>
        <v>0</v>
      </c>
      <c r="AK100" s="117">
        <f t="shared" si="40"/>
        <v>0</v>
      </c>
      <c r="AL100" s="117">
        <f t="shared" si="31"/>
        <v>0</v>
      </c>
      <c r="AM100" s="117">
        <f t="shared" si="32"/>
        <v>0</v>
      </c>
      <c r="AN100" s="117">
        <f t="shared" si="41"/>
        <v>0</v>
      </c>
      <c r="AO100" s="117">
        <f t="shared" si="42"/>
        <v>0</v>
      </c>
      <c r="AP100" s="117">
        <f t="shared" si="33"/>
        <v>0</v>
      </c>
      <c r="AQ100" s="117">
        <f t="shared" si="34"/>
        <v>0</v>
      </c>
      <c r="AR100" s="117">
        <f t="shared" si="43"/>
        <v>0</v>
      </c>
      <c r="AS100" s="117">
        <f t="shared" si="44"/>
        <v>0</v>
      </c>
      <c r="AT100" s="117">
        <f t="shared" si="45"/>
        <v>0</v>
      </c>
      <c r="AU100" s="117">
        <f t="shared" si="46"/>
        <v>0</v>
      </c>
      <c r="AV100" s="117">
        <f t="shared" si="47"/>
        <v>0</v>
      </c>
      <c r="AW100" s="117">
        <f t="shared" si="48"/>
        <v>0</v>
      </c>
      <c r="AX100" s="117">
        <f t="shared" si="49"/>
        <v>4.9145454545454555E-2</v>
      </c>
      <c r="AY100" s="117">
        <f t="shared" si="50"/>
        <v>0</v>
      </c>
      <c r="AZ100" s="117">
        <f t="shared" si="51"/>
        <v>0</v>
      </c>
      <c r="BA100" s="117">
        <f t="shared" si="52"/>
        <v>0</v>
      </c>
      <c r="BB100" s="117">
        <f t="shared" si="53"/>
        <v>0</v>
      </c>
      <c r="BC100" s="117">
        <f t="shared" si="54"/>
        <v>0</v>
      </c>
      <c r="BD100" s="117">
        <f t="shared" si="55"/>
        <v>0</v>
      </c>
      <c r="BE100" s="107"/>
      <c r="BF100" s="107"/>
      <c r="BG100" s="107"/>
      <c r="BH100" s="107"/>
      <c r="BI100" s="107"/>
      <c r="BJ100" s="107"/>
      <c r="BK100" s="107"/>
      <c r="BL100" s="107"/>
    </row>
    <row r="101" spans="1:64" ht="15" x14ac:dyDescent="0.2">
      <c r="A101" s="386"/>
      <c r="B101" s="122" t="s">
        <v>343</v>
      </c>
      <c r="C101" s="123" t="s">
        <v>344</v>
      </c>
      <c r="D101" s="387"/>
      <c r="E101" s="124"/>
      <c r="F101" s="111"/>
      <c r="G101" s="111"/>
      <c r="H101" s="111"/>
      <c r="I101" s="111"/>
      <c r="J101" s="111"/>
      <c r="K101" s="111"/>
      <c r="L101" s="111"/>
      <c r="M101" s="111"/>
      <c r="N101" s="111"/>
      <c r="O101" s="111"/>
      <c r="P101" s="111"/>
      <c r="Q101" s="111"/>
      <c r="R101" s="111"/>
      <c r="S101" s="111"/>
      <c r="T101" s="111"/>
      <c r="U101" s="111"/>
      <c r="V101" s="111"/>
      <c r="W101" s="111">
        <v>6.36</v>
      </c>
      <c r="X101" s="111"/>
      <c r="Y101" s="111"/>
      <c r="Z101" s="111"/>
      <c r="AA101" s="111"/>
      <c r="AB101" s="111"/>
      <c r="AC101" s="113" t="s">
        <v>277</v>
      </c>
      <c r="AD101" s="114">
        <f t="shared" si="35"/>
        <v>8</v>
      </c>
      <c r="AE101" s="115">
        <f>'1. SA ABA DE CARREGAMENTO'!B90</f>
        <v>22</v>
      </c>
      <c r="AF101" s="387"/>
      <c r="AG101" s="117">
        <f t="shared" si="36"/>
        <v>0</v>
      </c>
      <c r="AH101" s="117">
        <f t="shared" si="37"/>
        <v>0</v>
      </c>
      <c r="AI101" s="117">
        <f t="shared" si="38"/>
        <v>0</v>
      </c>
      <c r="AJ101" s="117">
        <f t="shared" si="39"/>
        <v>0</v>
      </c>
      <c r="AK101" s="117">
        <f t="shared" si="40"/>
        <v>0</v>
      </c>
      <c r="AL101" s="117">
        <f t="shared" si="31"/>
        <v>0</v>
      </c>
      <c r="AM101" s="117">
        <f t="shared" si="32"/>
        <v>0</v>
      </c>
      <c r="AN101" s="117">
        <f t="shared" si="41"/>
        <v>0</v>
      </c>
      <c r="AO101" s="117">
        <f t="shared" si="42"/>
        <v>0</v>
      </c>
      <c r="AP101" s="117">
        <f t="shared" si="33"/>
        <v>0</v>
      </c>
      <c r="AQ101" s="117">
        <f t="shared" si="34"/>
        <v>0</v>
      </c>
      <c r="AR101" s="117">
        <f t="shared" si="43"/>
        <v>0</v>
      </c>
      <c r="AS101" s="117">
        <f t="shared" si="44"/>
        <v>0</v>
      </c>
      <c r="AT101" s="117">
        <f t="shared" si="45"/>
        <v>0</v>
      </c>
      <c r="AU101" s="117">
        <f t="shared" si="46"/>
        <v>0</v>
      </c>
      <c r="AV101" s="117">
        <f t="shared" si="47"/>
        <v>0</v>
      </c>
      <c r="AW101" s="117">
        <f t="shared" si="48"/>
        <v>0</v>
      </c>
      <c r="AX101" s="117">
        <f t="shared" si="49"/>
        <v>0</v>
      </c>
      <c r="AY101" s="117">
        <f t="shared" si="50"/>
        <v>2.312727272727273</v>
      </c>
      <c r="AZ101" s="117">
        <f t="shared" si="51"/>
        <v>0</v>
      </c>
      <c r="BA101" s="117">
        <f t="shared" si="52"/>
        <v>0</v>
      </c>
      <c r="BB101" s="117">
        <f t="shared" si="53"/>
        <v>0</v>
      </c>
      <c r="BC101" s="117">
        <f t="shared" si="54"/>
        <v>0</v>
      </c>
      <c r="BD101" s="117">
        <f t="shared" si="55"/>
        <v>0</v>
      </c>
      <c r="BE101" s="107"/>
      <c r="BF101" s="107"/>
      <c r="BG101" s="107"/>
      <c r="BH101" s="107"/>
      <c r="BI101" s="107"/>
      <c r="BJ101" s="107"/>
      <c r="BK101" s="107"/>
      <c r="BL101" s="107"/>
    </row>
    <row r="102" spans="1:64" ht="15" x14ac:dyDescent="0.2">
      <c r="A102" s="386"/>
      <c r="B102" s="122"/>
      <c r="C102" s="123" t="s">
        <v>345</v>
      </c>
      <c r="D102" s="387"/>
      <c r="E102" s="124"/>
      <c r="F102" s="111"/>
      <c r="G102" s="111"/>
      <c r="H102" s="111"/>
      <c r="I102" s="111"/>
      <c r="J102" s="111"/>
      <c r="K102" s="111"/>
      <c r="L102" s="111"/>
      <c r="M102" s="111"/>
      <c r="N102" s="111"/>
      <c r="O102" s="111"/>
      <c r="P102" s="111"/>
      <c r="Q102" s="111"/>
      <c r="R102" s="111"/>
      <c r="S102" s="111"/>
      <c r="T102" s="111"/>
      <c r="U102" s="111"/>
      <c r="V102" s="111"/>
      <c r="W102" s="111"/>
      <c r="X102" s="111"/>
      <c r="Y102" s="111"/>
      <c r="Z102" s="111">
        <v>1.41</v>
      </c>
      <c r="AA102" s="111"/>
      <c r="AB102" s="111"/>
      <c r="AC102" s="113" t="s">
        <v>285</v>
      </c>
      <c r="AD102" s="114">
        <f t="shared" si="35"/>
        <v>44</v>
      </c>
      <c r="AE102" s="115">
        <f>'1. SA ABA DE CARREGAMENTO'!B90</f>
        <v>22</v>
      </c>
      <c r="AF102" s="387"/>
      <c r="AG102" s="117">
        <f t="shared" si="36"/>
        <v>0</v>
      </c>
      <c r="AH102" s="117">
        <f t="shared" si="37"/>
        <v>0</v>
      </c>
      <c r="AI102" s="117">
        <f t="shared" si="38"/>
        <v>0</v>
      </c>
      <c r="AJ102" s="117">
        <f t="shared" si="39"/>
        <v>0</v>
      </c>
      <c r="AK102" s="117">
        <f t="shared" si="40"/>
        <v>0</v>
      </c>
      <c r="AL102" s="117">
        <f t="shared" si="31"/>
        <v>0</v>
      </c>
      <c r="AM102" s="117">
        <f t="shared" si="32"/>
        <v>0</v>
      </c>
      <c r="AN102" s="117">
        <f t="shared" si="41"/>
        <v>0</v>
      </c>
      <c r="AO102" s="117">
        <f t="shared" si="42"/>
        <v>0</v>
      </c>
      <c r="AP102" s="117">
        <f t="shared" si="33"/>
        <v>0</v>
      </c>
      <c r="AQ102" s="117">
        <f t="shared" si="34"/>
        <v>0</v>
      </c>
      <c r="AR102" s="117">
        <f t="shared" si="43"/>
        <v>0</v>
      </c>
      <c r="AS102" s="117">
        <f t="shared" si="44"/>
        <v>0</v>
      </c>
      <c r="AT102" s="117">
        <f t="shared" si="45"/>
        <v>0</v>
      </c>
      <c r="AU102" s="117">
        <f t="shared" si="46"/>
        <v>0</v>
      </c>
      <c r="AV102" s="117">
        <f t="shared" si="47"/>
        <v>0</v>
      </c>
      <c r="AW102" s="117">
        <f t="shared" si="48"/>
        <v>0</v>
      </c>
      <c r="AX102" s="117">
        <f t="shared" si="49"/>
        <v>0</v>
      </c>
      <c r="AY102" s="117">
        <f t="shared" si="50"/>
        <v>0</v>
      </c>
      <c r="AZ102" s="117">
        <f t="shared" si="51"/>
        <v>0</v>
      </c>
      <c r="BA102" s="117">
        <f t="shared" si="52"/>
        <v>0</v>
      </c>
      <c r="BB102" s="117">
        <f t="shared" si="53"/>
        <v>2.82</v>
      </c>
      <c r="BC102" s="117">
        <f t="shared" si="54"/>
        <v>0</v>
      </c>
      <c r="BD102" s="117">
        <f t="shared" si="55"/>
        <v>0</v>
      </c>
      <c r="BE102" s="107"/>
      <c r="BF102" s="107"/>
      <c r="BG102" s="107"/>
      <c r="BH102" s="107"/>
      <c r="BI102" s="107"/>
      <c r="BJ102" s="107"/>
      <c r="BK102" s="107"/>
      <c r="BL102" s="107"/>
    </row>
    <row r="103" spans="1:64" ht="15" x14ac:dyDescent="0.2">
      <c r="A103" s="386"/>
      <c r="B103" s="122"/>
      <c r="C103" s="123" t="s">
        <v>346</v>
      </c>
      <c r="D103" s="387"/>
      <c r="E103" s="124"/>
      <c r="F103" s="111"/>
      <c r="G103" s="111"/>
      <c r="H103" s="111"/>
      <c r="I103" s="111"/>
      <c r="J103" s="111"/>
      <c r="K103" s="111"/>
      <c r="L103" s="111"/>
      <c r="M103" s="111"/>
      <c r="N103" s="111"/>
      <c r="O103" s="111"/>
      <c r="P103" s="111"/>
      <c r="Q103" s="111"/>
      <c r="R103" s="111"/>
      <c r="S103" s="111"/>
      <c r="T103" s="111"/>
      <c r="U103" s="111"/>
      <c r="V103" s="111"/>
      <c r="W103" s="111"/>
      <c r="X103" s="111"/>
      <c r="Y103" s="111"/>
      <c r="Z103" s="111"/>
      <c r="AA103" s="111">
        <v>9.6</v>
      </c>
      <c r="AB103" s="111"/>
      <c r="AC103" s="113" t="s">
        <v>281</v>
      </c>
      <c r="AD103" s="114">
        <f t="shared" si="35"/>
        <v>4.33</v>
      </c>
      <c r="AE103" s="115">
        <f>'1. SA ABA DE CARREGAMENTO'!B90</f>
        <v>22</v>
      </c>
      <c r="AF103" s="387"/>
      <c r="AG103" s="117">
        <f t="shared" si="36"/>
        <v>0</v>
      </c>
      <c r="AH103" s="117">
        <f t="shared" si="37"/>
        <v>0</v>
      </c>
      <c r="AI103" s="117">
        <f t="shared" si="38"/>
        <v>0</v>
      </c>
      <c r="AJ103" s="117">
        <f t="shared" si="39"/>
        <v>0</v>
      </c>
      <c r="AK103" s="117">
        <f t="shared" si="40"/>
        <v>0</v>
      </c>
      <c r="AL103" s="117">
        <f t="shared" si="31"/>
        <v>0</v>
      </c>
      <c r="AM103" s="117">
        <f t="shared" si="32"/>
        <v>0</v>
      </c>
      <c r="AN103" s="117">
        <f t="shared" si="41"/>
        <v>0</v>
      </c>
      <c r="AO103" s="117">
        <f t="shared" si="42"/>
        <v>0</v>
      </c>
      <c r="AP103" s="117">
        <f t="shared" si="33"/>
        <v>0</v>
      </c>
      <c r="AQ103" s="117">
        <f t="shared" si="34"/>
        <v>0</v>
      </c>
      <c r="AR103" s="117">
        <f t="shared" si="43"/>
        <v>0</v>
      </c>
      <c r="AS103" s="117">
        <f t="shared" si="44"/>
        <v>0</v>
      </c>
      <c r="AT103" s="117">
        <f t="shared" si="45"/>
        <v>0</v>
      </c>
      <c r="AU103" s="117">
        <f t="shared" si="46"/>
        <v>0</v>
      </c>
      <c r="AV103" s="117">
        <f t="shared" si="47"/>
        <v>0</v>
      </c>
      <c r="AW103" s="117">
        <f t="shared" si="48"/>
        <v>0</v>
      </c>
      <c r="AX103" s="117">
        <f t="shared" si="49"/>
        <v>0</v>
      </c>
      <c r="AY103" s="117">
        <f t="shared" si="50"/>
        <v>0</v>
      </c>
      <c r="AZ103" s="117">
        <f t="shared" si="51"/>
        <v>0</v>
      </c>
      <c r="BA103" s="117">
        <f t="shared" si="52"/>
        <v>0</v>
      </c>
      <c r="BB103" s="117">
        <f t="shared" si="53"/>
        <v>0</v>
      </c>
      <c r="BC103" s="117">
        <f t="shared" si="54"/>
        <v>1.8894545454545453</v>
      </c>
      <c r="BD103" s="117">
        <f t="shared" si="55"/>
        <v>0</v>
      </c>
      <c r="BE103" s="107"/>
      <c r="BF103" s="107"/>
      <c r="BG103" s="107"/>
      <c r="BH103" s="107"/>
      <c r="BI103" s="107"/>
      <c r="BJ103" s="107"/>
      <c r="BK103" s="107"/>
      <c r="BL103" s="107"/>
    </row>
    <row r="104" spans="1:64" ht="15" x14ac:dyDescent="0.2">
      <c r="A104" s="386"/>
      <c r="B104" s="125"/>
      <c r="C104" s="123" t="s">
        <v>347</v>
      </c>
      <c r="D104" s="387"/>
      <c r="E104" s="124"/>
      <c r="F104" s="111"/>
      <c r="G104" s="111"/>
      <c r="H104" s="111"/>
      <c r="I104" s="111"/>
      <c r="J104" s="111"/>
      <c r="K104" s="111"/>
      <c r="L104" s="111"/>
      <c r="M104" s="111"/>
      <c r="N104" s="111"/>
      <c r="O104" s="111"/>
      <c r="P104" s="111"/>
      <c r="Q104" s="111"/>
      <c r="R104" s="111"/>
      <c r="S104" s="111"/>
      <c r="T104" s="111"/>
      <c r="U104" s="111"/>
      <c r="V104" s="111"/>
      <c r="W104" s="111"/>
      <c r="X104" s="111"/>
      <c r="Y104" s="111"/>
      <c r="Z104" s="111"/>
      <c r="AA104" s="111"/>
      <c r="AB104" s="111">
        <v>1.41</v>
      </c>
      <c r="AC104" s="113" t="s">
        <v>281</v>
      </c>
      <c r="AD104" s="114">
        <f t="shared" si="35"/>
        <v>4.33</v>
      </c>
      <c r="AE104" s="115">
        <f>'1. SA ABA DE CARREGAMENTO'!B90</f>
        <v>22</v>
      </c>
      <c r="AF104" s="387"/>
      <c r="AG104" s="117">
        <f t="shared" si="36"/>
        <v>0</v>
      </c>
      <c r="AH104" s="117">
        <f t="shared" si="37"/>
        <v>0</v>
      </c>
      <c r="AI104" s="117">
        <f t="shared" si="38"/>
        <v>0</v>
      </c>
      <c r="AJ104" s="117">
        <f t="shared" si="39"/>
        <v>0</v>
      </c>
      <c r="AK104" s="117">
        <f t="shared" si="40"/>
        <v>0</v>
      </c>
      <c r="AL104" s="117">
        <f t="shared" si="31"/>
        <v>0</v>
      </c>
      <c r="AM104" s="117">
        <f t="shared" si="32"/>
        <v>0</v>
      </c>
      <c r="AN104" s="117">
        <f t="shared" si="41"/>
        <v>0</v>
      </c>
      <c r="AO104" s="117">
        <f t="shared" si="42"/>
        <v>0</v>
      </c>
      <c r="AP104" s="117">
        <f t="shared" si="33"/>
        <v>0</v>
      </c>
      <c r="AQ104" s="117">
        <f t="shared" si="34"/>
        <v>0</v>
      </c>
      <c r="AR104" s="117">
        <f t="shared" si="43"/>
        <v>0</v>
      </c>
      <c r="AS104" s="117">
        <f t="shared" si="44"/>
        <v>0</v>
      </c>
      <c r="AT104" s="117">
        <f t="shared" si="45"/>
        <v>0</v>
      </c>
      <c r="AU104" s="117">
        <f t="shared" si="46"/>
        <v>0</v>
      </c>
      <c r="AV104" s="117">
        <f t="shared" si="47"/>
        <v>0</v>
      </c>
      <c r="AW104" s="117">
        <f t="shared" si="48"/>
        <v>0</v>
      </c>
      <c r="AX104" s="117">
        <f t="shared" si="49"/>
        <v>0</v>
      </c>
      <c r="AY104" s="117">
        <f t="shared" si="50"/>
        <v>0</v>
      </c>
      <c r="AZ104" s="117">
        <f t="shared" si="51"/>
        <v>0</v>
      </c>
      <c r="BA104" s="117">
        <f t="shared" si="52"/>
        <v>0</v>
      </c>
      <c r="BB104" s="117">
        <f t="shared" si="53"/>
        <v>0</v>
      </c>
      <c r="BC104" s="117">
        <f t="shared" si="54"/>
        <v>0</v>
      </c>
      <c r="BD104" s="112">
        <f t="shared" si="55"/>
        <v>0.27751363636363635</v>
      </c>
      <c r="BE104" s="107"/>
      <c r="BF104" s="107"/>
      <c r="BG104" s="107"/>
      <c r="BH104" s="107"/>
      <c r="BI104" s="107"/>
      <c r="BJ104" s="107"/>
      <c r="BK104" s="107"/>
      <c r="BL104" s="107"/>
    </row>
    <row r="105" spans="1:64" ht="15" customHeight="1" x14ac:dyDescent="0.2">
      <c r="A105" s="376">
        <v>11</v>
      </c>
      <c r="B105" s="388" t="s">
        <v>348</v>
      </c>
      <c r="C105" s="106" t="s">
        <v>341</v>
      </c>
      <c r="D105" s="377">
        <f>SUM(E105:AB119)</f>
        <v>474.52000000000004</v>
      </c>
      <c r="E105" s="106"/>
      <c r="F105" s="106">
        <v>8.84</v>
      </c>
      <c r="G105" s="106"/>
      <c r="H105" s="106"/>
      <c r="I105" s="106"/>
      <c r="J105" s="106"/>
      <c r="K105" s="106"/>
      <c r="L105" s="106"/>
      <c r="M105" s="106"/>
      <c r="N105" s="106"/>
      <c r="O105" s="106"/>
      <c r="P105" s="106"/>
      <c r="Q105" s="106"/>
      <c r="R105" s="106"/>
      <c r="S105" s="106"/>
      <c r="T105" s="106"/>
      <c r="U105" s="106"/>
      <c r="V105" s="106"/>
      <c r="W105" s="106"/>
      <c r="X105" s="106"/>
      <c r="Y105" s="106"/>
      <c r="Z105" s="106"/>
      <c r="AA105" s="106"/>
      <c r="AB105" s="106"/>
      <c r="AC105" s="106" t="s">
        <v>289</v>
      </c>
      <c r="AD105" s="110">
        <f t="shared" si="35"/>
        <v>22</v>
      </c>
      <c r="AE105" s="108">
        <f>'1. SA ABA DE CARREGAMENTO'!B90</f>
        <v>22</v>
      </c>
      <c r="AF105" s="377">
        <f>SUM(AG105:BD119)</f>
        <v>164.89083181818182</v>
      </c>
      <c r="AG105" s="109">
        <f t="shared" si="36"/>
        <v>0</v>
      </c>
      <c r="AH105" s="109">
        <f t="shared" si="37"/>
        <v>8.84</v>
      </c>
      <c r="AI105" s="109">
        <f t="shared" si="38"/>
        <v>0</v>
      </c>
      <c r="AJ105" s="109">
        <f t="shared" si="39"/>
        <v>0</v>
      </c>
      <c r="AK105" s="109">
        <f t="shared" si="40"/>
        <v>0</v>
      </c>
      <c r="AL105" s="109">
        <f t="shared" si="31"/>
        <v>0</v>
      </c>
      <c r="AM105" s="109">
        <f t="shared" si="32"/>
        <v>0</v>
      </c>
      <c r="AN105" s="109">
        <f t="shared" si="41"/>
        <v>0</v>
      </c>
      <c r="AO105" s="109">
        <f t="shared" si="42"/>
        <v>0</v>
      </c>
      <c r="AP105" s="109">
        <f t="shared" si="33"/>
        <v>0</v>
      </c>
      <c r="AQ105" s="109">
        <f t="shared" si="34"/>
        <v>0</v>
      </c>
      <c r="AR105" s="109">
        <f t="shared" si="43"/>
        <v>0</v>
      </c>
      <c r="AS105" s="109">
        <f t="shared" si="44"/>
        <v>0</v>
      </c>
      <c r="AT105" s="109">
        <f t="shared" si="45"/>
        <v>0</v>
      </c>
      <c r="AU105" s="109">
        <f t="shared" si="46"/>
        <v>0</v>
      </c>
      <c r="AV105" s="109">
        <f t="shared" si="47"/>
        <v>0</v>
      </c>
      <c r="AW105" s="109">
        <f t="shared" si="48"/>
        <v>0</v>
      </c>
      <c r="AX105" s="109">
        <f t="shared" si="49"/>
        <v>0</v>
      </c>
      <c r="AY105" s="109">
        <f t="shared" si="50"/>
        <v>0</v>
      </c>
      <c r="AZ105" s="109">
        <f t="shared" si="51"/>
        <v>0</v>
      </c>
      <c r="BA105" s="109">
        <f t="shared" si="52"/>
        <v>0</v>
      </c>
      <c r="BB105" s="109">
        <f t="shared" si="53"/>
        <v>0</v>
      </c>
      <c r="BC105" s="109">
        <f t="shared" si="54"/>
        <v>0</v>
      </c>
      <c r="BD105" s="109">
        <f t="shared" si="55"/>
        <v>0</v>
      </c>
      <c r="BE105" s="107"/>
      <c r="BF105" s="107"/>
      <c r="BG105" s="107"/>
      <c r="BH105" s="107"/>
      <c r="BI105" s="107"/>
      <c r="BJ105" s="107"/>
      <c r="BK105" s="107"/>
      <c r="BL105" s="107"/>
    </row>
    <row r="106" spans="1:64" ht="12.75" customHeight="1" x14ac:dyDescent="0.2">
      <c r="A106" s="376"/>
      <c r="B106" s="376"/>
      <c r="C106" s="106" t="s">
        <v>349</v>
      </c>
      <c r="D106" s="377"/>
      <c r="E106" s="106"/>
      <c r="F106" s="106">
        <v>36.799999999999997</v>
      </c>
      <c r="G106" s="106"/>
      <c r="H106" s="106"/>
      <c r="I106" s="106"/>
      <c r="J106" s="106"/>
      <c r="K106" s="106"/>
      <c r="L106" s="106"/>
      <c r="M106" s="106"/>
      <c r="N106" s="106"/>
      <c r="O106" s="106"/>
      <c r="P106" s="106"/>
      <c r="Q106" s="106"/>
      <c r="R106" s="106"/>
      <c r="S106" s="106"/>
      <c r="T106" s="106"/>
      <c r="U106" s="106"/>
      <c r="V106" s="106"/>
      <c r="W106" s="106"/>
      <c r="X106" s="106"/>
      <c r="Y106" s="106"/>
      <c r="Z106" s="106"/>
      <c r="AA106" s="106"/>
      <c r="AB106" s="106"/>
      <c r="AC106" s="106" t="s">
        <v>289</v>
      </c>
      <c r="AD106" s="110">
        <f t="shared" si="35"/>
        <v>22</v>
      </c>
      <c r="AE106" s="108">
        <f>'1. SA ABA DE CARREGAMENTO'!B90</f>
        <v>22</v>
      </c>
      <c r="AF106" s="377"/>
      <c r="AG106" s="109">
        <f t="shared" si="36"/>
        <v>0</v>
      </c>
      <c r="AH106" s="109">
        <f t="shared" si="37"/>
        <v>36.799999999999997</v>
      </c>
      <c r="AI106" s="109">
        <f t="shared" si="38"/>
        <v>0</v>
      </c>
      <c r="AJ106" s="109">
        <f t="shared" si="39"/>
        <v>0</v>
      </c>
      <c r="AK106" s="109">
        <f t="shared" si="40"/>
        <v>0</v>
      </c>
      <c r="AL106" s="109">
        <f t="shared" si="31"/>
        <v>0</v>
      </c>
      <c r="AM106" s="109">
        <f t="shared" si="32"/>
        <v>0</v>
      </c>
      <c r="AN106" s="109">
        <f t="shared" si="41"/>
        <v>0</v>
      </c>
      <c r="AO106" s="109">
        <f t="shared" si="42"/>
        <v>0</v>
      </c>
      <c r="AP106" s="109">
        <f t="shared" si="33"/>
        <v>0</v>
      </c>
      <c r="AQ106" s="109">
        <f t="shared" si="34"/>
        <v>0</v>
      </c>
      <c r="AR106" s="109">
        <f t="shared" si="43"/>
        <v>0</v>
      </c>
      <c r="AS106" s="109">
        <f t="shared" si="44"/>
        <v>0</v>
      </c>
      <c r="AT106" s="109">
        <f t="shared" si="45"/>
        <v>0</v>
      </c>
      <c r="AU106" s="109">
        <f t="shared" si="46"/>
        <v>0</v>
      </c>
      <c r="AV106" s="109">
        <f t="shared" si="47"/>
        <v>0</v>
      </c>
      <c r="AW106" s="109">
        <f t="shared" si="48"/>
        <v>0</v>
      </c>
      <c r="AX106" s="109">
        <f t="shared" si="49"/>
        <v>0</v>
      </c>
      <c r="AY106" s="109">
        <f t="shared" si="50"/>
        <v>0</v>
      </c>
      <c r="AZ106" s="109">
        <f t="shared" si="51"/>
        <v>0</v>
      </c>
      <c r="BA106" s="109">
        <f t="shared" si="52"/>
        <v>0</v>
      </c>
      <c r="BB106" s="109">
        <f t="shared" si="53"/>
        <v>0</v>
      </c>
      <c r="BC106" s="109">
        <f t="shared" si="54"/>
        <v>0</v>
      </c>
      <c r="BD106" s="109">
        <f t="shared" si="55"/>
        <v>0</v>
      </c>
      <c r="BE106" s="107"/>
      <c r="BF106" s="107"/>
      <c r="BG106" s="107"/>
      <c r="BH106" s="107"/>
      <c r="BI106" s="107"/>
      <c r="BJ106" s="107"/>
      <c r="BK106" s="107"/>
      <c r="BL106" s="107"/>
    </row>
    <row r="107" spans="1:64" ht="15" x14ac:dyDescent="0.2">
      <c r="A107" s="376"/>
      <c r="B107" s="376"/>
      <c r="C107" s="106" t="s">
        <v>350</v>
      </c>
      <c r="D107" s="377"/>
      <c r="E107" s="106"/>
      <c r="F107" s="106">
        <v>28.37</v>
      </c>
      <c r="G107" s="106"/>
      <c r="H107" s="106"/>
      <c r="I107" s="106"/>
      <c r="J107" s="106"/>
      <c r="K107" s="106"/>
      <c r="L107" s="106"/>
      <c r="M107" s="106"/>
      <c r="N107" s="106"/>
      <c r="O107" s="106"/>
      <c r="P107" s="106"/>
      <c r="Q107" s="106"/>
      <c r="R107" s="106"/>
      <c r="S107" s="106"/>
      <c r="T107" s="106"/>
      <c r="U107" s="106"/>
      <c r="V107" s="106"/>
      <c r="W107" s="106"/>
      <c r="X107" s="106"/>
      <c r="Y107" s="106"/>
      <c r="Z107" s="106"/>
      <c r="AA107" s="106"/>
      <c r="AB107" s="106"/>
      <c r="AC107" s="106" t="s">
        <v>289</v>
      </c>
      <c r="AD107" s="110">
        <f t="shared" si="35"/>
        <v>22</v>
      </c>
      <c r="AE107" s="108">
        <f>'1. SA ABA DE CARREGAMENTO'!B90</f>
        <v>22</v>
      </c>
      <c r="AF107" s="377"/>
      <c r="AG107" s="109">
        <f t="shared" si="36"/>
        <v>0</v>
      </c>
      <c r="AH107" s="109">
        <f t="shared" si="37"/>
        <v>28.37</v>
      </c>
      <c r="AI107" s="109">
        <f t="shared" si="38"/>
        <v>0</v>
      </c>
      <c r="AJ107" s="109">
        <f t="shared" si="39"/>
        <v>0</v>
      </c>
      <c r="AK107" s="109">
        <f t="shared" si="40"/>
        <v>0</v>
      </c>
      <c r="AL107" s="109">
        <f t="shared" si="31"/>
        <v>0</v>
      </c>
      <c r="AM107" s="109">
        <f t="shared" si="32"/>
        <v>0</v>
      </c>
      <c r="AN107" s="109">
        <f t="shared" si="41"/>
        <v>0</v>
      </c>
      <c r="AO107" s="109">
        <f t="shared" si="42"/>
        <v>0</v>
      </c>
      <c r="AP107" s="109">
        <f t="shared" si="33"/>
        <v>0</v>
      </c>
      <c r="AQ107" s="109">
        <f t="shared" si="34"/>
        <v>0</v>
      </c>
      <c r="AR107" s="109">
        <f t="shared" si="43"/>
        <v>0</v>
      </c>
      <c r="AS107" s="109">
        <f t="shared" si="44"/>
        <v>0</v>
      </c>
      <c r="AT107" s="109">
        <f t="shared" si="45"/>
        <v>0</v>
      </c>
      <c r="AU107" s="109">
        <f t="shared" si="46"/>
        <v>0</v>
      </c>
      <c r="AV107" s="109">
        <f t="shared" si="47"/>
        <v>0</v>
      </c>
      <c r="AW107" s="109">
        <f t="shared" si="48"/>
        <v>0</v>
      </c>
      <c r="AX107" s="109">
        <f t="shared" si="49"/>
        <v>0</v>
      </c>
      <c r="AY107" s="109">
        <f t="shared" si="50"/>
        <v>0</v>
      </c>
      <c r="AZ107" s="109">
        <f t="shared" si="51"/>
        <v>0</v>
      </c>
      <c r="BA107" s="109">
        <f t="shared" si="52"/>
        <v>0</v>
      </c>
      <c r="BB107" s="109">
        <f t="shared" si="53"/>
        <v>0</v>
      </c>
      <c r="BC107" s="109">
        <f t="shared" si="54"/>
        <v>0</v>
      </c>
      <c r="BD107" s="109">
        <f t="shared" si="55"/>
        <v>0</v>
      </c>
      <c r="BE107" s="107"/>
      <c r="BF107" s="107"/>
      <c r="BG107" s="107"/>
      <c r="BH107" s="107"/>
      <c r="BI107" s="107"/>
      <c r="BJ107" s="107"/>
      <c r="BK107" s="107"/>
      <c r="BL107" s="107"/>
    </row>
    <row r="108" spans="1:64" ht="15" x14ac:dyDescent="0.2">
      <c r="A108" s="376"/>
      <c r="B108" s="376"/>
      <c r="C108" s="106" t="s">
        <v>351</v>
      </c>
      <c r="D108" s="377"/>
      <c r="E108" s="106"/>
      <c r="F108" s="106">
        <v>10.64</v>
      </c>
      <c r="G108" s="106"/>
      <c r="H108" s="106"/>
      <c r="I108" s="106"/>
      <c r="J108" s="106"/>
      <c r="K108" s="106"/>
      <c r="L108" s="106"/>
      <c r="M108" s="106"/>
      <c r="N108" s="106"/>
      <c r="O108" s="106"/>
      <c r="P108" s="106"/>
      <c r="Q108" s="106"/>
      <c r="R108" s="106"/>
      <c r="S108" s="106"/>
      <c r="T108" s="106"/>
      <c r="U108" s="106"/>
      <c r="V108" s="106"/>
      <c r="W108" s="106"/>
      <c r="X108" s="106"/>
      <c r="Y108" s="106"/>
      <c r="Z108" s="106"/>
      <c r="AA108" s="106"/>
      <c r="AB108" s="106"/>
      <c r="AC108" s="106" t="s">
        <v>289</v>
      </c>
      <c r="AD108" s="110">
        <f t="shared" si="35"/>
        <v>22</v>
      </c>
      <c r="AE108" s="108">
        <f>'1. SA ABA DE CARREGAMENTO'!B90</f>
        <v>22</v>
      </c>
      <c r="AF108" s="377"/>
      <c r="AG108" s="109">
        <f t="shared" si="36"/>
        <v>0</v>
      </c>
      <c r="AH108" s="109">
        <f t="shared" si="37"/>
        <v>10.64</v>
      </c>
      <c r="AI108" s="109">
        <f t="shared" si="38"/>
        <v>0</v>
      </c>
      <c r="AJ108" s="109">
        <f t="shared" si="39"/>
        <v>0</v>
      </c>
      <c r="AK108" s="109">
        <f t="shared" si="40"/>
        <v>0</v>
      </c>
      <c r="AL108" s="109">
        <f t="shared" si="31"/>
        <v>0</v>
      </c>
      <c r="AM108" s="109">
        <f t="shared" si="32"/>
        <v>0</v>
      </c>
      <c r="AN108" s="109">
        <f t="shared" si="41"/>
        <v>0</v>
      </c>
      <c r="AO108" s="109">
        <f t="shared" si="42"/>
        <v>0</v>
      </c>
      <c r="AP108" s="109">
        <f t="shared" si="33"/>
        <v>0</v>
      </c>
      <c r="AQ108" s="109">
        <f t="shared" si="34"/>
        <v>0</v>
      </c>
      <c r="AR108" s="109">
        <f t="shared" si="43"/>
        <v>0</v>
      </c>
      <c r="AS108" s="109">
        <f t="shared" si="44"/>
        <v>0</v>
      </c>
      <c r="AT108" s="109">
        <f t="shared" si="45"/>
        <v>0</v>
      </c>
      <c r="AU108" s="109">
        <f t="shared" si="46"/>
        <v>0</v>
      </c>
      <c r="AV108" s="109">
        <f t="shared" si="47"/>
        <v>0</v>
      </c>
      <c r="AW108" s="109">
        <f t="shared" si="48"/>
        <v>0</v>
      </c>
      <c r="AX108" s="109">
        <f t="shared" si="49"/>
        <v>0</v>
      </c>
      <c r="AY108" s="109">
        <f t="shared" si="50"/>
        <v>0</v>
      </c>
      <c r="AZ108" s="109">
        <f t="shared" si="51"/>
        <v>0</v>
      </c>
      <c r="BA108" s="109">
        <f t="shared" si="52"/>
        <v>0</v>
      </c>
      <c r="BB108" s="109">
        <f t="shared" si="53"/>
        <v>0</v>
      </c>
      <c r="BC108" s="109">
        <f t="shared" si="54"/>
        <v>0</v>
      </c>
      <c r="BD108" s="109">
        <f t="shared" si="55"/>
        <v>0</v>
      </c>
      <c r="BE108" s="107"/>
      <c r="BF108" s="107"/>
      <c r="BG108" s="107"/>
      <c r="BH108" s="107"/>
      <c r="BI108" s="107"/>
      <c r="BJ108" s="107"/>
      <c r="BK108" s="107"/>
      <c r="BL108" s="107"/>
    </row>
    <row r="109" spans="1:64" ht="30" x14ac:dyDescent="0.2">
      <c r="A109" s="376"/>
      <c r="B109" s="376"/>
      <c r="C109" s="106" t="s">
        <v>352</v>
      </c>
      <c r="D109" s="377"/>
      <c r="E109" s="106"/>
      <c r="F109" s="106"/>
      <c r="G109" s="106"/>
      <c r="H109" s="106">
        <v>7.55</v>
      </c>
      <c r="I109" s="106"/>
      <c r="J109" s="106"/>
      <c r="K109" s="106"/>
      <c r="L109" s="106"/>
      <c r="M109" s="106"/>
      <c r="N109" s="106"/>
      <c r="O109" s="106"/>
      <c r="P109" s="106"/>
      <c r="Q109" s="106"/>
      <c r="R109" s="106"/>
      <c r="S109" s="106"/>
      <c r="T109" s="106"/>
      <c r="U109" s="106"/>
      <c r="V109" s="106"/>
      <c r="W109" s="106"/>
      <c r="X109" s="106"/>
      <c r="Y109" s="106"/>
      <c r="Z109" s="106"/>
      <c r="AA109" s="106"/>
      <c r="AB109" s="106"/>
      <c r="AC109" s="106" t="s">
        <v>281</v>
      </c>
      <c r="AD109" s="110">
        <f t="shared" si="35"/>
        <v>4.33</v>
      </c>
      <c r="AE109" s="108">
        <f>'1. SA ABA DE CARREGAMENTO'!B90</f>
        <v>22</v>
      </c>
      <c r="AF109" s="377"/>
      <c r="AG109" s="109">
        <f t="shared" si="36"/>
        <v>0</v>
      </c>
      <c r="AH109" s="109">
        <f t="shared" si="37"/>
        <v>0</v>
      </c>
      <c r="AI109" s="109">
        <f t="shared" si="38"/>
        <v>0</v>
      </c>
      <c r="AJ109" s="109">
        <f t="shared" si="39"/>
        <v>1.4859772727272726</v>
      </c>
      <c r="AK109" s="109">
        <f t="shared" si="40"/>
        <v>0</v>
      </c>
      <c r="AL109" s="109">
        <f t="shared" si="31"/>
        <v>0</v>
      </c>
      <c r="AM109" s="109">
        <f t="shared" si="32"/>
        <v>0</v>
      </c>
      <c r="AN109" s="109">
        <f t="shared" si="41"/>
        <v>0</v>
      </c>
      <c r="AO109" s="109">
        <f t="shared" si="42"/>
        <v>0</v>
      </c>
      <c r="AP109" s="109">
        <f t="shared" si="33"/>
        <v>0</v>
      </c>
      <c r="AQ109" s="109">
        <f t="shared" si="34"/>
        <v>0</v>
      </c>
      <c r="AR109" s="109">
        <f t="shared" si="43"/>
        <v>0</v>
      </c>
      <c r="AS109" s="109">
        <f t="shared" si="44"/>
        <v>0</v>
      </c>
      <c r="AT109" s="109">
        <f t="shared" si="45"/>
        <v>0</v>
      </c>
      <c r="AU109" s="109">
        <f t="shared" si="46"/>
        <v>0</v>
      </c>
      <c r="AV109" s="109">
        <f t="shared" si="47"/>
        <v>0</v>
      </c>
      <c r="AW109" s="109">
        <f t="shared" si="48"/>
        <v>0</v>
      </c>
      <c r="AX109" s="109">
        <f t="shared" si="49"/>
        <v>0</v>
      </c>
      <c r="AY109" s="109">
        <f t="shared" si="50"/>
        <v>0</v>
      </c>
      <c r="AZ109" s="109">
        <f t="shared" si="51"/>
        <v>0</v>
      </c>
      <c r="BA109" s="109">
        <f t="shared" si="52"/>
        <v>0</v>
      </c>
      <c r="BB109" s="109">
        <f t="shared" si="53"/>
        <v>0</v>
      </c>
      <c r="BC109" s="109">
        <f t="shared" si="54"/>
        <v>0</v>
      </c>
      <c r="BD109" s="109">
        <f t="shared" si="55"/>
        <v>0</v>
      </c>
      <c r="BE109" s="107"/>
      <c r="BF109" s="107"/>
      <c r="BG109" s="107"/>
      <c r="BH109" s="107"/>
      <c r="BI109" s="107"/>
      <c r="BJ109" s="107"/>
      <c r="BK109" s="107"/>
      <c r="BL109" s="107"/>
    </row>
    <row r="110" spans="1:64" ht="15" x14ac:dyDescent="0.2">
      <c r="A110" s="376"/>
      <c r="B110" s="376"/>
      <c r="C110" s="106" t="s">
        <v>353</v>
      </c>
      <c r="D110" s="377"/>
      <c r="E110" s="106"/>
      <c r="F110" s="106">
        <v>17.940000000000001</v>
      </c>
      <c r="G110" s="106"/>
      <c r="H110" s="106"/>
      <c r="I110" s="106"/>
      <c r="J110" s="106"/>
      <c r="K110" s="106"/>
      <c r="L110" s="106"/>
      <c r="M110" s="106"/>
      <c r="N110" s="106"/>
      <c r="O110" s="106"/>
      <c r="P110" s="106"/>
      <c r="Q110" s="106"/>
      <c r="R110" s="106"/>
      <c r="S110" s="106"/>
      <c r="T110" s="106"/>
      <c r="U110" s="106"/>
      <c r="V110" s="106"/>
      <c r="W110" s="106"/>
      <c r="X110" s="106"/>
      <c r="Y110" s="106"/>
      <c r="Z110" s="106"/>
      <c r="AA110" s="106"/>
      <c r="AB110" s="106"/>
      <c r="AC110" s="106" t="s">
        <v>289</v>
      </c>
      <c r="AD110" s="110">
        <f t="shared" si="35"/>
        <v>22</v>
      </c>
      <c r="AE110" s="108">
        <f>'1. SA ABA DE CARREGAMENTO'!B90</f>
        <v>22</v>
      </c>
      <c r="AF110" s="377"/>
      <c r="AG110" s="109">
        <f t="shared" si="36"/>
        <v>0</v>
      </c>
      <c r="AH110" s="109">
        <f t="shared" si="37"/>
        <v>17.940000000000001</v>
      </c>
      <c r="AI110" s="109">
        <f t="shared" si="38"/>
        <v>0</v>
      </c>
      <c r="AJ110" s="109">
        <f t="shared" si="39"/>
        <v>0</v>
      </c>
      <c r="AK110" s="109">
        <f t="shared" si="40"/>
        <v>0</v>
      </c>
      <c r="AL110" s="109">
        <f t="shared" si="31"/>
        <v>0</v>
      </c>
      <c r="AM110" s="109">
        <f t="shared" si="32"/>
        <v>0</v>
      </c>
      <c r="AN110" s="109">
        <f t="shared" si="41"/>
        <v>0</v>
      </c>
      <c r="AO110" s="109">
        <f t="shared" si="42"/>
        <v>0</v>
      </c>
      <c r="AP110" s="109">
        <f t="shared" si="33"/>
        <v>0</v>
      </c>
      <c r="AQ110" s="109">
        <f t="shared" si="34"/>
        <v>0</v>
      </c>
      <c r="AR110" s="109">
        <f t="shared" si="43"/>
        <v>0</v>
      </c>
      <c r="AS110" s="109">
        <f t="shared" si="44"/>
        <v>0</v>
      </c>
      <c r="AT110" s="109">
        <f t="shared" si="45"/>
        <v>0</v>
      </c>
      <c r="AU110" s="109">
        <f t="shared" si="46"/>
        <v>0</v>
      </c>
      <c r="AV110" s="109">
        <f t="shared" si="47"/>
        <v>0</v>
      </c>
      <c r="AW110" s="109">
        <f t="shared" si="48"/>
        <v>0</v>
      </c>
      <c r="AX110" s="109">
        <f t="shared" si="49"/>
        <v>0</v>
      </c>
      <c r="AY110" s="109">
        <f t="shared" si="50"/>
        <v>0</v>
      </c>
      <c r="AZ110" s="109">
        <f t="shared" si="51"/>
        <v>0</v>
      </c>
      <c r="BA110" s="109">
        <f t="shared" si="52"/>
        <v>0</v>
      </c>
      <c r="BB110" s="109">
        <f t="shared" si="53"/>
        <v>0</v>
      </c>
      <c r="BC110" s="109">
        <f t="shared" si="54"/>
        <v>0</v>
      </c>
      <c r="BD110" s="109">
        <f t="shared" si="55"/>
        <v>0</v>
      </c>
      <c r="BE110" s="107"/>
      <c r="BF110" s="107"/>
      <c r="BG110" s="107"/>
      <c r="BH110" s="107"/>
      <c r="BI110" s="107"/>
      <c r="BJ110" s="107"/>
      <c r="BK110" s="107"/>
      <c r="BL110" s="107"/>
    </row>
    <row r="111" spans="1:64" ht="15" x14ac:dyDescent="0.2">
      <c r="A111" s="376"/>
      <c r="B111" s="376"/>
      <c r="C111" s="106" t="s">
        <v>354</v>
      </c>
      <c r="D111" s="377"/>
      <c r="E111" s="106"/>
      <c r="F111" s="106"/>
      <c r="G111" s="106"/>
      <c r="H111" s="106">
        <v>36.44</v>
      </c>
      <c r="I111" s="106"/>
      <c r="J111" s="106"/>
      <c r="K111" s="106"/>
      <c r="L111" s="106"/>
      <c r="M111" s="106"/>
      <c r="N111" s="106"/>
      <c r="O111" s="106"/>
      <c r="P111" s="106"/>
      <c r="Q111" s="106"/>
      <c r="R111" s="106"/>
      <c r="S111" s="106"/>
      <c r="T111" s="106"/>
      <c r="U111" s="106"/>
      <c r="V111" s="106"/>
      <c r="W111" s="106"/>
      <c r="X111" s="106"/>
      <c r="Y111" s="106"/>
      <c r="Z111" s="106"/>
      <c r="AA111" s="106"/>
      <c r="AB111" s="106"/>
      <c r="AC111" s="106" t="s">
        <v>281</v>
      </c>
      <c r="AD111" s="110">
        <f t="shared" si="35"/>
        <v>4.33</v>
      </c>
      <c r="AE111" s="108">
        <f>'1. SA ABA DE CARREGAMENTO'!B90</f>
        <v>22</v>
      </c>
      <c r="AF111" s="377"/>
      <c r="AG111" s="109">
        <f t="shared" si="36"/>
        <v>0</v>
      </c>
      <c r="AH111" s="109">
        <f t="shared" si="37"/>
        <v>0</v>
      </c>
      <c r="AI111" s="109">
        <f t="shared" si="38"/>
        <v>0</v>
      </c>
      <c r="AJ111" s="109">
        <f t="shared" si="39"/>
        <v>7.1720545454545457</v>
      </c>
      <c r="AK111" s="109">
        <f t="shared" si="40"/>
        <v>0</v>
      </c>
      <c r="AL111" s="109">
        <f t="shared" si="31"/>
        <v>0</v>
      </c>
      <c r="AM111" s="109">
        <f t="shared" si="32"/>
        <v>0</v>
      </c>
      <c r="AN111" s="109">
        <f t="shared" si="41"/>
        <v>0</v>
      </c>
      <c r="AO111" s="109">
        <f t="shared" si="42"/>
        <v>0</v>
      </c>
      <c r="AP111" s="109">
        <f t="shared" si="33"/>
        <v>0</v>
      </c>
      <c r="AQ111" s="109">
        <f t="shared" si="34"/>
        <v>0</v>
      </c>
      <c r="AR111" s="109">
        <f t="shared" si="43"/>
        <v>0</v>
      </c>
      <c r="AS111" s="109">
        <f t="shared" si="44"/>
        <v>0</v>
      </c>
      <c r="AT111" s="109">
        <f t="shared" si="45"/>
        <v>0</v>
      </c>
      <c r="AU111" s="109">
        <f t="shared" si="46"/>
        <v>0</v>
      </c>
      <c r="AV111" s="109">
        <f t="shared" si="47"/>
        <v>0</v>
      </c>
      <c r="AW111" s="109">
        <f t="shared" si="48"/>
        <v>0</v>
      </c>
      <c r="AX111" s="109">
        <f t="shared" si="49"/>
        <v>0</v>
      </c>
      <c r="AY111" s="109">
        <f t="shared" si="50"/>
        <v>0</v>
      </c>
      <c r="AZ111" s="109">
        <f t="shared" si="51"/>
        <v>0</v>
      </c>
      <c r="BA111" s="109">
        <f t="shared" si="52"/>
        <v>0</v>
      </c>
      <c r="BB111" s="109">
        <f t="shared" si="53"/>
        <v>0</v>
      </c>
      <c r="BC111" s="109">
        <f t="shared" si="54"/>
        <v>0</v>
      </c>
      <c r="BD111" s="109">
        <f t="shared" si="55"/>
        <v>0</v>
      </c>
      <c r="BE111" s="107"/>
      <c r="BF111" s="107"/>
      <c r="BG111" s="107"/>
      <c r="BH111" s="107"/>
      <c r="BI111" s="107"/>
      <c r="BJ111" s="107"/>
      <c r="BK111" s="107"/>
      <c r="BL111" s="107"/>
    </row>
    <row r="112" spans="1:64" ht="15" x14ac:dyDescent="0.2">
      <c r="A112" s="376"/>
      <c r="B112" s="376"/>
      <c r="C112" s="106" t="s">
        <v>355</v>
      </c>
      <c r="D112" s="377"/>
      <c r="E112" s="106"/>
      <c r="F112" s="106"/>
      <c r="G112" s="106"/>
      <c r="H112" s="106">
        <v>94.82</v>
      </c>
      <c r="I112" s="106"/>
      <c r="J112" s="106"/>
      <c r="K112" s="106"/>
      <c r="L112" s="106"/>
      <c r="M112" s="106"/>
      <c r="N112" s="106"/>
      <c r="O112" s="106"/>
      <c r="P112" s="106"/>
      <c r="Q112" s="106"/>
      <c r="R112" s="106"/>
      <c r="S112" s="106"/>
      <c r="T112" s="106"/>
      <c r="U112" s="106"/>
      <c r="V112" s="106"/>
      <c r="W112" s="106"/>
      <c r="X112" s="106"/>
      <c r="Y112" s="106"/>
      <c r="Z112" s="106"/>
      <c r="AA112" s="106"/>
      <c r="AB112" s="106"/>
      <c r="AC112" s="106" t="s">
        <v>281</v>
      </c>
      <c r="AD112" s="110">
        <f t="shared" si="35"/>
        <v>4.33</v>
      </c>
      <c r="AE112" s="108">
        <f>'1. SA ABA DE CARREGAMENTO'!B90</f>
        <v>22</v>
      </c>
      <c r="AF112" s="377"/>
      <c r="AG112" s="109">
        <f t="shared" si="36"/>
        <v>0</v>
      </c>
      <c r="AH112" s="109">
        <f t="shared" si="37"/>
        <v>0</v>
      </c>
      <c r="AI112" s="109">
        <f t="shared" si="38"/>
        <v>0</v>
      </c>
      <c r="AJ112" s="109">
        <f t="shared" si="39"/>
        <v>18.662299999999998</v>
      </c>
      <c r="AK112" s="109">
        <f t="shared" si="40"/>
        <v>0</v>
      </c>
      <c r="AL112" s="109">
        <f t="shared" si="31"/>
        <v>0</v>
      </c>
      <c r="AM112" s="109">
        <f t="shared" si="32"/>
        <v>0</v>
      </c>
      <c r="AN112" s="109">
        <f t="shared" si="41"/>
        <v>0</v>
      </c>
      <c r="AO112" s="109">
        <f t="shared" si="42"/>
        <v>0</v>
      </c>
      <c r="AP112" s="109">
        <f t="shared" si="33"/>
        <v>0</v>
      </c>
      <c r="AQ112" s="109">
        <f t="shared" si="34"/>
        <v>0</v>
      </c>
      <c r="AR112" s="109">
        <f t="shared" si="43"/>
        <v>0</v>
      </c>
      <c r="AS112" s="109">
        <f t="shared" si="44"/>
        <v>0</v>
      </c>
      <c r="AT112" s="109">
        <f t="shared" si="45"/>
        <v>0</v>
      </c>
      <c r="AU112" s="109">
        <f t="shared" si="46"/>
        <v>0</v>
      </c>
      <c r="AV112" s="109">
        <f t="shared" si="47"/>
        <v>0</v>
      </c>
      <c r="AW112" s="109">
        <f t="shared" si="48"/>
        <v>0</v>
      </c>
      <c r="AX112" s="109">
        <f t="shared" si="49"/>
        <v>0</v>
      </c>
      <c r="AY112" s="109">
        <f t="shared" si="50"/>
        <v>0</v>
      </c>
      <c r="AZ112" s="109">
        <f t="shared" si="51"/>
        <v>0</v>
      </c>
      <c r="BA112" s="109">
        <f t="shared" si="52"/>
        <v>0</v>
      </c>
      <c r="BB112" s="109">
        <f t="shared" si="53"/>
        <v>0</v>
      </c>
      <c r="BC112" s="109">
        <f t="shared" si="54"/>
        <v>0</v>
      </c>
      <c r="BD112" s="109">
        <f t="shared" si="55"/>
        <v>0</v>
      </c>
      <c r="BE112" s="107"/>
      <c r="BF112" s="107"/>
      <c r="BG112" s="107"/>
      <c r="BH112" s="107"/>
      <c r="BI112" s="107"/>
      <c r="BJ112" s="107"/>
      <c r="BK112" s="107"/>
      <c r="BL112" s="107"/>
    </row>
    <row r="113" spans="1:64" ht="30" x14ac:dyDescent="0.2">
      <c r="A113" s="376"/>
      <c r="B113" s="376"/>
      <c r="C113" s="106" t="s">
        <v>356</v>
      </c>
      <c r="D113" s="377"/>
      <c r="E113" s="106"/>
      <c r="F113" s="106"/>
      <c r="G113" s="106"/>
      <c r="H113" s="106">
        <v>48.84</v>
      </c>
      <c r="I113" s="106"/>
      <c r="J113" s="106"/>
      <c r="K113" s="106"/>
      <c r="L113" s="106"/>
      <c r="M113" s="106"/>
      <c r="N113" s="106"/>
      <c r="O113" s="106"/>
      <c r="P113" s="106"/>
      <c r="Q113" s="106"/>
      <c r="R113" s="106"/>
      <c r="S113" s="106"/>
      <c r="T113" s="106"/>
      <c r="U113" s="106"/>
      <c r="V113" s="106"/>
      <c r="W113" s="106"/>
      <c r="X113" s="106"/>
      <c r="Y113" s="106"/>
      <c r="Z113" s="106"/>
      <c r="AA113" s="106"/>
      <c r="AB113" s="106"/>
      <c r="AC113" s="106" t="s">
        <v>281</v>
      </c>
      <c r="AD113" s="110">
        <f t="shared" si="35"/>
        <v>4.33</v>
      </c>
      <c r="AE113" s="108">
        <f>'1. SA ABA DE CARREGAMENTO'!B90</f>
        <v>22</v>
      </c>
      <c r="AF113" s="377"/>
      <c r="AG113" s="109">
        <f t="shared" si="36"/>
        <v>0</v>
      </c>
      <c r="AH113" s="109">
        <f t="shared" si="37"/>
        <v>0</v>
      </c>
      <c r="AI113" s="109">
        <f t="shared" si="38"/>
        <v>0</v>
      </c>
      <c r="AJ113" s="109">
        <f t="shared" si="39"/>
        <v>9.6126000000000005</v>
      </c>
      <c r="AK113" s="109">
        <f t="shared" si="40"/>
        <v>0</v>
      </c>
      <c r="AL113" s="109">
        <f t="shared" si="31"/>
        <v>0</v>
      </c>
      <c r="AM113" s="109">
        <f t="shared" si="32"/>
        <v>0</v>
      </c>
      <c r="AN113" s="109">
        <f t="shared" si="41"/>
        <v>0</v>
      </c>
      <c r="AO113" s="109">
        <f t="shared" si="42"/>
        <v>0</v>
      </c>
      <c r="AP113" s="109">
        <f t="shared" si="33"/>
        <v>0</v>
      </c>
      <c r="AQ113" s="109">
        <f t="shared" si="34"/>
        <v>0</v>
      </c>
      <c r="AR113" s="109">
        <f t="shared" si="43"/>
        <v>0</v>
      </c>
      <c r="AS113" s="109">
        <f t="shared" si="44"/>
        <v>0</v>
      </c>
      <c r="AT113" s="109">
        <f t="shared" si="45"/>
        <v>0</v>
      </c>
      <c r="AU113" s="109">
        <f t="shared" si="46"/>
        <v>0</v>
      </c>
      <c r="AV113" s="109">
        <f t="shared" si="47"/>
        <v>0</v>
      </c>
      <c r="AW113" s="109">
        <f t="shared" si="48"/>
        <v>0</v>
      </c>
      <c r="AX113" s="109">
        <f t="shared" si="49"/>
        <v>0</v>
      </c>
      <c r="AY113" s="109">
        <f t="shared" si="50"/>
        <v>0</v>
      </c>
      <c r="AZ113" s="109">
        <f t="shared" si="51"/>
        <v>0</v>
      </c>
      <c r="BA113" s="109">
        <f t="shared" si="52"/>
        <v>0</v>
      </c>
      <c r="BB113" s="109">
        <f t="shared" si="53"/>
        <v>0</v>
      </c>
      <c r="BC113" s="109">
        <f t="shared" si="54"/>
        <v>0</v>
      </c>
      <c r="BD113" s="109">
        <f t="shared" si="55"/>
        <v>0</v>
      </c>
      <c r="BE113" s="107"/>
      <c r="BF113" s="107"/>
      <c r="BG113" s="107"/>
      <c r="BH113" s="107"/>
      <c r="BI113" s="107"/>
      <c r="BJ113" s="107"/>
      <c r="BK113" s="107"/>
      <c r="BL113" s="107"/>
    </row>
    <row r="114" spans="1:64" ht="12.75" customHeight="1" x14ac:dyDescent="0.2">
      <c r="A114" s="376"/>
      <c r="B114" s="376"/>
      <c r="C114" s="106" t="s">
        <v>271</v>
      </c>
      <c r="D114" s="377"/>
      <c r="E114" s="106"/>
      <c r="F114" s="106"/>
      <c r="G114" s="106"/>
      <c r="H114" s="106"/>
      <c r="I114" s="106"/>
      <c r="J114" s="106"/>
      <c r="K114" s="106"/>
      <c r="L114" s="106">
        <v>30</v>
      </c>
      <c r="M114" s="106"/>
      <c r="N114" s="106"/>
      <c r="O114" s="106"/>
      <c r="P114" s="106"/>
      <c r="Q114" s="106"/>
      <c r="R114" s="106"/>
      <c r="S114" s="106"/>
      <c r="T114" s="106"/>
      <c r="U114" s="106"/>
      <c r="V114" s="106"/>
      <c r="W114" s="106"/>
      <c r="X114" s="106"/>
      <c r="Y114" s="106"/>
      <c r="Z114" s="106"/>
      <c r="AA114" s="106"/>
      <c r="AB114" s="106"/>
      <c r="AC114" s="106" t="s">
        <v>281</v>
      </c>
      <c r="AD114" s="110">
        <f t="shared" si="35"/>
        <v>4.33</v>
      </c>
      <c r="AE114" s="108">
        <f>'1. SA ABA DE CARREGAMENTO'!B90</f>
        <v>22</v>
      </c>
      <c r="AF114" s="377"/>
      <c r="AG114" s="109">
        <f t="shared" si="36"/>
        <v>0</v>
      </c>
      <c r="AH114" s="109">
        <f t="shared" si="37"/>
        <v>0</v>
      </c>
      <c r="AI114" s="109">
        <f t="shared" si="38"/>
        <v>0</v>
      </c>
      <c r="AJ114" s="109">
        <f t="shared" si="39"/>
        <v>0</v>
      </c>
      <c r="AK114" s="109">
        <f t="shared" si="40"/>
        <v>0</v>
      </c>
      <c r="AL114" s="109">
        <f t="shared" si="31"/>
        <v>0</v>
      </c>
      <c r="AM114" s="109">
        <f t="shared" si="32"/>
        <v>0</v>
      </c>
      <c r="AN114" s="109">
        <f t="shared" si="41"/>
        <v>5.9045454545454552</v>
      </c>
      <c r="AO114" s="109">
        <f t="shared" si="42"/>
        <v>0</v>
      </c>
      <c r="AP114" s="109">
        <f t="shared" si="33"/>
        <v>0</v>
      </c>
      <c r="AQ114" s="109">
        <f t="shared" si="34"/>
        <v>0</v>
      </c>
      <c r="AR114" s="109">
        <f t="shared" si="43"/>
        <v>0</v>
      </c>
      <c r="AS114" s="109">
        <f t="shared" si="44"/>
        <v>0</v>
      </c>
      <c r="AT114" s="109">
        <f t="shared" si="45"/>
        <v>0</v>
      </c>
      <c r="AU114" s="109">
        <f t="shared" si="46"/>
        <v>0</v>
      </c>
      <c r="AV114" s="109">
        <f t="shared" si="47"/>
        <v>0</v>
      </c>
      <c r="AW114" s="109">
        <f t="shared" si="48"/>
        <v>0</v>
      </c>
      <c r="AX114" s="109">
        <f t="shared" si="49"/>
        <v>0</v>
      </c>
      <c r="AY114" s="109">
        <f t="shared" si="50"/>
        <v>0</v>
      </c>
      <c r="AZ114" s="109">
        <f t="shared" si="51"/>
        <v>0</v>
      </c>
      <c r="BA114" s="109">
        <f t="shared" si="52"/>
        <v>0</v>
      </c>
      <c r="BB114" s="109">
        <f t="shared" si="53"/>
        <v>0</v>
      </c>
      <c r="BC114" s="109">
        <f t="shared" si="54"/>
        <v>0</v>
      </c>
      <c r="BD114" s="109">
        <f t="shared" si="55"/>
        <v>0</v>
      </c>
      <c r="BE114" s="107"/>
      <c r="BF114" s="107"/>
      <c r="BG114" s="107"/>
      <c r="BH114" s="107"/>
      <c r="BI114" s="107"/>
      <c r="BJ114" s="107"/>
      <c r="BK114" s="107"/>
      <c r="BL114" s="107"/>
    </row>
    <row r="115" spans="1:64" ht="12.75" customHeight="1" x14ac:dyDescent="0.2">
      <c r="A115" s="376"/>
      <c r="B115" s="376"/>
      <c r="C115" s="106" t="s">
        <v>274</v>
      </c>
      <c r="D115" s="377"/>
      <c r="E115" s="106"/>
      <c r="F115" s="106"/>
      <c r="G115" s="106"/>
      <c r="H115" s="106"/>
      <c r="I115" s="106"/>
      <c r="J115" s="106"/>
      <c r="K115" s="106"/>
      <c r="L115" s="106"/>
      <c r="M115" s="106"/>
      <c r="N115" s="106"/>
      <c r="O115" s="106"/>
      <c r="P115" s="106"/>
      <c r="Q115" s="106"/>
      <c r="R115" s="106"/>
      <c r="S115" s="106"/>
      <c r="T115" s="106"/>
      <c r="U115" s="106"/>
      <c r="V115" s="106">
        <v>60.44</v>
      </c>
      <c r="W115" s="106"/>
      <c r="X115" s="106"/>
      <c r="Y115" s="106"/>
      <c r="Z115" s="106"/>
      <c r="AA115" s="106"/>
      <c r="AB115" s="106"/>
      <c r="AC115" s="106" t="s">
        <v>275</v>
      </c>
      <c r="AD115" s="110">
        <f t="shared" si="35"/>
        <v>0.17</v>
      </c>
      <c r="AE115" s="108">
        <f>'1. SA ABA DE CARREGAMENTO'!B90</f>
        <v>22</v>
      </c>
      <c r="AF115" s="377"/>
      <c r="AG115" s="109">
        <f t="shared" si="36"/>
        <v>0</v>
      </c>
      <c r="AH115" s="109">
        <f t="shared" si="37"/>
        <v>0</v>
      </c>
      <c r="AI115" s="109">
        <f t="shared" si="38"/>
        <v>0</v>
      </c>
      <c r="AJ115" s="109">
        <f t="shared" si="39"/>
        <v>0</v>
      </c>
      <c r="AK115" s="109">
        <f t="shared" si="40"/>
        <v>0</v>
      </c>
      <c r="AL115" s="109">
        <f t="shared" si="31"/>
        <v>0</v>
      </c>
      <c r="AM115" s="109">
        <f t="shared" si="32"/>
        <v>0</v>
      </c>
      <c r="AN115" s="109">
        <f t="shared" si="41"/>
        <v>0</v>
      </c>
      <c r="AO115" s="109">
        <f t="shared" si="42"/>
        <v>0</v>
      </c>
      <c r="AP115" s="109">
        <f t="shared" si="33"/>
        <v>0</v>
      </c>
      <c r="AQ115" s="109">
        <f t="shared" si="34"/>
        <v>0</v>
      </c>
      <c r="AR115" s="109">
        <f t="shared" si="43"/>
        <v>0</v>
      </c>
      <c r="AS115" s="109">
        <f t="shared" si="44"/>
        <v>0</v>
      </c>
      <c r="AT115" s="109">
        <f t="shared" si="45"/>
        <v>0</v>
      </c>
      <c r="AU115" s="109">
        <f t="shared" si="46"/>
        <v>0</v>
      </c>
      <c r="AV115" s="109">
        <f t="shared" si="47"/>
        <v>0</v>
      </c>
      <c r="AW115" s="109">
        <f t="shared" si="48"/>
        <v>0</v>
      </c>
      <c r="AX115" s="109">
        <f t="shared" si="49"/>
        <v>0.46703636363636369</v>
      </c>
      <c r="AY115" s="109">
        <f t="shared" si="50"/>
        <v>0</v>
      </c>
      <c r="AZ115" s="109">
        <f t="shared" si="51"/>
        <v>0</v>
      </c>
      <c r="BA115" s="109">
        <f t="shared" si="52"/>
        <v>0</v>
      </c>
      <c r="BB115" s="109">
        <f t="shared" si="53"/>
        <v>0</v>
      </c>
      <c r="BC115" s="109">
        <f t="shared" si="54"/>
        <v>0</v>
      </c>
      <c r="BD115" s="109">
        <f t="shared" si="55"/>
        <v>0</v>
      </c>
      <c r="BE115" s="107"/>
      <c r="BF115" s="107"/>
      <c r="BG115" s="107"/>
      <c r="BH115" s="107"/>
      <c r="BI115" s="107"/>
      <c r="BJ115" s="107"/>
      <c r="BK115" s="107"/>
      <c r="BL115" s="107"/>
    </row>
    <row r="116" spans="1:64" ht="12.75" customHeight="1" x14ac:dyDescent="0.2">
      <c r="A116" s="376"/>
      <c r="B116" s="376"/>
      <c r="C116" s="106" t="s">
        <v>276</v>
      </c>
      <c r="D116" s="377"/>
      <c r="E116" s="106"/>
      <c r="F116" s="106"/>
      <c r="G116" s="106"/>
      <c r="H116" s="106"/>
      <c r="I116" s="106"/>
      <c r="J116" s="106"/>
      <c r="K116" s="106"/>
      <c r="L116" s="106"/>
      <c r="M116" s="106"/>
      <c r="N116" s="106"/>
      <c r="O116" s="106"/>
      <c r="P116" s="106"/>
      <c r="Q116" s="106"/>
      <c r="R116" s="106"/>
      <c r="S116" s="106"/>
      <c r="T116" s="106"/>
      <c r="U116" s="106"/>
      <c r="V116" s="106"/>
      <c r="W116" s="106">
        <f>1.6+60.44</f>
        <v>62.04</v>
      </c>
      <c r="X116" s="106"/>
      <c r="Y116" s="106"/>
      <c r="Z116" s="106"/>
      <c r="AA116" s="106"/>
      <c r="AB116" s="106"/>
      <c r="AC116" s="106" t="s">
        <v>273</v>
      </c>
      <c r="AD116" s="110">
        <f t="shared" si="35"/>
        <v>1</v>
      </c>
      <c r="AE116" s="108">
        <f>'1. SA ABA DE CARREGAMENTO'!B90</f>
        <v>22</v>
      </c>
      <c r="AF116" s="377"/>
      <c r="AG116" s="109">
        <f t="shared" si="36"/>
        <v>0</v>
      </c>
      <c r="AH116" s="109">
        <f t="shared" si="37"/>
        <v>0</v>
      </c>
      <c r="AI116" s="109">
        <f t="shared" si="38"/>
        <v>0</v>
      </c>
      <c r="AJ116" s="109">
        <f t="shared" si="39"/>
        <v>0</v>
      </c>
      <c r="AK116" s="109">
        <f t="shared" si="40"/>
        <v>0</v>
      </c>
      <c r="AL116" s="109">
        <f t="shared" si="31"/>
        <v>0</v>
      </c>
      <c r="AM116" s="109">
        <f t="shared" si="32"/>
        <v>0</v>
      </c>
      <c r="AN116" s="109">
        <f t="shared" si="41"/>
        <v>0</v>
      </c>
      <c r="AO116" s="109">
        <f t="shared" si="42"/>
        <v>0</v>
      </c>
      <c r="AP116" s="109">
        <f t="shared" si="33"/>
        <v>0</v>
      </c>
      <c r="AQ116" s="109">
        <f t="shared" si="34"/>
        <v>0</v>
      </c>
      <c r="AR116" s="109">
        <f t="shared" si="43"/>
        <v>0</v>
      </c>
      <c r="AS116" s="109">
        <f t="shared" si="44"/>
        <v>0</v>
      </c>
      <c r="AT116" s="109">
        <f t="shared" si="45"/>
        <v>0</v>
      </c>
      <c r="AU116" s="109">
        <f t="shared" si="46"/>
        <v>0</v>
      </c>
      <c r="AV116" s="109">
        <f t="shared" si="47"/>
        <v>0</v>
      </c>
      <c r="AW116" s="109">
        <f t="shared" si="48"/>
        <v>0</v>
      </c>
      <c r="AX116" s="109">
        <f t="shared" si="49"/>
        <v>0</v>
      </c>
      <c r="AY116" s="109">
        <f t="shared" si="50"/>
        <v>2.82</v>
      </c>
      <c r="AZ116" s="109">
        <f t="shared" si="51"/>
        <v>0</v>
      </c>
      <c r="BA116" s="109">
        <f t="shared" si="52"/>
        <v>0</v>
      </c>
      <c r="BB116" s="109">
        <f t="shared" si="53"/>
        <v>0</v>
      </c>
      <c r="BC116" s="109">
        <f t="shared" si="54"/>
        <v>0</v>
      </c>
      <c r="BD116" s="109">
        <f t="shared" si="55"/>
        <v>0</v>
      </c>
      <c r="BE116" s="107"/>
      <c r="BF116" s="107"/>
      <c r="BG116" s="107"/>
      <c r="BH116" s="107"/>
      <c r="BI116" s="107"/>
      <c r="BJ116" s="107"/>
      <c r="BK116" s="107"/>
      <c r="BL116" s="107"/>
    </row>
    <row r="117" spans="1:64" ht="12.75" customHeight="1" x14ac:dyDescent="0.2">
      <c r="A117" s="376"/>
      <c r="B117" s="376"/>
      <c r="C117" s="106" t="s">
        <v>278</v>
      </c>
      <c r="D117" s="377"/>
      <c r="E117" s="106"/>
      <c r="F117" s="106"/>
      <c r="G117" s="106"/>
      <c r="H117" s="106"/>
      <c r="I117" s="106"/>
      <c r="J117" s="106"/>
      <c r="K117" s="106"/>
      <c r="L117" s="106"/>
      <c r="M117" s="106"/>
      <c r="N117" s="106"/>
      <c r="O117" s="106"/>
      <c r="P117" s="106"/>
      <c r="Q117" s="106"/>
      <c r="R117" s="106"/>
      <c r="S117" s="106"/>
      <c r="T117" s="106"/>
      <c r="U117" s="106"/>
      <c r="V117" s="106"/>
      <c r="W117" s="106"/>
      <c r="X117" s="106"/>
      <c r="Y117" s="106"/>
      <c r="Z117" s="106">
        <v>5.5</v>
      </c>
      <c r="AA117" s="106"/>
      <c r="AB117" s="106"/>
      <c r="AC117" s="106" t="s">
        <v>285</v>
      </c>
      <c r="AD117" s="110">
        <f t="shared" si="35"/>
        <v>44</v>
      </c>
      <c r="AE117" s="108">
        <f>'1. SA ABA DE CARREGAMENTO'!B90</f>
        <v>22</v>
      </c>
      <c r="AF117" s="377"/>
      <c r="AG117" s="109">
        <f t="shared" si="36"/>
        <v>0</v>
      </c>
      <c r="AH117" s="109">
        <f t="shared" si="37"/>
        <v>0</v>
      </c>
      <c r="AI117" s="109">
        <f t="shared" si="38"/>
        <v>0</v>
      </c>
      <c r="AJ117" s="109">
        <f t="shared" si="39"/>
        <v>0</v>
      </c>
      <c r="AK117" s="109">
        <f t="shared" si="40"/>
        <v>0</v>
      </c>
      <c r="AL117" s="109">
        <f t="shared" si="31"/>
        <v>0</v>
      </c>
      <c r="AM117" s="109">
        <f t="shared" si="32"/>
        <v>0</v>
      </c>
      <c r="AN117" s="109">
        <f t="shared" si="41"/>
        <v>0</v>
      </c>
      <c r="AO117" s="109">
        <f t="shared" si="42"/>
        <v>0</v>
      </c>
      <c r="AP117" s="109">
        <f t="shared" si="33"/>
        <v>0</v>
      </c>
      <c r="AQ117" s="109">
        <f t="shared" si="34"/>
        <v>0</v>
      </c>
      <c r="AR117" s="109">
        <f t="shared" si="43"/>
        <v>0</v>
      </c>
      <c r="AS117" s="109">
        <f t="shared" si="44"/>
        <v>0</v>
      </c>
      <c r="AT117" s="109">
        <f t="shared" si="45"/>
        <v>0</v>
      </c>
      <c r="AU117" s="109">
        <f t="shared" si="46"/>
        <v>0</v>
      </c>
      <c r="AV117" s="109">
        <f t="shared" si="47"/>
        <v>0</v>
      </c>
      <c r="AW117" s="109">
        <f t="shared" si="48"/>
        <v>0</v>
      </c>
      <c r="AX117" s="109">
        <f t="shared" si="49"/>
        <v>0</v>
      </c>
      <c r="AY117" s="109">
        <f t="shared" si="50"/>
        <v>0</v>
      </c>
      <c r="AZ117" s="109">
        <f t="shared" si="51"/>
        <v>0</v>
      </c>
      <c r="BA117" s="109">
        <f t="shared" si="52"/>
        <v>0</v>
      </c>
      <c r="BB117" s="109">
        <f t="shared" si="53"/>
        <v>11</v>
      </c>
      <c r="BC117" s="109">
        <f t="shared" si="54"/>
        <v>0</v>
      </c>
      <c r="BD117" s="109">
        <f t="shared" si="55"/>
        <v>0</v>
      </c>
      <c r="BE117" s="107"/>
      <c r="BF117" s="107"/>
      <c r="BG117" s="107"/>
      <c r="BH117" s="107"/>
      <c r="BI117" s="107"/>
      <c r="BJ117" s="107"/>
      <c r="BK117" s="107"/>
      <c r="BL117" s="107"/>
    </row>
    <row r="118" spans="1:64" ht="12.75" customHeight="1" x14ac:dyDescent="0.2">
      <c r="A118" s="376"/>
      <c r="B118" s="376"/>
      <c r="C118" s="106" t="s">
        <v>280</v>
      </c>
      <c r="D118" s="377"/>
      <c r="E118" s="106"/>
      <c r="F118" s="106"/>
      <c r="G118" s="106"/>
      <c r="H118" s="106"/>
      <c r="I118" s="106"/>
      <c r="J118" s="106"/>
      <c r="K118" s="106"/>
      <c r="L118" s="106"/>
      <c r="M118" s="106"/>
      <c r="N118" s="106"/>
      <c r="O118" s="106"/>
      <c r="P118" s="106"/>
      <c r="Q118" s="106"/>
      <c r="R118" s="106"/>
      <c r="S118" s="106"/>
      <c r="T118" s="106"/>
      <c r="U118" s="106"/>
      <c r="V118" s="106"/>
      <c r="W118" s="106"/>
      <c r="X118" s="106"/>
      <c r="Y118" s="106"/>
      <c r="Z118" s="106"/>
      <c r="AA118" s="106">
        <v>20.8</v>
      </c>
      <c r="AB118" s="106"/>
      <c r="AC118" s="106" t="s">
        <v>281</v>
      </c>
      <c r="AD118" s="110">
        <f t="shared" si="35"/>
        <v>4.33</v>
      </c>
      <c r="AE118" s="108">
        <f>'1. SA ABA DE CARREGAMENTO'!B90</f>
        <v>22</v>
      </c>
      <c r="AF118" s="377"/>
      <c r="AG118" s="109">
        <f t="shared" si="36"/>
        <v>0</v>
      </c>
      <c r="AH118" s="109">
        <f t="shared" si="37"/>
        <v>0</v>
      </c>
      <c r="AI118" s="109">
        <f t="shared" si="38"/>
        <v>0</v>
      </c>
      <c r="AJ118" s="109">
        <f t="shared" si="39"/>
        <v>0</v>
      </c>
      <c r="AK118" s="109">
        <f t="shared" si="40"/>
        <v>0</v>
      </c>
      <c r="AL118" s="109">
        <f t="shared" si="31"/>
        <v>0</v>
      </c>
      <c r="AM118" s="109">
        <f t="shared" si="32"/>
        <v>0</v>
      </c>
      <c r="AN118" s="109">
        <f t="shared" si="41"/>
        <v>0</v>
      </c>
      <c r="AO118" s="109">
        <f t="shared" si="42"/>
        <v>0</v>
      </c>
      <c r="AP118" s="109">
        <f t="shared" si="33"/>
        <v>0</v>
      </c>
      <c r="AQ118" s="109">
        <f t="shared" si="34"/>
        <v>0</v>
      </c>
      <c r="AR118" s="109">
        <f t="shared" si="43"/>
        <v>0</v>
      </c>
      <c r="AS118" s="109">
        <f t="shared" si="44"/>
        <v>0</v>
      </c>
      <c r="AT118" s="109">
        <f t="shared" si="45"/>
        <v>0</v>
      </c>
      <c r="AU118" s="109">
        <f t="shared" si="46"/>
        <v>0</v>
      </c>
      <c r="AV118" s="109">
        <f t="shared" si="47"/>
        <v>0</v>
      </c>
      <c r="AW118" s="109">
        <f t="shared" si="48"/>
        <v>0</v>
      </c>
      <c r="AX118" s="109">
        <f t="shared" si="49"/>
        <v>0</v>
      </c>
      <c r="AY118" s="109">
        <f t="shared" si="50"/>
        <v>0</v>
      </c>
      <c r="AZ118" s="109">
        <f t="shared" si="51"/>
        <v>0</v>
      </c>
      <c r="BA118" s="109">
        <f t="shared" si="52"/>
        <v>0</v>
      </c>
      <c r="BB118" s="109">
        <f t="shared" si="53"/>
        <v>0</v>
      </c>
      <c r="BC118" s="109">
        <f t="shared" si="54"/>
        <v>4.0938181818181825</v>
      </c>
      <c r="BD118" s="109">
        <f t="shared" si="55"/>
        <v>0</v>
      </c>
      <c r="BE118" s="107"/>
      <c r="BF118" s="107"/>
      <c r="BG118" s="107"/>
      <c r="BH118" s="107"/>
      <c r="BI118" s="107"/>
      <c r="BJ118" s="107"/>
      <c r="BK118" s="107"/>
      <c r="BL118" s="107"/>
    </row>
    <row r="119" spans="1:64" ht="12.75" customHeight="1" x14ac:dyDescent="0.2">
      <c r="A119" s="376"/>
      <c r="B119" s="376"/>
      <c r="C119" s="106" t="s">
        <v>282</v>
      </c>
      <c r="D119" s="377"/>
      <c r="E119" s="106"/>
      <c r="F119" s="106"/>
      <c r="G119" s="106"/>
      <c r="H119" s="106"/>
      <c r="I119" s="106"/>
      <c r="J119" s="106"/>
      <c r="K119" s="106"/>
      <c r="L119" s="106"/>
      <c r="M119" s="106"/>
      <c r="N119" s="106"/>
      <c r="O119" s="106"/>
      <c r="P119" s="106"/>
      <c r="Q119" s="106"/>
      <c r="R119" s="106"/>
      <c r="S119" s="106"/>
      <c r="T119" s="106"/>
      <c r="U119" s="106"/>
      <c r="V119" s="106"/>
      <c r="W119" s="106"/>
      <c r="X119" s="106"/>
      <c r="Y119" s="106"/>
      <c r="Z119" s="106"/>
      <c r="AA119" s="106"/>
      <c r="AB119" s="106">
        <v>5.5</v>
      </c>
      <c r="AC119" s="106" t="s">
        <v>281</v>
      </c>
      <c r="AD119" s="110">
        <f t="shared" si="35"/>
        <v>4.33</v>
      </c>
      <c r="AE119" s="108">
        <f>'1. SA ABA DE CARREGAMENTO'!B90</f>
        <v>22</v>
      </c>
      <c r="AF119" s="377"/>
      <c r="AG119" s="109">
        <f t="shared" si="36"/>
        <v>0</v>
      </c>
      <c r="AH119" s="109">
        <f t="shared" si="37"/>
        <v>0</v>
      </c>
      <c r="AI119" s="109">
        <f t="shared" si="38"/>
        <v>0</v>
      </c>
      <c r="AJ119" s="109">
        <f t="shared" si="39"/>
        <v>0</v>
      </c>
      <c r="AK119" s="109">
        <f t="shared" si="40"/>
        <v>0</v>
      </c>
      <c r="AL119" s="109">
        <f t="shared" si="31"/>
        <v>0</v>
      </c>
      <c r="AM119" s="109">
        <f t="shared" si="32"/>
        <v>0</v>
      </c>
      <c r="AN119" s="109">
        <f t="shared" si="41"/>
        <v>0</v>
      </c>
      <c r="AO119" s="109">
        <f t="shared" si="42"/>
        <v>0</v>
      </c>
      <c r="AP119" s="109">
        <f t="shared" si="33"/>
        <v>0</v>
      </c>
      <c r="AQ119" s="109">
        <f t="shared" si="34"/>
        <v>0</v>
      </c>
      <c r="AR119" s="109">
        <f t="shared" si="43"/>
        <v>0</v>
      </c>
      <c r="AS119" s="109">
        <f t="shared" si="44"/>
        <v>0</v>
      </c>
      <c r="AT119" s="109">
        <f t="shared" si="45"/>
        <v>0</v>
      </c>
      <c r="AU119" s="109">
        <f t="shared" si="46"/>
        <v>0</v>
      </c>
      <c r="AV119" s="109">
        <f t="shared" si="47"/>
        <v>0</v>
      </c>
      <c r="AW119" s="109">
        <f t="shared" si="48"/>
        <v>0</v>
      </c>
      <c r="AX119" s="109">
        <f t="shared" si="49"/>
        <v>0</v>
      </c>
      <c r="AY119" s="109">
        <f t="shared" si="50"/>
        <v>0</v>
      </c>
      <c r="AZ119" s="109">
        <f t="shared" si="51"/>
        <v>0</v>
      </c>
      <c r="BA119" s="109">
        <f t="shared" si="52"/>
        <v>0</v>
      </c>
      <c r="BB119" s="109">
        <f t="shared" si="53"/>
        <v>0</v>
      </c>
      <c r="BC119" s="109">
        <f t="shared" si="54"/>
        <v>0</v>
      </c>
      <c r="BD119" s="109">
        <f t="shared" si="55"/>
        <v>1.0825</v>
      </c>
      <c r="BE119" s="107"/>
      <c r="BF119" s="107"/>
      <c r="BG119" s="107"/>
      <c r="BH119" s="107"/>
      <c r="BI119" s="107"/>
      <c r="BJ119" s="107"/>
      <c r="BK119" s="107"/>
      <c r="BL119" s="107"/>
    </row>
    <row r="120" spans="1:64" ht="15" customHeight="1" x14ac:dyDescent="0.2">
      <c r="A120" s="378">
        <v>12</v>
      </c>
      <c r="B120" s="379" t="s">
        <v>357</v>
      </c>
      <c r="C120" s="111" t="s">
        <v>358</v>
      </c>
      <c r="D120" s="380">
        <f>SUM(E120:AB127)</f>
        <v>227.68</v>
      </c>
      <c r="E120" s="111"/>
      <c r="F120" s="111">
        <v>31.5</v>
      </c>
      <c r="G120" s="111"/>
      <c r="H120" s="111"/>
      <c r="I120" s="111"/>
      <c r="J120" s="111"/>
      <c r="K120" s="111"/>
      <c r="L120" s="111"/>
      <c r="M120" s="111"/>
      <c r="N120" s="111"/>
      <c r="O120" s="111"/>
      <c r="P120" s="111"/>
      <c r="Q120" s="111"/>
      <c r="R120" s="111"/>
      <c r="S120" s="111"/>
      <c r="T120" s="111"/>
      <c r="U120" s="111"/>
      <c r="V120" s="111"/>
      <c r="W120" s="111"/>
      <c r="X120" s="111"/>
      <c r="Y120" s="111"/>
      <c r="Z120" s="111"/>
      <c r="AA120" s="111"/>
      <c r="AB120" s="111"/>
      <c r="AC120" s="113" t="s">
        <v>289</v>
      </c>
      <c r="AD120" s="114">
        <f t="shared" si="35"/>
        <v>22</v>
      </c>
      <c r="AE120" s="115">
        <f>'1. SA ABA DE CARREGAMENTO'!B90</f>
        <v>22</v>
      </c>
      <c r="AF120" s="380">
        <f>SUM(AG120:BD127)</f>
        <v>214.42635909090907</v>
      </c>
      <c r="AG120" s="117">
        <f t="shared" si="36"/>
        <v>0</v>
      </c>
      <c r="AH120" s="117">
        <f t="shared" si="37"/>
        <v>31.5</v>
      </c>
      <c r="AI120" s="117">
        <f t="shared" si="38"/>
        <v>0</v>
      </c>
      <c r="AJ120" s="117">
        <f t="shared" si="39"/>
        <v>0</v>
      </c>
      <c r="AK120" s="117">
        <f t="shared" si="40"/>
        <v>0</v>
      </c>
      <c r="AL120" s="117">
        <f t="shared" si="31"/>
        <v>0</v>
      </c>
      <c r="AM120" s="117">
        <f t="shared" si="32"/>
        <v>0</v>
      </c>
      <c r="AN120" s="117">
        <f t="shared" si="41"/>
        <v>0</v>
      </c>
      <c r="AO120" s="117">
        <f t="shared" si="42"/>
        <v>0</v>
      </c>
      <c r="AP120" s="117">
        <f t="shared" si="33"/>
        <v>0</v>
      </c>
      <c r="AQ120" s="117">
        <f t="shared" si="34"/>
        <v>0</v>
      </c>
      <c r="AR120" s="117">
        <f t="shared" si="43"/>
        <v>0</v>
      </c>
      <c r="AS120" s="117">
        <f t="shared" si="44"/>
        <v>0</v>
      </c>
      <c r="AT120" s="117">
        <f t="shared" si="45"/>
        <v>0</v>
      </c>
      <c r="AU120" s="117">
        <f t="shared" si="46"/>
        <v>0</v>
      </c>
      <c r="AV120" s="117">
        <f t="shared" si="47"/>
        <v>0</v>
      </c>
      <c r="AW120" s="117">
        <f t="shared" si="48"/>
        <v>0</v>
      </c>
      <c r="AX120" s="117">
        <f t="shared" si="49"/>
        <v>0</v>
      </c>
      <c r="AY120" s="117">
        <f t="shared" si="50"/>
        <v>0</v>
      </c>
      <c r="AZ120" s="117">
        <f t="shared" si="51"/>
        <v>0</v>
      </c>
      <c r="BA120" s="117">
        <f t="shared" si="52"/>
        <v>0</v>
      </c>
      <c r="BB120" s="117">
        <f t="shared" si="53"/>
        <v>0</v>
      </c>
      <c r="BC120" s="117">
        <f t="shared" si="54"/>
        <v>0</v>
      </c>
      <c r="BD120" s="117">
        <f t="shared" si="55"/>
        <v>0</v>
      </c>
      <c r="BE120" s="107"/>
      <c r="BF120" s="107"/>
      <c r="BG120" s="107"/>
      <c r="BH120" s="107"/>
      <c r="BI120" s="107"/>
      <c r="BJ120" s="107"/>
      <c r="BK120" s="107"/>
      <c r="BL120" s="107"/>
    </row>
    <row r="121" spans="1:64" ht="15" x14ac:dyDescent="0.2">
      <c r="A121" s="378"/>
      <c r="B121" s="378"/>
      <c r="C121" s="111" t="s">
        <v>359</v>
      </c>
      <c r="D121" s="380"/>
      <c r="E121" s="111"/>
      <c r="F121" s="111"/>
      <c r="G121" s="111">
        <v>31.5</v>
      </c>
      <c r="H121" s="111"/>
      <c r="I121" s="111"/>
      <c r="J121" s="111"/>
      <c r="K121" s="111"/>
      <c r="L121" s="111"/>
      <c r="M121" s="111"/>
      <c r="N121" s="111"/>
      <c r="O121" s="111"/>
      <c r="P121" s="111"/>
      <c r="Q121" s="111"/>
      <c r="R121" s="111"/>
      <c r="S121" s="111"/>
      <c r="T121" s="111"/>
      <c r="U121" s="111"/>
      <c r="V121" s="111"/>
      <c r="W121" s="111"/>
      <c r="X121" s="111"/>
      <c r="Y121" s="111"/>
      <c r="Z121" s="111"/>
      <c r="AA121" s="111"/>
      <c r="AB121" s="111"/>
      <c r="AC121" s="113" t="s">
        <v>289</v>
      </c>
      <c r="AD121" s="114">
        <f t="shared" si="35"/>
        <v>22</v>
      </c>
      <c r="AE121" s="115">
        <f>'1. SA ABA DE CARREGAMENTO'!B90</f>
        <v>22</v>
      </c>
      <c r="AF121" s="380"/>
      <c r="AG121" s="117">
        <f t="shared" si="36"/>
        <v>0</v>
      </c>
      <c r="AH121" s="117">
        <f t="shared" si="37"/>
        <v>0</v>
      </c>
      <c r="AI121" s="117">
        <f t="shared" si="38"/>
        <v>31.5</v>
      </c>
      <c r="AJ121" s="117">
        <f t="shared" si="39"/>
        <v>0</v>
      </c>
      <c r="AK121" s="117">
        <f t="shared" si="40"/>
        <v>0</v>
      </c>
      <c r="AL121" s="117">
        <f t="shared" si="31"/>
        <v>0</v>
      </c>
      <c r="AM121" s="117">
        <f t="shared" si="32"/>
        <v>0</v>
      </c>
      <c r="AN121" s="117">
        <f t="shared" si="41"/>
        <v>0</v>
      </c>
      <c r="AO121" s="117">
        <f t="shared" si="42"/>
        <v>0</v>
      </c>
      <c r="AP121" s="117">
        <f t="shared" si="33"/>
        <v>0</v>
      </c>
      <c r="AQ121" s="117">
        <f t="shared" si="34"/>
        <v>0</v>
      </c>
      <c r="AR121" s="117">
        <f t="shared" si="43"/>
        <v>0</v>
      </c>
      <c r="AS121" s="117">
        <f t="shared" si="44"/>
        <v>0</v>
      </c>
      <c r="AT121" s="117">
        <f t="shared" si="45"/>
        <v>0</v>
      </c>
      <c r="AU121" s="117">
        <f t="shared" si="46"/>
        <v>0</v>
      </c>
      <c r="AV121" s="117">
        <f t="shared" si="47"/>
        <v>0</v>
      </c>
      <c r="AW121" s="117">
        <f t="shared" si="48"/>
        <v>0</v>
      </c>
      <c r="AX121" s="117">
        <f t="shared" si="49"/>
        <v>0</v>
      </c>
      <c r="AY121" s="117">
        <f t="shared" si="50"/>
        <v>0</v>
      </c>
      <c r="AZ121" s="117">
        <f t="shared" si="51"/>
        <v>0</v>
      </c>
      <c r="BA121" s="117">
        <f t="shared" si="52"/>
        <v>0</v>
      </c>
      <c r="BB121" s="117">
        <f t="shared" si="53"/>
        <v>0</v>
      </c>
      <c r="BC121" s="117">
        <f t="shared" si="54"/>
        <v>0</v>
      </c>
      <c r="BD121" s="117">
        <f t="shared" si="55"/>
        <v>0</v>
      </c>
      <c r="BE121" s="107"/>
      <c r="BF121" s="107"/>
      <c r="BG121" s="107"/>
      <c r="BH121" s="107"/>
      <c r="BI121" s="107"/>
      <c r="BJ121" s="107"/>
      <c r="BK121" s="107"/>
      <c r="BL121" s="107"/>
    </row>
    <row r="122" spans="1:64" ht="15" x14ac:dyDescent="0.2">
      <c r="A122" s="378"/>
      <c r="B122" s="378"/>
      <c r="C122" s="111" t="s">
        <v>271</v>
      </c>
      <c r="D122" s="380"/>
      <c r="E122" s="111"/>
      <c r="F122" s="111"/>
      <c r="G122" s="111"/>
      <c r="H122" s="111"/>
      <c r="I122" s="111"/>
      <c r="J122" s="111"/>
      <c r="K122" s="111"/>
      <c r="L122" s="111">
        <v>29.6</v>
      </c>
      <c r="M122" s="111"/>
      <c r="N122" s="111"/>
      <c r="O122" s="111"/>
      <c r="P122" s="111"/>
      <c r="Q122" s="111"/>
      <c r="R122" s="111"/>
      <c r="S122" s="111"/>
      <c r="T122" s="111"/>
      <c r="U122" s="111"/>
      <c r="V122" s="111"/>
      <c r="W122" s="111"/>
      <c r="X122" s="111"/>
      <c r="Y122" s="111"/>
      <c r="Z122" s="111"/>
      <c r="AA122" s="111"/>
      <c r="AB122" s="111"/>
      <c r="AC122" s="113" t="s">
        <v>270</v>
      </c>
      <c r="AD122" s="114">
        <f t="shared" si="35"/>
        <v>66</v>
      </c>
      <c r="AE122" s="115">
        <f>'1. SA ABA DE CARREGAMENTO'!B90</f>
        <v>22</v>
      </c>
      <c r="AF122" s="380"/>
      <c r="AG122" s="117">
        <f t="shared" si="36"/>
        <v>0</v>
      </c>
      <c r="AH122" s="117">
        <f t="shared" si="37"/>
        <v>0</v>
      </c>
      <c r="AI122" s="117">
        <f t="shared" si="38"/>
        <v>0</v>
      </c>
      <c r="AJ122" s="117">
        <f t="shared" si="39"/>
        <v>0</v>
      </c>
      <c r="AK122" s="117">
        <f t="shared" si="40"/>
        <v>0</v>
      </c>
      <c r="AL122" s="117">
        <f t="shared" si="31"/>
        <v>0</v>
      </c>
      <c r="AM122" s="117">
        <f t="shared" si="32"/>
        <v>0</v>
      </c>
      <c r="AN122" s="117">
        <f t="shared" si="41"/>
        <v>88.800000000000011</v>
      </c>
      <c r="AO122" s="117">
        <f t="shared" si="42"/>
        <v>0</v>
      </c>
      <c r="AP122" s="117">
        <f t="shared" si="33"/>
        <v>0</v>
      </c>
      <c r="AQ122" s="117">
        <f t="shared" si="34"/>
        <v>0</v>
      </c>
      <c r="AR122" s="117">
        <f t="shared" si="43"/>
        <v>0</v>
      </c>
      <c r="AS122" s="117">
        <f t="shared" si="44"/>
        <v>0</v>
      </c>
      <c r="AT122" s="117">
        <f t="shared" si="45"/>
        <v>0</v>
      </c>
      <c r="AU122" s="117">
        <f t="shared" si="46"/>
        <v>0</v>
      </c>
      <c r="AV122" s="117">
        <f t="shared" si="47"/>
        <v>0</v>
      </c>
      <c r="AW122" s="117">
        <f t="shared" si="48"/>
        <v>0</v>
      </c>
      <c r="AX122" s="117">
        <f t="shared" si="49"/>
        <v>0</v>
      </c>
      <c r="AY122" s="117">
        <f t="shared" si="50"/>
        <v>0</v>
      </c>
      <c r="AZ122" s="117">
        <f t="shared" si="51"/>
        <v>0</v>
      </c>
      <c r="BA122" s="117">
        <f t="shared" si="52"/>
        <v>0</v>
      </c>
      <c r="BB122" s="117">
        <f t="shared" si="53"/>
        <v>0</v>
      </c>
      <c r="BC122" s="117">
        <f t="shared" si="54"/>
        <v>0</v>
      </c>
      <c r="BD122" s="117">
        <f t="shared" si="55"/>
        <v>0</v>
      </c>
      <c r="BE122" s="107"/>
      <c r="BF122" s="107"/>
      <c r="BG122" s="107"/>
      <c r="BH122" s="107"/>
      <c r="BI122" s="107"/>
      <c r="BJ122" s="107"/>
      <c r="BK122" s="107"/>
      <c r="BL122" s="107"/>
    </row>
    <row r="123" spans="1:64" ht="15" x14ac:dyDescent="0.2">
      <c r="A123" s="378"/>
      <c r="B123" s="378"/>
      <c r="C123" s="111" t="s">
        <v>360</v>
      </c>
      <c r="D123" s="380"/>
      <c r="E123" s="111"/>
      <c r="F123" s="111">
        <v>30.14</v>
      </c>
      <c r="G123" s="111"/>
      <c r="H123" s="111"/>
      <c r="I123" s="111"/>
      <c r="J123" s="111"/>
      <c r="K123" s="111"/>
      <c r="L123" s="111"/>
      <c r="M123" s="111"/>
      <c r="N123" s="111"/>
      <c r="O123" s="111"/>
      <c r="P123" s="111"/>
      <c r="Q123" s="111"/>
      <c r="R123" s="111"/>
      <c r="S123" s="111"/>
      <c r="T123" s="111"/>
      <c r="U123" s="111"/>
      <c r="V123" s="111"/>
      <c r="W123" s="111"/>
      <c r="X123" s="111"/>
      <c r="Y123" s="111"/>
      <c r="Z123" s="111"/>
      <c r="AA123" s="111"/>
      <c r="AB123" s="111"/>
      <c r="AC123" s="113" t="s">
        <v>289</v>
      </c>
      <c r="AD123" s="114">
        <f t="shared" si="35"/>
        <v>22</v>
      </c>
      <c r="AE123" s="115">
        <f>'1. SA ABA DE CARREGAMENTO'!B90</f>
        <v>22</v>
      </c>
      <c r="AF123" s="380"/>
      <c r="AG123" s="117">
        <f t="shared" si="36"/>
        <v>0</v>
      </c>
      <c r="AH123" s="117">
        <f t="shared" si="37"/>
        <v>30.14</v>
      </c>
      <c r="AI123" s="117">
        <f t="shared" si="38"/>
        <v>0</v>
      </c>
      <c r="AJ123" s="117">
        <f t="shared" si="39"/>
        <v>0</v>
      </c>
      <c r="AK123" s="117">
        <f t="shared" si="40"/>
        <v>0</v>
      </c>
      <c r="AL123" s="117">
        <f t="shared" si="31"/>
        <v>0</v>
      </c>
      <c r="AM123" s="117">
        <f t="shared" si="32"/>
        <v>0</v>
      </c>
      <c r="AN123" s="117">
        <f t="shared" si="41"/>
        <v>0</v>
      </c>
      <c r="AO123" s="117">
        <f t="shared" si="42"/>
        <v>0</v>
      </c>
      <c r="AP123" s="117">
        <f t="shared" si="33"/>
        <v>0</v>
      </c>
      <c r="AQ123" s="117">
        <f t="shared" si="34"/>
        <v>0</v>
      </c>
      <c r="AR123" s="117">
        <f t="shared" si="43"/>
        <v>0</v>
      </c>
      <c r="AS123" s="117">
        <f t="shared" si="44"/>
        <v>0</v>
      </c>
      <c r="AT123" s="117">
        <f t="shared" si="45"/>
        <v>0</v>
      </c>
      <c r="AU123" s="117">
        <f t="shared" si="46"/>
        <v>0</v>
      </c>
      <c r="AV123" s="117">
        <f t="shared" si="47"/>
        <v>0</v>
      </c>
      <c r="AW123" s="117">
        <f t="shared" si="48"/>
        <v>0</v>
      </c>
      <c r="AX123" s="117">
        <f t="shared" si="49"/>
        <v>0</v>
      </c>
      <c r="AY123" s="117">
        <f t="shared" si="50"/>
        <v>0</v>
      </c>
      <c r="AZ123" s="117">
        <f t="shared" si="51"/>
        <v>0</v>
      </c>
      <c r="BA123" s="117">
        <f t="shared" si="52"/>
        <v>0</v>
      </c>
      <c r="BB123" s="117">
        <f t="shared" si="53"/>
        <v>0</v>
      </c>
      <c r="BC123" s="117">
        <f t="shared" si="54"/>
        <v>0</v>
      </c>
      <c r="BD123" s="117">
        <f t="shared" si="55"/>
        <v>0</v>
      </c>
      <c r="BE123" s="107"/>
      <c r="BF123" s="107"/>
      <c r="BG123" s="107"/>
      <c r="BH123" s="107"/>
      <c r="BI123" s="107"/>
      <c r="BJ123" s="107"/>
      <c r="BK123" s="107"/>
      <c r="BL123" s="107"/>
    </row>
    <row r="124" spans="1:64" ht="15" x14ac:dyDescent="0.2">
      <c r="A124" s="378"/>
      <c r="B124" s="378"/>
      <c r="C124" s="111" t="s">
        <v>361</v>
      </c>
      <c r="D124" s="380"/>
      <c r="E124" s="111"/>
      <c r="F124" s="111"/>
      <c r="G124" s="111"/>
      <c r="H124" s="111">
        <v>15.75</v>
      </c>
      <c r="I124" s="111"/>
      <c r="J124" s="111"/>
      <c r="K124" s="111"/>
      <c r="L124" s="111"/>
      <c r="M124" s="111"/>
      <c r="N124" s="111"/>
      <c r="O124" s="111"/>
      <c r="P124" s="111"/>
      <c r="Q124" s="111"/>
      <c r="R124" s="111"/>
      <c r="S124" s="111"/>
      <c r="T124" s="111"/>
      <c r="U124" s="111"/>
      <c r="V124" s="111"/>
      <c r="W124" s="111"/>
      <c r="X124" s="111"/>
      <c r="Y124" s="111"/>
      <c r="Z124" s="111"/>
      <c r="AA124" s="111"/>
      <c r="AB124" s="111"/>
      <c r="AC124" s="113" t="s">
        <v>281</v>
      </c>
      <c r="AD124" s="114">
        <f t="shared" si="35"/>
        <v>4.33</v>
      </c>
      <c r="AE124" s="115">
        <f>'1. SA ABA DE CARREGAMENTO'!B90</f>
        <v>22</v>
      </c>
      <c r="AF124" s="380"/>
      <c r="AG124" s="117">
        <f t="shared" si="36"/>
        <v>0</v>
      </c>
      <c r="AH124" s="117">
        <f t="shared" si="37"/>
        <v>0</v>
      </c>
      <c r="AI124" s="117">
        <f t="shared" si="38"/>
        <v>0</v>
      </c>
      <c r="AJ124" s="117">
        <f t="shared" si="39"/>
        <v>3.0998863636363638</v>
      </c>
      <c r="AK124" s="117">
        <f t="shared" si="40"/>
        <v>0</v>
      </c>
      <c r="AL124" s="117">
        <f t="shared" si="31"/>
        <v>0</v>
      </c>
      <c r="AM124" s="117">
        <f t="shared" si="32"/>
        <v>0</v>
      </c>
      <c r="AN124" s="117">
        <f t="shared" si="41"/>
        <v>0</v>
      </c>
      <c r="AO124" s="117">
        <f t="shared" si="42"/>
        <v>0</v>
      </c>
      <c r="AP124" s="117">
        <f t="shared" si="33"/>
        <v>0</v>
      </c>
      <c r="AQ124" s="117">
        <f t="shared" si="34"/>
        <v>0</v>
      </c>
      <c r="AR124" s="117">
        <f t="shared" si="43"/>
        <v>0</v>
      </c>
      <c r="AS124" s="117">
        <f t="shared" si="44"/>
        <v>0</v>
      </c>
      <c r="AT124" s="117">
        <f t="shared" si="45"/>
        <v>0</v>
      </c>
      <c r="AU124" s="117">
        <f t="shared" si="46"/>
        <v>0</v>
      </c>
      <c r="AV124" s="117">
        <f t="shared" si="47"/>
        <v>0</v>
      </c>
      <c r="AW124" s="117">
        <f t="shared" si="48"/>
        <v>0</v>
      </c>
      <c r="AX124" s="117">
        <f t="shared" si="49"/>
        <v>0</v>
      </c>
      <c r="AY124" s="117">
        <f t="shared" si="50"/>
        <v>0</v>
      </c>
      <c r="AZ124" s="117">
        <f t="shared" si="51"/>
        <v>0</v>
      </c>
      <c r="BA124" s="117">
        <f t="shared" si="52"/>
        <v>0</v>
      </c>
      <c r="BB124" s="117">
        <f t="shared" si="53"/>
        <v>0</v>
      </c>
      <c r="BC124" s="117">
        <f t="shared" si="54"/>
        <v>0</v>
      </c>
      <c r="BD124" s="117">
        <f t="shared" si="55"/>
        <v>0</v>
      </c>
      <c r="BE124" s="107"/>
      <c r="BF124" s="107"/>
      <c r="BG124" s="107"/>
      <c r="BH124" s="107"/>
      <c r="BI124" s="107"/>
      <c r="BJ124" s="107"/>
      <c r="BK124" s="107"/>
      <c r="BL124" s="107"/>
    </row>
    <row r="125" spans="1:64" ht="15" x14ac:dyDescent="0.2">
      <c r="A125" s="378"/>
      <c r="B125" s="378"/>
      <c r="C125" s="111" t="s">
        <v>362</v>
      </c>
      <c r="D125" s="380"/>
      <c r="E125" s="111"/>
      <c r="F125" s="111">
        <v>15.75</v>
      </c>
      <c r="G125" s="111"/>
      <c r="H125" s="111"/>
      <c r="I125" s="111"/>
      <c r="J125" s="111"/>
      <c r="K125" s="111"/>
      <c r="L125" s="111"/>
      <c r="M125" s="111"/>
      <c r="N125" s="111"/>
      <c r="O125" s="111"/>
      <c r="P125" s="111"/>
      <c r="Q125" s="111"/>
      <c r="R125" s="111"/>
      <c r="S125" s="111"/>
      <c r="T125" s="111"/>
      <c r="U125" s="111"/>
      <c r="V125" s="111"/>
      <c r="W125" s="111"/>
      <c r="X125" s="111"/>
      <c r="Y125" s="111"/>
      <c r="Z125" s="111"/>
      <c r="AA125" s="111"/>
      <c r="AB125" s="111"/>
      <c r="AC125" s="113" t="s">
        <v>289</v>
      </c>
      <c r="AD125" s="114">
        <f t="shared" si="35"/>
        <v>22</v>
      </c>
      <c r="AE125" s="115">
        <f>'1. SA ABA DE CARREGAMENTO'!B90</f>
        <v>22</v>
      </c>
      <c r="AF125" s="380"/>
      <c r="AG125" s="117">
        <f t="shared" si="36"/>
        <v>0</v>
      </c>
      <c r="AH125" s="117">
        <f t="shared" si="37"/>
        <v>15.75</v>
      </c>
      <c r="AI125" s="117">
        <f t="shared" si="38"/>
        <v>0</v>
      </c>
      <c r="AJ125" s="117">
        <f t="shared" si="39"/>
        <v>0</v>
      </c>
      <c r="AK125" s="117">
        <f t="shared" si="40"/>
        <v>0</v>
      </c>
      <c r="AL125" s="117">
        <f t="shared" si="31"/>
        <v>0</v>
      </c>
      <c r="AM125" s="117">
        <f t="shared" si="32"/>
        <v>0</v>
      </c>
      <c r="AN125" s="117">
        <f t="shared" si="41"/>
        <v>0</v>
      </c>
      <c r="AO125" s="117">
        <f t="shared" si="42"/>
        <v>0</v>
      </c>
      <c r="AP125" s="117">
        <f t="shared" si="33"/>
        <v>0</v>
      </c>
      <c r="AQ125" s="117">
        <f t="shared" si="34"/>
        <v>0</v>
      </c>
      <c r="AR125" s="117">
        <f t="shared" si="43"/>
        <v>0</v>
      </c>
      <c r="AS125" s="117">
        <f t="shared" si="44"/>
        <v>0</v>
      </c>
      <c r="AT125" s="117">
        <f t="shared" si="45"/>
        <v>0</v>
      </c>
      <c r="AU125" s="117">
        <f t="shared" si="46"/>
        <v>0</v>
      </c>
      <c r="AV125" s="117">
        <f t="shared" si="47"/>
        <v>0</v>
      </c>
      <c r="AW125" s="117">
        <f t="shared" si="48"/>
        <v>0</v>
      </c>
      <c r="AX125" s="117">
        <f t="shared" si="49"/>
        <v>0</v>
      </c>
      <c r="AY125" s="117">
        <f t="shared" si="50"/>
        <v>0</v>
      </c>
      <c r="AZ125" s="117">
        <f t="shared" si="51"/>
        <v>0</v>
      </c>
      <c r="BA125" s="117">
        <f t="shared" si="52"/>
        <v>0</v>
      </c>
      <c r="BB125" s="117">
        <f t="shared" si="53"/>
        <v>0</v>
      </c>
      <c r="BC125" s="117">
        <f t="shared" si="54"/>
        <v>0</v>
      </c>
      <c r="BD125" s="117">
        <f t="shared" si="55"/>
        <v>0</v>
      </c>
      <c r="BE125" s="107"/>
      <c r="BF125" s="107"/>
      <c r="BG125" s="107"/>
      <c r="BH125" s="107"/>
      <c r="BI125" s="107"/>
      <c r="BJ125" s="107"/>
      <c r="BK125" s="107"/>
      <c r="BL125" s="107"/>
    </row>
    <row r="126" spans="1:64" ht="12.75" customHeight="1" x14ac:dyDescent="0.2">
      <c r="A126" s="378"/>
      <c r="B126" s="378"/>
      <c r="C126" s="111" t="s">
        <v>274</v>
      </c>
      <c r="D126" s="380"/>
      <c r="E126" s="111"/>
      <c r="F126" s="111"/>
      <c r="G126" s="111"/>
      <c r="H126" s="111"/>
      <c r="I126" s="111"/>
      <c r="J126" s="111"/>
      <c r="K126" s="111"/>
      <c r="L126" s="111"/>
      <c r="M126" s="111"/>
      <c r="N126" s="111"/>
      <c r="O126" s="111"/>
      <c r="P126" s="111"/>
      <c r="Q126" s="111"/>
      <c r="R126" s="111"/>
      <c r="S126" s="111"/>
      <c r="T126" s="111"/>
      <c r="U126" s="111"/>
      <c r="V126" s="111">
        <v>36.72</v>
      </c>
      <c r="W126" s="111"/>
      <c r="X126" s="111"/>
      <c r="Y126" s="111"/>
      <c r="Z126" s="111"/>
      <c r="AA126" s="111"/>
      <c r="AB126" s="111"/>
      <c r="AC126" s="113" t="s">
        <v>275</v>
      </c>
      <c r="AD126" s="114">
        <f t="shared" si="35"/>
        <v>0.17</v>
      </c>
      <c r="AE126" s="115">
        <f>'1. SA ABA DE CARREGAMENTO'!B90</f>
        <v>22</v>
      </c>
      <c r="AF126" s="380"/>
      <c r="AG126" s="117">
        <f t="shared" si="36"/>
        <v>0</v>
      </c>
      <c r="AH126" s="117">
        <f t="shared" si="37"/>
        <v>0</v>
      </c>
      <c r="AI126" s="117">
        <f t="shared" si="38"/>
        <v>0</v>
      </c>
      <c r="AJ126" s="117">
        <f t="shared" si="39"/>
        <v>0</v>
      </c>
      <c r="AK126" s="117">
        <f t="shared" si="40"/>
        <v>0</v>
      </c>
      <c r="AL126" s="117">
        <f t="shared" si="31"/>
        <v>0</v>
      </c>
      <c r="AM126" s="117">
        <f t="shared" si="32"/>
        <v>0</v>
      </c>
      <c r="AN126" s="117">
        <f t="shared" si="41"/>
        <v>0</v>
      </c>
      <c r="AO126" s="117">
        <f t="shared" si="42"/>
        <v>0</v>
      </c>
      <c r="AP126" s="117">
        <f t="shared" si="33"/>
        <v>0</v>
      </c>
      <c r="AQ126" s="117">
        <f t="shared" si="34"/>
        <v>0</v>
      </c>
      <c r="AR126" s="117">
        <f t="shared" si="43"/>
        <v>0</v>
      </c>
      <c r="AS126" s="117">
        <f t="shared" si="44"/>
        <v>0</v>
      </c>
      <c r="AT126" s="117">
        <f t="shared" si="45"/>
        <v>0</v>
      </c>
      <c r="AU126" s="117">
        <f t="shared" si="46"/>
        <v>0</v>
      </c>
      <c r="AV126" s="117">
        <f t="shared" si="47"/>
        <v>0</v>
      </c>
      <c r="AW126" s="117">
        <f t="shared" si="48"/>
        <v>0</v>
      </c>
      <c r="AX126" s="117">
        <f t="shared" si="49"/>
        <v>0.28374545454545452</v>
      </c>
      <c r="AY126" s="117">
        <f t="shared" si="50"/>
        <v>0</v>
      </c>
      <c r="AZ126" s="117">
        <f t="shared" si="51"/>
        <v>0</v>
      </c>
      <c r="BA126" s="117">
        <f t="shared" si="52"/>
        <v>0</v>
      </c>
      <c r="BB126" s="117">
        <f t="shared" si="53"/>
        <v>0</v>
      </c>
      <c r="BC126" s="117">
        <f t="shared" si="54"/>
        <v>0</v>
      </c>
      <c r="BD126" s="117">
        <f t="shared" si="55"/>
        <v>0</v>
      </c>
      <c r="BE126" s="107"/>
      <c r="BF126" s="107"/>
      <c r="BG126" s="107"/>
      <c r="BH126" s="107"/>
      <c r="BI126" s="107"/>
      <c r="BJ126" s="107"/>
      <c r="BK126" s="107"/>
      <c r="BL126" s="107"/>
    </row>
    <row r="127" spans="1:64" ht="12.75" customHeight="1" x14ac:dyDescent="0.2">
      <c r="A127" s="378"/>
      <c r="B127" s="378"/>
      <c r="C127" s="111" t="s">
        <v>276</v>
      </c>
      <c r="D127" s="380"/>
      <c r="E127" s="111"/>
      <c r="F127" s="111"/>
      <c r="G127" s="111"/>
      <c r="H127" s="111"/>
      <c r="I127" s="111"/>
      <c r="J127" s="111"/>
      <c r="K127" s="111"/>
      <c r="L127" s="111"/>
      <c r="M127" s="111"/>
      <c r="N127" s="111"/>
      <c r="O127" s="111"/>
      <c r="P127" s="111"/>
      <c r="Q127" s="111"/>
      <c r="R127" s="111"/>
      <c r="S127" s="111"/>
      <c r="T127" s="111"/>
      <c r="U127" s="111"/>
      <c r="V127" s="111"/>
      <c r="W127" s="111">
        <v>36.72</v>
      </c>
      <c r="X127" s="111"/>
      <c r="Y127" s="111"/>
      <c r="Z127" s="111"/>
      <c r="AA127" s="111"/>
      <c r="AB127" s="111"/>
      <c r="AC127" s="113" t="s">
        <v>277</v>
      </c>
      <c r="AD127" s="114">
        <f t="shared" si="35"/>
        <v>8</v>
      </c>
      <c r="AE127" s="115">
        <f>'1. SA ABA DE CARREGAMENTO'!B90</f>
        <v>22</v>
      </c>
      <c r="AF127" s="380"/>
      <c r="AG127" s="117">
        <f t="shared" si="36"/>
        <v>0</v>
      </c>
      <c r="AH127" s="117">
        <f t="shared" si="37"/>
        <v>0</v>
      </c>
      <c r="AI127" s="117">
        <f t="shared" si="38"/>
        <v>0</v>
      </c>
      <c r="AJ127" s="117">
        <f t="shared" si="39"/>
        <v>0</v>
      </c>
      <c r="AK127" s="117">
        <f t="shared" si="40"/>
        <v>0</v>
      </c>
      <c r="AL127" s="117">
        <f t="shared" si="31"/>
        <v>0</v>
      </c>
      <c r="AM127" s="117">
        <f t="shared" si="32"/>
        <v>0</v>
      </c>
      <c r="AN127" s="117">
        <f t="shared" si="41"/>
        <v>0</v>
      </c>
      <c r="AO127" s="117">
        <f t="shared" si="42"/>
        <v>0</v>
      </c>
      <c r="AP127" s="117">
        <f t="shared" si="33"/>
        <v>0</v>
      </c>
      <c r="AQ127" s="117">
        <f t="shared" si="34"/>
        <v>0</v>
      </c>
      <c r="AR127" s="117">
        <f t="shared" si="43"/>
        <v>0</v>
      </c>
      <c r="AS127" s="117">
        <f t="shared" si="44"/>
        <v>0</v>
      </c>
      <c r="AT127" s="117">
        <f t="shared" si="45"/>
        <v>0</v>
      </c>
      <c r="AU127" s="117">
        <f t="shared" si="46"/>
        <v>0</v>
      </c>
      <c r="AV127" s="117">
        <f t="shared" si="47"/>
        <v>0</v>
      </c>
      <c r="AW127" s="117">
        <f t="shared" si="48"/>
        <v>0</v>
      </c>
      <c r="AX127" s="117">
        <f t="shared" si="49"/>
        <v>0</v>
      </c>
      <c r="AY127" s="117">
        <f t="shared" si="50"/>
        <v>13.352727272727272</v>
      </c>
      <c r="AZ127" s="117">
        <f t="shared" si="51"/>
        <v>0</v>
      </c>
      <c r="BA127" s="117">
        <f t="shared" si="52"/>
        <v>0</v>
      </c>
      <c r="BB127" s="117">
        <f t="shared" si="53"/>
        <v>0</v>
      </c>
      <c r="BC127" s="117">
        <f t="shared" si="54"/>
        <v>0</v>
      </c>
      <c r="BD127" s="117">
        <f t="shared" si="55"/>
        <v>0</v>
      </c>
      <c r="BE127" s="107"/>
      <c r="BF127" s="107"/>
      <c r="BG127" s="107"/>
      <c r="BH127" s="107"/>
      <c r="BI127" s="107"/>
      <c r="BJ127" s="107"/>
      <c r="BK127" s="107"/>
      <c r="BL127" s="107"/>
    </row>
    <row r="128" spans="1:64" ht="15" customHeight="1" x14ac:dyDescent="0.2">
      <c r="A128" s="389">
        <v>13</v>
      </c>
      <c r="B128" s="390" t="s">
        <v>363</v>
      </c>
      <c r="C128" s="106" t="s">
        <v>364</v>
      </c>
      <c r="D128" s="377">
        <f>SUM(E128:AB173)</f>
        <v>1723.0300000000002</v>
      </c>
      <c r="E128" s="106">
        <v>40.46</v>
      </c>
      <c r="F128" s="106"/>
      <c r="G128" s="106"/>
      <c r="H128" s="106"/>
      <c r="I128" s="106"/>
      <c r="J128" s="106"/>
      <c r="K128" s="106"/>
      <c r="L128" s="106"/>
      <c r="M128" s="106"/>
      <c r="N128" s="106"/>
      <c r="O128" s="106"/>
      <c r="P128" s="106"/>
      <c r="Q128" s="106"/>
      <c r="R128" s="106"/>
      <c r="S128" s="106"/>
      <c r="T128" s="106"/>
      <c r="U128" s="106"/>
      <c r="V128" s="106"/>
      <c r="W128" s="106"/>
      <c r="X128" s="106"/>
      <c r="Y128" s="106"/>
      <c r="Z128" s="106"/>
      <c r="AA128" s="106"/>
      <c r="AB128" s="106"/>
      <c r="AC128" s="106" t="s">
        <v>289</v>
      </c>
      <c r="AD128" s="110">
        <f t="shared" si="35"/>
        <v>22</v>
      </c>
      <c r="AE128" s="108">
        <f>'1. SA ABA DE CARREGAMENTO'!B90</f>
        <v>22</v>
      </c>
      <c r="AF128" s="377">
        <f>SUM(AG128:BD173)</f>
        <v>1920.814481818182</v>
      </c>
      <c r="AG128" s="109">
        <f t="shared" si="36"/>
        <v>40.46</v>
      </c>
      <c r="AH128" s="109">
        <f t="shared" si="37"/>
        <v>0</v>
      </c>
      <c r="AI128" s="109">
        <f t="shared" si="38"/>
        <v>0</v>
      </c>
      <c r="AJ128" s="109">
        <f t="shared" si="39"/>
        <v>0</v>
      </c>
      <c r="AK128" s="109">
        <f t="shared" si="40"/>
        <v>0</v>
      </c>
      <c r="AL128" s="109">
        <f t="shared" si="31"/>
        <v>0</v>
      </c>
      <c r="AM128" s="109">
        <f t="shared" si="32"/>
        <v>0</v>
      </c>
      <c r="AN128" s="109">
        <f t="shared" si="41"/>
        <v>0</v>
      </c>
      <c r="AO128" s="109">
        <f t="shared" si="42"/>
        <v>0</v>
      </c>
      <c r="AP128" s="109">
        <f t="shared" si="33"/>
        <v>0</v>
      </c>
      <c r="AQ128" s="109">
        <f t="shared" si="34"/>
        <v>0</v>
      </c>
      <c r="AR128" s="109">
        <f t="shared" si="43"/>
        <v>0</v>
      </c>
      <c r="AS128" s="109">
        <f t="shared" si="44"/>
        <v>0</v>
      </c>
      <c r="AT128" s="109">
        <f t="shared" si="45"/>
        <v>0</v>
      </c>
      <c r="AU128" s="109">
        <f t="shared" si="46"/>
        <v>0</v>
      </c>
      <c r="AV128" s="109">
        <f t="shared" si="47"/>
        <v>0</v>
      </c>
      <c r="AW128" s="109">
        <f t="shared" si="48"/>
        <v>0</v>
      </c>
      <c r="AX128" s="109">
        <f t="shared" si="49"/>
        <v>0</v>
      </c>
      <c r="AY128" s="109">
        <f t="shared" si="50"/>
        <v>0</v>
      </c>
      <c r="AZ128" s="109">
        <f t="shared" si="51"/>
        <v>0</v>
      </c>
      <c r="BA128" s="109">
        <f t="shared" si="52"/>
        <v>0</v>
      </c>
      <c r="BB128" s="109">
        <f t="shared" si="53"/>
        <v>0</v>
      </c>
      <c r="BC128" s="109">
        <f t="shared" si="54"/>
        <v>0</v>
      </c>
      <c r="BD128" s="109">
        <f t="shared" si="55"/>
        <v>0</v>
      </c>
      <c r="BE128" s="107"/>
      <c r="BF128" s="107"/>
      <c r="BG128" s="107"/>
      <c r="BH128" s="107"/>
      <c r="BI128" s="107"/>
      <c r="BJ128" s="107"/>
      <c r="BK128" s="107"/>
      <c r="BL128" s="107"/>
    </row>
    <row r="129" spans="1:64" ht="15" x14ac:dyDescent="0.2">
      <c r="A129" s="389"/>
      <c r="B129" s="389"/>
      <c r="C129" s="106" t="s">
        <v>365</v>
      </c>
      <c r="D129" s="377"/>
      <c r="E129" s="106">
        <v>12.55</v>
      </c>
      <c r="F129" s="106"/>
      <c r="G129" s="106"/>
      <c r="H129" s="106"/>
      <c r="I129" s="106"/>
      <c r="J129" s="106"/>
      <c r="K129" s="106"/>
      <c r="L129" s="106"/>
      <c r="M129" s="106"/>
      <c r="N129" s="106"/>
      <c r="O129" s="106"/>
      <c r="P129" s="106"/>
      <c r="Q129" s="106"/>
      <c r="R129" s="106"/>
      <c r="S129" s="106"/>
      <c r="T129" s="106"/>
      <c r="U129" s="106"/>
      <c r="V129" s="106"/>
      <c r="W129" s="106"/>
      <c r="X129" s="106"/>
      <c r="Y129" s="106"/>
      <c r="Z129" s="106"/>
      <c r="AA129" s="106"/>
      <c r="AB129" s="106"/>
      <c r="AC129" s="106" t="s">
        <v>289</v>
      </c>
      <c r="AD129" s="110">
        <f t="shared" si="35"/>
        <v>22</v>
      </c>
      <c r="AE129" s="108">
        <f>'1. SA ABA DE CARREGAMENTO'!B90</f>
        <v>22</v>
      </c>
      <c r="AF129" s="377"/>
      <c r="AG129" s="109">
        <f t="shared" si="36"/>
        <v>12.55</v>
      </c>
      <c r="AH129" s="109">
        <f t="shared" si="37"/>
        <v>0</v>
      </c>
      <c r="AI129" s="109">
        <f t="shared" si="38"/>
        <v>0</v>
      </c>
      <c r="AJ129" s="109">
        <f t="shared" si="39"/>
        <v>0</v>
      </c>
      <c r="AK129" s="109">
        <f t="shared" si="40"/>
        <v>0</v>
      </c>
      <c r="AL129" s="109">
        <f t="shared" si="31"/>
        <v>0</v>
      </c>
      <c r="AM129" s="109">
        <f t="shared" si="32"/>
        <v>0</v>
      </c>
      <c r="AN129" s="109">
        <f t="shared" si="41"/>
        <v>0</v>
      </c>
      <c r="AO129" s="109">
        <f t="shared" si="42"/>
        <v>0</v>
      </c>
      <c r="AP129" s="109">
        <f t="shared" si="33"/>
        <v>0</v>
      </c>
      <c r="AQ129" s="109">
        <f t="shared" si="34"/>
        <v>0</v>
      </c>
      <c r="AR129" s="109">
        <f t="shared" si="43"/>
        <v>0</v>
      </c>
      <c r="AS129" s="109">
        <f t="shared" si="44"/>
        <v>0</v>
      </c>
      <c r="AT129" s="109">
        <f t="shared" si="45"/>
        <v>0</v>
      </c>
      <c r="AU129" s="109">
        <f t="shared" si="46"/>
        <v>0</v>
      </c>
      <c r="AV129" s="109">
        <f t="shared" si="47"/>
        <v>0</v>
      </c>
      <c r="AW129" s="109">
        <f t="shared" si="48"/>
        <v>0</v>
      </c>
      <c r="AX129" s="109">
        <f t="shared" si="49"/>
        <v>0</v>
      </c>
      <c r="AY129" s="109">
        <f t="shared" si="50"/>
        <v>0</v>
      </c>
      <c r="AZ129" s="109">
        <f t="shared" si="51"/>
        <v>0</v>
      </c>
      <c r="BA129" s="109">
        <f t="shared" si="52"/>
        <v>0</v>
      </c>
      <c r="BB129" s="109">
        <f t="shared" si="53"/>
        <v>0</v>
      </c>
      <c r="BC129" s="109">
        <f t="shared" si="54"/>
        <v>0</v>
      </c>
      <c r="BD129" s="109">
        <f t="shared" si="55"/>
        <v>0</v>
      </c>
      <c r="BE129" s="107"/>
      <c r="BF129" s="107"/>
      <c r="BG129" s="107"/>
      <c r="BH129" s="107"/>
      <c r="BI129" s="107"/>
      <c r="BJ129" s="107"/>
      <c r="BK129" s="107"/>
      <c r="BL129" s="107"/>
    </row>
    <row r="130" spans="1:64" ht="15" x14ac:dyDescent="0.2">
      <c r="A130" s="389"/>
      <c r="B130" s="389"/>
      <c r="C130" s="106" t="s">
        <v>366</v>
      </c>
      <c r="D130" s="377"/>
      <c r="E130" s="106">
        <v>30.55</v>
      </c>
      <c r="F130" s="106"/>
      <c r="G130" s="106"/>
      <c r="H130" s="106"/>
      <c r="I130" s="106"/>
      <c r="J130" s="106"/>
      <c r="K130" s="106"/>
      <c r="L130" s="106"/>
      <c r="M130" s="106"/>
      <c r="N130" s="106"/>
      <c r="O130" s="106"/>
      <c r="P130" s="106"/>
      <c r="Q130" s="106"/>
      <c r="R130" s="106"/>
      <c r="S130" s="106"/>
      <c r="T130" s="106"/>
      <c r="U130" s="106"/>
      <c r="V130" s="106"/>
      <c r="W130" s="106"/>
      <c r="X130" s="106"/>
      <c r="Y130" s="106"/>
      <c r="Z130" s="106"/>
      <c r="AA130" s="106"/>
      <c r="AB130" s="106"/>
      <c r="AC130" s="106" t="s">
        <v>289</v>
      </c>
      <c r="AD130" s="110">
        <f t="shared" si="35"/>
        <v>22</v>
      </c>
      <c r="AE130" s="108">
        <f>'1. SA ABA DE CARREGAMENTO'!B90</f>
        <v>22</v>
      </c>
      <c r="AF130" s="377"/>
      <c r="AG130" s="109">
        <f t="shared" si="36"/>
        <v>30.55</v>
      </c>
      <c r="AH130" s="109">
        <f t="shared" si="37"/>
        <v>0</v>
      </c>
      <c r="AI130" s="109">
        <f t="shared" si="38"/>
        <v>0</v>
      </c>
      <c r="AJ130" s="109">
        <f t="shared" si="39"/>
        <v>0</v>
      </c>
      <c r="AK130" s="109">
        <f t="shared" si="40"/>
        <v>0</v>
      </c>
      <c r="AL130" s="109">
        <f t="shared" si="31"/>
        <v>0</v>
      </c>
      <c r="AM130" s="109">
        <f t="shared" si="32"/>
        <v>0</v>
      </c>
      <c r="AN130" s="109">
        <f t="shared" si="41"/>
        <v>0</v>
      </c>
      <c r="AO130" s="109">
        <f t="shared" si="42"/>
        <v>0</v>
      </c>
      <c r="AP130" s="109">
        <f t="shared" si="33"/>
        <v>0</v>
      </c>
      <c r="AQ130" s="109">
        <f t="shared" si="34"/>
        <v>0</v>
      </c>
      <c r="AR130" s="109">
        <f t="shared" si="43"/>
        <v>0</v>
      </c>
      <c r="AS130" s="109">
        <f t="shared" si="44"/>
        <v>0</v>
      </c>
      <c r="AT130" s="109">
        <f t="shared" si="45"/>
        <v>0</v>
      </c>
      <c r="AU130" s="109">
        <f t="shared" si="46"/>
        <v>0</v>
      </c>
      <c r="AV130" s="109">
        <f t="shared" si="47"/>
        <v>0</v>
      </c>
      <c r="AW130" s="109">
        <f t="shared" si="48"/>
        <v>0</v>
      </c>
      <c r="AX130" s="109">
        <f t="shared" si="49"/>
        <v>0</v>
      </c>
      <c r="AY130" s="109">
        <f t="shared" si="50"/>
        <v>0</v>
      </c>
      <c r="AZ130" s="109">
        <f t="shared" si="51"/>
        <v>0</v>
      </c>
      <c r="BA130" s="109">
        <f t="shared" si="52"/>
        <v>0</v>
      </c>
      <c r="BB130" s="109">
        <f t="shared" si="53"/>
        <v>0</v>
      </c>
      <c r="BC130" s="109">
        <f t="shared" si="54"/>
        <v>0</v>
      </c>
      <c r="BD130" s="109">
        <f t="shared" si="55"/>
        <v>0</v>
      </c>
      <c r="BE130" s="107"/>
      <c r="BF130" s="107"/>
      <c r="BG130" s="107"/>
      <c r="BH130" s="107"/>
      <c r="BI130" s="107"/>
      <c r="BJ130" s="107"/>
      <c r="BK130" s="107"/>
      <c r="BL130" s="107"/>
    </row>
    <row r="131" spans="1:64" ht="15" x14ac:dyDescent="0.2">
      <c r="A131" s="389"/>
      <c r="B131" s="389"/>
      <c r="C131" s="106" t="s">
        <v>367</v>
      </c>
      <c r="D131" s="377"/>
      <c r="E131" s="106">
        <v>39.5</v>
      </c>
      <c r="F131" s="106"/>
      <c r="G131" s="106"/>
      <c r="H131" s="106"/>
      <c r="I131" s="106"/>
      <c r="J131" s="106"/>
      <c r="K131" s="106"/>
      <c r="L131" s="106"/>
      <c r="M131" s="106"/>
      <c r="N131" s="106"/>
      <c r="O131" s="106"/>
      <c r="P131" s="106"/>
      <c r="Q131" s="106"/>
      <c r="R131" s="106"/>
      <c r="S131" s="106"/>
      <c r="T131" s="106"/>
      <c r="U131" s="106"/>
      <c r="V131" s="106"/>
      <c r="W131" s="106"/>
      <c r="X131" s="106"/>
      <c r="Y131" s="106"/>
      <c r="Z131" s="106"/>
      <c r="AA131" s="106"/>
      <c r="AB131" s="106"/>
      <c r="AC131" s="106" t="s">
        <v>289</v>
      </c>
      <c r="AD131" s="110">
        <f t="shared" si="35"/>
        <v>22</v>
      </c>
      <c r="AE131" s="108">
        <f>'1. SA ABA DE CARREGAMENTO'!B90</f>
        <v>22</v>
      </c>
      <c r="AF131" s="377"/>
      <c r="AG131" s="109">
        <f t="shared" si="36"/>
        <v>39.5</v>
      </c>
      <c r="AH131" s="109">
        <f t="shared" si="37"/>
        <v>0</v>
      </c>
      <c r="AI131" s="109">
        <f t="shared" si="38"/>
        <v>0</v>
      </c>
      <c r="AJ131" s="109">
        <f t="shared" si="39"/>
        <v>0</v>
      </c>
      <c r="AK131" s="109">
        <f t="shared" si="40"/>
        <v>0</v>
      </c>
      <c r="AL131" s="109">
        <f t="shared" si="31"/>
        <v>0</v>
      </c>
      <c r="AM131" s="109">
        <f t="shared" si="32"/>
        <v>0</v>
      </c>
      <c r="AN131" s="109">
        <f t="shared" si="41"/>
        <v>0</v>
      </c>
      <c r="AO131" s="109">
        <f t="shared" si="42"/>
        <v>0</v>
      </c>
      <c r="AP131" s="109">
        <f t="shared" si="33"/>
        <v>0</v>
      </c>
      <c r="AQ131" s="109">
        <f t="shared" si="34"/>
        <v>0</v>
      </c>
      <c r="AR131" s="109">
        <f t="shared" si="43"/>
        <v>0</v>
      </c>
      <c r="AS131" s="109">
        <f t="shared" si="44"/>
        <v>0</v>
      </c>
      <c r="AT131" s="109">
        <f t="shared" si="45"/>
        <v>0</v>
      </c>
      <c r="AU131" s="109">
        <f t="shared" si="46"/>
        <v>0</v>
      </c>
      <c r="AV131" s="109">
        <f t="shared" si="47"/>
        <v>0</v>
      </c>
      <c r="AW131" s="109">
        <f t="shared" si="48"/>
        <v>0</v>
      </c>
      <c r="AX131" s="109">
        <f t="shared" si="49"/>
        <v>0</v>
      </c>
      <c r="AY131" s="109">
        <f t="shared" si="50"/>
        <v>0</v>
      </c>
      <c r="AZ131" s="109">
        <f t="shared" si="51"/>
        <v>0</v>
      </c>
      <c r="BA131" s="109">
        <f t="shared" si="52"/>
        <v>0</v>
      </c>
      <c r="BB131" s="109">
        <f t="shared" si="53"/>
        <v>0</v>
      </c>
      <c r="BC131" s="109">
        <f t="shared" si="54"/>
        <v>0</v>
      </c>
      <c r="BD131" s="109">
        <f t="shared" si="55"/>
        <v>0</v>
      </c>
      <c r="BE131" s="107"/>
      <c r="BF131" s="107"/>
      <c r="BG131" s="107"/>
      <c r="BH131" s="107"/>
      <c r="BI131" s="107"/>
      <c r="BJ131" s="107"/>
      <c r="BK131" s="107"/>
      <c r="BL131" s="107"/>
    </row>
    <row r="132" spans="1:64" ht="15" x14ac:dyDescent="0.2">
      <c r="A132" s="389"/>
      <c r="B132" s="389"/>
      <c r="C132" s="106" t="s">
        <v>368</v>
      </c>
      <c r="D132" s="377"/>
      <c r="E132" s="106">
        <v>206.46</v>
      </c>
      <c r="F132" s="106"/>
      <c r="G132" s="106"/>
      <c r="H132" s="106"/>
      <c r="I132" s="106"/>
      <c r="J132" s="126"/>
      <c r="K132" s="106"/>
      <c r="L132" s="106"/>
      <c r="M132" s="106"/>
      <c r="N132" s="106"/>
      <c r="O132" s="106"/>
      <c r="P132" s="106"/>
      <c r="Q132" s="106"/>
      <c r="R132" s="106"/>
      <c r="S132" s="106"/>
      <c r="T132" s="106"/>
      <c r="U132" s="106"/>
      <c r="V132" s="106"/>
      <c r="W132" s="106"/>
      <c r="X132" s="106"/>
      <c r="Y132" s="106"/>
      <c r="Z132" s="106"/>
      <c r="AA132" s="106"/>
      <c r="AB132" s="106"/>
      <c r="AC132" s="106" t="s">
        <v>289</v>
      </c>
      <c r="AD132" s="110">
        <f t="shared" si="35"/>
        <v>22</v>
      </c>
      <c r="AE132" s="108">
        <f>'1. SA ABA DE CARREGAMENTO'!B90</f>
        <v>22</v>
      </c>
      <c r="AF132" s="377"/>
      <c r="AG132" s="109">
        <f t="shared" si="36"/>
        <v>206.46</v>
      </c>
      <c r="AH132" s="109">
        <f t="shared" si="37"/>
        <v>0</v>
      </c>
      <c r="AI132" s="109">
        <f t="shared" si="38"/>
        <v>0</v>
      </c>
      <c r="AJ132" s="109">
        <f t="shared" si="39"/>
        <v>0</v>
      </c>
      <c r="AK132" s="109">
        <f t="shared" si="40"/>
        <v>0</v>
      </c>
      <c r="AL132" s="109">
        <f t="shared" ref="AL132:AL195" si="56">(J132*AD132)/AE132</f>
        <v>0</v>
      </c>
      <c r="AM132" s="109">
        <f t="shared" ref="AM132:AM195" si="57">(K132*AD132)/AE132</f>
        <v>0</v>
      </c>
      <c r="AN132" s="109">
        <f t="shared" si="41"/>
        <v>0</v>
      </c>
      <c r="AO132" s="109">
        <f t="shared" si="42"/>
        <v>0</v>
      </c>
      <c r="AP132" s="109">
        <f t="shared" ref="AP132:AP195" si="58">(N132*AD132)/AE132</f>
        <v>0</v>
      </c>
      <c r="AQ132" s="109">
        <f t="shared" ref="AQ132:AQ195" si="59">(O132*AD132)/AE132</f>
        <v>0</v>
      </c>
      <c r="AR132" s="109">
        <f t="shared" si="43"/>
        <v>0</v>
      </c>
      <c r="AS132" s="109">
        <f t="shared" si="44"/>
        <v>0</v>
      </c>
      <c r="AT132" s="109">
        <f t="shared" si="45"/>
        <v>0</v>
      </c>
      <c r="AU132" s="109">
        <f t="shared" si="46"/>
        <v>0</v>
      </c>
      <c r="AV132" s="109">
        <f t="shared" si="47"/>
        <v>0</v>
      </c>
      <c r="AW132" s="109">
        <f t="shared" si="48"/>
        <v>0</v>
      </c>
      <c r="AX132" s="109">
        <f t="shared" si="49"/>
        <v>0</v>
      </c>
      <c r="AY132" s="109">
        <f t="shared" si="50"/>
        <v>0</v>
      </c>
      <c r="AZ132" s="109">
        <f t="shared" si="51"/>
        <v>0</v>
      </c>
      <c r="BA132" s="109">
        <f t="shared" si="52"/>
        <v>0</v>
      </c>
      <c r="BB132" s="109">
        <f t="shared" si="53"/>
        <v>0</v>
      </c>
      <c r="BC132" s="109">
        <f t="shared" si="54"/>
        <v>0</v>
      </c>
      <c r="BD132" s="109">
        <f t="shared" si="55"/>
        <v>0</v>
      </c>
      <c r="BE132" s="107"/>
      <c r="BF132" s="107"/>
      <c r="BG132" s="107"/>
      <c r="BH132" s="107"/>
      <c r="BI132" s="107"/>
      <c r="BJ132" s="107"/>
      <c r="BK132" s="107"/>
      <c r="BL132" s="107"/>
    </row>
    <row r="133" spans="1:64" ht="30" x14ac:dyDescent="0.2">
      <c r="A133" s="389"/>
      <c r="B133" s="389"/>
      <c r="C133" s="106" t="s">
        <v>369</v>
      </c>
      <c r="D133" s="377"/>
      <c r="E133" s="106">
        <v>42.35</v>
      </c>
      <c r="F133" s="106"/>
      <c r="G133" s="106"/>
      <c r="H133" s="106"/>
      <c r="I133" s="106"/>
      <c r="J133" s="126"/>
      <c r="K133" s="106"/>
      <c r="L133" s="106"/>
      <c r="M133" s="106"/>
      <c r="N133" s="106"/>
      <c r="O133" s="106"/>
      <c r="P133" s="106"/>
      <c r="Q133" s="106"/>
      <c r="R133" s="106"/>
      <c r="S133" s="106"/>
      <c r="T133" s="106"/>
      <c r="U133" s="106"/>
      <c r="V133" s="106"/>
      <c r="W133" s="106"/>
      <c r="X133" s="106"/>
      <c r="Y133" s="106"/>
      <c r="Z133" s="106"/>
      <c r="AA133" s="106"/>
      <c r="AB133" s="106"/>
      <c r="AC133" s="106" t="s">
        <v>289</v>
      </c>
      <c r="AD133" s="110">
        <f t="shared" si="35"/>
        <v>22</v>
      </c>
      <c r="AE133" s="108">
        <f>'1. SA ABA DE CARREGAMENTO'!B90</f>
        <v>22</v>
      </c>
      <c r="AF133" s="377"/>
      <c r="AG133" s="109">
        <f t="shared" si="36"/>
        <v>42.35</v>
      </c>
      <c r="AH133" s="109">
        <f t="shared" si="37"/>
        <v>0</v>
      </c>
      <c r="AI133" s="109">
        <f t="shared" si="38"/>
        <v>0</v>
      </c>
      <c r="AJ133" s="109">
        <f t="shared" si="39"/>
        <v>0</v>
      </c>
      <c r="AK133" s="109">
        <f t="shared" si="40"/>
        <v>0</v>
      </c>
      <c r="AL133" s="109">
        <f t="shared" si="56"/>
        <v>0</v>
      </c>
      <c r="AM133" s="109">
        <f t="shared" si="57"/>
        <v>0</v>
      </c>
      <c r="AN133" s="109">
        <f t="shared" si="41"/>
        <v>0</v>
      </c>
      <c r="AO133" s="109">
        <f t="shared" si="42"/>
        <v>0</v>
      </c>
      <c r="AP133" s="109">
        <f t="shared" si="58"/>
        <v>0</v>
      </c>
      <c r="AQ133" s="109">
        <f t="shared" si="59"/>
        <v>0</v>
      </c>
      <c r="AR133" s="109">
        <f t="shared" si="43"/>
        <v>0</v>
      </c>
      <c r="AS133" s="109">
        <f t="shared" si="44"/>
        <v>0</v>
      </c>
      <c r="AT133" s="109">
        <f t="shared" si="45"/>
        <v>0</v>
      </c>
      <c r="AU133" s="109">
        <f t="shared" si="46"/>
        <v>0</v>
      </c>
      <c r="AV133" s="109">
        <f t="shared" si="47"/>
        <v>0</v>
      </c>
      <c r="AW133" s="109">
        <f t="shared" si="48"/>
        <v>0</v>
      </c>
      <c r="AX133" s="109">
        <f t="shared" si="49"/>
        <v>0</v>
      </c>
      <c r="AY133" s="109">
        <f t="shared" si="50"/>
        <v>0</v>
      </c>
      <c r="AZ133" s="109">
        <f t="shared" si="51"/>
        <v>0</v>
      </c>
      <c r="BA133" s="109">
        <f t="shared" si="52"/>
        <v>0</v>
      </c>
      <c r="BB133" s="109">
        <f t="shared" si="53"/>
        <v>0</v>
      </c>
      <c r="BC133" s="109">
        <f t="shared" si="54"/>
        <v>0</v>
      </c>
      <c r="BD133" s="109">
        <f t="shared" si="55"/>
        <v>0</v>
      </c>
      <c r="BE133" s="107"/>
      <c r="BF133" s="107"/>
      <c r="BG133" s="107"/>
      <c r="BH133" s="107"/>
      <c r="BI133" s="107"/>
      <c r="BJ133" s="107"/>
      <c r="BK133" s="107"/>
      <c r="BL133" s="107"/>
    </row>
    <row r="134" spans="1:64" ht="30" x14ac:dyDescent="0.2">
      <c r="A134" s="389"/>
      <c r="B134" s="389"/>
      <c r="C134" s="106" t="s">
        <v>369</v>
      </c>
      <c r="D134" s="377"/>
      <c r="E134" s="106">
        <v>30.54</v>
      </c>
      <c r="F134" s="106"/>
      <c r="G134" s="106"/>
      <c r="H134" s="106"/>
      <c r="I134" s="106"/>
      <c r="J134" s="106"/>
      <c r="K134" s="106"/>
      <c r="L134" s="106"/>
      <c r="M134" s="106"/>
      <c r="N134" s="106"/>
      <c r="O134" s="106"/>
      <c r="P134" s="106"/>
      <c r="Q134" s="106"/>
      <c r="R134" s="106"/>
      <c r="S134" s="106"/>
      <c r="T134" s="106"/>
      <c r="U134" s="106"/>
      <c r="V134" s="106"/>
      <c r="W134" s="106"/>
      <c r="X134" s="106"/>
      <c r="Y134" s="106"/>
      <c r="Z134" s="106"/>
      <c r="AA134" s="106"/>
      <c r="AB134" s="106"/>
      <c r="AC134" s="106" t="s">
        <v>289</v>
      </c>
      <c r="AD134" s="110">
        <f t="shared" si="35"/>
        <v>22</v>
      </c>
      <c r="AE134" s="108">
        <f>'1. SA ABA DE CARREGAMENTO'!B90</f>
        <v>22</v>
      </c>
      <c r="AF134" s="377"/>
      <c r="AG134" s="109">
        <f t="shared" si="36"/>
        <v>30.54</v>
      </c>
      <c r="AH134" s="109">
        <f t="shared" si="37"/>
        <v>0</v>
      </c>
      <c r="AI134" s="109">
        <f t="shared" si="38"/>
        <v>0</v>
      </c>
      <c r="AJ134" s="109">
        <f t="shared" si="39"/>
        <v>0</v>
      </c>
      <c r="AK134" s="109">
        <f t="shared" si="40"/>
        <v>0</v>
      </c>
      <c r="AL134" s="109">
        <f t="shared" si="56"/>
        <v>0</v>
      </c>
      <c r="AM134" s="109">
        <f t="shared" si="57"/>
        <v>0</v>
      </c>
      <c r="AN134" s="109">
        <f t="shared" si="41"/>
        <v>0</v>
      </c>
      <c r="AO134" s="109">
        <f t="shared" si="42"/>
        <v>0</v>
      </c>
      <c r="AP134" s="109">
        <f t="shared" si="58"/>
        <v>0</v>
      </c>
      <c r="AQ134" s="109">
        <f t="shared" si="59"/>
        <v>0</v>
      </c>
      <c r="AR134" s="109">
        <f t="shared" si="43"/>
        <v>0</v>
      </c>
      <c r="AS134" s="109">
        <f t="shared" si="44"/>
        <v>0</v>
      </c>
      <c r="AT134" s="109">
        <f t="shared" si="45"/>
        <v>0</v>
      </c>
      <c r="AU134" s="109">
        <f t="shared" si="46"/>
        <v>0</v>
      </c>
      <c r="AV134" s="109">
        <f t="shared" si="47"/>
        <v>0</v>
      </c>
      <c r="AW134" s="109">
        <f t="shared" si="48"/>
        <v>0</v>
      </c>
      <c r="AX134" s="109">
        <f t="shared" si="49"/>
        <v>0</v>
      </c>
      <c r="AY134" s="109">
        <f t="shared" si="50"/>
        <v>0</v>
      </c>
      <c r="AZ134" s="109">
        <f t="shared" si="51"/>
        <v>0</v>
      </c>
      <c r="BA134" s="109">
        <f t="shared" si="52"/>
        <v>0</v>
      </c>
      <c r="BB134" s="109">
        <f t="shared" si="53"/>
        <v>0</v>
      </c>
      <c r="BC134" s="109">
        <f t="shared" si="54"/>
        <v>0</v>
      </c>
      <c r="BD134" s="109">
        <f t="shared" si="55"/>
        <v>0</v>
      </c>
      <c r="BE134" s="107"/>
      <c r="BF134" s="107"/>
      <c r="BG134" s="107"/>
      <c r="BH134" s="107"/>
      <c r="BI134" s="107"/>
      <c r="BJ134" s="107"/>
      <c r="BK134" s="107"/>
      <c r="BL134" s="107"/>
    </row>
    <row r="135" spans="1:64" ht="30" x14ac:dyDescent="0.2">
      <c r="A135" s="389"/>
      <c r="B135" s="389"/>
      <c r="C135" s="106" t="s">
        <v>369</v>
      </c>
      <c r="D135" s="377"/>
      <c r="E135" s="106">
        <v>30.4</v>
      </c>
      <c r="F135" s="106"/>
      <c r="G135" s="106"/>
      <c r="H135" s="106"/>
      <c r="I135" s="106"/>
      <c r="J135" s="106"/>
      <c r="K135" s="106"/>
      <c r="L135" s="106"/>
      <c r="M135" s="106"/>
      <c r="N135" s="106"/>
      <c r="O135" s="106"/>
      <c r="P135" s="106"/>
      <c r="Q135" s="106"/>
      <c r="R135" s="106"/>
      <c r="S135" s="106"/>
      <c r="T135" s="106"/>
      <c r="U135" s="106"/>
      <c r="V135" s="106"/>
      <c r="W135" s="106"/>
      <c r="X135" s="106"/>
      <c r="Y135" s="106"/>
      <c r="Z135" s="106"/>
      <c r="AA135" s="106"/>
      <c r="AB135" s="106"/>
      <c r="AC135" s="106" t="s">
        <v>289</v>
      </c>
      <c r="AD135" s="110">
        <f t="shared" si="35"/>
        <v>22</v>
      </c>
      <c r="AE135" s="108">
        <f>'1. SA ABA DE CARREGAMENTO'!B90</f>
        <v>22</v>
      </c>
      <c r="AF135" s="377"/>
      <c r="AG135" s="109">
        <f t="shared" si="36"/>
        <v>30.4</v>
      </c>
      <c r="AH135" s="109">
        <f t="shared" si="37"/>
        <v>0</v>
      </c>
      <c r="AI135" s="109">
        <f t="shared" si="38"/>
        <v>0</v>
      </c>
      <c r="AJ135" s="109">
        <f t="shared" si="39"/>
        <v>0</v>
      </c>
      <c r="AK135" s="109">
        <f t="shared" si="40"/>
        <v>0</v>
      </c>
      <c r="AL135" s="109">
        <f t="shared" si="56"/>
        <v>0</v>
      </c>
      <c r="AM135" s="109">
        <f t="shared" si="57"/>
        <v>0</v>
      </c>
      <c r="AN135" s="109">
        <f t="shared" si="41"/>
        <v>0</v>
      </c>
      <c r="AO135" s="109">
        <f t="shared" si="42"/>
        <v>0</v>
      </c>
      <c r="AP135" s="109">
        <f t="shared" si="58"/>
        <v>0</v>
      </c>
      <c r="AQ135" s="109">
        <f t="shared" si="59"/>
        <v>0</v>
      </c>
      <c r="AR135" s="109">
        <f t="shared" si="43"/>
        <v>0</v>
      </c>
      <c r="AS135" s="109">
        <f t="shared" si="44"/>
        <v>0</v>
      </c>
      <c r="AT135" s="109">
        <f t="shared" si="45"/>
        <v>0</v>
      </c>
      <c r="AU135" s="109">
        <f t="shared" si="46"/>
        <v>0</v>
      </c>
      <c r="AV135" s="109">
        <f t="shared" si="47"/>
        <v>0</v>
      </c>
      <c r="AW135" s="109">
        <f t="shared" si="48"/>
        <v>0</v>
      </c>
      <c r="AX135" s="109">
        <f t="shared" si="49"/>
        <v>0</v>
      </c>
      <c r="AY135" s="109">
        <f t="shared" si="50"/>
        <v>0</v>
      </c>
      <c r="AZ135" s="109">
        <f t="shared" si="51"/>
        <v>0</v>
      </c>
      <c r="BA135" s="109">
        <f t="shared" si="52"/>
        <v>0</v>
      </c>
      <c r="BB135" s="109">
        <f t="shared" si="53"/>
        <v>0</v>
      </c>
      <c r="BC135" s="109">
        <f t="shared" si="54"/>
        <v>0</v>
      </c>
      <c r="BD135" s="109">
        <f t="shared" si="55"/>
        <v>0</v>
      </c>
      <c r="BE135" s="107"/>
      <c r="BF135" s="107"/>
      <c r="BG135" s="107"/>
      <c r="BH135" s="107"/>
      <c r="BI135" s="107"/>
      <c r="BJ135" s="107"/>
      <c r="BK135" s="107"/>
      <c r="BL135" s="107"/>
    </row>
    <row r="136" spans="1:64" ht="15" x14ac:dyDescent="0.2">
      <c r="A136" s="389"/>
      <c r="B136" s="389"/>
      <c r="C136" s="106" t="s">
        <v>370</v>
      </c>
      <c r="D136" s="377"/>
      <c r="E136" s="106"/>
      <c r="F136" s="106">
        <v>9.67</v>
      </c>
      <c r="G136" s="106"/>
      <c r="H136" s="106"/>
      <c r="I136" s="106"/>
      <c r="J136" s="106"/>
      <c r="K136" s="106"/>
      <c r="L136" s="106"/>
      <c r="M136" s="106"/>
      <c r="N136" s="106"/>
      <c r="O136" s="106"/>
      <c r="P136" s="106"/>
      <c r="Q136" s="106"/>
      <c r="R136" s="106"/>
      <c r="S136" s="106"/>
      <c r="T136" s="106"/>
      <c r="U136" s="106"/>
      <c r="V136" s="106"/>
      <c r="W136" s="106"/>
      <c r="X136" s="106"/>
      <c r="Y136" s="106"/>
      <c r="Z136" s="106"/>
      <c r="AA136" s="106"/>
      <c r="AB136" s="106"/>
      <c r="AC136" s="106" t="s">
        <v>289</v>
      </c>
      <c r="AD136" s="110">
        <f t="shared" ref="AD136:AD199" si="60">IF(AC136="DIÁRIA",AE136,IF(AC136="2xDIA",(AE136*2),IF(AC136="3xDIA",(AE136*3),IF(AC136="4xDIA",(AE136*4),IF(AC136="5xDIA",(AE136*5),IF(AC136="6xDIA",(AE136*6),IF(AC136="SEMANAL",4.33,IF(AC136="2xSEMANA",8,IF(AC136="3xSEMANA",12,IF(AC136="QUINZENAL",2,IF(AC136="MENSAL",1,IF(AC136="BIMESTRAL",0.5,IF(AC136="TRIMESTRAL",0.33,IF(AC136="SEMESTRAL",0.17,0))))))))))))))</f>
        <v>22</v>
      </c>
      <c r="AE136" s="108">
        <f>'1. SA ABA DE CARREGAMENTO'!B90</f>
        <v>22</v>
      </c>
      <c r="AF136" s="377"/>
      <c r="AG136" s="109">
        <f t="shared" ref="AG136:AG199" si="61">(E136*AD136)/AE136</f>
        <v>0</v>
      </c>
      <c r="AH136" s="109">
        <f t="shared" ref="AH136:AH199" si="62">(F136*AD136)/AE136</f>
        <v>9.67</v>
      </c>
      <c r="AI136" s="109">
        <f t="shared" ref="AI136:AI199" si="63">(G136*AD136)/AE136</f>
        <v>0</v>
      </c>
      <c r="AJ136" s="109">
        <f t="shared" ref="AJ136:AJ199" si="64">(H136*AD136)/AE136</f>
        <v>0</v>
      </c>
      <c r="AK136" s="109">
        <f t="shared" ref="AK136:AK199" si="65">(I136*AD136)/AE136</f>
        <v>0</v>
      </c>
      <c r="AL136" s="109">
        <f t="shared" si="56"/>
        <v>0</v>
      </c>
      <c r="AM136" s="109">
        <f t="shared" si="57"/>
        <v>0</v>
      </c>
      <c r="AN136" s="109">
        <f t="shared" ref="AN136:AN199" si="66">(L136*AD136)/AE136</f>
        <v>0</v>
      </c>
      <c r="AO136" s="109">
        <f t="shared" ref="AO136:AO199" si="67">(M136*AD136)/AE136</f>
        <v>0</v>
      </c>
      <c r="AP136" s="109">
        <f t="shared" si="58"/>
        <v>0</v>
      </c>
      <c r="AQ136" s="109">
        <f t="shared" si="59"/>
        <v>0</v>
      </c>
      <c r="AR136" s="109">
        <f t="shared" ref="AR136:AR199" si="68">(P136*AD136)/AE136</f>
        <v>0</v>
      </c>
      <c r="AS136" s="109">
        <f t="shared" ref="AS136:AS199" si="69">(Q136*AD136)/AE136</f>
        <v>0</v>
      </c>
      <c r="AT136" s="109">
        <f t="shared" ref="AT136:AT199" si="70">(R136*AD136)/AE136</f>
        <v>0</v>
      </c>
      <c r="AU136" s="109">
        <f t="shared" ref="AU136:AU199" si="71">(S136*AD136)/AE136</f>
        <v>0</v>
      </c>
      <c r="AV136" s="109">
        <f t="shared" ref="AV136:AV199" si="72">(T136*AD136)/AE136</f>
        <v>0</v>
      </c>
      <c r="AW136" s="109">
        <f t="shared" ref="AW136:AW199" si="73">(U136*AD136)/AE136</f>
        <v>0</v>
      </c>
      <c r="AX136" s="109">
        <f t="shared" ref="AX136:AX199" si="74">(V136*AD136)/AE136</f>
        <v>0</v>
      </c>
      <c r="AY136" s="109">
        <f t="shared" ref="AY136:AY199" si="75">(W136*AD136)/AE136</f>
        <v>0</v>
      </c>
      <c r="AZ136" s="109">
        <f t="shared" ref="AZ136:AZ199" si="76">(X136*AD136)/AE136</f>
        <v>0</v>
      </c>
      <c r="BA136" s="109">
        <f t="shared" ref="BA136:BA199" si="77">(Y136*AD136)/AE136</f>
        <v>0</v>
      </c>
      <c r="BB136" s="109">
        <f t="shared" ref="BB136:BB199" si="78">(Z136*AD136)/AE136</f>
        <v>0</v>
      </c>
      <c r="BC136" s="109">
        <f t="shared" ref="BC136:BC199" si="79">(AA136*AD136)/AE136</f>
        <v>0</v>
      </c>
      <c r="BD136" s="109">
        <f t="shared" si="55"/>
        <v>0</v>
      </c>
      <c r="BE136" s="107"/>
      <c r="BF136" s="107"/>
      <c r="BG136" s="107"/>
      <c r="BH136" s="107"/>
      <c r="BI136" s="107"/>
      <c r="BJ136" s="107"/>
      <c r="BK136" s="107"/>
      <c r="BL136" s="107"/>
    </row>
    <row r="137" spans="1:64" ht="30" x14ac:dyDescent="0.2">
      <c r="A137" s="389"/>
      <c r="B137" s="389"/>
      <c r="C137" s="106" t="s">
        <v>371</v>
      </c>
      <c r="D137" s="377"/>
      <c r="E137" s="106">
        <v>18.059999999999999</v>
      </c>
      <c r="F137" s="106"/>
      <c r="G137" s="106"/>
      <c r="H137" s="106"/>
      <c r="I137" s="106"/>
      <c r="J137" s="106"/>
      <c r="K137" s="106"/>
      <c r="L137" s="106"/>
      <c r="M137" s="106"/>
      <c r="N137" s="106"/>
      <c r="O137" s="106"/>
      <c r="P137" s="106"/>
      <c r="Q137" s="106"/>
      <c r="R137" s="106"/>
      <c r="S137" s="106"/>
      <c r="T137" s="106"/>
      <c r="U137" s="106"/>
      <c r="V137" s="106"/>
      <c r="W137" s="106"/>
      <c r="X137" s="106"/>
      <c r="Y137" s="106"/>
      <c r="Z137" s="106"/>
      <c r="AA137" s="106"/>
      <c r="AB137" s="106"/>
      <c r="AC137" s="106" t="s">
        <v>289</v>
      </c>
      <c r="AD137" s="110">
        <f t="shared" si="60"/>
        <v>22</v>
      </c>
      <c r="AE137" s="108">
        <f>'1. SA ABA DE CARREGAMENTO'!B90</f>
        <v>22</v>
      </c>
      <c r="AF137" s="377"/>
      <c r="AG137" s="109">
        <f t="shared" si="61"/>
        <v>18.059999999999999</v>
      </c>
      <c r="AH137" s="109">
        <f t="shared" si="62"/>
        <v>0</v>
      </c>
      <c r="AI137" s="109">
        <f t="shared" si="63"/>
        <v>0</v>
      </c>
      <c r="AJ137" s="109">
        <f t="shared" si="64"/>
        <v>0</v>
      </c>
      <c r="AK137" s="109">
        <f t="shared" si="65"/>
        <v>0</v>
      </c>
      <c r="AL137" s="109">
        <f t="shared" si="56"/>
        <v>0</v>
      </c>
      <c r="AM137" s="109">
        <f t="shared" si="57"/>
        <v>0</v>
      </c>
      <c r="AN137" s="109">
        <f t="shared" si="66"/>
        <v>0</v>
      </c>
      <c r="AO137" s="109">
        <f t="shared" si="67"/>
        <v>0</v>
      </c>
      <c r="AP137" s="109">
        <f t="shared" si="58"/>
        <v>0</v>
      </c>
      <c r="AQ137" s="109">
        <f t="shared" si="59"/>
        <v>0</v>
      </c>
      <c r="AR137" s="109">
        <f t="shared" si="68"/>
        <v>0</v>
      </c>
      <c r="AS137" s="109">
        <f t="shared" si="69"/>
        <v>0</v>
      </c>
      <c r="AT137" s="109">
        <f t="shared" si="70"/>
        <v>0</v>
      </c>
      <c r="AU137" s="109">
        <f t="shared" si="71"/>
        <v>0</v>
      </c>
      <c r="AV137" s="109">
        <f t="shared" si="72"/>
        <v>0</v>
      </c>
      <c r="AW137" s="109">
        <f t="shared" si="73"/>
        <v>0</v>
      </c>
      <c r="AX137" s="109">
        <f t="shared" si="74"/>
        <v>0</v>
      </c>
      <c r="AY137" s="109">
        <f t="shared" si="75"/>
        <v>0</v>
      </c>
      <c r="AZ137" s="109">
        <f t="shared" si="76"/>
        <v>0</v>
      </c>
      <c r="BA137" s="109">
        <f t="shared" si="77"/>
        <v>0</v>
      </c>
      <c r="BB137" s="109">
        <f t="shared" si="78"/>
        <v>0</v>
      </c>
      <c r="BC137" s="109">
        <f t="shared" si="79"/>
        <v>0</v>
      </c>
      <c r="BD137" s="109">
        <f t="shared" ref="BD137:BD200" si="80">(AB137*AD137)/AE137</f>
        <v>0</v>
      </c>
      <c r="BE137" s="107"/>
      <c r="BF137" s="107"/>
      <c r="BG137" s="107"/>
      <c r="BH137" s="107"/>
      <c r="BI137" s="107"/>
      <c r="BJ137" s="107"/>
      <c r="BK137" s="107"/>
      <c r="BL137" s="107"/>
    </row>
    <row r="138" spans="1:64" ht="30" x14ac:dyDescent="0.2">
      <c r="A138" s="389"/>
      <c r="B138" s="389"/>
      <c r="C138" s="106" t="s">
        <v>372</v>
      </c>
      <c r="D138" s="377"/>
      <c r="E138" s="106">
        <v>36.369999999999997</v>
      </c>
      <c r="F138" s="106"/>
      <c r="G138" s="106"/>
      <c r="H138" s="106"/>
      <c r="I138" s="106"/>
      <c r="J138" s="106"/>
      <c r="K138" s="106"/>
      <c r="L138" s="106"/>
      <c r="M138" s="106"/>
      <c r="N138" s="106"/>
      <c r="O138" s="106"/>
      <c r="P138" s="106"/>
      <c r="Q138" s="106"/>
      <c r="R138" s="106"/>
      <c r="S138" s="106"/>
      <c r="T138" s="106"/>
      <c r="U138" s="106"/>
      <c r="V138" s="106"/>
      <c r="W138" s="106"/>
      <c r="X138" s="106"/>
      <c r="Y138" s="106"/>
      <c r="Z138" s="106"/>
      <c r="AA138" s="106"/>
      <c r="AB138" s="106"/>
      <c r="AC138" s="106" t="s">
        <v>289</v>
      </c>
      <c r="AD138" s="110">
        <f t="shared" si="60"/>
        <v>22</v>
      </c>
      <c r="AE138" s="108">
        <f>'1. SA ABA DE CARREGAMENTO'!B90</f>
        <v>22</v>
      </c>
      <c r="AF138" s="377"/>
      <c r="AG138" s="109">
        <f t="shared" si="61"/>
        <v>36.369999999999997</v>
      </c>
      <c r="AH138" s="109">
        <f t="shared" si="62"/>
        <v>0</v>
      </c>
      <c r="AI138" s="109">
        <f t="shared" si="63"/>
        <v>0</v>
      </c>
      <c r="AJ138" s="109">
        <f t="shared" si="64"/>
        <v>0</v>
      </c>
      <c r="AK138" s="109">
        <f t="shared" si="65"/>
        <v>0</v>
      </c>
      <c r="AL138" s="109">
        <f t="shared" si="56"/>
        <v>0</v>
      </c>
      <c r="AM138" s="109">
        <f t="shared" si="57"/>
        <v>0</v>
      </c>
      <c r="AN138" s="109">
        <f t="shared" si="66"/>
        <v>0</v>
      </c>
      <c r="AO138" s="109">
        <f t="shared" si="67"/>
        <v>0</v>
      </c>
      <c r="AP138" s="109">
        <f t="shared" si="58"/>
        <v>0</v>
      </c>
      <c r="AQ138" s="109">
        <f t="shared" si="59"/>
        <v>0</v>
      </c>
      <c r="AR138" s="109">
        <f t="shared" si="68"/>
        <v>0</v>
      </c>
      <c r="AS138" s="109">
        <f t="shared" si="69"/>
        <v>0</v>
      </c>
      <c r="AT138" s="109">
        <f t="shared" si="70"/>
        <v>0</v>
      </c>
      <c r="AU138" s="109">
        <f t="shared" si="71"/>
        <v>0</v>
      </c>
      <c r="AV138" s="109">
        <f t="shared" si="72"/>
        <v>0</v>
      </c>
      <c r="AW138" s="109">
        <f t="shared" si="73"/>
        <v>0</v>
      </c>
      <c r="AX138" s="109">
        <f t="shared" si="74"/>
        <v>0</v>
      </c>
      <c r="AY138" s="109">
        <f t="shared" si="75"/>
        <v>0</v>
      </c>
      <c r="AZ138" s="109">
        <f t="shared" si="76"/>
        <v>0</v>
      </c>
      <c r="BA138" s="109">
        <f t="shared" si="77"/>
        <v>0</v>
      </c>
      <c r="BB138" s="109">
        <f t="shared" si="78"/>
        <v>0</v>
      </c>
      <c r="BC138" s="109">
        <f t="shared" si="79"/>
        <v>0</v>
      </c>
      <c r="BD138" s="109">
        <f t="shared" si="80"/>
        <v>0</v>
      </c>
      <c r="BE138" s="107"/>
      <c r="BF138" s="107"/>
      <c r="BG138" s="107"/>
      <c r="BH138" s="107"/>
      <c r="BI138" s="107"/>
      <c r="BJ138" s="107"/>
      <c r="BK138" s="107"/>
      <c r="BL138" s="107"/>
    </row>
    <row r="139" spans="1:64" ht="15" x14ac:dyDescent="0.2">
      <c r="A139" s="389"/>
      <c r="B139" s="389"/>
      <c r="C139" s="106" t="s">
        <v>373</v>
      </c>
      <c r="D139" s="377"/>
      <c r="E139" s="106">
        <v>26.41</v>
      </c>
      <c r="F139" s="106"/>
      <c r="G139" s="106"/>
      <c r="H139" s="106"/>
      <c r="I139" s="106"/>
      <c r="J139" s="106"/>
      <c r="K139" s="106"/>
      <c r="L139" s="106"/>
      <c r="M139" s="106"/>
      <c r="N139" s="106"/>
      <c r="O139" s="106"/>
      <c r="P139" s="106"/>
      <c r="Q139" s="106"/>
      <c r="R139" s="106"/>
      <c r="S139" s="106"/>
      <c r="T139" s="106"/>
      <c r="U139" s="106"/>
      <c r="V139" s="106"/>
      <c r="W139" s="106"/>
      <c r="X139" s="106"/>
      <c r="Y139" s="106"/>
      <c r="Z139" s="106"/>
      <c r="AA139" s="106"/>
      <c r="AB139" s="106"/>
      <c r="AC139" s="106" t="s">
        <v>289</v>
      </c>
      <c r="AD139" s="110">
        <f t="shared" si="60"/>
        <v>22</v>
      </c>
      <c r="AE139" s="108">
        <f>'1. SA ABA DE CARREGAMENTO'!B90</f>
        <v>22</v>
      </c>
      <c r="AF139" s="377"/>
      <c r="AG139" s="109">
        <f t="shared" si="61"/>
        <v>26.41</v>
      </c>
      <c r="AH139" s="109">
        <f t="shared" si="62"/>
        <v>0</v>
      </c>
      <c r="AI139" s="109">
        <f t="shared" si="63"/>
        <v>0</v>
      </c>
      <c r="AJ139" s="109">
        <f t="shared" si="64"/>
        <v>0</v>
      </c>
      <c r="AK139" s="109">
        <f t="shared" si="65"/>
        <v>0</v>
      </c>
      <c r="AL139" s="109">
        <f t="shared" si="56"/>
        <v>0</v>
      </c>
      <c r="AM139" s="109">
        <f t="shared" si="57"/>
        <v>0</v>
      </c>
      <c r="AN139" s="109">
        <f t="shared" si="66"/>
        <v>0</v>
      </c>
      <c r="AO139" s="109">
        <f t="shared" si="67"/>
        <v>0</v>
      </c>
      <c r="AP139" s="109">
        <f t="shared" si="58"/>
        <v>0</v>
      </c>
      <c r="AQ139" s="109">
        <f t="shared" si="59"/>
        <v>0</v>
      </c>
      <c r="AR139" s="109">
        <f t="shared" si="68"/>
        <v>0</v>
      </c>
      <c r="AS139" s="109">
        <f t="shared" si="69"/>
        <v>0</v>
      </c>
      <c r="AT139" s="109">
        <f t="shared" si="70"/>
        <v>0</v>
      </c>
      <c r="AU139" s="109">
        <f t="shared" si="71"/>
        <v>0</v>
      </c>
      <c r="AV139" s="109">
        <f t="shared" si="72"/>
        <v>0</v>
      </c>
      <c r="AW139" s="109">
        <f t="shared" si="73"/>
        <v>0</v>
      </c>
      <c r="AX139" s="109">
        <f t="shared" si="74"/>
        <v>0</v>
      </c>
      <c r="AY139" s="109">
        <f t="shared" si="75"/>
        <v>0</v>
      </c>
      <c r="AZ139" s="109">
        <f t="shared" si="76"/>
        <v>0</v>
      </c>
      <c r="BA139" s="109">
        <f t="shared" si="77"/>
        <v>0</v>
      </c>
      <c r="BB139" s="109">
        <f t="shared" si="78"/>
        <v>0</v>
      </c>
      <c r="BC139" s="109">
        <f t="shared" si="79"/>
        <v>0</v>
      </c>
      <c r="BD139" s="109">
        <f t="shared" si="80"/>
        <v>0</v>
      </c>
      <c r="BE139" s="107"/>
      <c r="BF139" s="107"/>
      <c r="BG139" s="107"/>
      <c r="BH139" s="107"/>
      <c r="BI139" s="107"/>
      <c r="BJ139" s="107"/>
      <c r="BK139" s="107"/>
      <c r="BL139" s="107"/>
    </row>
    <row r="140" spans="1:64" ht="30" x14ac:dyDescent="0.2">
      <c r="A140" s="389"/>
      <c r="B140" s="389"/>
      <c r="C140" s="106" t="s">
        <v>374</v>
      </c>
      <c r="D140" s="377"/>
      <c r="E140" s="106">
        <v>10.85</v>
      </c>
      <c r="F140" s="106"/>
      <c r="G140" s="106"/>
      <c r="H140" s="106"/>
      <c r="I140" s="106"/>
      <c r="J140" s="106"/>
      <c r="K140" s="106"/>
      <c r="L140" s="106"/>
      <c r="M140" s="106"/>
      <c r="N140" s="106"/>
      <c r="O140" s="106"/>
      <c r="P140" s="106"/>
      <c r="Q140" s="106"/>
      <c r="R140" s="106"/>
      <c r="S140" s="106"/>
      <c r="T140" s="106"/>
      <c r="U140" s="106"/>
      <c r="V140" s="106"/>
      <c r="W140" s="106"/>
      <c r="X140" s="106"/>
      <c r="Y140" s="106"/>
      <c r="Z140" s="106"/>
      <c r="AA140" s="106"/>
      <c r="AB140" s="106"/>
      <c r="AC140" s="106" t="s">
        <v>289</v>
      </c>
      <c r="AD140" s="110">
        <f t="shared" si="60"/>
        <v>22</v>
      </c>
      <c r="AE140" s="108">
        <f>'1. SA ABA DE CARREGAMENTO'!B90</f>
        <v>22</v>
      </c>
      <c r="AF140" s="377"/>
      <c r="AG140" s="109">
        <f t="shared" si="61"/>
        <v>10.85</v>
      </c>
      <c r="AH140" s="109">
        <f t="shared" si="62"/>
        <v>0</v>
      </c>
      <c r="AI140" s="109">
        <f t="shared" si="63"/>
        <v>0</v>
      </c>
      <c r="AJ140" s="109">
        <f t="shared" si="64"/>
        <v>0</v>
      </c>
      <c r="AK140" s="109">
        <f t="shared" si="65"/>
        <v>0</v>
      </c>
      <c r="AL140" s="109">
        <f t="shared" si="56"/>
        <v>0</v>
      </c>
      <c r="AM140" s="109">
        <f t="shared" si="57"/>
        <v>0</v>
      </c>
      <c r="AN140" s="109">
        <f t="shared" si="66"/>
        <v>0</v>
      </c>
      <c r="AO140" s="109">
        <f t="shared" si="67"/>
        <v>0</v>
      </c>
      <c r="AP140" s="109">
        <f t="shared" si="58"/>
        <v>0</v>
      </c>
      <c r="AQ140" s="109">
        <f t="shared" si="59"/>
        <v>0</v>
      </c>
      <c r="AR140" s="109">
        <f t="shared" si="68"/>
        <v>0</v>
      </c>
      <c r="AS140" s="109">
        <f t="shared" si="69"/>
        <v>0</v>
      </c>
      <c r="AT140" s="109">
        <f t="shared" si="70"/>
        <v>0</v>
      </c>
      <c r="AU140" s="109">
        <f t="shared" si="71"/>
        <v>0</v>
      </c>
      <c r="AV140" s="109">
        <f t="shared" si="72"/>
        <v>0</v>
      </c>
      <c r="AW140" s="109">
        <f t="shared" si="73"/>
        <v>0</v>
      </c>
      <c r="AX140" s="109">
        <f t="shared" si="74"/>
        <v>0</v>
      </c>
      <c r="AY140" s="109">
        <f t="shared" si="75"/>
        <v>0</v>
      </c>
      <c r="AZ140" s="109">
        <f t="shared" si="76"/>
        <v>0</v>
      </c>
      <c r="BA140" s="109">
        <f t="shared" si="77"/>
        <v>0</v>
      </c>
      <c r="BB140" s="109">
        <f t="shared" si="78"/>
        <v>0</v>
      </c>
      <c r="BC140" s="109">
        <f t="shared" si="79"/>
        <v>0</v>
      </c>
      <c r="BD140" s="109">
        <f t="shared" si="80"/>
        <v>0</v>
      </c>
      <c r="BE140" s="107"/>
      <c r="BF140" s="107"/>
      <c r="BG140" s="107"/>
      <c r="BH140" s="107"/>
      <c r="BI140" s="107"/>
      <c r="BJ140" s="107"/>
      <c r="BK140" s="107"/>
      <c r="BL140" s="107"/>
    </row>
    <row r="141" spans="1:64" ht="15" x14ac:dyDescent="0.2">
      <c r="A141" s="389"/>
      <c r="B141" s="389"/>
      <c r="C141" s="106" t="s">
        <v>375</v>
      </c>
      <c r="D141" s="377"/>
      <c r="E141" s="106">
        <v>7.29</v>
      </c>
      <c r="F141" s="106"/>
      <c r="G141" s="106"/>
      <c r="H141" s="106"/>
      <c r="I141" s="106"/>
      <c r="J141" s="106"/>
      <c r="K141" s="106"/>
      <c r="L141" s="106"/>
      <c r="M141" s="106"/>
      <c r="N141" s="106"/>
      <c r="O141" s="106"/>
      <c r="P141" s="106"/>
      <c r="Q141" s="106"/>
      <c r="R141" s="106"/>
      <c r="S141" s="106"/>
      <c r="T141" s="106"/>
      <c r="U141" s="106"/>
      <c r="V141" s="106"/>
      <c r="W141" s="106"/>
      <c r="X141" s="106"/>
      <c r="Y141" s="106"/>
      <c r="Z141" s="106"/>
      <c r="AA141" s="106"/>
      <c r="AB141" s="106"/>
      <c r="AC141" s="106" t="s">
        <v>289</v>
      </c>
      <c r="AD141" s="110">
        <f t="shared" si="60"/>
        <v>22</v>
      </c>
      <c r="AE141" s="108">
        <f>'1. SA ABA DE CARREGAMENTO'!B90</f>
        <v>22</v>
      </c>
      <c r="AF141" s="377"/>
      <c r="AG141" s="109">
        <f t="shared" si="61"/>
        <v>7.29</v>
      </c>
      <c r="AH141" s="109">
        <f t="shared" si="62"/>
        <v>0</v>
      </c>
      <c r="AI141" s="109">
        <f t="shared" si="63"/>
        <v>0</v>
      </c>
      <c r="AJ141" s="109">
        <f t="shared" si="64"/>
        <v>0</v>
      </c>
      <c r="AK141" s="109">
        <f t="shared" si="65"/>
        <v>0</v>
      </c>
      <c r="AL141" s="109">
        <f t="shared" si="56"/>
        <v>0</v>
      </c>
      <c r="AM141" s="109">
        <f t="shared" si="57"/>
        <v>0</v>
      </c>
      <c r="AN141" s="109">
        <f t="shared" si="66"/>
        <v>0</v>
      </c>
      <c r="AO141" s="109">
        <f t="shared" si="67"/>
        <v>0</v>
      </c>
      <c r="AP141" s="109">
        <f t="shared" si="58"/>
        <v>0</v>
      </c>
      <c r="AQ141" s="109">
        <f t="shared" si="59"/>
        <v>0</v>
      </c>
      <c r="AR141" s="109">
        <f t="shared" si="68"/>
        <v>0</v>
      </c>
      <c r="AS141" s="109">
        <f t="shared" si="69"/>
        <v>0</v>
      </c>
      <c r="AT141" s="109">
        <f t="shared" si="70"/>
        <v>0</v>
      </c>
      <c r="AU141" s="109">
        <f t="shared" si="71"/>
        <v>0</v>
      </c>
      <c r="AV141" s="109">
        <f t="shared" si="72"/>
        <v>0</v>
      </c>
      <c r="AW141" s="109">
        <f t="shared" si="73"/>
        <v>0</v>
      </c>
      <c r="AX141" s="109">
        <f t="shared" si="74"/>
        <v>0</v>
      </c>
      <c r="AY141" s="109">
        <f t="shared" si="75"/>
        <v>0</v>
      </c>
      <c r="AZ141" s="109">
        <f t="shared" si="76"/>
        <v>0</v>
      </c>
      <c r="BA141" s="109">
        <f t="shared" si="77"/>
        <v>0</v>
      </c>
      <c r="BB141" s="109">
        <f t="shared" si="78"/>
        <v>0</v>
      </c>
      <c r="BC141" s="109">
        <f t="shared" si="79"/>
        <v>0</v>
      </c>
      <c r="BD141" s="109">
        <f t="shared" si="80"/>
        <v>0</v>
      </c>
      <c r="BE141" s="107"/>
      <c r="BF141" s="107"/>
      <c r="BG141" s="107"/>
      <c r="BH141" s="107"/>
      <c r="BI141" s="107"/>
      <c r="BJ141" s="107"/>
      <c r="BK141" s="107"/>
      <c r="BL141" s="107"/>
    </row>
    <row r="142" spans="1:64" ht="15" x14ac:dyDescent="0.2">
      <c r="A142" s="389"/>
      <c r="B142" s="389"/>
      <c r="C142" s="106" t="s">
        <v>376</v>
      </c>
      <c r="D142" s="377"/>
      <c r="E142" s="106"/>
      <c r="F142" s="106">
        <v>9.6</v>
      </c>
      <c r="G142" s="106"/>
      <c r="H142" s="106"/>
      <c r="I142" s="106"/>
      <c r="J142" s="106"/>
      <c r="K142" s="106"/>
      <c r="L142" s="106"/>
      <c r="M142" s="106"/>
      <c r="N142" s="106"/>
      <c r="O142" s="106"/>
      <c r="P142" s="106"/>
      <c r="Q142" s="106"/>
      <c r="R142" s="106"/>
      <c r="S142" s="106"/>
      <c r="T142" s="106"/>
      <c r="U142" s="106"/>
      <c r="V142" s="106"/>
      <c r="W142" s="106"/>
      <c r="X142" s="106"/>
      <c r="Y142" s="106"/>
      <c r="Z142" s="106"/>
      <c r="AA142" s="106"/>
      <c r="AB142" s="106"/>
      <c r="AC142" s="106" t="s">
        <v>289</v>
      </c>
      <c r="AD142" s="110">
        <f t="shared" si="60"/>
        <v>22</v>
      </c>
      <c r="AE142" s="108">
        <f>'1. SA ABA DE CARREGAMENTO'!B90</f>
        <v>22</v>
      </c>
      <c r="AF142" s="377"/>
      <c r="AG142" s="109">
        <f t="shared" si="61"/>
        <v>0</v>
      </c>
      <c r="AH142" s="109">
        <f t="shared" si="62"/>
        <v>9.6</v>
      </c>
      <c r="AI142" s="109">
        <f t="shared" si="63"/>
        <v>0</v>
      </c>
      <c r="AJ142" s="109">
        <f t="shared" si="64"/>
        <v>0</v>
      </c>
      <c r="AK142" s="109">
        <f t="shared" si="65"/>
        <v>0</v>
      </c>
      <c r="AL142" s="109">
        <f t="shared" si="56"/>
        <v>0</v>
      </c>
      <c r="AM142" s="109">
        <f t="shared" si="57"/>
        <v>0</v>
      </c>
      <c r="AN142" s="109">
        <f t="shared" si="66"/>
        <v>0</v>
      </c>
      <c r="AO142" s="109">
        <f t="shared" si="67"/>
        <v>0</v>
      </c>
      <c r="AP142" s="109">
        <f t="shared" si="58"/>
        <v>0</v>
      </c>
      <c r="AQ142" s="109">
        <f t="shared" si="59"/>
        <v>0</v>
      </c>
      <c r="AR142" s="109">
        <f t="shared" si="68"/>
        <v>0</v>
      </c>
      <c r="AS142" s="109">
        <f t="shared" si="69"/>
        <v>0</v>
      </c>
      <c r="AT142" s="109">
        <f t="shared" si="70"/>
        <v>0</v>
      </c>
      <c r="AU142" s="109">
        <f t="shared" si="71"/>
        <v>0</v>
      </c>
      <c r="AV142" s="109">
        <f t="shared" si="72"/>
        <v>0</v>
      </c>
      <c r="AW142" s="109">
        <f t="shared" si="73"/>
        <v>0</v>
      </c>
      <c r="AX142" s="109">
        <f t="shared" si="74"/>
        <v>0</v>
      </c>
      <c r="AY142" s="109">
        <f t="shared" si="75"/>
        <v>0</v>
      </c>
      <c r="AZ142" s="109">
        <f t="shared" si="76"/>
        <v>0</v>
      </c>
      <c r="BA142" s="109">
        <f t="shared" si="77"/>
        <v>0</v>
      </c>
      <c r="BB142" s="109">
        <f t="shared" si="78"/>
        <v>0</v>
      </c>
      <c r="BC142" s="109">
        <f t="shared" si="79"/>
        <v>0</v>
      </c>
      <c r="BD142" s="109">
        <f t="shared" si="80"/>
        <v>0</v>
      </c>
      <c r="BE142" s="107"/>
      <c r="BF142" s="107"/>
      <c r="BG142" s="107"/>
      <c r="BH142" s="107"/>
      <c r="BI142" s="107"/>
      <c r="BJ142" s="107"/>
      <c r="BK142" s="107"/>
      <c r="BL142" s="107"/>
    </row>
    <row r="143" spans="1:64" ht="30" x14ac:dyDescent="0.2">
      <c r="A143" s="389"/>
      <c r="B143" s="389"/>
      <c r="C143" s="106" t="s">
        <v>377</v>
      </c>
      <c r="D143" s="377"/>
      <c r="E143" s="106">
        <v>35.83</v>
      </c>
      <c r="F143" s="106"/>
      <c r="G143" s="106"/>
      <c r="H143" s="106"/>
      <c r="I143" s="106"/>
      <c r="J143" s="106"/>
      <c r="K143" s="106"/>
      <c r="L143" s="106"/>
      <c r="M143" s="106"/>
      <c r="N143" s="106"/>
      <c r="O143" s="106"/>
      <c r="P143" s="106"/>
      <c r="Q143" s="106"/>
      <c r="R143" s="106"/>
      <c r="S143" s="106"/>
      <c r="T143" s="106"/>
      <c r="U143" s="106"/>
      <c r="V143" s="106"/>
      <c r="W143" s="106"/>
      <c r="X143" s="106"/>
      <c r="Y143" s="106"/>
      <c r="Z143" s="106"/>
      <c r="AA143" s="106"/>
      <c r="AB143" s="106"/>
      <c r="AC143" s="106" t="s">
        <v>289</v>
      </c>
      <c r="AD143" s="110">
        <f t="shared" si="60"/>
        <v>22</v>
      </c>
      <c r="AE143" s="108">
        <f>'1. SA ABA DE CARREGAMENTO'!B90</f>
        <v>22</v>
      </c>
      <c r="AF143" s="377"/>
      <c r="AG143" s="109">
        <f t="shared" si="61"/>
        <v>35.83</v>
      </c>
      <c r="AH143" s="109">
        <f t="shared" si="62"/>
        <v>0</v>
      </c>
      <c r="AI143" s="109">
        <f t="shared" si="63"/>
        <v>0</v>
      </c>
      <c r="AJ143" s="109">
        <f t="shared" si="64"/>
        <v>0</v>
      </c>
      <c r="AK143" s="109">
        <f t="shared" si="65"/>
        <v>0</v>
      </c>
      <c r="AL143" s="109">
        <f t="shared" si="56"/>
        <v>0</v>
      </c>
      <c r="AM143" s="109">
        <f t="shared" si="57"/>
        <v>0</v>
      </c>
      <c r="AN143" s="109">
        <f t="shared" si="66"/>
        <v>0</v>
      </c>
      <c r="AO143" s="109">
        <f t="shared" si="67"/>
        <v>0</v>
      </c>
      <c r="AP143" s="109">
        <f t="shared" si="58"/>
        <v>0</v>
      </c>
      <c r="AQ143" s="109">
        <f t="shared" si="59"/>
        <v>0</v>
      </c>
      <c r="AR143" s="109">
        <f t="shared" si="68"/>
        <v>0</v>
      </c>
      <c r="AS143" s="109">
        <f t="shared" si="69"/>
        <v>0</v>
      </c>
      <c r="AT143" s="109">
        <f t="shared" si="70"/>
        <v>0</v>
      </c>
      <c r="AU143" s="109">
        <f t="shared" si="71"/>
        <v>0</v>
      </c>
      <c r="AV143" s="109">
        <f t="shared" si="72"/>
        <v>0</v>
      </c>
      <c r="AW143" s="109">
        <f t="shared" si="73"/>
        <v>0</v>
      </c>
      <c r="AX143" s="109">
        <f t="shared" si="74"/>
        <v>0</v>
      </c>
      <c r="AY143" s="109">
        <f t="shared" si="75"/>
        <v>0</v>
      </c>
      <c r="AZ143" s="109">
        <f t="shared" si="76"/>
        <v>0</v>
      </c>
      <c r="BA143" s="109">
        <f t="shared" si="77"/>
        <v>0</v>
      </c>
      <c r="BB143" s="109">
        <f t="shared" si="78"/>
        <v>0</v>
      </c>
      <c r="BC143" s="109">
        <f t="shared" si="79"/>
        <v>0</v>
      </c>
      <c r="BD143" s="109">
        <f t="shared" si="80"/>
        <v>0</v>
      </c>
      <c r="BE143" s="107"/>
      <c r="BF143" s="107"/>
      <c r="BG143" s="107"/>
      <c r="BH143" s="107"/>
      <c r="BI143" s="107"/>
      <c r="BJ143" s="107"/>
      <c r="BK143" s="107"/>
      <c r="BL143" s="107"/>
    </row>
    <row r="144" spans="1:64" ht="30" x14ac:dyDescent="0.2">
      <c r="A144" s="389"/>
      <c r="B144" s="389"/>
      <c r="C144" s="106" t="s">
        <v>378</v>
      </c>
      <c r="D144" s="377"/>
      <c r="E144" s="106">
        <v>13.19</v>
      </c>
      <c r="F144" s="106"/>
      <c r="G144" s="106"/>
      <c r="H144" s="106"/>
      <c r="I144" s="106"/>
      <c r="J144" s="106"/>
      <c r="K144" s="106"/>
      <c r="L144" s="106"/>
      <c r="M144" s="106"/>
      <c r="N144" s="106"/>
      <c r="O144" s="106"/>
      <c r="P144" s="106"/>
      <c r="Q144" s="106"/>
      <c r="R144" s="106"/>
      <c r="S144" s="106"/>
      <c r="T144" s="106"/>
      <c r="U144" s="106"/>
      <c r="V144" s="106"/>
      <c r="W144" s="106"/>
      <c r="X144" s="106"/>
      <c r="Y144" s="106"/>
      <c r="Z144" s="106"/>
      <c r="AA144" s="106"/>
      <c r="AB144" s="106"/>
      <c r="AC144" s="106" t="s">
        <v>289</v>
      </c>
      <c r="AD144" s="110">
        <f t="shared" si="60"/>
        <v>22</v>
      </c>
      <c r="AE144" s="108">
        <f>'1. SA ABA DE CARREGAMENTO'!B90</f>
        <v>22</v>
      </c>
      <c r="AF144" s="377"/>
      <c r="AG144" s="109">
        <f t="shared" si="61"/>
        <v>13.19</v>
      </c>
      <c r="AH144" s="109">
        <f t="shared" si="62"/>
        <v>0</v>
      </c>
      <c r="AI144" s="109">
        <f t="shared" si="63"/>
        <v>0</v>
      </c>
      <c r="AJ144" s="109">
        <f t="shared" si="64"/>
        <v>0</v>
      </c>
      <c r="AK144" s="109">
        <f t="shared" si="65"/>
        <v>0</v>
      </c>
      <c r="AL144" s="109">
        <f t="shared" si="56"/>
        <v>0</v>
      </c>
      <c r="AM144" s="109">
        <f t="shared" si="57"/>
        <v>0</v>
      </c>
      <c r="AN144" s="109">
        <f t="shared" si="66"/>
        <v>0</v>
      </c>
      <c r="AO144" s="109">
        <f t="shared" si="67"/>
        <v>0</v>
      </c>
      <c r="AP144" s="109">
        <f t="shared" si="58"/>
        <v>0</v>
      </c>
      <c r="AQ144" s="109">
        <f t="shared" si="59"/>
        <v>0</v>
      </c>
      <c r="AR144" s="109">
        <f t="shared" si="68"/>
        <v>0</v>
      </c>
      <c r="AS144" s="109">
        <f t="shared" si="69"/>
        <v>0</v>
      </c>
      <c r="AT144" s="109">
        <f t="shared" si="70"/>
        <v>0</v>
      </c>
      <c r="AU144" s="109">
        <f t="shared" si="71"/>
        <v>0</v>
      </c>
      <c r="AV144" s="109">
        <f t="shared" si="72"/>
        <v>0</v>
      </c>
      <c r="AW144" s="109">
        <f t="shared" si="73"/>
        <v>0</v>
      </c>
      <c r="AX144" s="109">
        <f t="shared" si="74"/>
        <v>0</v>
      </c>
      <c r="AY144" s="109">
        <f t="shared" si="75"/>
        <v>0</v>
      </c>
      <c r="AZ144" s="109">
        <f t="shared" si="76"/>
        <v>0</v>
      </c>
      <c r="BA144" s="109">
        <f t="shared" si="77"/>
        <v>0</v>
      </c>
      <c r="BB144" s="109">
        <f t="shared" si="78"/>
        <v>0</v>
      </c>
      <c r="BC144" s="109">
        <f t="shared" si="79"/>
        <v>0</v>
      </c>
      <c r="BD144" s="109">
        <f t="shared" si="80"/>
        <v>0</v>
      </c>
      <c r="BE144" s="107"/>
      <c r="BF144" s="107"/>
      <c r="BG144" s="107"/>
      <c r="BH144" s="107"/>
      <c r="BI144" s="107"/>
      <c r="BJ144" s="107"/>
      <c r="BK144" s="107"/>
      <c r="BL144" s="107"/>
    </row>
    <row r="145" spans="1:64" ht="25.5" customHeight="1" x14ac:dyDescent="0.2">
      <c r="A145" s="389"/>
      <c r="B145" s="389"/>
      <c r="C145" s="106" t="s">
        <v>379</v>
      </c>
      <c r="D145" s="377"/>
      <c r="E145" s="106">
        <v>7.75</v>
      </c>
      <c r="F145" s="106"/>
      <c r="G145" s="106"/>
      <c r="H145" s="106"/>
      <c r="I145" s="106"/>
      <c r="J145" s="106"/>
      <c r="K145" s="106"/>
      <c r="L145" s="106"/>
      <c r="M145" s="106"/>
      <c r="N145" s="106"/>
      <c r="O145" s="106"/>
      <c r="P145" s="106"/>
      <c r="Q145" s="106"/>
      <c r="R145" s="106"/>
      <c r="S145" s="106"/>
      <c r="T145" s="106"/>
      <c r="U145" s="106"/>
      <c r="V145" s="106"/>
      <c r="W145" s="106"/>
      <c r="X145" s="106"/>
      <c r="Y145" s="106"/>
      <c r="Z145" s="106"/>
      <c r="AA145" s="106"/>
      <c r="AB145" s="106"/>
      <c r="AC145" s="106" t="s">
        <v>289</v>
      </c>
      <c r="AD145" s="110">
        <f t="shared" si="60"/>
        <v>22</v>
      </c>
      <c r="AE145" s="108">
        <f>'1. SA ABA DE CARREGAMENTO'!B90</f>
        <v>22</v>
      </c>
      <c r="AF145" s="377"/>
      <c r="AG145" s="109">
        <f t="shared" si="61"/>
        <v>7.75</v>
      </c>
      <c r="AH145" s="109">
        <f t="shared" si="62"/>
        <v>0</v>
      </c>
      <c r="AI145" s="109">
        <f t="shared" si="63"/>
        <v>0</v>
      </c>
      <c r="AJ145" s="109">
        <f t="shared" si="64"/>
        <v>0</v>
      </c>
      <c r="AK145" s="109">
        <f t="shared" si="65"/>
        <v>0</v>
      </c>
      <c r="AL145" s="109">
        <f t="shared" si="56"/>
        <v>0</v>
      </c>
      <c r="AM145" s="109">
        <f t="shared" si="57"/>
        <v>0</v>
      </c>
      <c r="AN145" s="109">
        <f t="shared" si="66"/>
        <v>0</v>
      </c>
      <c r="AO145" s="109">
        <f t="shared" si="67"/>
        <v>0</v>
      </c>
      <c r="AP145" s="109">
        <f t="shared" si="58"/>
        <v>0</v>
      </c>
      <c r="AQ145" s="109">
        <f t="shared" si="59"/>
        <v>0</v>
      </c>
      <c r="AR145" s="109">
        <f t="shared" si="68"/>
        <v>0</v>
      </c>
      <c r="AS145" s="109">
        <f t="shared" si="69"/>
        <v>0</v>
      </c>
      <c r="AT145" s="109">
        <f t="shared" si="70"/>
        <v>0</v>
      </c>
      <c r="AU145" s="109">
        <f t="shared" si="71"/>
        <v>0</v>
      </c>
      <c r="AV145" s="109">
        <f t="shared" si="72"/>
        <v>0</v>
      </c>
      <c r="AW145" s="109">
        <f t="shared" si="73"/>
        <v>0</v>
      </c>
      <c r="AX145" s="109">
        <f t="shared" si="74"/>
        <v>0</v>
      </c>
      <c r="AY145" s="109">
        <f t="shared" si="75"/>
        <v>0</v>
      </c>
      <c r="AZ145" s="109">
        <f t="shared" si="76"/>
        <v>0</v>
      </c>
      <c r="BA145" s="109">
        <f t="shared" si="77"/>
        <v>0</v>
      </c>
      <c r="BB145" s="109">
        <f t="shared" si="78"/>
        <v>0</v>
      </c>
      <c r="BC145" s="109">
        <f t="shared" si="79"/>
        <v>0</v>
      </c>
      <c r="BD145" s="109">
        <f t="shared" si="80"/>
        <v>0</v>
      </c>
      <c r="BE145" s="107"/>
      <c r="BF145" s="107"/>
      <c r="BG145" s="107"/>
      <c r="BH145" s="107"/>
      <c r="BI145" s="107"/>
      <c r="BJ145" s="107"/>
      <c r="BK145" s="107"/>
      <c r="BL145" s="107"/>
    </row>
    <row r="146" spans="1:64" ht="30" x14ac:dyDescent="0.2">
      <c r="A146" s="389"/>
      <c r="B146" s="389"/>
      <c r="C146" s="106" t="s">
        <v>380</v>
      </c>
      <c r="D146" s="377"/>
      <c r="E146" s="106">
        <v>36.92</v>
      </c>
      <c r="F146" s="106"/>
      <c r="G146" s="106"/>
      <c r="H146" s="106"/>
      <c r="I146" s="106"/>
      <c r="J146" s="106"/>
      <c r="K146" s="106"/>
      <c r="L146" s="106"/>
      <c r="M146" s="106"/>
      <c r="N146" s="106"/>
      <c r="O146" s="106"/>
      <c r="P146" s="106"/>
      <c r="Q146" s="106"/>
      <c r="R146" s="106"/>
      <c r="S146" s="106"/>
      <c r="T146" s="106"/>
      <c r="U146" s="106"/>
      <c r="V146" s="106"/>
      <c r="W146" s="106"/>
      <c r="X146" s="106"/>
      <c r="Y146" s="106"/>
      <c r="Z146" s="106"/>
      <c r="AA146" s="106"/>
      <c r="AB146" s="106"/>
      <c r="AC146" s="106" t="s">
        <v>289</v>
      </c>
      <c r="AD146" s="110">
        <f t="shared" si="60"/>
        <v>22</v>
      </c>
      <c r="AE146" s="108">
        <f>'1. SA ABA DE CARREGAMENTO'!B90</f>
        <v>22</v>
      </c>
      <c r="AF146" s="377"/>
      <c r="AG146" s="109">
        <f t="shared" si="61"/>
        <v>36.92</v>
      </c>
      <c r="AH146" s="109">
        <f t="shared" si="62"/>
        <v>0</v>
      </c>
      <c r="AI146" s="109">
        <f t="shared" si="63"/>
        <v>0</v>
      </c>
      <c r="AJ146" s="109">
        <f t="shared" si="64"/>
        <v>0</v>
      </c>
      <c r="AK146" s="109">
        <f t="shared" si="65"/>
        <v>0</v>
      </c>
      <c r="AL146" s="109">
        <f t="shared" si="56"/>
        <v>0</v>
      </c>
      <c r="AM146" s="109">
        <f t="shared" si="57"/>
        <v>0</v>
      </c>
      <c r="AN146" s="109">
        <f t="shared" si="66"/>
        <v>0</v>
      </c>
      <c r="AO146" s="109">
        <f t="shared" si="67"/>
        <v>0</v>
      </c>
      <c r="AP146" s="109">
        <f t="shared" si="58"/>
        <v>0</v>
      </c>
      <c r="AQ146" s="109">
        <f t="shared" si="59"/>
        <v>0</v>
      </c>
      <c r="AR146" s="109">
        <f t="shared" si="68"/>
        <v>0</v>
      </c>
      <c r="AS146" s="109">
        <f t="shared" si="69"/>
        <v>0</v>
      </c>
      <c r="AT146" s="109">
        <f t="shared" si="70"/>
        <v>0</v>
      </c>
      <c r="AU146" s="109">
        <f t="shared" si="71"/>
        <v>0</v>
      </c>
      <c r="AV146" s="109">
        <f t="shared" si="72"/>
        <v>0</v>
      </c>
      <c r="AW146" s="109">
        <f t="shared" si="73"/>
        <v>0</v>
      </c>
      <c r="AX146" s="109">
        <f t="shared" si="74"/>
        <v>0</v>
      </c>
      <c r="AY146" s="109">
        <f t="shared" si="75"/>
        <v>0</v>
      </c>
      <c r="AZ146" s="109">
        <f t="shared" si="76"/>
        <v>0</v>
      </c>
      <c r="BA146" s="109">
        <f t="shared" si="77"/>
        <v>0</v>
      </c>
      <c r="BB146" s="109">
        <f t="shared" si="78"/>
        <v>0</v>
      </c>
      <c r="BC146" s="109">
        <f t="shared" si="79"/>
        <v>0</v>
      </c>
      <c r="BD146" s="109">
        <f t="shared" si="80"/>
        <v>0</v>
      </c>
      <c r="BE146" s="107"/>
      <c r="BF146" s="107"/>
      <c r="BG146" s="107"/>
      <c r="BH146" s="107"/>
      <c r="BI146" s="107"/>
      <c r="BJ146" s="107"/>
      <c r="BK146" s="107"/>
      <c r="BL146" s="107"/>
    </row>
    <row r="147" spans="1:64" ht="15" x14ac:dyDescent="0.2">
      <c r="A147" s="389"/>
      <c r="B147" s="389"/>
      <c r="C147" s="106" t="s">
        <v>381</v>
      </c>
      <c r="D147" s="377"/>
      <c r="E147" s="106"/>
      <c r="F147" s="106">
        <v>20.57</v>
      </c>
      <c r="G147" s="106"/>
      <c r="H147" s="106"/>
      <c r="I147" s="106"/>
      <c r="J147" s="106"/>
      <c r="K147" s="106"/>
      <c r="L147" s="106"/>
      <c r="M147" s="106"/>
      <c r="N147" s="106"/>
      <c r="O147" s="106"/>
      <c r="P147" s="106"/>
      <c r="Q147" s="106"/>
      <c r="R147" s="106"/>
      <c r="S147" s="106"/>
      <c r="T147" s="106"/>
      <c r="U147" s="106"/>
      <c r="V147" s="106"/>
      <c r="W147" s="106"/>
      <c r="X147" s="106"/>
      <c r="Y147" s="106"/>
      <c r="Z147" s="106"/>
      <c r="AA147" s="106"/>
      <c r="AB147" s="106"/>
      <c r="AC147" s="106" t="s">
        <v>289</v>
      </c>
      <c r="AD147" s="110">
        <f t="shared" si="60"/>
        <v>22</v>
      </c>
      <c r="AE147" s="108">
        <f>'1. SA ABA DE CARREGAMENTO'!B90</f>
        <v>22</v>
      </c>
      <c r="AF147" s="377"/>
      <c r="AG147" s="109">
        <f t="shared" si="61"/>
        <v>0</v>
      </c>
      <c r="AH147" s="109">
        <f t="shared" si="62"/>
        <v>20.57</v>
      </c>
      <c r="AI147" s="109">
        <f t="shared" si="63"/>
        <v>0</v>
      </c>
      <c r="AJ147" s="109">
        <f t="shared" si="64"/>
        <v>0</v>
      </c>
      <c r="AK147" s="109">
        <f t="shared" si="65"/>
        <v>0</v>
      </c>
      <c r="AL147" s="109">
        <f t="shared" si="56"/>
        <v>0</v>
      </c>
      <c r="AM147" s="109">
        <f t="shared" si="57"/>
        <v>0</v>
      </c>
      <c r="AN147" s="109">
        <f t="shared" si="66"/>
        <v>0</v>
      </c>
      <c r="AO147" s="109">
        <f t="shared" si="67"/>
        <v>0</v>
      </c>
      <c r="AP147" s="109">
        <f t="shared" si="58"/>
        <v>0</v>
      </c>
      <c r="AQ147" s="109">
        <f t="shared" si="59"/>
        <v>0</v>
      </c>
      <c r="AR147" s="109">
        <f t="shared" si="68"/>
        <v>0</v>
      </c>
      <c r="AS147" s="109">
        <f t="shared" si="69"/>
        <v>0</v>
      </c>
      <c r="AT147" s="109">
        <f t="shared" si="70"/>
        <v>0</v>
      </c>
      <c r="AU147" s="109">
        <f t="shared" si="71"/>
        <v>0</v>
      </c>
      <c r="AV147" s="109">
        <f t="shared" si="72"/>
        <v>0</v>
      </c>
      <c r="AW147" s="109">
        <f t="shared" si="73"/>
        <v>0</v>
      </c>
      <c r="AX147" s="109">
        <f t="shared" si="74"/>
        <v>0</v>
      </c>
      <c r="AY147" s="109">
        <f t="shared" si="75"/>
        <v>0</v>
      </c>
      <c r="AZ147" s="109">
        <f t="shared" si="76"/>
        <v>0</v>
      </c>
      <c r="BA147" s="109">
        <f t="shared" si="77"/>
        <v>0</v>
      </c>
      <c r="BB147" s="109">
        <f t="shared" si="78"/>
        <v>0</v>
      </c>
      <c r="BC147" s="109">
        <f t="shared" si="79"/>
        <v>0</v>
      </c>
      <c r="BD147" s="109">
        <f t="shared" si="80"/>
        <v>0</v>
      </c>
      <c r="BE147" s="107"/>
      <c r="BF147" s="107"/>
      <c r="BG147" s="107"/>
      <c r="BH147" s="107"/>
      <c r="BI147" s="107"/>
      <c r="BJ147" s="107"/>
      <c r="BK147" s="107"/>
      <c r="BL147" s="107"/>
    </row>
    <row r="148" spans="1:64" ht="15" x14ac:dyDescent="0.2">
      <c r="A148" s="389"/>
      <c r="B148" s="389"/>
      <c r="C148" s="106" t="s">
        <v>382</v>
      </c>
      <c r="D148" s="377"/>
      <c r="E148" s="106"/>
      <c r="F148" s="106">
        <v>20.57</v>
      </c>
      <c r="G148" s="106"/>
      <c r="H148" s="106"/>
      <c r="I148" s="106"/>
      <c r="J148" s="106"/>
      <c r="K148" s="106"/>
      <c r="L148" s="106"/>
      <c r="M148" s="106"/>
      <c r="N148" s="106"/>
      <c r="O148" s="106"/>
      <c r="P148" s="106"/>
      <c r="Q148" s="106"/>
      <c r="R148" s="106"/>
      <c r="S148" s="106"/>
      <c r="T148" s="106"/>
      <c r="U148" s="106"/>
      <c r="V148" s="106"/>
      <c r="W148" s="106"/>
      <c r="X148" s="106"/>
      <c r="Y148" s="106"/>
      <c r="Z148" s="106"/>
      <c r="AA148" s="106"/>
      <c r="AB148" s="106"/>
      <c r="AC148" s="106" t="s">
        <v>289</v>
      </c>
      <c r="AD148" s="110">
        <f t="shared" si="60"/>
        <v>22</v>
      </c>
      <c r="AE148" s="108">
        <f>'1. SA ABA DE CARREGAMENTO'!B90</f>
        <v>22</v>
      </c>
      <c r="AF148" s="377"/>
      <c r="AG148" s="109">
        <f t="shared" si="61"/>
        <v>0</v>
      </c>
      <c r="AH148" s="109">
        <f t="shared" si="62"/>
        <v>20.57</v>
      </c>
      <c r="AI148" s="109">
        <f t="shared" si="63"/>
        <v>0</v>
      </c>
      <c r="AJ148" s="109">
        <f t="shared" si="64"/>
        <v>0</v>
      </c>
      <c r="AK148" s="109">
        <f t="shared" si="65"/>
        <v>0</v>
      </c>
      <c r="AL148" s="109">
        <f t="shared" si="56"/>
        <v>0</v>
      </c>
      <c r="AM148" s="109">
        <f t="shared" si="57"/>
        <v>0</v>
      </c>
      <c r="AN148" s="109">
        <f t="shared" si="66"/>
        <v>0</v>
      </c>
      <c r="AO148" s="109">
        <f t="shared" si="67"/>
        <v>0</v>
      </c>
      <c r="AP148" s="109">
        <f t="shared" si="58"/>
        <v>0</v>
      </c>
      <c r="AQ148" s="109">
        <f t="shared" si="59"/>
        <v>0</v>
      </c>
      <c r="AR148" s="109">
        <f t="shared" si="68"/>
        <v>0</v>
      </c>
      <c r="AS148" s="109">
        <f t="shared" si="69"/>
        <v>0</v>
      </c>
      <c r="AT148" s="109">
        <f t="shared" si="70"/>
        <v>0</v>
      </c>
      <c r="AU148" s="109">
        <f t="shared" si="71"/>
        <v>0</v>
      </c>
      <c r="AV148" s="109">
        <f t="shared" si="72"/>
        <v>0</v>
      </c>
      <c r="AW148" s="109">
        <f t="shared" si="73"/>
        <v>0</v>
      </c>
      <c r="AX148" s="109">
        <f t="shared" si="74"/>
        <v>0</v>
      </c>
      <c r="AY148" s="109">
        <f t="shared" si="75"/>
        <v>0</v>
      </c>
      <c r="AZ148" s="109">
        <f t="shared" si="76"/>
        <v>0</v>
      </c>
      <c r="BA148" s="109">
        <f t="shared" si="77"/>
        <v>0</v>
      </c>
      <c r="BB148" s="109">
        <f t="shared" si="78"/>
        <v>0</v>
      </c>
      <c r="BC148" s="109">
        <f t="shared" si="79"/>
        <v>0</v>
      </c>
      <c r="BD148" s="109">
        <f t="shared" si="80"/>
        <v>0</v>
      </c>
      <c r="BE148" s="107"/>
      <c r="BF148" s="107"/>
      <c r="BG148" s="107"/>
      <c r="BH148" s="107"/>
      <c r="BI148" s="107"/>
      <c r="BJ148" s="107"/>
      <c r="BK148" s="107"/>
      <c r="BL148" s="107"/>
    </row>
    <row r="149" spans="1:64" ht="15" x14ac:dyDescent="0.2">
      <c r="A149" s="389"/>
      <c r="B149" s="389"/>
      <c r="C149" s="106" t="s">
        <v>383</v>
      </c>
      <c r="D149" s="377"/>
      <c r="E149" s="106"/>
      <c r="F149" s="106">
        <v>22.19</v>
      </c>
      <c r="G149" s="106"/>
      <c r="H149" s="106"/>
      <c r="I149" s="106"/>
      <c r="J149" s="106"/>
      <c r="K149" s="106"/>
      <c r="L149" s="106"/>
      <c r="M149" s="106"/>
      <c r="N149" s="106"/>
      <c r="O149" s="106"/>
      <c r="P149" s="106"/>
      <c r="Q149" s="106"/>
      <c r="R149" s="106"/>
      <c r="S149" s="106"/>
      <c r="T149" s="106"/>
      <c r="U149" s="106"/>
      <c r="V149" s="106"/>
      <c r="W149" s="106"/>
      <c r="X149" s="106"/>
      <c r="Y149" s="106"/>
      <c r="Z149" s="106"/>
      <c r="AA149" s="106"/>
      <c r="AB149" s="106"/>
      <c r="AC149" s="106" t="s">
        <v>289</v>
      </c>
      <c r="AD149" s="110">
        <f t="shared" si="60"/>
        <v>22</v>
      </c>
      <c r="AE149" s="108">
        <f>'1. SA ABA DE CARREGAMENTO'!B90</f>
        <v>22</v>
      </c>
      <c r="AF149" s="377"/>
      <c r="AG149" s="109">
        <f t="shared" si="61"/>
        <v>0</v>
      </c>
      <c r="AH149" s="109">
        <f t="shared" si="62"/>
        <v>22.19</v>
      </c>
      <c r="AI149" s="109">
        <f t="shared" si="63"/>
        <v>0</v>
      </c>
      <c r="AJ149" s="109">
        <f t="shared" si="64"/>
        <v>0</v>
      </c>
      <c r="AK149" s="109">
        <f t="shared" si="65"/>
        <v>0</v>
      </c>
      <c r="AL149" s="109">
        <f t="shared" si="56"/>
        <v>0</v>
      </c>
      <c r="AM149" s="109">
        <f t="shared" si="57"/>
        <v>0</v>
      </c>
      <c r="AN149" s="109">
        <f t="shared" si="66"/>
        <v>0</v>
      </c>
      <c r="AO149" s="109">
        <f t="shared" si="67"/>
        <v>0</v>
      </c>
      <c r="AP149" s="109">
        <f t="shared" si="58"/>
        <v>0</v>
      </c>
      <c r="AQ149" s="109">
        <f t="shared" si="59"/>
        <v>0</v>
      </c>
      <c r="AR149" s="109">
        <f t="shared" si="68"/>
        <v>0</v>
      </c>
      <c r="AS149" s="109">
        <f t="shared" si="69"/>
        <v>0</v>
      </c>
      <c r="AT149" s="109">
        <f t="shared" si="70"/>
        <v>0</v>
      </c>
      <c r="AU149" s="109">
        <f t="shared" si="71"/>
        <v>0</v>
      </c>
      <c r="AV149" s="109">
        <f t="shared" si="72"/>
        <v>0</v>
      </c>
      <c r="AW149" s="109">
        <f t="shared" si="73"/>
        <v>0</v>
      </c>
      <c r="AX149" s="109">
        <f t="shared" si="74"/>
        <v>0</v>
      </c>
      <c r="AY149" s="109">
        <f t="shared" si="75"/>
        <v>0</v>
      </c>
      <c r="AZ149" s="109">
        <f t="shared" si="76"/>
        <v>0</v>
      </c>
      <c r="BA149" s="109">
        <f t="shared" si="77"/>
        <v>0</v>
      </c>
      <c r="BB149" s="109">
        <f t="shared" si="78"/>
        <v>0</v>
      </c>
      <c r="BC149" s="109">
        <f t="shared" si="79"/>
        <v>0</v>
      </c>
      <c r="BD149" s="109">
        <f t="shared" si="80"/>
        <v>0</v>
      </c>
      <c r="BE149" s="107"/>
      <c r="BF149" s="107"/>
      <c r="BG149" s="107"/>
      <c r="BH149" s="107"/>
      <c r="BI149" s="107"/>
      <c r="BJ149" s="107"/>
      <c r="BK149" s="107"/>
      <c r="BL149" s="107"/>
    </row>
    <row r="150" spans="1:64" ht="25.5" customHeight="1" x14ac:dyDescent="0.2">
      <c r="A150" s="389"/>
      <c r="B150" s="389"/>
      <c r="C150" s="106" t="s">
        <v>379</v>
      </c>
      <c r="D150" s="377"/>
      <c r="E150" s="106"/>
      <c r="F150" s="106">
        <v>7.5</v>
      </c>
      <c r="G150" s="106"/>
      <c r="H150" s="106"/>
      <c r="I150" s="106"/>
      <c r="J150" s="106"/>
      <c r="K150" s="106"/>
      <c r="L150" s="106"/>
      <c r="M150" s="106"/>
      <c r="N150" s="106"/>
      <c r="O150" s="106"/>
      <c r="P150" s="106"/>
      <c r="Q150" s="106"/>
      <c r="R150" s="106"/>
      <c r="S150" s="106"/>
      <c r="T150" s="106"/>
      <c r="U150" s="106"/>
      <c r="V150" s="106"/>
      <c r="W150" s="106"/>
      <c r="X150" s="106"/>
      <c r="Y150" s="106"/>
      <c r="Z150" s="106"/>
      <c r="AA150" s="106"/>
      <c r="AB150" s="106"/>
      <c r="AC150" s="106" t="s">
        <v>289</v>
      </c>
      <c r="AD150" s="110">
        <f t="shared" si="60"/>
        <v>22</v>
      </c>
      <c r="AE150" s="108">
        <f>'1. SA ABA DE CARREGAMENTO'!B90</f>
        <v>22</v>
      </c>
      <c r="AF150" s="377"/>
      <c r="AG150" s="109">
        <f t="shared" si="61"/>
        <v>0</v>
      </c>
      <c r="AH150" s="109">
        <f t="shared" si="62"/>
        <v>7.5</v>
      </c>
      <c r="AI150" s="109">
        <f t="shared" si="63"/>
        <v>0</v>
      </c>
      <c r="AJ150" s="109">
        <f t="shared" si="64"/>
        <v>0</v>
      </c>
      <c r="AK150" s="109">
        <f t="shared" si="65"/>
        <v>0</v>
      </c>
      <c r="AL150" s="109">
        <f t="shared" si="56"/>
        <v>0</v>
      </c>
      <c r="AM150" s="109">
        <f t="shared" si="57"/>
        <v>0</v>
      </c>
      <c r="AN150" s="109">
        <f t="shared" si="66"/>
        <v>0</v>
      </c>
      <c r="AO150" s="109">
        <f t="shared" si="67"/>
        <v>0</v>
      </c>
      <c r="AP150" s="109">
        <f t="shared" si="58"/>
        <v>0</v>
      </c>
      <c r="AQ150" s="109">
        <f t="shared" si="59"/>
        <v>0</v>
      </c>
      <c r="AR150" s="109">
        <f t="shared" si="68"/>
        <v>0</v>
      </c>
      <c r="AS150" s="109">
        <f t="shared" si="69"/>
        <v>0</v>
      </c>
      <c r="AT150" s="109">
        <f t="shared" si="70"/>
        <v>0</v>
      </c>
      <c r="AU150" s="109">
        <f t="shared" si="71"/>
        <v>0</v>
      </c>
      <c r="AV150" s="109">
        <f t="shared" si="72"/>
        <v>0</v>
      </c>
      <c r="AW150" s="109">
        <f t="shared" si="73"/>
        <v>0</v>
      </c>
      <c r="AX150" s="109">
        <f t="shared" si="74"/>
        <v>0</v>
      </c>
      <c r="AY150" s="109">
        <f t="shared" si="75"/>
        <v>0</v>
      </c>
      <c r="AZ150" s="109">
        <f t="shared" si="76"/>
        <v>0</v>
      </c>
      <c r="BA150" s="109">
        <f t="shared" si="77"/>
        <v>0</v>
      </c>
      <c r="BB150" s="109">
        <f t="shared" si="78"/>
        <v>0</v>
      </c>
      <c r="BC150" s="109">
        <f t="shared" si="79"/>
        <v>0</v>
      </c>
      <c r="BD150" s="109">
        <f t="shared" si="80"/>
        <v>0</v>
      </c>
      <c r="BE150" s="107"/>
      <c r="BF150" s="107"/>
      <c r="BG150" s="107"/>
      <c r="BH150" s="107"/>
      <c r="BI150" s="107"/>
      <c r="BJ150" s="107"/>
      <c r="BK150" s="107"/>
      <c r="BL150" s="107"/>
    </row>
    <row r="151" spans="1:64" ht="15" x14ac:dyDescent="0.2">
      <c r="A151" s="389"/>
      <c r="B151" s="389"/>
      <c r="C151" s="106" t="s">
        <v>384</v>
      </c>
      <c r="D151" s="377"/>
      <c r="E151" s="106"/>
      <c r="F151" s="106">
        <v>20.57</v>
      </c>
      <c r="G151" s="106"/>
      <c r="H151" s="106"/>
      <c r="I151" s="106"/>
      <c r="J151" s="106"/>
      <c r="K151" s="106"/>
      <c r="L151" s="106"/>
      <c r="M151" s="106"/>
      <c r="N151" s="106"/>
      <c r="O151" s="106"/>
      <c r="P151" s="106"/>
      <c r="Q151" s="106"/>
      <c r="R151" s="106"/>
      <c r="S151" s="106"/>
      <c r="T151" s="106"/>
      <c r="U151" s="106"/>
      <c r="V151" s="106"/>
      <c r="W151" s="106"/>
      <c r="X151" s="106"/>
      <c r="Y151" s="106"/>
      <c r="Z151" s="106"/>
      <c r="AA151" s="106"/>
      <c r="AB151" s="106"/>
      <c r="AC151" s="106" t="s">
        <v>289</v>
      </c>
      <c r="AD151" s="110">
        <f t="shared" si="60"/>
        <v>22</v>
      </c>
      <c r="AE151" s="108">
        <f>'1. SA ABA DE CARREGAMENTO'!B90</f>
        <v>22</v>
      </c>
      <c r="AF151" s="377"/>
      <c r="AG151" s="109">
        <f t="shared" si="61"/>
        <v>0</v>
      </c>
      <c r="AH151" s="109">
        <f t="shared" si="62"/>
        <v>20.57</v>
      </c>
      <c r="AI151" s="109">
        <f t="shared" si="63"/>
        <v>0</v>
      </c>
      <c r="AJ151" s="109">
        <f t="shared" si="64"/>
        <v>0</v>
      </c>
      <c r="AK151" s="109">
        <f t="shared" si="65"/>
        <v>0</v>
      </c>
      <c r="AL151" s="109">
        <f t="shared" si="56"/>
        <v>0</v>
      </c>
      <c r="AM151" s="109">
        <f t="shared" si="57"/>
        <v>0</v>
      </c>
      <c r="AN151" s="109">
        <f t="shared" si="66"/>
        <v>0</v>
      </c>
      <c r="AO151" s="109">
        <f t="shared" si="67"/>
        <v>0</v>
      </c>
      <c r="AP151" s="109">
        <f t="shared" si="58"/>
        <v>0</v>
      </c>
      <c r="AQ151" s="109">
        <f t="shared" si="59"/>
        <v>0</v>
      </c>
      <c r="AR151" s="109">
        <f t="shared" si="68"/>
        <v>0</v>
      </c>
      <c r="AS151" s="109">
        <f t="shared" si="69"/>
        <v>0</v>
      </c>
      <c r="AT151" s="109">
        <f t="shared" si="70"/>
        <v>0</v>
      </c>
      <c r="AU151" s="109">
        <f t="shared" si="71"/>
        <v>0</v>
      </c>
      <c r="AV151" s="109">
        <f t="shared" si="72"/>
        <v>0</v>
      </c>
      <c r="AW151" s="109">
        <f t="shared" si="73"/>
        <v>0</v>
      </c>
      <c r="AX151" s="109">
        <f t="shared" si="74"/>
        <v>0</v>
      </c>
      <c r="AY151" s="109">
        <f t="shared" si="75"/>
        <v>0</v>
      </c>
      <c r="AZ151" s="109">
        <f t="shared" si="76"/>
        <v>0</v>
      </c>
      <c r="BA151" s="109">
        <f t="shared" si="77"/>
        <v>0</v>
      </c>
      <c r="BB151" s="109">
        <f t="shared" si="78"/>
        <v>0</v>
      </c>
      <c r="BC151" s="109">
        <f t="shared" si="79"/>
        <v>0</v>
      </c>
      <c r="BD151" s="109">
        <f t="shared" si="80"/>
        <v>0</v>
      </c>
      <c r="BE151" s="107"/>
      <c r="BF151" s="107"/>
      <c r="BG151" s="107"/>
      <c r="BH151" s="107"/>
      <c r="BI151" s="107"/>
      <c r="BJ151" s="107"/>
      <c r="BK151" s="107"/>
      <c r="BL151" s="107"/>
    </row>
    <row r="152" spans="1:64" ht="15" x14ac:dyDescent="0.2">
      <c r="A152" s="389"/>
      <c r="B152" s="389"/>
      <c r="C152" s="106" t="s">
        <v>385</v>
      </c>
      <c r="D152" s="377"/>
      <c r="E152" s="106"/>
      <c r="F152" s="106">
        <v>20.57</v>
      </c>
      <c r="G152" s="106"/>
      <c r="H152" s="106"/>
      <c r="I152" s="106"/>
      <c r="J152" s="106"/>
      <c r="K152" s="106"/>
      <c r="L152" s="106"/>
      <c r="M152" s="106"/>
      <c r="N152" s="106"/>
      <c r="O152" s="106"/>
      <c r="P152" s="106"/>
      <c r="Q152" s="106"/>
      <c r="R152" s="106"/>
      <c r="S152" s="106"/>
      <c r="T152" s="106"/>
      <c r="U152" s="106"/>
      <c r="V152" s="106"/>
      <c r="W152" s="106"/>
      <c r="X152" s="106"/>
      <c r="Y152" s="106"/>
      <c r="Z152" s="106"/>
      <c r="AA152" s="106"/>
      <c r="AB152" s="106"/>
      <c r="AC152" s="106" t="s">
        <v>289</v>
      </c>
      <c r="AD152" s="110">
        <f t="shared" si="60"/>
        <v>22</v>
      </c>
      <c r="AE152" s="108">
        <f>'1. SA ABA DE CARREGAMENTO'!B90</f>
        <v>22</v>
      </c>
      <c r="AF152" s="377"/>
      <c r="AG152" s="109">
        <f t="shared" si="61"/>
        <v>0</v>
      </c>
      <c r="AH152" s="109">
        <f t="shared" si="62"/>
        <v>20.57</v>
      </c>
      <c r="AI152" s="109">
        <f t="shared" si="63"/>
        <v>0</v>
      </c>
      <c r="AJ152" s="109">
        <f t="shared" si="64"/>
        <v>0</v>
      </c>
      <c r="AK152" s="109">
        <f t="shared" si="65"/>
        <v>0</v>
      </c>
      <c r="AL152" s="109">
        <f t="shared" si="56"/>
        <v>0</v>
      </c>
      <c r="AM152" s="109">
        <f t="shared" si="57"/>
        <v>0</v>
      </c>
      <c r="AN152" s="109">
        <f t="shared" si="66"/>
        <v>0</v>
      </c>
      <c r="AO152" s="109">
        <f t="shared" si="67"/>
        <v>0</v>
      </c>
      <c r="AP152" s="109">
        <f t="shared" si="58"/>
        <v>0</v>
      </c>
      <c r="AQ152" s="109">
        <f t="shared" si="59"/>
        <v>0</v>
      </c>
      <c r="AR152" s="109">
        <f t="shared" si="68"/>
        <v>0</v>
      </c>
      <c r="AS152" s="109">
        <f t="shared" si="69"/>
        <v>0</v>
      </c>
      <c r="AT152" s="109">
        <f t="shared" si="70"/>
        <v>0</v>
      </c>
      <c r="AU152" s="109">
        <f t="shared" si="71"/>
        <v>0</v>
      </c>
      <c r="AV152" s="109">
        <f t="shared" si="72"/>
        <v>0</v>
      </c>
      <c r="AW152" s="109">
        <f t="shared" si="73"/>
        <v>0</v>
      </c>
      <c r="AX152" s="109">
        <f t="shared" si="74"/>
        <v>0</v>
      </c>
      <c r="AY152" s="109">
        <f t="shared" si="75"/>
        <v>0</v>
      </c>
      <c r="AZ152" s="109">
        <f t="shared" si="76"/>
        <v>0</v>
      </c>
      <c r="BA152" s="109">
        <f t="shared" si="77"/>
        <v>0</v>
      </c>
      <c r="BB152" s="109">
        <f t="shared" si="78"/>
        <v>0</v>
      </c>
      <c r="BC152" s="109">
        <f t="shared" si="79"/>
        <v>0</v>
      </c>
      <c r="BD152" s="109">
        <f t="shared" si="80"/>
        <v>0</v>
      </c>
      <c r="BE152" s="107"/>
      <c r="BF152" s="107"/>
      <c r="BG152" s="107"/>
      <c r="BH152" s="107"/>
      <c r="BI152" s="107"/>
      <c r="BJ152" s="107"/>
      <c r="BK152" s="107"/>
      <c r="BL152" s="107"/>
    </row>
    <row r="153" spans="1:64" ht="15" x14ac:dyDescent="0.2">
      <c r="A153" s="389"/>
      <c r="B153" s="389"/>
      <c r="C153" s="106" t="s">
        <v>386</v>
      </c>
      <c r="D153" s="377"/>
      <c r="E153" s="106"/>
      <c r="F153" s="106">
        <v>28.13</v>
      </c>
      <c r="G153" s="106"/>
      <c r="H153" s="106"/>
      <c r="I153" s="106"/>
      <c r="J153" s="106"/>
      <c r="K153" s="106"/>
      <c r="L153" s="106"/>
      <c r="M153" s="106"/>
      <c r="N153" s="106"/>
      <c r="O153" s="106"/>
      <c r="P153" s="106"/>
      <c r="Q153" s="106"/>
      <c r="R153" s="106"/>
      <c r="S153" s="106"/>
      <c r="T153" s="106"/>
      <c r="U153" s="106"/>
      <c r="V153" s="106"/>
      <c r="W153" s="106"/>
      <c r="X153" s="106"/>
      <c r="Y153" s="106"/>
      <c r="Z153" s="106"/>
      <c r="AA153" s="106"/>
      <c r="AB153" s="106"/>
      <c r="AC153" s="106" t="s">
        <v>289</v>
      </c>
      <c r="AD153" s="110">
        <f t="shared" si="60"/>
        <v>22</v>
      </c>
      <c r="AE153" s="108">
        <f>'1. SA ABA DE CARREGAMENTO'!B90</f>
        <v>22</v>
      </c>
      <c r="AF153" s="377"/>
      <c r="AG153" s="109">
        <f t="shared" si="61"/>
        <v>0</v>
      </c>
      <c r="AH153" s="109">
        <f t="shared" si="62"/>
        <v>28.13</v>
      </c>
      <c r="AI153" s="109">
        <f t="shared" si="63"/>
        <v>0</v>
      </c>
      <c r="AJ153" s="109">
        <f t="shared" si="64"/>
        <v>0</v>
      </c>
      <c r="AK153" s="109">
        <f t="shared" si="65"/>
        <v>0</v>
      </c>
      <c r="AL153" s="109">
        <f t="shared" si="56"/>
        <v>0</v>
      </c>
      <c r="AM153" s="109">
        <f t="shared" si="57"/>
        <v>0</v>
      </c>
      <c r="AN153" s="109">
        <f t="shared" si="66"/>
        <v>0</v>
      </c>
      <c r="AO153" s="109">
        <f t="shared" si="67"/>
        <v>0</v>
      </c>
      <c r="AP153" s="109">
        <f t="shared" si="58"/>
        <v>0</v>
      </c>
      <c r="AQ153" s="109">
        <f t="shared" si="59"/>
        <v>0</v>
      </c>
      <c r="AR153" s="109">
        <f t="shared" si="68"/>
        <v>0</v>
      </c>
      <c r="AS153" s="109">
        <f t="shared" si="69"/>
        <v>0</v>
      </c>
      <c r="AT153" s="109">
        <f t="shared" si="70"/>
        <v>0</v>
      </c>
      <c r="AU153" s="109">
        <f t="shared" si="71"/>
        <v>0</v>
      </c>
      <c r="AV153" s="109">
        <f t="shared" si="72"/>
        <v>0</v>
      </c>
      <c r="AW153" s="109">
        <f t="shared" si="73"/>
        <v>0</v>
      </c>
      <c r="AX153" s="109">
        <f t="shared" si="74"/>
        <v>0</v>
      </c>
      <c r="AY153" s="109">
        <f t="shared" si="75"/>
        <v>0</v>
      </c>
      <c r="AZ153" s="109">
        <f t="shared" si="76"/>
        <v>0</v>
      </c>
      <c r="BA153" s="109">
        <f t="shared" si="77"/>
        <v>0</v>
      </c>
      <c r="BB153" s="109">
        <f t="shared" si="78"/>
        <v>0</v>
      </c>
      <c r="BC153" s="109">
        <f t="shared" si="79"/>
        <v>0</v>
      </c>
      <c r="BD153" s="109">
        <f t="shared" si="80"/>
        <v>0</v>
      </c>
      <c r="BE153" s="107"/>
      <c r="BF153" s="107"/>
      <c r="BG153" s="107"/>
      <c r="BH153" s="107"/>
      <c r="BI153" s="107"/>
      <c r="BJ153" s="107"/>
      <c r="BK153" s="107"/>
      <c r="BL153" s="107"/>
    </row>
    <row r="154" spans="1:64" ht="15" x14ac:dyDescent="0.2">
      <c r="A154" s="389"/>
      <c r="B154" s="389"/>
      <c r="C154" s="106" t="s">
        <v>387</v>
      </c>
      <c r="D154" s="377"/>
      <c r="E154" s="106"/>
      <c r="F154" s="106">
        <v>15.12</v>
      </c>
      <c r="G154" s="106"/>
      <c r="H154" s="106"/>
      <c r="I154" s="106"/>
      <c r="J154" s="106"/>
      <c r="K154" s="106"/>
      <c r="L154" s="106"/>
      <c r="M154" s="106"/>
      <c r="N154" s="106"/>
      <c r="O154" s="106"/>
      <c r="P154" s="106"/>
      <c r="Q154" s="106"/>
      <c r="R154" s="106"/>
      <c r="S154" s="106"/>
      <c r="T154" s="106"/>
      <c r="U154" s="106"/>
      <c r="V154" s="106"/>
      <c r="W154" s="106"/>
      <c r="X154" s="106"/>
      <c r="Y154" s="106"/>
      <c r="Z154" s="106"/>
      <c r="AA154" s="106"/>
      <c r="AB154" s="106"/>
      <c r="AC154" s="106" t="s">
        <v>289</v>
      </c>
      <c r="AD154" s="110">
        <f t="shared" si="60"/>
        <v>22</v>
      </c>
      <c r="AE154" s="108">
        <f>'1. SA ABA DE CARREGAMENTO'!B90</f>
        <v>22</v>
      </c>
      <c r="AF154" s="377"/>
      <c r="AG154" s="109">
        <f t="shared" si="61"/>
        <v>0</v>
      </c>
      <c r="AH154" s="109">
        <f t="shared" si="62"/>
        <v>15.12</v>
      </c>
      <c r="AI154" s="109">
        <f t="shared" si="63"/>
        <v>0</v>
      </c>
      <c r="AJ154" s="109">
        <f t="shared" si="64"/>
        <v>0</v>
      </c>
      <c r="AK154" s="109">
        <f t="shared" si="65"/>
        <v>0</v>
      </c>
      <c r="AL154" s="109">
        <f t="shared" si="56"/>
        <v>0</v>
      </c>
      <c r="AM154" s="109">
        <f t="shared" si="57"/>
        <v>0</v>
      </c>
      <c r="AN154" s="109">
        <f t="shared" si="66"/>
        <v>0</v>
      </c>
      <c r="AO154" s="109">
        <f t="shared" si="67"/>
        <v>0</v>
      </c>
      <c r="AP154" s="109">
        <f t="shared" si="58"/>
        <v>0</v>
      </c>
      <c r="AQ154" s="109">
        <f t="shared" si="59"/>
        <v>0</v>
      </c>
      <c r="AR154" s="109">
        <f t="shared" si="68"/>
        <v>0</v>
      </c>
      <c r="AS154" s="109">
        <f t="shared" si="69"/>
        <v>0</v>
      </c>
      <c r="AT154" s="109">
        <f t="shared" si="70"/>
        <v>0</v>
      </c>
      <c r="AU154" s="109">
        <f t="shared" si="71"/>
        <v>0</v>
      </c>
      <c r="AV154" s="109">
        <f t="shared" si="72"/>
        <v>0</v>
      </c>
      <c r="AW154" s="109">
        <f t="shared" si="73"/>
        <v>0</v>
      </c>
      <c r="AX154" s="109">
        <f t="shared" si="74"/>
        <v>0</v>
      </c>
      <c r="AY154" s="109">
        <f t="shared" si="75"/>
        <v>0</v>
      </c>
      <c r="AZ154" s="109">
        <f t="shared" si="76"/>
        <v>0</v>
      </c>
      <c r="BA154" s="109">
        <f t="shared" si="77"/>
        <v>0</v>
      </c>
      <c r="BB154" s="109">
        <f t="shared" si="78"/>
        <v>0</v>
      </c>
      <c r="BC154" s="109">
        <f t="shared" si="79"/>
        <v>0</v>
      </c>
      <c r="BD154" s="109">
        <f t="shared" si="80"/>
        <v>0</v>
      </c>
      <c r="BE154" s="107"/>
      <c r="BF154" s="107"/>
      <c r="BG154" s="107"/>
      <c r="BH154" s="107"/>
      <c r="BI154" s="107"/>
      <c r="BJ154" s="107"/>
      <c r="BK154" s="107"/>
      <c r="BL154" s="107"/>
    </row>
    <row r="155" spans="1:64" ht="15" x14ac:dyDescent="0.2">
      <c r="A155" s="389"/>
      <c r="B155" s="389"/>
      <c r="C155" s="106" t="s">
        <v>388</v>
      </c>
      <c r="D155" s="377"/>
      <c r="E155" s="106"/>
      <c r="F155" s="106">
        <v>6.3</v>
      </c>
      <c r="G155" s="106"/>
      <c r="H155" s="106"/>
      <c r="I155" s="106"/>
      <c r="J155" s="106"/>
      <c r="K155" s="106"/>
      <c r="L155" s="106"/>
      <c r="M155" s="106"/>
      <c r="N155" s="106"/>
      <c r="O155" s="106"/>
      <c r="P155" s="106"/>
      <c r="Q155" s="106"/>
      <c r="R155" s="106"/>
      <c r="S155" s="106"/>
      <c r="T155" s="106"/>
      <c r="U155" s="106"/>
      <c r="V155" s="106"/>
      <c r="W155" s="106"/>
      <c r="X155" s="106"/>
      <c r="Y155" s="106"/>
      <c r="Z155" s="106"/>
      <c r="AA155" s="106"/>
      <c r="AB155" s="106"/>
      <c r="AC155" s="106" t="s">
        <v>289</v>
      </c>
      <c r="AD155" s="110">
        <f t="shared" si="60"/>
        <v>22</v>
      </c>
      <c r="AE155" s="108">
        <f>'1. SA ABA DE CARREGAMENTO'!B90</f>
        <v>22</v>
      </c>
      <c r="AF155" s="377"/>
      <c r="AG155" s="109">
        <f t="shared" si="61"/>
        <v>0</v>
      </c>
      <c r="AH155" s="109">
        <f t="shared" si="62"/>
        <v>6.3</v>
      </c>
      <c r="AI155" s="109">
        <f t="shared" si="63"/>
        <v>0</v>
      </c>
      <c r="AJ155" s="109">
        <f t="shared" si="64"/>
        <v>0</v>
      </c>
      <c r="AK155" s="109">
        <f t="shared" si="65"/>
        <v>0</v>
      </c>
      <c r="AL155" s="109">
        <f t="shared" si="56"/>
        <v>0</v>
      </c>
      <c r="AM155" s="109">
        <f t="shared" si="57"/>
        <v>0</v>
      </c>
      <c r="AN155" s="109">
        <f t="shared" si="66"/>
        <v>0</v>
      </c>
      <c r="AO155" s="109">
        <f t="shared" si="67"/>
        <v>0</v>
      </c>
      <c r="AP155" s="109">
        <f t="shared" si="58"/>
        <v>0</v>
      </c>
      <c r="AQ155" s="109">
        <f t="shared" si="59"/>
        <v>0</v>
      </c>
      <c r="AR155" s="109">
        <f t="shared" si="68"/>
        <v>0</v>
      </c>
      <c r="AS155" s="109">
        <f t="shared" si="69"/>
        <v>0</v>
      </c>
      <c r="AT155" s="109">
        <f t="shared" si="70"/>
        <v>0</v>
      </c>
      <c r="AU155" s="109">
        <f t="shared" si="71"/>
        <v>0</v>
      </c>
      <c r="AV155" s="109">
        <f t="shared" si="72"/>
        <v>0</v>
      </c>
      <c r="AW155" s="109">
        <f t="shared" si="73"/>
        <v>0</v>
      </c>
      <c r="AX155" s="109">
        <f t="shared" si="74"/>
        <v>0</v>
      </c>
      <c r="AY155" s="109">
        <f t="shared" si="75"/>
        <v>0</v>
      </c>
      <c r="AZ155" s="109">
        <f t="shared" si="76"/>
        <v>0</v>
      </c>
      <c r="BA155" s="109">
        <f t="shared" si="77"/>
        <v>0</v>
      </c>
      <c r="BB155" s="109">
        <f t="shared" si="78"/>
        <v>0</v>
      </c>
      <c r="BC155" s="109">
        <f t="shared" si="79"/>
        <v>0</v>
      </c>
      <c r="BD155" s="109">
        <f t="shared" si="80"/>
        <v>0</v>
      </c>
      <c r="BE155" s="107"/>
      <c r="BF155" s="107"/>
      <c r="BG155" s="107"/>
      <c r="BH155" s="107"/>
      <c r="BI155" s="107"/>
      <c r="BJ155" s="107"/>
      <c r="BK155" s="107"/>
      <c r="BL155" s="107"/>
    </row>
    <row r="156" spans="1:64" ht="30" x14ac:dyDescent="0.2">
      <c r="A156" s="389"/>
      <c r="B156" s="389"/>
      <c r="C156" s="106" t="s">
        <v>389</v>
      </c>
      <c r="D156" s="377"/>
      <c r="E156" s="106"/>
      <c r="F156" s="106">
        <v>30.25</v>
      </c>
      <c r="G156" s="106"/>
      <c r="H156" s="106"/>
      <c r="I156" s="106"/>
      <c r="J156" s="106"/>
      <c r="K156" s="106"/>
      <c r="L156" s="106"/>
      <c r="M156" s="106"/>
      <c r="N156" s="106"/>
      <c r="O156" s="106"/>
      <c r="P156" s="106"/>
      <c r="Q156" s="106"/>
      <c r="R156" s="106"/>
      <c r="S156" s="106"/>
      <c r="T156" s="106"/>
      <c r="U156" s="106"/>
      <c r="V156" s="106"/>
      <c r="W156" s="106"/>
      <c r="X156" s="106"/>
      <c r="Y156" s="106"/>
      <c r="Z156" s="106"/>
      <c r="AA156" s="106"/>
      <c r="AB156" s="106"/>
      <c r="AC156" s="106" t="s">
        <v>289</v>
      </c>
      <c r="AD156" s="110">
        <f t="shared" si="60"/>
        <v>22</v>
      </c>
      <c r="AE156" s="108">
        <f>'1. SA ABA DE CARREGAMENTO'!B90</f>
        <v>22</v>
      </c>
      <c r="AF156" s="377"/>
      <c r="AG156" s="109">
        <f t="shared" si="61"/>
        <v>0</v>
      </c>
      <c r="AH156" s="109">
        <f t="shared" si="62"/>
        <v>30.25</v>
      </c>
      <c r="AI156" s="109">
        <f t="shared" si="63"/>
        <v>0</v>
      </c>
      <c r="AJ156" s="109">
        <f t="shared" si="64"/>
        <v>0</v>
      </c>
      <c r="AK156" s="109">
        <f t="shared" si="65"/>
        <v>0</v>
      </c>
      <c r="AL156" s="109">
        <f t="shared" si="56"/>
        <v>0</v>
      </c>
      <c r="AM156" s="109">
        <f t="shared" si="57"/>
        <v>0</v>
      </c>
      <c r="AN156" s="109">
        <f t="shared" si="66"/>
        <v>0</v>
      </c>
      <c r="AO156" s="109">
        <f t="shared" si="67"/>
        <v>0</v>
      </c>
      <c r="AP156" s="109">
        <f t="shared" si="58"/>
        <v>0</v>
      </c>
      <c r="AQ156" s="109">
        <f t="shared" si="59"/>
        <v>0</v>
      </c>
      <c r="AR156" s="109">
        <f t="shared" si="68"/>
        <v>0</v>
      </c>
      <c r="AS156" s="109">
        <f t="shared" si="69"/>
        <v>0</v>
      </c>
      <c r="AT156" s="109">
        <f t="shared" si="70"/>
        <v>0</v>
      </c>
      <c r="AU156" s="109">
        <f t="shared" si="71"/>
        <v>0</v>
      </c>
      <c r="AV156" s="109">
        <f t="shared" si="72"/>
        <v>0</v>
      </c>
      <c r="AW156" s="109">
        <f t="shared" si="73"/>
        <v>0</v>
      </c>
      <c r="AX156" s="109">
        <f t="shared" si="74"/>
        <v>0</v>
      </c>
      <c r="AY156" s="109">
        <f t="shared" si="75"/>
        <v>0</v>
      </c>
      <c r="AZ156" s="109">
        <f t="shared" si="76"/>
        <v>0</v>
      </c>
      <c r="BA156" s="109">
        <f t="shared" si="77"/>
        <v>0</v>
      </c>
      <c r="BB156" s="109">
        <f t="shared" si="78"/>
        <v>0</v>
      </c>
      <c r="BC156" s="109">
        <f t="shared" si="79"/>
        <v>0</v>
      </c>
      <c r="BD156" s="109">
        <f t="shared" si="80"/>
        <v>0</v>
      </c>
      <c r="BE156" s="107"/>
      <c r="BF156" s="107"/>
      <c r="BG156" s="107"/>
      <c r="BH156" s="107"/>
      <c r="BI156" s="107"/>
      <c r="BJ156" s="107"/>
      <c r="BK156" s="107"/>
      <c r="BL156" s="107"/>
    </row>
    <row r="157" spans="1:64" ht="15" x14ac:dyDescent="0.2">
      <c r="A157" s="389"/>
      <c r="B157" s="389"/>
      <c r="C157" s="106" t="s">
        <v>390</v>
      </c>
      <c r="D157" s="377"/>
      <c r="E157" s="106"/>
      <c r="F157" s="106">
        <v>15.12</v>
      </c>
      <c r="G157" s="106"/>
      <c r="H157" s="106"/>
      <c r="I157" s="106"/>
      <c r="J157" s="106"/>
      <c r="K157" s="106"/>
      <c r="L157" s="106"/>
      <c r="M157" s="106"/>
      <c r="N157" s="106"/>
      <c r="O157" s="106"/>
      <c r="P157" s="106"/>
      <c r="Q157" s="106"/>
      <c r="R157" s="106"/>
      <c r="S157" s="106"/>
      <c r="T157" s="106"/>
      <c r="U157" s="106"/>
      <c r="V157" s="106"/>
      <c r="W157" s="106"/>
      <c r="X157" s="106"/>
      <c r="Y157" s="106"/>
      <c r="Z157" s="106"/>
      <c r="AA157" s="106"/>
      <c r="AB157" s="106"/>
      <c r="AC157" s="106" t="s">
        <v>289</v>
      </c>
      <c r="AD157" s="110">
        <f t="shared" si="60"/>
        <v>22</v>
      </c>
      <c r="AE157" s="108">
        <f>'1. SA ABA DE CARREGAMENTO'!B90</f>
        <v>22</v>
      </c>
      <c r="AF157" s="377"/>
      <c r="AG157" s="109">
        <f t="shared" si="61"/>
        <v>0</v>
      </c>
      <c r="AH157" s="109">
        <f t="shared" si="62"/>
        <v>15.12</v>
      </c>
      <c r="AI157" s="109">
        <f t="shared" si="63"/>
        <v>0</v>
      </c>
      <c r="AJ157" s="109">
        <f t="shared" si="64"/>
        <v>0</v>
      </c>
      <c r="AK157" s="109">
        <f t="shared" si="65"/>
        <v>0</v>
      </c>
      <c r="AL157" s="109">
        <f t="shared" si="56"/>
        <v>0</v>
      </c>
      <c r="AM157" s="109">
        <f t="shared" si="57"/>
        <v>0</v>
      </c>
      <c r="AN157" s="109">
        <f t="shared" si="66"/>
        <v>0</v>
      </c>
      <c r="AO157" s="109">
        <f t="shared" si="67"/>
        <v>0</v>
      </c>
      <c r="AP157" s="109">
        <f t="shared" si="58"/>
        <v>0</v>
      </c>
      <c r="AQ157" s="109">
        <f t="shared" si="59"/>
        <v>0</v>
      </c>
      <c r="AR157" s="109">
        <f t="shared" si="68"/>
        <v>0</v>
      </c>
      <c r="AS157" s="109">
        <f t="shared" si="69"/>
        <v>0</v>
      </c>
      <c r="AT157" s="109">
        <f t="shared" si="70"/>
        <v>0</v>
      </c>
      <c r="AU157" s="109">
        <f t="shared" si="71"/>
        <v>0</v>
      </c>
      <c r="AV157" s="109">
        <f t="shared" si="72"/>
        <v>0</v>
      </c>
      <c r="AW157" s="109">
        <f t="shared" si="73"/>
        <v>0</v>
      </c>
      <c r="AX157" s="109">
        <f t="shared" si="74"/>
        <v>0</v>
      </c>
      <c r="AY157" s="109">
        <f t="shared" si="75"/>
        <v>0</v>
      </c>
      <c r="AZ157" s="109">
        <f t="shared" si="76"/>
        <v>0</v>
      </c>
      <c r="BA157" s="109">
        <f t="shared" si="77"/>
        <v>0</v>
      </c>
      <c r="BB157" s="109">
        <f t="shared" si="78"/>
        <v>0</v>
      </c>
      <c r="BC157" s="109">
        <f t="shared" si="79"/>
        <v>0</v>
      </c>
      <c r="BD157" s="109">
        <f t="shared" si="80"/>
        <v>0</v>
      </c>
      <c r="BE157" s="107"/>
      <c r="BF157" s="107"/>
      <c r="BG157" s="107"/>
      <c r="BH157" s="107"/>
      <c r="BI157" s="107"/>
      <c r="BJ157" s="107"/>
      <c r="BK157" s="107"/>
      <c r="BL157" s="107"/>
    </row>
    <row r="158" spans="1:64" ht="15" x14ac:dyDescent="0.2">
      <c r="A158" s="389"/>
      <c r="B158" s="389"/>
      <c r="C158" s="106" t="s">
        <v>388</v>
      </c>
      <c r="D158" s="377"/>
      <c r="E158" s="106"/>
      <c r="F158" s="106">
        <v>6.3</v>
      </c>
      <c r="G158" s="106"/>
      <c r="H158" s="106"/>
      <c r="I158" s="106"/>
      <c r="J158" s="106"/>
      <c r="K158" s="106"/>
      <c r="L158" s="106"/>
      <c r="M158" s="106"/>
      <c r="N158" s="106"/>
      <c r="O158" s="106"/>
      <c r="P158" s="106"/>
      <c r="Q158" s="106"/>
      <c r="R158" s="106"/>
      <c r="S158" s="106"/>
      <c r="T158" s="106"/>
      <c r="U158" s="106"/>
      <c r="V158" s="106"/>
      <c r="W158" s="106"/>
      <c r="X158" s="106"/>
      <c r="Y158" s="106"/>
      <c r="Z158" s="106"/>
      <c r="AA158" s="106"/>
      <c r="AB158" s="106"/>
      <c r="AC158" s="106" t="s">
        <v>289</v>
      </c>
      <c r="AD158" s="110">
        <f t="shared" si="60"/>
        <v>22</v>
      </c>
      <c r="AE158" s="108">
        <f>'1. SA ABA DE CARREGAMENTO'!B90</f>
        <v>22</v>
      </c>
      <c r="AF158" s="377"/>
      <c r="AG158" s="109">
        <f t="shared" si="61"/>
        <v>0</v>
      </c>
      <c r="AH158" s="109">
        <f t="shared" si="62"/>
        <v>6.3</v>
      </c>
      <c r="AI158" s="109">
        <f t="shared" si="63"/>
        <v>0</v>
      </c>
      <c r="AJ158" s="109">
        <f t="shared" si="64"/>
        <v>0</v>
      </c>
      <c r="AK158" s="109">
        <f t="shared" si="65"/>
        <v>0</v>
      </c>
      <c r="AL158" s="109">
        <f t="shared" si="56"/>
        <v>0</v>
      </c>
      <c r="AM158" s="109">
        <f t="shared" si="57"/>
        <v>0</v>
      </c>
      <c r="AN158" s="109">
        <f t="shared" si="66"/>
        <v>0</v>
      </c>
      <c r="AO158" s="109">
        <f t="shared" si="67"/>
        <v>0</v>
      </c>
      <c r="AP158" s="109">
        <f t="shared" si="58"/>
        <v>0</v>
      </c>
      <c r="AQ158" s="109">
        <f t="shared" si="59"/>
        <v>0</v>
      </c>
      <c r="AR158" s="109">
        <f t="shared" si="68"/>
        <v>0</v>
      </c>
      <c r="AS158" s="109">
        <f t="shared" si="69"/>
        <v>0</v>
      </c>
      <c r="AT158" s="109">
        <f t="shared" si="70"/>
        <v>0</v>
      </c>
      <c r="AU158" s="109">
        <f t="shared" si="71"/>
        <v>0</v>
      </c>
      <c r="AV158" s="109">
        <f t="shared" si="72"/>
        <v>0</v>
      </c>
      <c r="AW158" s="109">
        <f t="shared" si="73"/>
        <v>0</v>
      </c>
      <c r="AX158" s="109">
        <f t="shared" si="74"/>
        <v>0</v>
      </c>
      <c r="AY158" s="109">
        <f t="shared" si="75"/>
        <v>0</v>
      </c>
      <c r="AZ158" s="109">
        <f t="shared" si="76"/>
        <v>0</v>
      </c>
      <c r="BA158" s="109">
        <f t="shared" si="77"/>
        <v>0</v>
      </c>
      <c r="BB158" s="109">
        <f t="shared" si="78"/>
        <v>0</v>
      </c>
      <c r="BC158" s="109">
        <f t="shared" si="79"/>
        <v>0</v>
      </c>
      <c r="BD158" s="109">
        <f t="shared" si="80"/>
        <v>0</v>
      </c>
      <c r="BE158" s="107"/>
      <c r="BF158" s="107"/>
      <c r="BG158" s="107"/>
      <c r="BH158" s="107"/>
      <c r="BI158" s="107"/>
      <c r="BJ158" s="107"/>
      <c r="BK158" s="107"/>
      <c r="BL158" s="107"/>
    </row>
    <row r="159" spans="1:64" ht="30" x14ac:dyDescent="0.2">
      <c r="A159" s="389"/>
      <c r="B159" s="389"/>
      <c r="C159" s="106" t="s">
        <v>391</v>
      </c>
      <c r="D159" s="377"/>
      <c r="E159" s="106">
        <v>15.72</v>
      </c>
      <c r="F159" s="106"/>
      <c r="G159" s="106"/>
      <c r="H159" s="106"/>
      <c r="I159" s="106"/>
      <c r="J159" s="106"/>
      <c r="K159" s="106"/>
      <c r="L159" s="106"/>
      <c r="M159" s="106"/>
      <c r="N159" s="106"/>
      <c r="O159" s="106"/>
      <c r="P159" s="106"/>
      <c r="Q159" s="106"/>
      <c r="R159" s="106"/>
      <c r="S159" s="106"/>
      <c r="T159" s="106"/>
      <c r="U159" s="106"/>
      <c r="V159" s="106"/>
      <c r="W159" s="106"/>
      <c r="X159" s="106"/>
      <c r="Y159" s="106"/>
      <c r="Z159" s="106"/>
      <c r="AA159" s="106"/>
      <c r="AB159" s="106"/>
      <c r="AC159" s="106" t="s">
        <v>289</v>
      </c>
      <c r="AD159" s="110">
        <f t="shared" si="60"/>
        <v>22</v>
      </c>
      <c r="AE159" s="108">
        <f>'1. SA ABA DE CARREGAMENTO'!B90</f>
        <v>22</v>
      </c>
      <c r="AF159" s="377"/>
      <c r="AG159" s="109">
        <f t="shared" si="61"/>
        <v>15.72</v>
      </c>
      <c r="AH159" s="109">
        <f t="shared" si="62"/>
        <v>0</v>
      </c>
      <c r="AI159" s="109">
        <f t="shared" si="63"/>
        <v>0</v>
      </c>
      <c r="AJ159" s="109">
        <f t="shared" si="64"/>
        <v>0</v>
      </c>
      <c r="AK159" s="109">
        <f t="shared" si="65"/>
        <v>0</v>
      </c>
      <c r="AL159" s="109">
        <f t="shared" si="56"/>
        <v>0</v>
      </c>
      <c r="AM159" s="109">
        <f t="shared" si="57"/>
        <v>0</v>
      </c>
      <c r="AN159" s="109">
        <f t="shared" si="66"/>
        <v>0</v>
      </c>
      <c r="AO159" s="109">
        <f t="shared" si="67"/>
        <v>0</v>
      </c>
      <c r="AP159" s="109">
        <f t="shared" si="58"/>
        <v>0</v>
      </c>
      <c r="AQ159" s="109">
        <f t="shared" si="59"/>
        <v>0</v>
      </c>
      <c r="AR159" s="109">
        <f t="shared" si="68"/>
        <v>0</v>
      </c>
      <c r="AS159" s="109">
        <f t="shared" si="69"/>
        <v>0</v>
      </c>
      <c r="AT159" s="109">
        <f t="shared" si="70"/>
        <v>0</v>
      </c>
      <c r="AU159" s="109">
        <f t="shared" si="71"/>
        <v>0</v>
      </c>
      <c r="AV159" s="109">
        <f t="shared" si="72"/>
        <v>0</v>
      </c>
      <c r="AW159" s="109">
        <f t="shared" si="73"/>
        <v>0</v>
      </c>
      <c r="AX159" s="109">
        <f t="shared" si="74"/>
        <v>0</v>
      </c>
      <c r="AY159" s="109">
        <f t="shared" si="75"/>
        <v>0</v>
      </c>
      <c r="AZ159" s="109">
        <f t="shared" si="76"/>
        <v>0</v>
      </c>
      <c r="BA159" s="109">
        <f t="shared" si="77"/>
        <v>0</v>
      </c>
      <c r="BB159" s="109">
        <f t="shared" si="78"/>
        <v>0</v>
      </c>
      <c r="BC159" s="109">
        <f t="shared" si="79"/>
        <v>0</v>
      </c>
      <c r="BD159" s="109">
        <f t="shared" si="80"/>
        <v>0</v>
      </c>
      <c r="BE159" s="107"/>
      <c r="BF159" s="107"/>
      <c r="BG159" s="107"/>
      <c r="BH159" s="107"/>
      <c r="BI159" s="107"/>
      <c r="BJ159" s="107"/>
      <c r="BK159" s="107"/>
      <c r="BL159" s="107"/>
    </row>
    <row r="160" spans="1:64" ht="12.75" customHeight="1" x14ac:dyDescent="0.2">
      <c r="A160" s="389"/>
      <c r="B160" s="389"/>
      <c r="C160" s="106" t="s">
        <v>392</v>
      </c>
      <c r="D160" s="377"/>
      <c r="E160" s="106"/>
      <c r="F160" s="106">
        <v>28.13</v>
      </c>
      <c r="G160" s="106"/>
      <c r="H160" s="106"/>
      <c r="I160" s="106"/>
      <c r="J160" s="106"/>
      <c r="K160" s="106"/>
      <c r="L160" s="106"/>
      <c r="M160" s="106"/>
      <c r="N160" s="106"/>
      <c r="O160" s="106"/>
      <c r="P160" s="106"/>
      <c r="Q160" s="106"/>
      <c r="R160" s="106"/>
      <c r="S160" s="106"/>
      <c r="T160" s="106"/>
      <c r="U160" s="106"/>
      <c r="V160" s="106"/>
      <c r="W160" s="106"/>
      <c r="X160" s="106"/>
      <c r="Y160" s="106"/>
      <c r="Z160" s="106"/>
      <c r="AA160" s="106"/>
      <c r="AB160" s="106"/>
      <c r="AC160" s="106" t="s">
        <v>289</v>
      </c>
      <c r="AD160" s="110">
        <f t="shared" si="60"/>
        <v>22</v>
      </c>
      <c r="AE160" s="108">
        <f>'1. SA ABA DE CARREGAMENTO'!B90</f>
        <v>22</v>
      </c>
      <c r="AF160" s="377"/>
      <c r="AG160" s="109">
        <f t="shared" si="61"/>
        <v>0</v>
      </c>
      <c r="AH160" s="109">
        <f t="shared" si="62"/>
        <v>28.13</v>
      </c>
      <c r="AI160" s="109">
        <f t="shared" si="63"/>
        <v>0</v>
      </c>
      <c r="AJ160" s="109">
        <f t="shared" si="64"/>
        <v>0</v>
      </c>
      <c r="AK160" s="109">
        <f t="shared" si="65"/>
        <v>0</v>
      </c>
      <c r="AL160" s="109">
        <f t="shared" si="56"/>
        <v>0</v>
      </c>
      <c r="AM160" s="109">
        <f t="shared" si="57"/>
        <v>0</v>
      </c>
      <c r="AN160" s="109">
        <f t="shared" si="66"/>
        <v>0</v>
      </c>
      <c r="AO160" s="109">
        <f t="shared" si="67"/>
        <v>0</v>
      </c>
      <c r="AP160" s="109">
        <f t="shared" si="58"/>
        <v>0</v>
      </c>
      <c r="AQ160" s="109">
        <f t="shared" si="59"/>
        <v>0</v>
      </c>
      <c r="AR160" s="109">
        <f t="shared" si="68"/>
        <v>0</v>
      </c>
      <c r="AS160" s="109">
        <f t="shared" si="69"/>
        <v>0</v>
      </c>
      <c r="AT160" s="109">
        <f t="shared" si="70"/>
        <v>0</v>
      </c>
      <c r="AU160" s="109">
        <f t="shared" si="71"/>
        <v>0</v>
      </c>
      <c r="AV160" s="109">
        <f t="shared" si="72"/>
        <v>0</v>
      </c>
      <c r="AW160" s="109">
        <f t="shared" si="73"/>
        <v>0</v>
      </c>
      <c r="AX160" s="109">
        <f t="shared" si="74"/>
        <v>0</v>
      </c>
      <c r="AY160" s="109">
        <f t="shared" si="75"/>
        <v>0</v>
      </c>
      <c r="AZ160" s="109">
        <f t="shared" si="76"/>
        <v>0</v>
      </c>
      <c r="BA160" s="109">
        <f t="shared" si="77"/>
        <v>0</v>
      </c>
      <c r="BB160" s="109">
        <f t="shared" si="78"/>
        <v>0</v>
      </c>
      <c r="BC160" s="109">
        <f t="shared" si="79"/>
        <v>0</v>
      </c>
      <c r="BD160" s="109">
        <f t="shared" si="80"/>
        <v>0</v>
      </c>
      <c r="BE160" s="107"/>
      <c r="BF160" s="107"/>
      <c r="BG160" s="107"/>
      <c r="BH160" s="107"/>
      <c r="BI160" s="107"/>
      <c r="BJ160" s="107"/>
      <c r="BK160" s="107"/>
      <c r="BL160" s="107"/>
    </row>
    <row r="161" spans="1:64" ht="12.75" customHeight="1" x14ac:dyDescent="0.2">
      <c r="A161" s="389"/>
      <c r="B161" s="389"/>
      <c r="C161" s="106" t="s">
        <v>393</v>
      </c>
      <c r="D161" s="377"/>
      <c r="E161" s="106"/>
      <c r="F161" s="106">
        <v>14.22</v>
      </c>
      <c r="G161" s="106"/>
      <c r="H161" s="106"/>
      <c r="I161" s="106"/>
      <c r="J161" s="106"/>
      <c r="K161" s="106"/>
      <c r="L161" s="106"/>
      <c r="M161" s="106"/>
      <c r="N161" s="106"/>
      <c r="O161" s="106"/>
      <c r="P161" s="106"/>
      <c r="Q161" s="106"/>
      <c r="R161" s="106"/>
      <c r="S161" s="106"/>
      <c r="T161" s="106"/>
      <c r="U161" s="106"/>
      <c r="V161" s="106"/>
      <c r="W161" s="106"/>
      <c r="X161" s="106"/>
      <c r="Y161" s="106"/>
      <c r="Z161" s="106"/>
      <c r="AA161" s="106"/>
      <c r="AB161" s="106"/>
      <c r="AC161" s="106" t="s">
        <v>289</v>
      </c>
      <c r="AD161" s="110">
        <f t="shared" si="60"/>
        <v>22</v>
      </c>
      <c r="AE161" s="108">
        <f>'1. SA ABA DE CARREGAMENTO'!B90</f>
        <v>22</v>
      </c>
      <c r="AF161" s="377"/>
      <c r="AG161" s="109">
        <f t="shared" si="61"/>
        <v>0</v>
      </c>
      <c r="AH161" s="109">
        <f t="shared" si="62"/>
        <v>14.22</v>
      </c>
      <c r="AI161" s="109">
        <f t="shared" si="63"/>
        <v>0</v>
      </c>
      <c r="AJ161" s="109">
        <f t="shared" si="64"/>
        <v>0</v>
      </c>
      <c r="AK161" s="109">
        <f t="shared" si="65"/>
        <v>0</v>
      </c>
      <c r="AL161" s="109">
        <f t="shared" si="56"/>
        <v>0</v>
      </c>
      <c r="AM161" s="109">
        <f t="shared" si="57"/>
        <v>0</v>
      </c>
      <c r="AN161" s="109">
        <f t="shared" si="66"/>
        <v>0</v>
      </c>
      <c r="AO161" s="109">
        <f t="shared" si="67"/>
        <v>0</v>
      </c>
      <c r="AP161" s="109">
        <f t="shared" si="58"/>
        <v>0</v>
      </c>
      <c r="AQ161" s="109">
        <f t="shared" si="59"/>
        <v>0</v>
      </c>
      <c r="AR161" s="109">
        <f t="shared" si="68"/>
        <v>0</v>
      </c>
      <c r="AS161" s="109">
        <f t="shared" si="69"/>
        <v>0</v>
      </c>
      <c r="AT161" s="109">
        <f t="shared" si="70"/>
        <v>0</v>
      </c>
      <c r="AU161" s="109">
        <f t="shared" si="71"/>
        <v>0</v>
      </c>
      <c r="AV161" s="109">
        <f t="shared" si="72"/>
        <v>0</v>
      </c>
      <c r="AW161" s="109">
        <f t="shared" si="73"/>
        <v>0</v>
      </c>
      <c r="AX161" s="109">
        <f t="shared" si="74"/>
        <v>0</v>
      </c>
      <c r="AY161" s="109">
        <f t="shared" si="75"/>
        <v>0</v>
      </c>
      <c r="AZ161" s="109">
        <f t="shared" si="76"/>
        <v>0</v>
      </c>
      <c r="BA161" s="109">
        <f t="shared" si="77"/>
        <v>0</v>
      </c>
      <c r="BB161" s="109">
        <f t="shared" si="78"/>
        <v>0</v>
      </c>
      <c r="BC161" s="109">
        <f t="shared" si="79"/>
        <v>0</v>
      </c>
      <c r="BD161" s="109">
        <f t="shared" si="80"/>
        <v>0</v>
      </c>
      <c r="BE161" s="107"/>
      <c r="BF161" s="107"/>
      <c r="BG161" s="107"/>
      <c r="BH161" s="107"/>
      <c r="BI161" s="107"/>
      <c r="BJ161" s="107"/>
      <c r="BK161" s="107"/>
      <c r="BL161" s="107"/>
    </row>
    <row r="162" spans="1:64" ht="15" x14ac:dyDescent="0.2">
      <c r="A162" s="389"/>
      <c r="B162" s="389"/>
      <c r="C162" s="106" t="s">
        <v>271</v>
      </c>
      <c r="D162" s="377"/>
      <c r="E162" s="106"/>
      <c r="F162" s="106"/>
      <c r="G162" s="106"/>
      <c r="H162" s="106"/>
      <c r="I162" s="106"/>
      <c r="J162" s="106"/>
      <c r="K162" s="106"/>
      <c r="L162" s="106">
        <v>60</v>
      </c>
      <c r="M162" s="106"/>
      <c r="N162" s="106"/>
      <c r="O162" s="106"/>
      <c r="P162" s="106"/>
      <c r="Q162" s="106"/>
      <c r="R162" s="106"/>
      <c r="S162" s="106"/>
      <c r="T162" s="106"/>
      <c r="U162" s="106"/>
      <c r="V162" s="106"/>
      <c r="W162" s="106"/>
      <c r="X162" s="106"/>
      <c r="Y162" s="106"/>
      <c r="Z162" s="106"/>
      <c r="AA162" s="106"/>
      <c r="AB162" s="106"/>
      <c r="AC162" s="106" t="s">
        <v>270</v>
      </c>
      <c r="AD162" s="110">
        <f t="shared" si="60"/>
        <v>66</v>
      </c>
      <c r="AE162" s="108">
        <f>'1. SA ABA DE CARREGAMENTO'!B90</f>
        <v>22</v>
      </c>
      <c r="AF162" s="377"/>
      <c r="AG162" s="109">
        <f t="shared" si="61"/>
        <v>0</v>
      </c>
      <c r="AH162" s="109">
        <f t="shared" si="62"/>
        <v>0</v>
      </c>
      <c r="AI162" s="109">
        <f t="shared" si="63"/>
        <v>0</v>
      </c>
      <c r="AJ162" s="109">
        <f t="shared" si="64"/>
        <v>0</v>
      </c>
      <c r="AK162" s="109">
        <f t="shared" si="65"/>
        <v>0</v>
      </c>
      <c r="AL162" s="109">
        <f t="shared" si="56"/>
        <v>0</v>
      </c>
      <c r="AM162" s="109">
        <f t="shared" si="57"/>
        <v>0</v>
      </c>
      <c r="AN162" s="109">
        <f t="shared" si="66"/>
        <v>180</v>
      </c>
      <c r="AO162" s="109">
        <f t="shared" si="67"/>
        <v>0</v>
      </c>
      <c r="AP162" s="109">
        <f t="shared" si="58"/>
        <v>0</v>
      </c>
      <c r="AQ162" s="109">
        <f t="shared" si="59"/>
        <v>0</v>
      </c>
      <c r="AR162" s="109">
        <f t="shared" si="68"/>
        <v>0</v>
      </c>
      <c r="AS162" s="109">
        <f t="shared" si="69"/>
        <v>0</v>
      </c>
      <c r="AT162" s="109">
        <f t="shared" si="70"/>
        <v>0</v>
      </c>
      <c r="AU162" s="109">
        <f t="shared" si="71"/>
        <v>0</v>
      </c>
      <c r="AV162" s="109">
        <f t="shared" si="72"/>
        <v>0</v>
      </c>
      <c r="AW162" s="109">
        <f t="shared" si="73"/>
        <v>0</v>
      </c>
      <c r="AX162" s="109">
        <f t="shared" si="74"/>
        <v>0</v>
      </c>
      <c r="AY162" s="109">
        <f t="shared" si="75"/>
        <v>0</v>
      </c>
      <c r="AZ162" s="109">
        <f t="shared" si="76"/>
        <v>0</v>
      </c>
      <c r="BA162" s="109">
        <f t="shared" si="77"/>
        <v>0</v>
      </c>
      <c r="BB162" s="109">
        <f t="shared" si="78"/>
        <v>0</v>
      </c>
      <c r="BC162" s="109">
        <f t="shared" si="79"/>
        <v>0</v>
      </c>
      <c r="BD162" s="109">
        <f t="shared" si="80"/>
        <v>0</v>
      </c>
      <c r="BE162" s="107"/>
      <c r="BF162" s="107"/>
      <c r="BG162" s="107"/>
      <c r="BH162" s="107"/>
      <c r="BI162" s="107"/>
      <c r="BJ162" s="107"/>
      <c r="BK162" s="107"/>
      <c r="BL162" s="107"/>
    </row>
    <row r="163" spans="1:64" ht="15" x14ac:dyDescent="0.2">
      <c r="A163" s="389"/>
      <c r="B163" s="389"/>
      <c r="C163" s="106" t="s">
        <v>271</v>
      </c>
      <c r="D163" s="377"/>
      <c r="E163" s="106"/>
      <c r="F163" s="106"/>
      <c r="G163" s="106"/>
      <c r="H163" s="106"/>
      <c r="I163" s="106"/>
      <c r="J163" s="106"/>
      <c r="K163" s="106"/>
      <c r="L163" s="106">
        <v>51.5</v>
      </c>
      <c r="M163" s="106"/>
      <c r="N163" s="106"/>
      <c r="O163" s="106"/>
      <c r="P163" s="106"/>
      <c r="Q163" s="106"/>
      <c r="R163" s="106"/>
      <c r="S163" s="106"/>
      <c r="T163" s="106"/>
      <c r="U163" s="106"/>
      <c r="V163" s="106"/>
      <c r="W163" s="106"/>
      <c r="X163" s="106"/>
      <c r="Y163" s="106"/>
      <c r="Z163" s="106"/>
      <c r="AA163" s="106"/>
      <c r="AB163" s="106"/>
      <c r="AC163" s="106" t="s">
        <v>270</v>
      </c>
      <c r="AD163" s="110">
        <f t="shared" si="60"/>
        <v>66</v>
      </c>
      <c r="AE163" s="108">
        <f>'1. SA ABA DE CARREGAMENTO'!B90</f>
        <v>22</v>
      </c>
      <c r="AF163" s="377"/>
      <c r="AG163" s="109">
        <f t="shared" si="61"/>
        <v>0</v>
      </c>
      <c r="AH163" s="109">
        <f t="shared" si="62"/>
        <v>0</v>
      </c>
      <c r="AI163" s="109">
        <f t="shared" si="63"/>
        <v>0</v>
      </c>
      <c r="AJ163" s="109">
        <f t="shared" si="64"/>
        <v>0</v>
      </c>
      <c r="AK163" s="109">
        <f t="shared" si="65"/>
        <v>0</v>
      </c>
      <c r="AL163" s="109">
        <f t="shared" si="56"/>
        <v>0</v>
      </c>
      <c r="AM163" s="109">
        <f t="shared" si="57"/>
        <v>0</v>
      </c>
      <c r="AN163" s="109">
        <f t="shared" si="66"/>
        <v>154.5</v>
      </c>
      <c r="AO163" s="109">
        <f t="shared" si="67"/>
        <v>0</v>
      </c>
      <c r="AP163" s="109">
        <f t="shared" si="58"/>
        <v>0</v>
      </c>
      <c r="AQ163" s="109">
        <f t="shared" si="59"/>
        <v>0</v>
      </c>
      <c r="AR163" s="109">
        <f t="shared" si="68"/>
        <v>0</v>
      </c>
      <c r="AS163" s="109">
        <f t="shared" si="69"/>
        <v>0</v>
      </c>
      <c r="AT163" s="109">
        <f t="shared" si="70"/>
        <v>0</v>
      </c>
      <c r="AU163" s="109">
        <f t="shared" si="71"/>
        <v>0</v>
      </c>
      <c r="AV163" s="109">
        <f t="shared" si="72"/>
        <v>0</v>
      </c>
      <c r="AW163" s="109">
        <f t="shared" si="73"/>
        <v>0</v>
      </c>
      <c r="AX163" s="109">
        <f t="shared" si="74"/>
        <v>0</v>
      </c>
      <c r="AY163" s="109">
        <f t="shared" si="75"/>
        <v>0</v>
      </c>
      <c r="AZ163" s="109">
        <f t="shared" si="76"/>
        <v>0</v>
      </c>
      <c r="BA163" s="109">
        <f t="shared" si="77"/>
        <v>0</v>
      </c>
      <c r="BB163" s="109">
        <f t="shared" si="78"/>
        <v>0</v>
      </c>
      <c r="BC163" s="109">
        <f t="shared" si="79"/>
        <v>0</v>
      </c>
      <c r="BD163" s="109">
        <f t="shared" si="80"/>
        <v>0</v>
      </c>
      <c r="BE163" s="107"/>
      <c r="BF163" s="107"/>
      <c r="BG163" s="107"/>
      <c r="BH163" s="107"/>
      <c r="BI163" s="107"/>
      <c r="BJ163" s="107"/>
      <c r="BK163" s="107"/>
      <c r="BL163" s="107"/>
    </row>
    <row r="164" spans="1:64" ht="15" x14ac:dyDescent="0.2">
      <c r="A164" s="389"/>
      <c r="B164" s="389"/>
      <c r="C164" s="106" t="s">
        <v>394</v>
      </c>
      <c r="D164" s="377"/>
      <c r="E164" s="106"/>
      <c r="F164" s="106"/>
      <c r="G164" s="106"/>
      <c r="H164" s="106"/>
      <c r="I164" s="106"/>
      <c r="J164" s="106"/>
      <c r="K164" s="106"/>
      <c r="L164" s="106">
        <v>50</v>
      </c>
      <c r="M164" s="106"/>
      <c r="N164" s="106"/>
      <c r="O164" s="106"/>
      <c r="P164" s="106"/>
      <c r="Q164" s="106"/>
      <c r="R164" s="106"/>
      <c r="S164" s="106"/>
      <c r="T164" s="106"/>
      <c r="U164" s="106"/>
      <c r="V164" s="106"/>
      <c r="W164" s="106"/>
      <c r="X164" s="106"/>
      <c r="Y164" s="106"/>
      <c r="Z164" s="106"/>
      <c r="AA164" s="106"/>
      <c r="AB164" s="106"/>
      <c r="AC164" s="106" t="s">
        <v>270</v>
      </c>
      <c r="AD164" s="110">
        <f t="shared" si="60"/>
        <v>66</v>
      </c>
      <c r="AE164" s="108">
        <f>'1. SA ABA DE CARREGAMENTO'!B90</f>
        <v>22</v>
      </c>
      <c r="AF164" s="377"/>
      <c r="AG164" s="109">
        <f t="shared" si="61"/>
        <v>0</v>
      </c>
      <c r="AH164" s="109">
        <f t="shared" si="62"/>
        <v>0</v>
      </c>
      <c r="AI164" s="109">
        <f t="shared" si="63"/>
        <v>0</v>
      </c>
      <c r="AJ164" s="109">
        <f t="shared" si="64"/>
        <v>0</v>
      </c>
      <c r="AK164" s="109">
        <f t="shared" si="65"/>
        <v>0</v>
      </c>
      <c r="AL164" s="109">
        <f t="shared" si="56"/>
        <v>0</v>
      </c>
      <c r="AM164" s="109">
        <f t="shared" si="57"/>
        <v>0</v>
      </c>
      <c r="AN164" s="109">
        <f t="shared" si="66"/>
        <v>150</v>
      </c>
      <c r="AO164" s="109">
        <f t="shared" si="67"/>
        <v>0</v>
      </c>
      <c r="AP164" s="109">
        <f t="shared" si="58"/>
        <v>0</v>
      </c>
      <c r="AQ164" s="109">
        <f t="shared" si="59"/>
        <v>0</v>
      </c>
      <c r="AR164" s="109">
        <f t="shared" si="68"/>
        <v>0</v>
      </c>
      <c r="AS164" s="109">
        <f t="shared" si="69"/>
        <v>0</v>
      </c>
      <c r="AT164" s="109">
        <f t="shared" si="70"/>
        <v>0</v>
      </c>
      <c r="AU164" s="109">
        <f t="shared" si="71"/>
        <v>0</v>
      </c>
      <c r="AV164" s="109">
        <f t="shared" si="72"/>
        <v>0</v>
      </c>
      <c r="AW164" s="109">
        <f t="shared" si="73"/>
        <v>0</v>
      </c>
      <c r="AX164" s="109">
        <f t="shared" si="74"/>
        <v>0</v>
      </c>
      <c r="AY164" s="109">
        <f t="shared" si="75"/>
        <v>0</v>
      </c>
      <c r="AZ164" s="109">
        <f t="shared" si="76"/>
        <v>0</v>
      </c>
      <c r="BA164" s="109">
        <f t="shared" si="77"/>
        <v>0</v>
      </c>
      <c r="BB164" s="109">
        <f t="shared" si="78"/>
        <v>0</v>
      </c>
      <c r="BC164" s="109">
        <f t="shared" si="79"/>
        <v>0</v>
      </c>
      <c r="BD164" s="109">
        <f t="shared" si="80"/>
        <v>0</v>
      </c>
      <c r="BE164" s="107"/>
      <c r="BF164" s="107"/>
      <c r="BG164" s="107"/>
      <c r="BH164" s="107"/>
      <c r="BI164" s="107"/>
      <c r="BJ164" s="107"/>
      <c r="BK164" s="107"/>
      <c r="BL164" s="107"/>
    </row>
    <row r="165" spans="1:64" ht="15" x14ac:dyDescent="0.2">
      <c r="A165" s="389"/>
      <c r="B165" s="389"/>
      <c r="C165" s="106" t="s">
        <v>271</v>
      </c>
      <c r="D165" s="377"/>
      <c r="E165" s="106"/>
      <c r="F165" s="106"/>
      <c r="G165" s="106"/>
      <c r="H165" s="106"/>
      <c r="I165" s="106"/>
      <c r="J165" s="106"/>
      <c r="K165" s="106"/>
      <c r="L165" s="106">
        <v>69.290000000000006</v>
      </c>
      <c r="M165" s="106"/>
      <c r="N165" s="106"/>
      <c r="O165" s="106"/>
      <c r="P165" s="106"/>
      <c r="Q165" s="106"/>
      <c r="R165" s="106"/>
      <c r="S165" s="106"/>
      <c r="T165" s="106"/>
      <c r="U165" s="106"/>
      <c r="V165" s="106"/>
      <c r="W165" s="106"/>
      <c r="X165" s="106"/>
      <c r="Y165" s="106"/>
      <c r="Z165" s="106"/>
      <c r="AA165" s="106"/>
      <c r="AB165" s="106"/>
      <c r="AC165" s="106" t="s">
        <v>270</v>
      </c>
      <c r="AD165" s="110">
        <f t="shared" si="60"/>
        <v>66</v>
      </c>
      <c r="AE165" s="108">
        <f>'1. SA ABA DE CARREGAMENTO'!B90</f>
        <v>22</v>
      </c>
      <c r="AF165" s="377"/>
      <c r="AG165" s="109">
        <f t="shared" si="61"/>
        <v>0</v>
      </c>
      <c r="AH165" s="109">
        <f t="shared" si="62"/>
        <v>0</v>
      </c>
      <c r="AI165" s="109">
        <f t="shared" si="63"/>
        <v>0</v>
      </c>
      <c r="AJ165" s="109">
        <f t="shared" si="64"/>
        <v>0</v>
      </c>
      <c r="AK165" s="109">
        <f t="shared" si="65"/>
        <v>0</v>
      </c>
      <c r="AL165" s="109">
        <f t="shared" si="56"/>
        <v>0</v>
      </c>
      <c r="AM165" s="109">
        <f t="shared" si="57"/>
        <v>0</v>
      </c>
      <c r="AN165" s="109">
        <f t="shared" si="66"/>
        <v>207.87</v>
      </c>
      <c r="AO165" s="109">
        <f t="shared" si="67"/>
        <v>0</v>
      </c>
      <c r="AP165" s="109">
        <f t="shared" si="58"/>
        <v>0</v>
      </c>
      <c r="AQ165" s="109">
        <f t="shared" si="59"/>
        <v>0</v>
      </c>
      <c r="AR165" s="109">
        <f t="shared" si="68"/>
        <v>0</v>
      </c>
      <c r="AS165" s="109">
        <f t="shared" si="69"/>
        <v>0</v>
      </c>
      <c r="AT165" s="109">
        <f t="shared" si="70"/>
        <v>0</v>
      </c>
      <c r="AU165" s="109">
        <f t="shared" si="71"/>
        <v>0</v>
      </c>
      <c r="AV165" s="109">
        <f t="shared" si="72"/>
        <v>0</v>
      </c>
      <c r="AW165" s="109">
        <f t="shared" si="73"/>
        <v>0</v>
      </c>
      <c r="AX165" s="109">
        <f t="shared" si="74"/>
        <v>0</v>
      </c>
      <c r="AY165" s="109">
        <f t="shared" si="75"/>
        <v>0</v>
      </c>
      <c r="AZ165" s="109">
        <f t="shared" si="76"/>
        <v>0</v>
      </c>
      <c r="BA165" s="109">
        <f t="shared" si="77"/>
        <v>0</v>
      </c>
      <c r="BB165" s="109">
        <f t="shared" si="78"/>
        <v>0</v>
      </c>
      <c r="BC165" s="109">
        <f t="shared" si="79"/>
        <v>0</v>
      </c>
      <c r="BD165" s="109">
        <f t="shared" si="80"/>
        <v>0</v>
      </c>
      <c r="BE165" s="107"/>
      <c r="BF165" s="107"/>
      <c r="BG165" s="107"/>
      <c r="BH165" s="107"/>
      <c r="BI165" s="107"/>
      <c r="BJ165" s="107"/>
      <c r="BK165" s="107"/>
      <c r="BL165" s="107"/>
    </row>
    <row r="166" spans="1:64" ht="12.75" customHeight="1" x14ac:dyDescent="0.2">
      <c r="A166" s="389"/>
      <c r="B166" s="389"/>
      <c r="C166" s="106" t="s">
        <v>274</v>
      </c>
      <c r="D166" s="377"/>
      <c r="E166" s="106"/>
      <c r="F166" s="106"/>
      <c r="G166" s="106"/>
      <c r="H166" s="106"/>
      <c r="I166" s="106"/>
      <c r="J166" s="106"/>
      <c r="K166" s="106"/>
      <c r="L166" s="106"/>
      <c r="M166" s="106"/>
      <c r="N166" s="106"/>
      <c r="O166" s="106"/>
      <c r="P166" s="106"/>
      <c r="Q166" s="106"/>
      <c r="R166" s="106"/>
      <c r="S166" s="106"/>
      <c r="T166" s="106"/>
      <c r="U166" s="106"/>
      <c r="V166" s="127">
        <v>221.58</v>
      </c>
      <c r="W166" s="120"/>
      <c r="X166" s="106"/>
      <c r="Y166" s="106"/>
      <c r="Z166" s="106"/>
      <c r="AA166" s="106"/>
      <c r="AB166" s="106"/>
      <c r="AC166" s="106" t="s">
        <v>275</v>
      </c>
      <c r="AD166" s="110">
        <f t="shared" si="60"/>
        <v>0.17</v>
      </c>
      <c r="AE166" s="108">
        <f>'1. SA ABA DE CARREGAMENTO'!B90</f>
        <v>22</v>
      </c>
      <c r="AF166" s="377"/>
      <c r="AG166" s="109">
        <f t="shared" si="61"/>
        <v>0</v>
      </c>
      <c r="AH166" s="109">
        <f t="shared" si="62"/>
        <v>0</v>
      </c>
      <c r="AI166" s="109">
        <f t="shared" si="63"/>
        <v>0</v>
      </c>
      <c r="AJ166" s="109">
        <f t="shared" si="64"/>
        <v>0</v>
      </c>
      <c r="AK166" s="109">
        <f t="shared" si="65"/>
        <v>0</v>
      </c>
      <c r="AL166" s="109">
        <f t="shared" si="56"/>
        <v>0</v>
      </c>
      <c r="AM166" s="109">
        <f t="shared" si="57"/>
        <v>0</v>
      </c>
      <c r="AN166" s="109">
        <f t="shared" si="66"/>
        <v>0</v>
      </c>
      <c r="AO166" s="109">
        <f t="shared" si="67"/>
        <v>0</v>
      </c>
      <c r="AP166" s="109">
        <f t="shared" si="58"/>
        <v>0</v>
      </c>
      <c r="AQ166" s="109">
        <f t="shared" si="59"/>
        <v>0</v>
      </c>
      <c r="AR166" s="109">
        <f t="shared" si="68"/>
        <v>0</v>
      </c>
      <c r="AS166" s="109">
        <f t="shared" si="69"/>
        <v>0</v>
      </c>
      <c r="AT166" s="109">
        <f t="shared" si="70"/>
        <v>0</v>
      </c>
      <c r="AU166" s="109">
        <f t="shared" si="71"/>
        <v>0</v>
      </c>
      <c r="AV166" s="109">
        <f t="shared" si="72"/>
        <v>0</v>
      </c>
      <c r="AW166" s="109">
        <f t="shared" si="73"/>
        <v>0</v>
      </c>
      <c r="AX166" s="109">
        <f t="shared" si="74"/>
        <v>1.7122090909090912</v>
      </c>
      <c r="AY166" s="109">
        <f t="shared" si="75"/>
        <v>0</v>
      </c>
      <c r="AZ166" s="109">
        <f t="shared" si="76"/>
        <v>0</v>
      </c>
      <c r="BA166" s="109">
        <f t="shared" si="77"/>
        <v>0</v>
      </c>
      <c r="BB166" s="109">
        <f t="shared" si="78"/>
        <v>0</v>
      </c>
      <c r="BC166" s="109">
        <f t="shared" si="79"/>
        <v>0</v>
      </c>
      <c r="BD166" s="109">
        <f t="shared" si="80"/>
        <v>0</v>
      </c>
      <c r="BE166" s="107"/>
      <c r="BF166" s="107"/>
      <c r="BG166" s="107"/>
      <c r="BH166" s="107"/>
      <c r="BI166" s="107"/>
      <c r="BJ166" s="107"/>
      <c r="BK166" s="107"/>
      <c r="BL166" s="107"/>
    </row>
    <row r="167" spans="1:64" ht="12.75" customHeight="1" x14ac:dyDescent="0.2">
      <c r="A167" s="389"/>
      <c r="B167" s="389"/>
      <c r="C167" s="106" t="s">
        <v>276</v>
      </c>
      <c r="D167" s="377"/>
      <c r="E167" s="106"/>
      <c r="F167" s="106"/>
      <c r="G167" s="106"/>
      <c r="H167" s="106"/>
      <c r="I167" s="106"/>
      <c r="J167" s="106"/>
      <c r="K167" s="106"/>
      <c r="L167" s="106"/>
      <c r="M167" s="106"/>
      <c r="N167" s="106"/>
      <c r="O167" s="106"/>
      <c r="P167" s="106"/>
      <c r="Q167" s="106"/>
      <c r="R167" s="106"/>
      <c r="S167" s="106"/>
      <c r="T167" s="106"/>
      <c r="U167" s="106"/>
      <c r="V167" s="106"/>
      <c r="W167" s="106">
        <f>5.07+221.58</f>
        <v>226.65</v>
      </c>
      <c r="X167" s="106"/>
      <c r="Y167" s="106"/>
      <c r="Z167" s="106"/>
      <c r="AA167" s="106"/>
      <c r="AB167" s="106"/>
      <c r="AC167" s="106" t="s">
        <v>277</v>
      </c>
      <c r="AD167" s="110">
        <f t="shared" si="60"/>
        <v>8</v>
      </c>
      <c r="AE167" s="108">
        <f>'1. SA ABA DE CARREGAMENTO'!B90</f>
        <v>22</v>
      </c>
      <c r="AF167" s="377"/>
      <c r="AG167" s="109">
        <f t="shared" si="61"/>
        <v>0</v>
      </c>
      <c r="AH167" s="109">
        <f t="shared" si="62"/>
        <v>0</v>
      </c>
      <c r="AI167" s="109">
        <f t="shared" si="63"/>
        <v>0</v>
      </c>
      <c r="AJ167" s="109">
        <f t="shared" si="64"/>
        <v>0</v>
      </c>
      <c r="AK167" s="109">
        <f t="shared" si="65"/>
        <v>0</v>
      </c>
      <c r="AL167" s="109">
        <f t="shared" si="56"/>
        <v>0</v>
      </c>
      <c r="AM167" s="109">
        <f t="shared" si="57"/>
        <v>0</v>
      </c>
      <c r="AN167" s="109">
        <f t="shared" si="66"/>
        <v>0</v>
      </c>
      <c r="AO167" s="109">
        <f t="shared" si="67"/>
        <v>0</v>
      </c>
      <c r="AP167" s="109">
        <f t="shared" si="58"/>
        <v>0</v>
      </c>
      <c r="AQ167" s="109">
        <f t="shared" si="59"/>
        <v>0</v>
      </c>
      <c r="AR167" s="109">
        <f t="shared" si="68"/>
        <v>0</v>
      </c>
      <c r="AS167" s="109">
        <f t="shared" si="69"/>
        <v>0</v>
      </c>
      <c r="AT167" s="109">
        <f t="shared" si="70"/>
        <v>0</v>
      </c>
      <c r="AU167" s="109">
        <f t="shared" si="71"/>
        <v>0</v>
      </c>
      <c r="AV167" s="109">
        <f t="shared" si="72"/>
        <v>0</v>
      </c>
      <c r="AW167" s="109">
        <f t="shared" si="73"/>
        <v>0</v>
      </c>
      <c r="AX167" s="109">
        <f t="shared" si="74"/>
        <v>0</v>
      </c>
      <c r="AY167" s="109">
        <f t="shared" si="75"/>
        <v>82.418181818181822</v>
      </c>
      <c r="AZ167" s="109">
        <f t="shared" si="76"/>
        <v>0</v>
      </c>
      <c r="BA167" s="109">
        <f t="shared" si="77"/>
        <v>0</v>
      </c>
      <c r="BB167" s="109">
        <f t="shared" si="78"/>
        <v>0</v>
      </c>
      <c r="BC167" s="109">
        <f t="shared" si="79"/>
        <v>0</v>
      </c>
      <c r="BD167" s="109">
        <f t="shared" si="80"/>
        <v>0</v>
      </c>
      <c r="BE167" s="107"/>
      <c r="BF167" s="107"/>
      <c r="BG167" s="107"/>
      <c r="BH167" s="107"/>
      <c r="BI167" s="107"/>
      <c r="BJ167" s="107"/>
      <c r="BK167" s="107"/>
      <c r="BL167" s="107"/>
    </row>
    <row r="168" spans="1:64" ht="12.75" customHeight="1" x14ac:dyDescent="0.2">
      <c r="A168" s="389"/>
      <c r="B168" s="389"/>
      <c r="C168" s="106" t="s">
        <v>395</v>
      </c>
      <c r="D168" s="377"/>
      <c r="E168" s="106"/>
      <c r="F168" s="106"/>
      <c r="G168" s="106"/>
      <c r="H168" s="106"/>
      <c r="I168" s="106"/>
      <c r="J168" s="106"/>
      <c r="K168" s="106"/>
      <c r="L168" s="106"/>
      <c r="M168" s="106"/>
      <c r="N168" s="106"/>
      <c r="O168" s="106"/>
      <c r="P168" s="106"/>
      <c r="Q168" s="106"/>
      <c r="R168" s="106"/>
      <c r="S168" s="106"/>
      <c r="T168" s="106"/>
      <c r="U168" s="106"/>
      <c r="V168" s="106"/>
      <c r="W168" s="106"/>
      <c r="X168" s="106"/>
      <c r="Y168" s="106"/>
      <c r="Z168" s="106">
        <v>25</v>
      </c>
      <c r="AA168" s="106"/>
      <c r="AB168" s="106"/>
      <c r="AC168" s="106" t="s">
        <v>279</v>
      </c>
      <c r="AD168" s="110">
        <f t="shared" si="60"/>
        <v>132</v>
      </c>
      <c r="AE168" s="108">
        <f>'1. SA ABA DE CARREGAMENTO'!B90</f>
        <v>22</v>
      </c>
      <c r="AF168" s="377"/>
      <c r="AG168" s="109">
        <f t="shared" si="61"/>
        <v>0</v>
      </c>
      <c r="AH168" s="109">
        <f t="shared" si="62"/>
        <v>0</v>
      </c>
      <c r="AI168" s="109">
        <f t="shared" si="63"/>
        <v>0</v>
      </c>
      <c r="AJ168" s="109">
        <f t="shared" si="64"/>
        <v>0</v>
      </c>
      <c r="AK168" s="109">
        <f t="shared" si="65"/>
        <v>0</v>
      </c>
      <c r="AL168" s="109">
        <f t="shared" si="56"/>
        <v>0</v>
      </c>
      <c r="AM168" s="109">
        <f t="shared" si="57"/>
        <v>0</v>
      </c>
      <c r="AN168" s="109">
        <f t="shared" si="66"/>
        <v>0</v>
      </c>
      <c r="AO168" s="109">
        <f t="shared" si="67"/>
        <v>0</v>
      </c>
      <c r="AP168" s="109">
        <f t="shared" si="58"/>
        <v>0</v>
      </c>
      <c r="AQ168" s="109">
        <f t="shared" si="59"/>
        <v>0</v>
      </c>
      <c r="AR168" s="109">
        <f t="shared" si="68"/>
        <v>0</v>
      </c>
      <c r="AS168" s="109">
        <f t="shared" si="69"/>
        <v>0</v>
      </c>
      <c r="AT168" s="109">
        <f t="shared" si="70"/>
        <v>0</v>
      </c>
      <c r="AU168" s="109">
        <f t="shared" si="71"/>
        <v>0</v>
      </c>
      <c r="AV168" s="109">
        <f t="shared" si="72"/>
        <v>0</v>
      </c>
      <c r="AW168" s="109">
        <f t="shared" si="73"/>
        <v>0</v>
      </c>
      <c r="AX168" s="109">
        <f t="shared" si="74"/>
        <v>0</v>
      </c>
      <c r="AY168" s="109">
        <f t="shared" si="75"/>
        <v>0</v>
      </c>
      <c r="AZ168" s="109">
        <f t="shared" si="76"/>
        <v>0</v>
      </c>
      <c r="BA168" s="109">
        <f t="shared" si="77"/>
        <v>0</v>
      </c>
      <c r="BB168" s="109">
        <f t="shared" si="78"/>
        <v>150</v>
      </c>
      <c r="BC168" s="109">
        <f t="shared" si="79"/>
        <v>0</v>
      </c>
      <c r="BD168" s="109">
        <f t="shared" si="80"/>
        <v>0</v>
      </c>
      <c r="BE168" s="107"/>
      <c r="BF168" s="107"/>
      <c r="BG168" s="107"/>
      <c r="BH168" s="107"/>
      <c r="BI168" s="107"/>
      <c r="BJ168" s="107"/>
      <c r="BK168" s="107"/>
      <c r="BL168" s="107"/>
    </row>
    <row r="169" spans="1:64" ht="12.75" customHeight="1" x14ac:dyDescent="0.2">
      <c r="A169" s="389"/>
      <c r="B169" s="389"/>
      <c r="C169" s="106" t="s">
        <v>396</v>
      </c>
      <c r="D169" s="377"/>
      <c r="E169" s="106"/>
      <c r="F169" s="106"/>
      <c r="G169" s="106"/>
      <c r="H169" s="106"/>
      <c r="I169" s="106"/>
      <c r="J169" s="106"/>
      <c r="K169" s="106"/>
      <c r="L169" s="106"/>
      <c r="M169" s="106"/>
      <c r="N169" s="106"/>
      <c r="O169" s="106"/>
      <c r="P169" s="106"/>
      <c r="Q169" s="106"/>
      <c r="R169" s="106"/>
      <c r="S169" s="106"/>
      <c r="T169" s="106"/>
      <c r="U169" s="106"/>
      <c r="V169" s="106"/>
      <c r="W169" s="106"/>
      <c r="X169" s="106"/>
      <c r="Y169" s="106"/>
      <c r="Z169" s="106"/>
      <c r="AA169" s="106">
        <v>30</v>
      </c>
      <c r="AB169" s="106"/>
      <c r="AC169" s="106" t="s">
        <v>281</v>
      </c>
      <c r="AD169" s="110">
        <f t="shared" si="60"/>
        <v>4.33</v>
      </c>
      <c r="AE169" s="108">
        <f>'1. SA ABA DE CARREGAMENTO'!B90</f>
        <v>22</v>
      </c>
      <c r="AF169" s="377"/>
      <c r="AG169" s="109">
        <f t="shared" si="61"/>
        <v>0</v>
      </c>
      <c r="AH169" s="109">
        <f t="shared" si="62"/>
        <v>0</v>
      </c>
      <c r="AI169" s="109">
        <f t="shared" si="63"/>
        <v>0</v>
      </c>
      <c r="AJ169" s="109">
        <f t="shared" si="64"/>
        <v>0</v>
      </c>
      <c r="AK169" s="109">
        <f t="shared" si="65"/>
        <v>0</v>
      </c>
      <c r="AL169" s="109">
        <f t="shared" si="56"/>
        <v>0</v>
      </c>
      <c r="AM169" s="109">
        <f t="shared" si="57"/>
        <v>0</v>
      </c>
      <c r="AN169" s="109">
        <f t="shared" si="66"/>
        <v>0</v>
      </c>
      <c r="AO169" s="109">
        <f t="shared" si="67"/>
        <v>0</v>
      </c>
      <c r="AP169" s="109">
        <f t="shared" si="58"/>
        <v>0</v>
      </c>
      <c r="AQ169" s="109">
        <f t="shared" si="59"/>
        <v>0</v>
      </c>
      <c r="AR169" s="109">
        <f t="shared" si="68"/>
        <v>0</v>
      </c>
      <c r="AS169" s="109">
        <f t="shared" si="69"/>
        <v>0</v>
      </c>
      <c r="AT169" s="109">
        <f t="shared" si="70"/>
        <v>0</v>
      </c>
      <c r="AU169" s="109">
        <f t="shared" si="71"/>
        <v>0</v>
      </c>
      <c r="AV169" s="109">
        <f t="shared" si="72"/>
        <v>0</v>
      </c>
      <c r="AW169" s="109">
        <f t="shared" si="73"/>
        <v>0</v>
      </c>
      <c r="AX169" s="109">
        <f t="shared" si="74"/>
        <v>0</v>
      </c>
      <c r="AY169" s="109">
        <f t="shared" si="75"/>
        <v>0</v>
      </c>
      <c r="AZ169" s="109">
        <f t="shared" si="76"/>
        <v>0</v>
      </c>
      <c r="BA169" s="109">
        <f t="shared" si="77"/>
        <v>0</v>
      </c>
      <c r="BB169" s="109">
        <f t="shared" si="78"/>
        <v>0</v>
      </c>
      <c r="BC169" s="109">
        <f t="shared" si="79"/>
        <v>5.9045454545454552</v>
      </c>
      <c r="BD169" s="109">
        <f t="shared" si="80"/>
        <v>0</v>
      </c>
      <c r="BE169" s="107"/>
      <c r="BF169" s="107"/>
      <c r="BG169" s="107"/>
      <c r="BH169" s="107"/>
      <c r="BI169" s="107"/>
      <c r="BJ169" s="107"/>
      <c r="BK169" s="107"/>
      <c r="BL169" s="107"/>
    </row>
    <row r="170" spans="1:64" ht="12.75" customHeight="1" x14ac:dyDescent="0.2">
      <c r="A170" s="389"/>
      <c r="B170" s="389"/>
      <c r="C170" s="106" t="s">
        <v>397</v>
      </c>
      <c r="D170" s="377"/>
      <c r="E170" s="106"/>
      <c r="F170" s="106"/>
      <c r="G170" s="106"/>
      <c r="H170" s="106"/>
      <c r="I170" s="106"/>
      <c r="J170" s="106"/>
      <c r="K170" s="106"/>
      <c r="L170" s="106"/>
      <c r="M170" s="106"/>
      <c r="N170" s="106"/>
      <c r="O170" s="106"/>
      <c r="P170" s="106"/>
      <c r="Q170" s="106"/>
      <c r="R170" s="106"/>
      <c r="S170" s="106"/>
      <c r="T170" s="106"/>
      <c r="U170" s="106"/>
      <c r="V170" s="106"/>
      <c r="W170" s="106"/>
      <c r="X170" s="106"/>
      <c r="Y170" s="106"/>
      <c r="Z170" s="106"/>
      <c r="AA170" s="106"/>
      <c r="AB170" s="106">
        <v>25</v>
      </c>
      <c r="AC170" s="106" t="s">
        <v>281</v>
      </c>
      <c r="AD170" s="110">
        <f t="shared" si="60"/>
        <v>4.33</v>
      </c>
      <c r="AE170" s="108">
        <f>'1. SA ABA DE CARREGAMENTO'!B90</f>
        <v>22</v>
      </c>
      <c r="AF170" s="377"/>
      <c r="AG170" s="109">
        <f t="shared" si="61"/>
        <v>0</v>
      </c>
      <c r="AH170" s="109">
        <f t="shared" si="62"/>
        <v>0</v>
      </c>
      <c r="AI170" s="109">
        <f t="shared" si="63"/>
        <v>0</v>
      </c>
      <c r="AJ170" s="109">
        <f t="shared" si="64"/>
        <v>0</v>
      </c>
      <c r="AK170" s="109">
        <f t="shared" si="65"/>
        <v>0</v>
      </c>
      <c r="AL170" s="109">
        <f t="shared" si="56"/>
        <v>0</v>
      </c>
      <c r="AM170" s="109">
        <f t="shared" si="57"/>
        <v>0</v>
      </c>
      <c r="AN170" s="109">
        <f t="shared" si="66"/>
        <v>0</v>
      </c>
      <c r="AO170" s="109">
        <f t="shared" si="67"/>
        <v>0</v>
      </c>
      <c r="AP170" s="109">
        <f t="shared" si="58"/>
        <v>0</v>
      </c>
      <c r="AQ170" s="109">
        <f t="shared" si="59"/>
        <v>0</v>
      </c>
      <c r="AR170" s="109">
        <f t="shared" si="68"/>
        <v>0</v>
      </c>
      <c r="AS170" s="109">
        <f t="shared" si="69"/>
        <v>0</v>
      </c>
      <c r="AT170" s="109">
        <f t="shared" si="70"/>
        <v>0</v>
      </c>
      <c r="AU170" s="109">
        <f t="shared" si="71"/>
        <v>0</v>
      </c>
      <c r="AV170" s="109">
        <f t="shared" si="72"/>
        <v>0</v>
      </c>
      <c r="AW170" s="109">
        <f t="shared" si="73"/>
        <v>0</v>
      </c>
      <c r="AX170" s="109">
        <f t="shared" si="74"/>
        <v>0</v>
      </c>
      <c r="AY170" s="109">
        <f t="shared" si="75"/>
        <v>0</v>
      </c>
      <c r="AZ170" s="109">
        <f t="shared" si="76"/>
        <v>0</v>
      </c>
      <c r="BA170" s="109">
        <f t="shared" si="77"/>
        <v>0</v>
      </c>
      <c r="BB170" s="109">
        <f t="shared" si="78"/>
        <v>0</v>
      </c>
      <c r="BC170" s="109">
        <f t="shared" si="79"/>
        <v>0</v>
      </c>
      <c r="BD170" s="109">
        <f t="shared" si="80"/>
        <v>4.9204545454545459</v>
      </c>
      <c r="BE170" s="107"/>
      <c r="BF170" s="107"/>
      <c r="BG170" s="107"/>
      <c r="BH170" s="107"/>
      <c r="BI170" s="107"/>
      <c r="BJ170" s="107"/>
      <c r="BK170" s="107"/>
      <c r="BL170" s="107"/>
    </row>
    <row r="171" spans="1:64" ht="12.75" customHeight="1" x14ac:dyDescent="0.2">
      <c r="A171" s="389"/>
      <c r="B171" s="389"/>
      <c r="C171" s="106" t="s">
        <v>398</v>
      </c>
      <c r="D171" s="377"/>
      <c r="E171" s="106"/>
      <c r="F171" s="106"/>
      <c r="G171" s="106"/>
      <c r="H171" s="106"/>
      <c r="I171" s="106"/>
      <c r="J171" s="106"/>
      <c r="K171" s="106"/>
      <c r="L171" s="106"/>
      <c r="M171" s="106"/>
      <c r="N171" s="106"/>
      <c r="O171" s="106"/>
      <c r="P171" s="106"/>
      <c r="Q171" s="106"/>
      <c r="R171" s="106"/>
      <c r="S171" s="106"/>
      <c r="T171" s="106"/>
      <c r="U171" s="106"/>
      <c r="V171" s="106"/>
      <c r="W171" s="106"/>
      <c r="X171" s="106"/>
      <c r="Y171" s="106"/>
      <c r="Z171" s="106">
        <v>10</v>
      </c>
      <c r="AA171" s="106"/>
      <c r="AB171" s="106"/>
      <c r="AC171" s="106" t="s">
        <v>279</v>
      </c>
      <c r="AD171" s="110">
        <f t="shared" si="60"/>
        <v>132</v>
      </c>
      <c r="AE171" s="108">
        <f>'1. SA ABA DE CARREGAMENTO'!B90</f>
        <v>22</v>
      </c>
      <c r="AF171" s="377"/>
      <c r="AG171" s="109">
        <f t="shared" si="61"/>
        <v>0</v>
      </c>
      <c r="AH171" s="109">
        <f t="shared" si="62"/>
        <v>0</v>
      </c>
      <c r="AI171" s="109">
        <f t="shared" si="63"/>
        <v>0</v>
      </c>
      <c r="AJ171" s="109">
        <f t="shared" si="64"/>
        <v>0</v>
      </c>
      <c r="AK171" s="109">
        <f t="shared" si="65"/>
        <v>0</v>
      </c>
      <c r="AL171" s="109">
        <f t="shared" si="56"/>
        <v>0</v>
      </c>
      <c r="AM171" s="109">
        <f t="shared" si="57"/>
        <v>0</v>
      </c>
      <c r="AN171" s="109">
        <f t="shared" si="66"/>
        <v>0</v>
      </c>
      <c r="AO171" s="109">
        <f t="shared" si="67"/>
        <v>0</v>
      </c>
      <c r="AP171" s="109">
        <f t="shared" si="58"/>
        <v>0</v>
      </c>
      <c r="AQ171" s="109">
        <f t="shared" si="59"/>
        <v>0</v>
      </c>
      <c r="AR171" s="109">
        <f t="shared" si="68"/>
        <v>0</v>
      </c>
      <c r="AS171" s="109">
        <f t="shared" si="69"/>
        <v>0</v>
      </c>
      <c r="AT171" s="109">
        <f t="shared" si="70"/>
        <v>0</v>
      </c>
      <c r="AU171" s="109">
        <f t="shared" si="71"/>
        <v>0</v>
      </c>
      <c r="AV171" s="109">
        <f t="shared" si="72"/>
        <v>0</v>
      </c>
      <c r="AW171" s="109">
        <f t="shared" si="73"/>
        <v>0</v>
      </c>
      <c r="AX171" s="109">
        <f t="shared" si="74"/>
        <v>0</v>
      </c>
      <c r="AY171" s="109">
        <f t="shared" si="75"/>
        <v>0</v>
      </c>
      <c r="AZ171" s="109">
        <f t="shared" si="76"/>
        <v>0</v>
      </c>
      <c r="BA171" s="109">
        <f t="shared" si="77"/>
        <v>0</v>
      </c>
      <c r="BB171" s="109">
        <f t="shared" si="78"/>
        <v>60</v>
      </c>
      <c r="BC171" s="109">
        <f t="shared" si="79"/>
        <v>0</v>
      </c>
      <c r="BD171" s="109">
        <f t="shared" si="80"/>
        <v>0</v>
      </c>
      <c r="BE171" s="107"/>
      <c r="BF171" s="107"/>
      <c r="BG171" s="107"/>
      <c r="BH171" s="107"/>
      <c r="BI171" s="107"/>
      <c r="BJ171" s="107"/>
      <c r="BK171" s="107"/>
      <c r="BL171" s="107"/>
    </row>
    <row r="172" spans="1:64" ht="12.75" customHeight="1" x14ac:dyDescent="0.2">
      <c r="A172" s="389"/>
      <c r="B172" s="389"/>
      <c r="C172" s="106" t="s">
        <v>399</v>
      </c>
      <c r="D172" s="377"/>
      <c r="E172" s="106"/>
      <c r="F172" s="106"/>
      <c r="G172" s="106"/>
      <c r="H172" s="106"/>
      <c r="I172" s="106"/>
      <c r="J172" s="106"/>
      <c r="K172" s="106"/>
      <c r="L172" s="106"/>
      <c r="M172" s="106"/>
      <c r="N172" s="106"/>
      <c r="O172" s="106"/>
      <c r="P172" s="106"/>
      <c r="Q172" s="106"/>
      <c r="R172" s="106"/>
      <c r="S172" s="106"/>
      <c r="T172" s="106"/>
      <c r="U172" s="106"/>
      <c r="V172" s="106"/>
      <c r="W172" s="106"/>
      <c r="X172" s="106"/>
      <c r="Y172" s="106"/>
      <c r="Z172" s="106"/>
      <c r="AA172" s="106">
        <v>28</v>
      </c>
      <c r="AB172" s="106"/>
      <c r="AC172" s="106" t="s">
        <v>281</v>
      </c>
      <c r="AD172" s="110">
        <f t="shared" si="60"/>
        <v>4.33</v>
      </c>
      <c r="AE172" s="108">
        <f>'1. SA ABA DE CARREGAMENTO'!B90</f>
        <v>22</v>
      </c>
      <c r="AF172" s="377"/>
      <c r="AG172" s="109">
        <f t="shared" si="61"/>
        <v>0</v>
      </c>
      <c r="AH172" s="109">
        <f t="shared" si="62"/>
        <v>0</v>
      </c>
      <c r="AI172" s="109">
        <f t="shared" si="63"/>
        <v>0</v>
      </c>
      <c r="AJ172" s="109">
        <f t="shared" si="64"/>
        <v>0</v>
      </c>
      <c r="AK172" s="109">
        <f t="shared" si="65"/>
        <v>0</v>
      </c>
      <c r="AL172" s="109">
        <f t="shared" si="56"/>
        <v>0</v>
      </c>
      <c r="AM172" s="109">
        <f t="shared" si="57"/>
        <v>0</v>
      </c>
      <c r="AN172" s="109">
        <f t="shared" si="66"/>
        <v>0</v>
      </c>
      <c r="AO172" s="109">
        <f t="shared" si="67"/>
        <v>0</v>
      </c>
      <c r="AP172" s="109">
        <f t="shared" si="58"/>
        <v>0</v>
      </c>
      <c r="AQ172" s="109">
        <f t="shared" si="59"/>
        <v>0</v>
      </c>
      <c r="AR172" s="109">
        <f t="shared" si="68"/>
        <v>0</v>
      </c>
      <c r="AS172" s="109">
        <f t="shared" si="69"/>
        <v>0</v>
      </c>
      <c r="AT172" s="109">
        <f t="shared" si="70"/>
        <v>0</v>
      </c>
      <c r="AU172" s="109">
        <f t="shared" si="71"/>
        <v>0</v>
      </c>
      <c r="AV172" s="109">
        <f t="shared" si="72"/>
        <v>0</v>
      </c>
      <c r="AW172" s="109">
        <f t="shared" si="73"/>
        <v>0</v>
      </c>
      <c r="AX172" s="109">
        <f t="shared" si="74"/>
        <v>0</v>
      </c>
      <c r="AY172" s="109">
        <f t="shared" si="75"/>
        <v>0</v>
      </c>
      <c r="AZ172" s="109">
        <f t="shared" si="76"/>
        <v>0</v>
      </c>
      <c r="BA172" s="109">
        <f t="shared" si="77"/>
        <v>0</v>
      </c>
      <c r="BB172" s="109">
        <f t="shared" si="78"/>
        <v>0</v>
      </c>
      <c r="BC172" s="109">
        <f t="shared" si="79"/>
        <v>5.5109090909090916</v>
      </c>
      <c r="BD172" s="109">
        <f t="shared" si="80"/>
        <v>0</v>
      </c>
      <c r="BE172" s="107"/>
      <c r="BF172" s="107"/>
      <c r="BG172" s="107"/>
      <c r="BH172" s="107"/>
      <c r="BI172" s="107"/>
      <c r="BJ172" s="107"/>
      <c r="BK172" s="107"/>
      <c r="BL172" s="107"/>
    </row>
    <row r="173" spans="1:64" ht="12.75" customHeight="1" x14ac:dyDescent="0.2">
      <c r="A173" s="389"/>
      <c r="B173" s="389"/>
      <c r="C173" s="106" t="s">
        <v>400</v>
      </c>
      <c r="D173" s="377"/>
      <c r="E173" s="106"/>
      <c r="F173" s="106"/>
      <c r="G173" s="106"/>
      <c r="H173" s="106"/>
      <c r="I173" s="106"/>
      <c r="J173" s="106"/>
      <c r="K173" s="106"/>
      <c r="L173" s="106"/>
      <c r="M173" s="106"/>
      <c r="N173" s="106"/>
      <c r="O173" s="106"/>
      <c r="P173" s="106"/>
      <c r="Q173" s="106"/>
      <c r="R173" s="106"/>
      <c r="S173" s="106"/>
      <c r="T173" s="106"/>
      <c r="U173" s="106"/>
      <c r="V173" s="106"/>
      <c r="W173" s="106"/>
      <c r="X173" s="106"/>
      <c r="Y173" s="106"/>
      <c r="Z173" s="106"/>
      <c r="AA173" s="106"/>
      <c r="AB173" s="106">
        <v>10</v>
      </c>
      <c r="AC173" s="106" t="s">
        <v>281</v>
      </c>
      <c r="AD173" s="110">
        <f t="shared" si="60"/>
        <v>4.33</v>
      </c>
      <c r="AE173" s="108">
        <f>'1. SA ABA DE CARREGAMENTO'!B90</f>
        <v>22</v>
      </c>
      <c r="AF173" s="377"/>
      <c r="AG173" s="109">
        <f t="shared" si="61"/>
        <v>0</v>
      </c>
      <c r="AH173" s="109">
        <f t="shared" si="62"/>
        <v>0</v>
      </c>
      <c r="AI173" s="109">
        <f t="shared" si="63"/>
        <v>0</v>
      </c>
      <c r="AJ173" s="109">
        <f t="shared" si="64"/>
        <v>0</v>
      </c>
      <c r="AK173" s="109">
        <f t="shared" si="65"/>
        <v>0</v>
      </c>
      <c r="AL173" s="109">
        <f t="shared" si="56"/>
        <v>0</v>
      </c>
      <c r="AM173" s="109">
        <f t="shared" si="57"/>
        <v>0</v>
      </c>
      <c r="AN173" s="109">
        <f t="shared" si="66"/>
        <v>0</v>
      </c>
      <c r="AO173" s="109">
        <f t="shared" si="67"/>
        <v>0</v>
      </c>
      <c r="AP173" s="109">
        <f t="shared" si="58"/>
        <v>0</v>
      </c>
      <c r="AQ173" s="109">
        <f t="shared" si="59"/>
        <v>0</v>
      </c>
      <c r="AR173" s="109">
        <f t="shared" si="68"/>
        <v>0</v>
      </c>
      <c r="AS173" s="109">
        <f t="shared" si="69"/>
        <v>0</v>
      </c>
      <c r="AT173" s="109">
        <f t="shared" si="70"/>
        <v>0</v>
      </c>
      <c r="AU173" s="109">
        <f t="shared" si="71"/>
        <v>0</v>
      </c>
      <c r="AV173" s="109">
        <f t="shared" si="72"/>
        <v>0</v>
      </c>
      <c r="AW173" s="109">
        <f t="shared" si="73"/>
        <v>0</v>
      </c>
      <c r="AX173" s="109">
        <f t="shared" si="74"/>
        <v>0</v>
      </c>
      <c r="AY173" s="109">
        <f t="shared" si="75"/>
        <v>0</v>
      </c>
      <c r="AZ173" s="109">
        <f t="shared" si="76"/>
        <v>0</v>
      </c>
      <c r="BA173" s="109">
        <f t="shared" si="77"/>
        <v>0</v>
      </c>
      <c r="BB173" s="109">
        <f t="shared" si="78"/>
        <v>0</v>
      </c>
      <c r="BC173" s="109">
        <f t="shared" si="79"/>
        <v>0</v>
      </c>
      <c r="BD173" s="109">
        <f t="shared" si="80"/>
        <v>1.968181818181818</v>
      </c>
      <c r="BE173" s="107"/>
      <c r="BF173" s="107"/>
      <c r="BG173" s="107"/>
      <c r="BH173" s="107"/>
      <c r="BI173" s="107"/>
      <c r="BJ173" s="107"/>
      <c r="BK173" s="107"/>
      <c r="BL173" s="107"/>
    </row>
    <row r="174" spans="1:64" ht="12.75" customHeight="1" x14ac:dyDescent="0.2">
      <c r="A174" s="378">
        <v>14</v>
      </c>
      <c r="B174" s="379" t="s">
        <v>401</v>
      </c>
      <c r="C174" s="111" t="s">
        <v>402</v>
      </c>
      <c r="D174" s="380">
        <f>SUM(E174:AB188)</f>
        <v>206.68</v>
      </c>
      <c r="E174" s="111"/>
      <c r="F174" s="111">
        <v>48.5</v>
      </c>
      <c r="G174" s="111"/>
      <c r="H174" s="111"/>
      <c r="I174" s="111"/>
      <c r="J174" s="111"/>
      <c r="K174" s="111"/>
      <c r="L174" s="111"/>
      <c r="M174" s="111"/>
      <c r="N174" s="111"/>
      <c r="O174" s="111"/>
      <c r="P174" s="111"/>
      <c r="Q174" s="111"/>
      <c r="R174" s="111"/>
      <c r="S174" s="111"/>
      <c r="T174" s="111"/>
      <c r="U174" s="111"/>
      <c r="V174" s="111"/>
      <c r="W174" s="111"/>
      <c r="X174" s="111"/>
      <c r="Y174" s="111"/>
      <c r="Z174" s="111"/>
      <c r="AA174" s="111"/>
      <c r="AB174" s="111"/>
      <c r="AC174" s="113" t="s">
        <v>289</v>
      </c>
      <c r="AD174" s="114">
        <f t="shared" si="60"/>
        <v>22</v>
      </c>
      <c r="AE174" s="115">
        <f>'1. SA ABA DE CARREGAMENTO'!B90</f>
        <v>22</v>
      </c>
      <c r="AF174" s="380">
        <f>SUM(AG174:BD188)</f>
        <v>153.66146818181821</v>
      </c>
      <c r="AG174" s="117">
        <f t="shared" si="61"/>
        <v>0</v>
      </c>
      <c r="AH174" s="117">
        <f t="shared" si="62"/>
        <v>48.5</v>
      </c>
      <c r="AI174" s="117">
        <f t="shared" si="63"/>
        <v>0</v>
      </c>
      <c r="AJ174" s="117">
        <f t="shared" si="64"/>
        <v>0</v>
      </c>
      <c r="AK174" s="117">
        <f t="shared" si="65"/>
        <v>0</v>
      </c>
      <c r="AL174" s="117">
        <f t="shared" si="56"/>
        <v>0</v>
      </c>
      <c r="AM174" s="117">
        <f t="shared" si="57"/>
        <v>0</v>
      </c>
      <c r="AN174" s="117">
        <f t="shared" si="66"/>
        <v>0</v>
      </c>
      <c r="AO174" s="117">
        <f t="shared" si="67"/>
        <v>0</v>
      </c>
      <c r="AP174" s="117">
        <f t="shared" si="58"/>
        <v>0</v>
      </c>
      <c r="AQ174" s="117">
        <f t="shared" si="59"/>
        <v>0</v>
      </c>
      <c r="AR174" s="117">
        <f t="shared" si="68"/>
        <v>0</v>
      </c>
      <c r="AS174" s="117">
        <f t="shared" si="69"/>
        <v>0</v>
      </c>
      <c r="AT174" s="117">
        <f t="shared" si="70"/>
        <v>0</v>
      </c>
      <c r="AU174" s="117">
        <f t="shared" si="71"/>
        <v>0</v>
      </c>
      <c r="AV174" s="117">
        <f t="shared" si="72"/>
        <v>0</v>
      </c>
      <c r="AW174" s="117">
        <f t="shared" si="73"/>
        <v>0</v>
      </c>
      <c r="AX174" s="117">
        <f t="shared" si="74"/>
        <v>0</v>
      </c>
      <c r="AY174" s="117">
        <f t="shared" si="75"/>
        <v>0</v>
      </c>
      <c r="AZ174" s="117">
        <f t="shared" si="76"/>
        <v>0</v>
      </c>
      <c r="BA174" s="117">
        <f t="shared" si="77"/>
        <v>0</v>
      </c>
      <c r="BB174" s="117">
        <f t="shared" si="78"/>
        <v>0</v>
      </c>
      <c r="BC174" s="117">
        <f t="shared" si="79"/>
        <v>0</v>
      </c>
      <c r="BD174" s="117">
        <f t="shared" si="80"/>
        <v>0</v>
      </c>
      <c r="BE174" s="107"/>
      <c r="BF174" s="107"/>
      <c r="BG174" s="107"/>
      <c r="BH174" s="107"/>
      <c r="BI174" s="107"/>
      <c r="BJ174" s="107"/>
      <c r="BK174" s="107"/>
      <c r="BL174" s="107"/>
    </row>
    <row r="175" spans="1:64" ht="12.75" customHeight="1" x14ac:dyDescent="0.2">
      <c r="A175" s="378"/>
      <c r="B175" s="378"/>
      <c r="C175" s="111" t="s">
        <v>403</v>
      </c>
      <c r="D175" s="380"/>
      <c r="E175" s="111"/>
      <c r="F175" s="111"/>
      <c r="G175" s="111">
        <v>14.35</v>
      </c>
      <c r="H175" s="111"/>
      <c r="I175" s="111"/>
      <c r="J175" s="111"/>
      <c r="K175" s="111"/>
      <c r="L175" s="111"/>
      <c r="M175" s="111"/>
      <c r="N175" s="111"/>
      <c r="O175" s="111"/>
      <c r="P175" s="111"/>
      <c r="Q175" s="111"/>
      <c r="R175" s="111"/>
      <c r="S175" s="111"/>
      <c r="T175" s="111"/>
      <c r="U175" s="111"/>
      <c r="V175" s="111"/>
      <c r="W175" s="111"/>
      <c r="X175" s="111"/>
      <c r="Y175" s="111"/>
      <c r="Z175" s="111"/>
      <c r="AA175" s="111"/>
      <c r="AB175" s="111"/>
      <c r="AC175" s="113" t="s">
        <v>289</v>
      </c>
      <c r="AD175" s="114">
        <f t="shared" si="60"/>
        <v>22</v>
      </c>
      <c r="AE175" s="115">
        <f>'1. SA ABA DE CARREGAMENTO'!B90</f>
        <v>22</v>
      </c>
      <c r="AF175" s="380"/>
      <c r="AG175" s="117">
        <f t="shared" si="61"/>
        <v>0</v>
      </c>
      <c r="AH175" s="117">
        <f t="shared" si="62"/>
        <v>0</v>
      </c>
      <c r="AI175" s="117">
        <f t="shared" si="63"/>
        <v>14.35</v>
      </c>
      <c r="AJ175" s="117">
        <f t="shared" si="64"/>
        <v>0</v>
      </c>
      <c r="AK175" s="117">
        <f t="shared" si="65"/>
        <v>0</v>
      </c>
      <c r="AL175" s="117">
        <f t="shared" si="56"/>
        <v>0</v>
      </c>
      <c r="AM175" s="117">
        <f t="shared" si="57"/>
        <v>0</v>
      </c>
      <c r="AN175" s="117">
        <f t="shared" si="66"/>
        <v>0</v>
      </c>
      <c r="AO175" s="117">
        <f t="shared" si="67"/>
        <v>0</v>
      </c>
      <c r="AP175" s="117">
        <f t="shared" si="58"/>
        <v>0</v>
      </c>
      <c r="AQ175" s="117">
        <f t="shared" si="59"/>
        <v>0</v>
      </c>
      <c r="AR175" s="117">
        <f t="shared" si="68"/>
        <v>0</v>
      </c>
      <c r="AS175" s="117">
        <f t="shared" si="69"/>
        <v>0</v>
      </c>
      <c r="AT175" s="117">
        <f t="shared" si="70"/>
        <v>0</v>
      </c>
      <c r="AU175" s="117">
        <f t="shared" si="71"/>
        <v>0</v>
      </c>
      <c r="AV175" s="117">
        <f t="shared" si="72"/>
        <v>0</v>
      </c>
      <c r="AW175" s="117">
        <f t="shared" si="73"/>
        <v>0</v>
      </c>
      <c r="AX175" s="117">
        <f t="shared" si="74"/>
        <v>0</v>
      </c>
      <c r="AY175" s="117">
        <f t="shared" si="75"/>
        <v>0</v>
      </c>
      <c r="AZ175" s="117">
        <f t="shared" si="76"/>
        <v>0</v>
      </c>
      <c r="BA175" s="117">
        <f t="shared" si="77"/>
        <v>0</v>
      </c>
      <c r="BB175" s="117">
        <f t="shared" si="78"/>
        <v>0</v>
      </c>
      <c r="BC175" s="117">
        <f t="shared" si="79"/>
        <v>0</v>
      </c>
      <c r="BD175" s="117">
        <f t="shared" si="80"/>
        <v>0</v>
      </c>
      <c r="BE175" s="107"/>
      <c r="BF175" s="107"/>
      <c r="BG175" s="107"/>
      <c r="BH175" s="107"/>
      <c r="BI175" s="107"/>
      <c r="BJ175" s="107"/>
      <c r="BK175" s="107"/>
      <c r="BL175" s="107"/>
    </row>
    <row r="176" spans="1:64" ht="12.75" customHeight="1" x14ac:dyDescent="0.2">
      <c r="A176" s="378"/>
      <c r="B176" s="378"/>
      <c r="C176" s="111" t="s">
        <v>404</v>
      </c>
      <c r="D176" s="380"/>
      <c r="E176" s="111"/>
      <c r="F176" s="111">
        <v>14.35</v>
      </c>
      <c r="G176" s="111"/>
      <c r="H176" s="111"/>
      <c r="I176" s="111"/>
      <c r="J176" s="111"/>
      <c r="K176" s="111"/>
      <c r="L176" s="111"/>
      <c r="M176" s="111"/>
      <c r="N176" s="111"/>
      <c r="O176" s="111"/>
      <c r="P176" s="111"/>
      <c r="Q176" s="111"/>
      <c r="R176" s="111"/>
      <c r="S176" s="111"/>
      <c r="T176" s="111"/>
      <c r="U176" s="111"/>
      <c r="V176" s="111"/>
      <c r="W176" s="111"/>
      <c r="X176" s="111"/>
      <c r="Y176" s="111"/>
      <c r="Z176" s="111"/>
      <c r="AA176" s="111"/>
      <c r="AB176" s="111"/>
      <c r="AC176" s="113" t="s">
        <v>289</v>
      </c>
      <c r="AD176" s="114">
        <f t="shared" si="60"/>
        <v>22</v>
      </c>
      <c r="AE176" s="115">
        <f>'1. SA ABA DE CARREGAMENTO'!B90</f>
        <v>22</v>
      </c>
      <c r="AF176" s="380"/>
      <c r="AG176" s="117">
        <f t="shared" si="61"/>
        <v>0</v>
      </c>
      <c r="AH176" s="117">
        <f t="shared" si="62"/>
        <v>14.35</v>
      </c>
      <c r="AI176" s="117">
        <f t="shared" si="63"/>
        <v>0</v>
      </c>
      <c r="AJ176" s="117">
        <f t="shared" si="64"/>
        <v>0</v>
      </c>
      <c r="AK176" s="117">
        <f t="shared" si="65"/>
        <v>0</v>
      </c>
      <c r="AL176" s="117">
        <f t="shared" si="56"/>
        <v>0</v>
      </c>
      <c r="AM176" s="117">
        <f t="shared" si="57"/>
        <v>0</v>
      </c>
      <c r="AN176" s="117">
        <f t="shared" si="66"/>
        <v>0</v>
      </c>
      <c r="AO176" s="117">
        <f t="shared" si="67"/>
        <v>0</v>
      </c>
      <c r="AP176" s="117">
        <f t="shared" si="58"/>
        <v>0</v>
      </c>
      <c r="AQ176" s="117">
        <f t="shared" si="59"/>
        <v>0</v>
      </c>
      <c r="AR176" s="117">
        <f t="shared" si="68"/>
        <v>0</v>
      </c>
      <c r="AS176" s="117">
        <f t="shared" si="69"/>
        <v>0</v>
      </c>
      <c r="AT176" s="117">
        <f t="shared" si="70"/>
        <v>0</v>
      </c>
      <c r="AU176" s="117">
        <f t="shared" si="71"/>
        <v>0</v>
      </c>
      <c r="AV176" s="117">
        <f t="shared" si="72"/>
        <v>0</v>
      </c>
      <c r="AW176" s="117">
        <f t="shared" si="73"/>
        <v>0</v>
      </c>
      <c r="AX176" s="117">
        <f t="shared" si="74"/>
        <v>0</v>
      </c>
      <c r="AY176" s="117">
        <f t="shared" si="75"/>
        <v>0</v>
      </c>
      <c r="AZ176" s="117">
        <f t="shared" si="76"/>
        <v>0</v>
      </c>
      <c r="BA176" s="117">
        <f t="shared" si="77"/>
        <v>0</v>
      </c>
      <c r="BB176" s="117">
        <f t="shared" si="78"/>
        <v>0</v>
      </c>
      <c r="BC176" s="117">
        <f t="shared" si="79"/>
        <v>0</v>
      </c>
      <c r="BD176" s="117">
        <f t="shared" si="80"/>
        <v>0</v>
      </c>
      <c r="BE176" s="107"/>
      <c r="BF176" s="107"/>
      <c r="BG176" s="107"/>
      <c r="BH176" s="107"/>
      <c r="BI176" s="107"/>
      <c r="BJ176" s="107"/>
      <c r="BK176" s="107"/>
      <c r="BL176" s="107"/>
    </row>
    <row r="177" spans="1:64" ht="12.75" customHeight="1" x14ac:dyDescent="0.2">
      <c r="A177" s="378"/>
      <c r="B177" s="378"/>
      <c r="C177" s="111" t="s">
        <v>405</v>
      </c>
      <c r="D177" s="380"/>
      <c r="E177" s="111"/>
      <c r="F177" s="111"/>
      <c r="G177" s="111">
        <v>8.5</v>
      </c>
      <c r="H177" s="111"/>
      <c r="I177" s="111"/>
      <c r="J177" s="111"/>
      <c r="K177" s="111"/>
      <c r="L177" s="111"/>
      <c r="M177" s="111"/>
      <c r="N177" s="111"/>
      <c r="O177" s="111"/>
      <c r="P177" s="111"/>
      <c r="Q177" s="111"/>
      <c r="R177" s="111"/>
      <c r="S177" s="111"/>
      <c r="T177" s="111"/>
      <c r="U177" s="111"/>
      <c r="V177" s="111"/>
      <c r="W177" s="111"/>
      <c r="X177" s="111"/>
      <c r="Y177" s="111"/>
      <c r="Z177" s="111"/>
      <c r="AA177" s="111"/>
      <c r="AB177" s="111"/>
      <c r="AC177" s="113" t="s">
        <v>281</v>
      </c>
      <c r="AD177" s="114">
        <f t="shared" si="60"/>
        <v>4.33</v>
      </c>
      <c r="AE177" s="115">
        <f>'1. SA ABA DE CARREGAMENTO'!B90</f>
        <v>22</v>
      </c>
      <c r="AF177" s="380"/>
      <c r="AG177" s="117">
        <f t="shared" si="61"/>
        <v>0</v>
      </c>
      <c r="AH177" s="117">
        <f t="shared" si="62"/>
        <v>0</v>
      </c>
      <c r="AI177" s="117">
        <f t="shared" si="63"/>
        <v>1.6729545454545454</v>
      </c>
      <c r="AJ177" s="117">
        <f t="shared" si="64"/>
        <v>0</v>
      </c>
      <c r="AK177" s="117">
        <f t="shared" si="65"/>
        <v>0</v>
      </c>
      <c r="AL177" s="117">
        <f t="shared" si="56"/>
        <v>0</v>
      </c>
      <c r="AM177" s="117">
        <f t="shared" si="57"/>
        <v>0</v>
      </c>
      <c r="AN177" s="117">
        <f t="shared" si="66"/>
        <v>0</v>
      </c>
      <c r="AO177" s="117">
        <f t="shared" si="67"/>
        <v>0</v>
      </c>
      <c r="AP177" s="117">
        <f t="shared" si="58"/>
        <v>0</v>
      </c>
      <c r="AQ177" s="117">
        <f t="shared" si="59"/>
        <v>0</v>
      </c>
      <c r="AR177" s="117">
        <f t="shared" si="68"/>
        <v>0</v>
      </c>
      <c r="AS177" s="117">
        <f t="shared" si="69"/>
        <v>0</v>
      </c>
      <c r="AT177" s="117">
        <f t="shared" si="70"/>
        <v>0</v>
      </c>
      <c r="AU177" s="117">
        <f t="shared" si="71"/>
        <v>0</v>
      </c>
      <c r="AV177" s="117">
        <f t="shared" si="72"/>
        <v>0</v>
      </c>
      <c r="AW177" s="117">
        <f t="shared" si="73"/>
        <v>0</v>
      </c>
      <c r="AX177" s="117">
        <f t="shared" si="74"/>
        <v>0</v>
      </c>
      <c r="AY177" s="117">
        <f t="shared" si="75"/>
        <v>0</v>
      </c>
      <c r="AZ177" s="117">
        <f t="shared" si="76"/>
        <v>0</v>
      </c>
      <c r="BA177" s="117">
        <f t="shared" si="77"/>
        <v>0</v>
      </c>
      <c r="BB177" s="117">
        <f t="shared" si="78"/>
        <v>0</v>
      </c>
      <c r="BC177" s="117">
        <f t="shared" si="79"/>
        <v>0</v>
      </c>
      <c r="BD177" s="117">
        <f t="shared" si="80"/>
        <v>0</v>
      </c>
      <c r="BE177" s="107"/>
      <c r="BF177" s="107"/>
      <c r="BG177" s="107"/>
      <c r="BH177" s="107"/>
      <c r="BI177" s="107"/>
      <c r="BJ177" s="107"/>
      <c r="BK177" s="107"/>
      <c r="BL177" s="107"/>
    </row>
    <row r="178" spans="1:64" ht="12.75" customHeight="1" x14ac:dyDescent="0.2">
      <c r="A178" s="378"/>
      <c r="B178" s="378"/>
      <c r="C178" s="111" t="s">
        <v>406</v>
      </c>
      <c r="D178" s="380"/>
      <c r="E178" s="111"/>
      <c r="F178" s="111">
        <v>4.2</v>
      </c>
      <c r="G178" s="111"/>
      <c r="H178" s="111"/>
      <c r="I178" s="111"/>
      <c r="J178" s="111"/>
      <c r="K178" s="111"/>
      <c r="L178" s="111"/>
      <c r="M178" s="111"/>
      <c r="N178" s="111"/>
      <c r="O178" s="111"/>
      <c r="P178" s="111"/>
      <c r="Q178" s="111"/>
      <c r="R178" s="111"/>
      <c r="S178" s="111"/>
      <c r="T178" s="111"/>
      <c r="U178" s="111"/>
      <c r="V178" s="111"/>
      <c r="W178" s="111"/>
      <c r="X178" s="111"/>
      <c r="Y178" s="111"/>
      <c r="Z178" s="111"/>
      <c r="AA178" s="111"/>
      <c r="AB178" s="111"/>
      <c r="AC178" s="113" t="s">
        <v>281</v>
      </c>
      <c r="AD178" s="114">
        <f t="shared" si="60"/>
        <v>4.33</v>
      </c>
      <c r="AE178" s="115">
        <f>'1. SA ABA DE CARREGAMENTO'!B90</f>
        <v>22</v>
      </c>
      <c r="AF178" s="380"/>
      <c r="AG178" s="117">
        <f t="shared" si="61"/>
        <v>0</v>
      </c>
      <c r="AH178" s="117">
        <f t="shared" si="62"/>
        <v>0.82663636363636361</v>
      </c>
      <c r="AI178" s="117">
        <f t="shared" si="63"/>
        <v>0</v>
      </c>
      <c r="AJ178" s="117">
        <f t="shared" si="64"/>
        <v>0</v>
      </c>
      <c r="AK178" s="117">
        <f t="shared" si="65"/>
        <v>0</v>
      </c>
      <c r="AL178" s="117">
        <f t="shared" si="56"/>
        <v>0</v>
      </c>
      <c r="AM178" s="117">
        <f t="shared" si="57"/>
        <v>0</v>
      </c>
      <c r="AN178" s="117">
        <f t="shared" si="66"/>
        <v>0</v>
      </c>
      <c r="AO178" s="117">
        <f t="shared" si="67"/>
        <v>0</v>
      </c>
      <c r="AP178" s="117">
        <f t="shared" si="58"/>
        <v>0</v>
      </c>
      <c r="AQ178" s="117">
        <f t="shared" si="59"/>
        <v>0</v>
      </c>
      <c r="AR178" s="117">
        <f t="shared" si="68"/>
        <v>0</v>
      </c>
      <c r="AS178" s="117">
        <f t="shared" si="69"/>
        <v>0</v>
      </c>
      <c r="AT178" s="117">
        <f t="shared" si="70"/>
        <v>0</v>
      </c>
      <c r="AU178" s="117">
        <f t="shared" si="71"/>
        <v>0</v>
      </c>
      <c r="AV178" s="117">
        <f t="shared" si="72"/>
        <v>0</v>
      </c>
      <c r="AW178" s="117">
        <f t="shared" si="73"/>
        <v>0</v>
      </c>
      <c r="AX178" s="117">
        <f t="shared" si="74"/>
        <v>0</v>
      </c>
      <c r="AY178" s="117">
        <f t="shared" si="75"/>
        <v>0</v>
      </c>
      <c r="AZ178" s="117">
        <f t="shared" si="76"/>
        <v>0</v>
      </c>
      <c r="BA178" s="117">
        <f t="shared" si="77"/>
        <v>0</v>
      </c>
      <c r="BB178" s="117">
        <f t="shared" si="78"/>
        <v>0</v>
      </c>
      <c r="BC178" s="117">
        <f t="shared" si="79"/>
        <v>0</v>
      </c>
      <c r="BD178" s="117">
        <f t="shared" si="80"/>
        <v>0</v>
      </c>
      <c r="BE178" s="107"/>
      <c r="BF178" s="107"/>
      <c r="BG178" s="107"/>
      <c r="BH178" s="107"/>
      <c r="BI178" s="107"/>
      <c r="BJ178" s="107"/>
      <c r="BK178" s="107"/>
      <c r="BL178" s="107"/>
    </row>
    <row r="179" spans="1:64" ht="12.75" customHeight="1" x14ac:dyDescent="0.2">
      <c r="A179" s="378"/>
      <c r="B179" s="378"/>
      <c r="C179" s="111" t="s">
        <v>407</v>
      </c>
      <c r="D179" s="380"/>
      <c r="E179" s="111"/>
      <c r="F179" s="111"/>
      <c r="G179" s="111"/>
      <c r="H179" s="111">
        <v>8.4</v>
      </c>
      <c r="I179" s="111"/>
      <c r="J179" s="111"/>
      <c r="K179" s="111"/>
      <c r="L179" s="111"/>
      <c r="M179" s="111"/>
      <c r="N179" s="111"/>
      <c r="O179" s="111"/>
      <c r="P179" s="111"/>
      <c r="Q179" s="111"/>
      <c r="R179" s="111"/>
      <c r="S179" s="111"/>
      <c r="T179" s="111"/>
      <c r="U179" s="111"/>
      <c r="V179" s="111"/>
      <c r="W179" s="111"/>
      <c r="X179" s="111"/>
      <c r="Y179" s="111"/>
      <c r="Z179" s="111"/>
      <c r="AA179" s="111"/>
      <c r="AB179" s="111"/>
      <c r="AC179" s="113" t="s">
        <v>281</v>
      </c>
      <c r="AD179" s="114">
        <f t="shared" si="60"/>
        <v>4.33</v>
      </c>
      <c r="AE179" s="115">
        <f>'1. SA ABA DE CARREGAMENTO'!B90</f>
        <v>22</v>
      </c>
      <c r="AF179" s="380"/>
      <c r="AG179" s="117">
        <f t="shared" si="61"/>
        <v>0</v>
      </c>
      <c r="AH179" s="117">
        <f t="shared" si="62"/>
        <v>0</v>
      </c>
      <c r="AI179" s="117">
        <f t="shared" si="63"/>
        <v>0</v>
      </c>
      <c r="AJ179" s="117">
        <f t="shared" si="64"/>
        <v>1.6532727272727272</v>
      </c>
      <c r="AK179" s="117">
        <f t="shared" si="65"/>
        <v>0</v>
      </c>
      <c r="AL179" s="117">
        <f t="shared" si="56"/>
        <v>0</v>
      </c>
      <c r="AM179" s="117">
        <f t="shared" si="57"/>
        <v>0</v>
      </c>
      <c r="AN179" s="117">
        <f t="shared" si="66"/>
        <v>0</v>
      </c>
      <c r="AO179" s="117">
        <f t="shared" si="67"/>
        <v>0</v>
      </c>
      <c r="AP179" s="117">
        <f t="shared" si="58"/>
        <v>0</v>
      </c>
      <c r="AQ179" s="117">
        <f t="shared" si="59"/>
        <v>0</v>
      </c>
      <c r="AR179" s="117">
        <f t="shared" si="68"/>
        <v>0</v>
      </c>
      <c r="AS179" s="117">
        <f t="shared" si="69"/>
        <v>0</v>
      </c>
      <c r="AT179" s="117">
        <f t="shared" si="70"/>
        <v>0</v>
      </c>
      <c r="AU179" s="117">
        <f t="shared" si="71"/>
        <v>0</v>
      </c>
      <c r="AV179" s="117">
        <f t="shared" si="72"/>
        <v>0</v>
      </c>
      <c r="AW179" s="117">
        <f t="shared" si="73"/>
        <v>0</v>
      </c>
      <c r="AX179" s="117">
        <f t="shared" si="74"/>
        <v>0</v>
      </c>
      <c r="AY179" s="117">
        <f t="shared" si="75"/>
        <v>0</v>
      </c>
      <c r="AZ179" s="117">
        <f t="shared" si="76"/>
        <v>0</v>
      </c>
      <c r="BA179" s="117">
        <f t="shared" si="77"/>
        <v>0</v>
      </c>
      <c r="BB179" s="117">
        <f t="shared" si="78"/>
        <v>0</v>
      </c>
      <c r="BC179" s="117">
        <f t="shared" si="79"/>
        <v>0</v>
      </c>
      <c r="BD179" s="117">
        <f t="shared" si="80"/>
        <v>0</v>
      </c>
      <c r="BE179" s="107"/>
      <c r="BF179" s="107"/>
      <c r="BG179" s="107"/>
      <c r="BH179" s="107"/>
      <c r="BI179" s="107"/>
      <c r="BJ179" s="107"/>
      <c r="BK179" s="107"/>
      <c r="BL179" s="107"/>
    </row>
    <row r="180" spans="1:64" ht="12.75" customHeight="1" x14ac:dyDescent="0.2">
      <c r="A180" s="378"/>
      <c r="B180" s="378"/>
      <c r="C180" s="111" t="s">
        <v>408</v>
      </c>
      <c r="D180" s="380"/>
      <c r="E180" s="111"/>
      <c r="F180" s="111"/>
      <c r="G180" s="111">
        <v>4</v>
      </c>
      <c r="H180" s="111"/>
      <c r="I180" s="111"/>
      <c r="J180" s="111"/>
      <c r="K180" s="111"/>
      <c r="L180" s="111"/>
      <c r="M180" s="111"/>
      <c r="N180" s="111"/>
      <c r="O180" s="111"/>
      <c r="P180" s="111"/>
      <c r="Q180" s="111"/>
      <c r="R180" s="111"/>
      <c r="S180" s="111"/>
      <c r="T180" s="111"/>
      <c r="U180" s="111"/>
      <c r="V180" s="111"/>
      <c r="W180" s="111"/>
      <c r="X180" s="111"/>
      <c r="Y180" s="111"/>
      <c r="Z180" s="111"/>
      <c r="AA180" s="111"/>
      <c r="AB180" s="111"/>
      <c r="AC180" s="113" t="s">
        <v>281</v>
      </c>
      <c r="AD180" s="114">
        <f t="shared" si="60"/>
        <v>4.33</v>
      </c>
      <c r="AE180" s="115">
        <f>'1. SA ABA DE CARREGAMENTO'!B90</f>
        <v>22</v>
      </c>
      <c r="AF180" s="380"/>
      <c r="AG180" s="117">
        <f t="shared" si="61"/>
        <v>0</v>
      </c>
      <c r="AH180" s="117">
        <f t="shared" si="62"/>
        <v>0</v>
      </c>
      <c r="AI180" s="117">
        <f t="shared" si="63"/>
        <v>0.78727272727272724</v>
      </c>
      <c r="AJ180" s="117">
        <f t="shared" si="64"/>
        <v>0</v>
      </c>
      <c r="AK180" s="117">
        <f t="shared" si="65"/>
        <v>0</v>
      </c>
      <c r="AL180" s="117">
        <f t="shared" si="56"/>
        <v>0</v>
      </c>
      <c r="AM180" s="117">
        <f t="shared" si="57"/>
        <v>0</v>
      </c>
      <c r="AN180" s="117">
        <f t="shared" si="66"/>
        <v>0</v>
      </c>
      <c r="AO180" s="117">
        <f t="shared" si="67"/>
        <v>0</v>
      </c>
      <c r="AP180" s="117">
        <f t="shared" si="58"/>
        <v>0</v>
      </c>
      <c r="AQ180" s="117">
        <f t="shared" si="59"/>
        <v>0</v>
      </c>
      <c r="AR180" s="117">
        <f t="shared" si="68"/>
        <v>0</v>
      </c>
      <c r="AS180" s="117">
        <f t="shared" si="69"/>
        <v>0</v>
      </c>
      <c r="AT180" s="117">
        <f t="shared" si="70"/>
        <v>0</v>
      </c>
      <c r="AU180" s="117">
        <f t="shared" si="71"/>
        <v>0</v>
      </c>
      <c r="AV180" s="117">
        <f t="shared" si="72"/>
        <v>0</v>
      </c>
      <c r="AW180" s="117">
        <f t="shared" si="73"/>
        <v>0</v>
      </c>
      <c r="AX180" s="117">
        <f t="shared" si="74"/>
        <v>0</v>
      </c>
      <c r="AY180" s="117">
        <f t="shared" si="75"/>
        <v>0</v>
      </c>
      <c r="AZ180" s="117">
        <f t="shared" si="76"/>
        <v>0</v>
      </c>
      <c r="BA180" s="117">
        <f t="shared" si="77"/>
        <v>0</v>
      </c>
      <c r="BB180" s="117">
        <f t="shared" si="78"/>
        <v>0</v>
      </c>
      <c r="BC180" s="117">
        <f t="shared" si="79"/>
        <v>0</v>
      </c>
      <c r="BD180" s="117">
        <f t="shared" si="80"/>
        <v>0</v>
      </c>
      <c r="BE180" s="107"/>
      <c r="BF180" s="107"/>
      <c r="BG180" s="107"/>
      <c r="BH180" s="107"/>
      <c r="BI180" s="107"/>
      <c r="BJ180" s="107"/>
      <c r="BK180" s="107"/>
      <c r="BL180" s="107"/>
    </row>
    <row r="181" spans="1:64" ht="12.75" customHeight="1" x14ac:dyDescent="0.2">
      <c r="A181" s="378"/>
      <c r="B181" s="378"/>
      <c r="C181" s="111" t="s">
        <v>409</v>
      </c>
      <c r="D181" s="380"/>
      <c r="E181" s="111"/>
      <c r="F181" s="111">
        <v>2.92</v>
      </c>
      <c r="G181" s="111"/>
      <c r="H181" s="111"/>
      <c r="I181" s="111"/>
      <c r="J181" s="111"/>
      <c r="K181" s="111"/>
      <c r="L181" s="111"/>
      <c r="M181" s="111"/>
      <c r="N181" s="111"/>
      <c r="O181" s="111"/>
      <c r="P181" s="111"/>
      <c r="Q181" s="111"/>
      <c r="R181" s="111"/>
      <c r="S181" s="111"/>
      <c r="T181" s="111"/>
      <c r="U181" s="111"/>
      <c r="V181" s="111"/>
      <c r="W181" s="111"/>
      <c r="X181" s="111"/>
      <c r="Y181" s="111"/>
      <c r="Z181" s="111"/>
      <c r="AA181" s="111"/>
      <c r="AB181" s="111"/>
      <c r="AC181" s="113" t="s">
        <v>289</v>
      </c>
      <c r="AD181" s="114">
        <f t="shared" si="60"/>
        <v>22</v>
      </c>
      <c r="AE181" s="115">
        <f>'1. SA ABA DE CARREGAMENTO'!B90</f>
        <v>22</v>
      </c>
      <c r="AF181" s="380"/>
      <c r="AG181" s="117">
        <f t="shared" si="61"/>
        <v>0</v>
      </c>
      <c r="AH181" s="117">
        <f t="shared" si="62"/>
        <v>2.92</v>
      </c>
      <c r="AI181" s="117">
        <f t="shared" si="63"/>
        <v>0</v>
      </c>
      <c r="AJ181" s="117">
        <f t="shared" si="64"/>
        <v>0</v>
      </c>
      <c r="AK181" s="117">
        <f t="shared" si="65"/>
        <v>0</v>
      </c>
      <c r="AL181" s="117">
        <f t="shared" si="56"/>
        <v>0</v>
      </c>
      <c r="AM181" s="117">
        <f t="shared" si="57"/>
        <v>0</v>
      </c>
      <c r="AN181" s="117">
        <f t="shared" si="66"/>
        <v>0</v>
      </c>
      <c r="AO181" s="117">
        <f t="shared" si="67"/>
        <v>0</v>
      </c>
      <c r="AP181" s="117">
        <f t="shared" si="58"/>
        <v>0</v>
      </c>
      <c r="AQ181" s="117">
        <f t="shared" si="59"/>
        <v>0</v>
      </c>
      <c r="AR181" s="117">
        <f t="shared" si="68"/>
        <v>0</v>
      </c>
      <c r="AS181" s="117">
        <f t="shared" si="69"/>
        <v>0</v>
      </c>
      <c r="AT181" s="117">
        <f t="shared" si="70"/>
        <v>0</v>
      </c>
      <c r="AU181" s="117">
        <f t="shared" si="71"/>
        <v>0</v>
      </c>
      <c r="AV181" s="117">
        <f t="shared" si="72"/>
        <v>0</v>
      </c>
      <c r="AW181" s="117">
        <f t="shared" si="73"/>
        <v>0</v>
      </c>
      <c r="AX181" s="117">
        <f t="shared" si="74"/>
        <v>0</v>
      </c>
      <c r="AY181" s="117">
        <f t="shared" si="75"/>
        <v>0</v>
      </c>
      <c r="AZ181" s="117">
        <f t="shared" si="76"/>
        <v>0</v>
      </c>
      <c r="BA181" s="117">
        <f t="shared" si="77"/>
        <v>0</v>
      </c>
      <c r="BB181" s="117">
        <f t="shared" si="78"/>
        <v>0</v>
      </c>
      <c r="BC181" s="117">
        <f t="shared" si="79"/>
        <v>0</v>
      </c>
      <c r="BD181" s="117">
        <f t="shared" si="80"/>
        <v>0</v>
      </c>
      <c r="BE181" s="107"/>
      <c r="BF181" s="107"/>
      <c r="BG181" s="107"/>
      <c r="BH181" s="107"/>
      <c r="BI181" s="107"/>
      <c r="BJ181" s="107"/>
      <c r="BK181" s="107"/>
      <c r="BL181" s="107"/>
    </row>
    <row r="182" spans="1:64" ht="12.75" customHeight="1" x14ac:dyDescent="0.2">
      <c r="A182" s="378"/>
      <c r="B182" s="378"/>
      <c r="C182" s="111" t="s">
        <v>410</v>
      </c>
      <c r="D182" s="380"/>
      <c r="E182" s="111"/>
      <c r="F182" s="111"/>
      <c r="G182" s="111">
        <v>8.1999999999999993</v>
      </c>
      <c r="H182" s="111"/>
      <c r="I182" s="111"/>
      <c r="J182" s="111"/>
      <c r="K182" s="111"/>
      <c r="L182" s="111"/>
      <c r="M182" s="111"/>
      <c r="N182" s="111"/>
      <c r="O182" s="111"/>
      <c r="P182" s="111"/>
      <c r="Q182" s="111"/>
      <c r="R182" s="111"/>
      <c r="S182" s="111"/>
      <c r="T182" s="111"/>
      <c r="U182" s="111"/>
      <c r="V182" s="111"/>
      <c r="W182" s="111"/>
      <c r="X182" s="111"/>
      <c r="Y182" s="111"/>
      <c r="Z182" s="111"/>
      <c r="AA182" s="111"/>
      <c r="AB182" s="111"/>
      <c r="AC182" s="113" t="s">
        <v>289</v>
      </c>
      <c r="AD182" s="114">
        <f t="shared" si="60"/>
        <v>22</v>
      </c>
      <c r="AE182" s="115">
        <f>'1. SA ABA DE CARREGAMENTO'!B90</f>
        <v>22</v>
      </c>
      <c r="AF182" s="380"/>
      <c r="AG182" s="117">
        <f t="shared" si="61"/>
        <v>0</v>
      </c>
      <c r="AH182" s="117">
        <f t="shared" si="62"/>
        <v>0</v>
      </c>
      <c r="AI182" s="117">
        <f t="shared" si="63"/>
        <v>8.1999999999999993</v>
      </c>
      <c r="AJ182" s="117">
        <f t="shared" si="64"/>
        <v>0</v>
      </c>
      <c r="AK182" s="117">
        <f t="shared" si="65"/>
        <v>0</v>
      </c>
      <c r="AL182" s="117">
        <f t="shared" si="56"/>
        <v>0</v>
      </c>
      <c r="AM182" s="117">
        <f t="shared" si="57"/>
        <v>0</v>
      </c>
      <c r="AN182" s="117">
        <f t="shared" si="66"/>
        <v>0</v>
      </c>
      <c r="AO182" s="117">
        <f t="shared" si="67"/>
        <v>0</v>
      </c>
      <c r="AP182" s="117">
        <f t="shared" si="58"/>
        <v>0</v>
      </c>
      <c r="AQ182" s="117">
        <f t="shared" si="59"/>
        <v>0</v>
      </c>
      <c r="AR182" s="117">
        <f t="shared" si="68"/>
        <v>0</v>
      </c>
      <c r="AS182" s="117">
        <f t="shared" si="69"/>
        <v>0</v>
      </c>
      <c r="AT182" s="117">
        <f t="shared" si="70"/>
        <v>0</v>
      </c>
      <c r="AU182" s="117">
        <f t="shared" si="71"/>
        <v>0</v>
      </c>
      <c r="AV182" s="117">
        <f t="shared" si="72"/>
        <v>0</v>
      </c>
      <c r="AW182" s="117">
        <f t="shared" si="73"/>
        <v>0</v>
      </c>
      <c r="AX182" s="117">
        <f t="shared" si="74"/>
        <v>0</v>
      </c>
      <c r="AY182" s="117">
        <f t="shared" si="75"/>
        <v>0</v>
      </c>
      <c r="AZ182" s="117">
        <f t="shared" si="76"/>
        <v>0</v>
      </c>
      <c r="BA182" s="117">
        <f t="shared" si="77"/>
        <v>0</v>
      </c>
      <c r="BB182" s="117">
        <f t="shared" si="78"/>
        <v>0</v>
      </c>
      <c r="BC182" s="117">
        <f t="shared" si="79"/>
        <v>0</v>
      </c>
      <c r="BD182" s="117">
        <f t="shared" si="80"/>
        <v>0</v>
      </c>
      <c r="BE182" s="107"/>
      <c r="BF182" s="107"/>
      <c r="BG182" s="107"/>
      <c r="BH182" s="107"/>
      <c r="BI182" s="107"/>
      <c r="BJ182" s="107"/>
      <c r="BK182" s="107"/>
      <c r="BL182" s="107"/>
    </row>
    <row r="183" spans="1:64" ht="12.75" customHeight="1" x14ac:dyDescent="0.2">
      <c r="A183" s="378"/>
      <c r="B183" s="378"/>
      <c r="C183" s="111" t="s">
        <v>271</v>
      </c>
      <c r="D183" s="380"/>
      <c r="E183" s="111"/>
      <c r="F183" s="111"/>
      <c r="G183" s="111"/>
      <c r="H183" s="111"/>
      <c r="I183" s="111"/>
      <c r="J183" s="111"/>
      <c r="K183" s="111"/>
      <c r="L183" s="111">
        <v>12</v>
      </c>
      <c r="M183" s="111"/>
      <c r="N183" s="111"/>
      <c r="O183" s="111"/>
      <c r="P183" s="111"/>
      <c r="Q183" s="111"/>
      <c r="R183" s="111"/>
      <c r="S183" s="111"/>
      <c r="T183" s="111"/>
      <c r="U183" s="111"/>
      <c r="V183" s="111"/>
      <c r="W183" s="111"/>
      <c r="X183" s="111"/>
      <c r="Y183" s="111"/>
      <c r="Z183" s="111"/>
      <c r="AA183" s="111"/>
      <c r="AB183" s="111"/>
      <c r="AC183" s="113" t="s">
        <v>270</v>
      </c>
      <c r="AD183" s="114">
        <f t="shared" si="60"/>
        <v>66</v>
      </c>
      <c r="AE183" s="115">
        <f>'1. SA ABA DE CARREGAMENTO'!B90</f>
        <v>22</v>
      </c>
      <c r="AF183" s="380"/>
      <c r="AG183" s="117">
        <f t="shared" si="61"/>
        <v>0</v>
      </c>
      <c r="AH183" s="117">
        <f t="shared" si="62"/>
        <v>0</v>
      </c>
      <c r="AI183" s="117">
        <f t="shared" si="63"/>
        <v>0</v>
      </c>
      <c r="AJ183" s="117">
        <f t="shared" si="64"/>
        <v>0</v>
      </c>
      <c r="AK183" s="117">
        <f t="shared" si="65"/>
        <v>0</v>
      </c>
      <c r="AL183" s="117">
        <f t="shared" si="56"/>
        <v>0</v>
      </c>
      <c r="AM183" s="117">
        <f t="shared" si="57"/>
        <v>0</v>
      </c>
      <c r="AN183" s="117">
        <f t="shared" si="66"/>
        <v>36</v>
      </c>
      <c r="AO183" s="117">
        <f t="shared" si="67"/>
        <v>0</v>
      </c>
      <c r="AP183" s="117">
        <f t="shared" si="58"/>
        <v>0</v>
      </c>
      <c r="AQ183" s="117">
        <f t="shared" si="59"/>
        <v>0</v>
      </c>
      <c r="AR183" s="117">
        <f t="shared" si="68"/>
        <v>0</v>
      </c>
      <c r="AS183" s="117">
        <f t="shared" si="69"/>
        <v>0</v>
      </c>
      <c r="AT183" s="117">
        <f t="shared" si="70"/>
        <v>0</v>
      </c>
      <c r="AU183" s="117">
        <f t="shared" si="71"/>
        <v>0</v>
      </c>
      <c r="AV183" s="117">
        <f t="shared" si="72"/>
        <v>0</v>
      </c>
      <c r="AW183" s="117">
        <f t="shared" si="73"/>
        <v>0</v>
      </c>
      <c r="AX183" s="117">
        <f t="shared" si="74"/>
        <v>0</v>
      </c>
      <c r="AY183" s="117">
        <f t="shared" si="75"/>
        <v>0</v>
      </c>
      <c r="AZ183" s="117">
        <f t="shared" si="76"/>
        <v>0</v>
      </c>
      <c r="BA183" s="117">
        <f t="shared" si="77"/>
        <v>0</v>
      </c>
      <c r="BB183" s="117">
        <f t="shared" si="78"/>
        <v>0</v>
      </c>
      <c r="BC183" s="117">
        <f t="shared" si="79"/>
        <v>0</v>
      </c>
      <c r="BD183" s="117">
        <f t="shared" si="80"/>
        <v>0</v>
      </c>
      <c r="BE183" s="107"/>
      <c r="BF183" s="107"/>
      <c r="BG183" s="107"/>
      <c r="BH183" s="107"/>
      <c r="BI183" s="107"/>
      <c r="BJ183" s="107"/>
      <c r="BK183" s="107"/>
      <c r="BL183" s="107"/>
    </row>
    <row r="184" spans="1:64" ht="12.75" customHeight="1" x14ac:dyDescent="0.2">
      <c r="A184" s="378"/>
      <c r="B184" s="378"/>
      <c r="C184" s="111" t="s">
        <v>274</v>
      </c>
      <c r="D184" s="380"/>
      <c r="E184" s="111"/>
      <c r="F184" s="111"/>
      <c r="G184" s="111"/>
      <c r="H184" s="111"/>
      <c r="I184" s="111"/>
      <c r="J184" s="111"/>
      <c r="K184" s="111"/>
      <c r="L184" s="111"/>
      <c r="M184" s="111"/>
      <c r="N184" s="111"/>
      <c r="O184" s="111"/>
      <c r="P184" s="111"/>
      <c r="Q184" s="111"/>
      <c r="R184" s="111"/>
      <c r="S184" s="111"/>
      <c r="T184" s="111"/>
      <c r="U184" s="111"/>
      <c r="V184" s="111">
        <v>11.16</v>
      </c>
      <c r="W184" s="111"/>
      <c r="X184" s="111"/>
      <c r="Y184" s="111"/>
      <c r="Z184" s="111"/>
      <c r="AA184" s="111"/>
      <c r="AB184" s="111"/>
      <c r="AC184" s="113" t="s">
        <v>275</v>
      </c>
      <c r="AD184" s="114">
        <f t="shared" si="60"/>
        <v>0.17</v>
      </c>
      <c r="AE184" s="115">
        <f>'1. SA ABA DE CARREGAMENTO'!B90</f>
        <v>22</v>
      </c>
      <c r="AF184" s="380"/>
      <c r="AG184" s="117">
        <f t="shared" si="61"/>
        <v>0</v>
      </c>
      <c r="AH184" s="117">
        <f t="shared" si="62"/>
        <v>0</v>
      </c>
      <c r="AI184" s="117">
        <f t="shared" si="63"/>
        <v>0</v>
      </c>
      <c r="AJ184" s="117">
        <f t="shared" si="64"/>
        <v>0</v>
      </c>
      <c r="AK184" s="117">
        <f t="shared" si="65"/>
        <v>0</v>
      </c>
      <c r="AL184" s="117">
        <f t="shared" si="56"/>
        <v>0</v>
      </c>
      <c r="AM184" s="117">
        <f t="shared" si="57"/>
        <v>0</v>
      </c>
      <c r="AN184" s="117">
        <f t="shared" si="66"/>
        <v>0</v>
      </c>
      <c r="AO184" s="117">
        <f t="shared" si="67"/>
        <v>0</v>
      </c>
      <c r="AP184" s="117">
        <f t="shared" si="58"/>
        <v>0</v>
      </c>
      <c r="AQ184" s="117">
        <f t="shared" si="59"/>
        <v>0</v>
      </c>
      <c r="AR184" s="117">
        <f t="shared" si="68"/>
        <v>0</v>
      </c>
      <c r="AS184" s="117">
        <f t="shared" si="69"/>
        <v>0</v>
      </c>
      <c r="AT184" s="117">
        <f t="shared" si="70"/>
        <v>0</v>
      </c>
      <c r="AU184" s="117">
        <f t="shared" si="71"/>
        <v>0</v>
      </c>
      <c r="AV184" s="117">
        <f t="shared" si="72"/>
        <v>0</v>
      </c>
      <c r="AW184" s="117">
        <f t="shared" si="73"/>
        <v>0</v>
      </c>
      <c r="AX184" s="117">
        <f t="shared" si="74"/>
        <v>8.6236363636363653E-2</v>
      </c>
      <c r="AY184" s="117">
        <f t="shared" si="75"/>
        <v>0</v>
      </c>
      <c r="AZ184" s="117">
        <f t="shared" si="76"/>
        <v>0</v>
      </c>
      <c r="BA184" s="117">
        <f t="shared" si="77"/>
        <v>0</v>
      </c>
      <c r="BB184" s="117">
        <f t="shared" si="78"/>
        <v>0</v>
      </c>
      <c r="BC184" s="117">
        <f t="shared" si="79"/>
        <v>0</v>
      </c>
      <c r="BD184" s="117">
        <f t="shared" si="80"/>
        <v>0</v>
      </c>
      <c r="BE184" s="107"/>
      <c r="BF184" s="107"/>
      <c r="BG184" s="107"/>
      <c r="BH184" s="107"/>
      <c r="BI184" s="107"/>
      <c r="BJ184" s="107"/>
      <c r="BK184" s="107"/>
      <c r="BL184" s="107"/>
    </row>
    <row r="185" spans="1:64" ht="12.75" customHeight="1" x14ac:dyDescent="0.2">
      <c r="A185" s="378"/>
      <c r="B185" s="378"/>
      <c r="C185" s="111" t="s">
        <v>276</v>
      </c>
      <c r="D185" s="380"/>
      <c r="E185" s="111"/>
      <c r="F185" s="111"/>
      <c r="G185" s="111"/>
      <c r="H185" s="111"/>
      <c r="I185" s="111"/>
      <c r="J185" s="111"/>
      <c r="K185" s="111"/>
      <c r="L185" s="111"/>
      <c r="M185" s="111"/>
      <c r="N185" s="111"/>
      <c r="O185" s="111"/>
      <c r="P185" s="111"/>
      <c r="Q185" s="111"/>
      <c r="R185" s="111"/>
      <c r="S185" s="111"/>
      <c r="T185" s="111"/>
      <c r="U185" s="111"/>
      <c r="V185" s="111"/>
      <c r="W185" s="111">
        <f>11.16+1</f>
        <v>12.16</v>
      </c>
      <c r="X185" s="111"/>
      <c r="Y185" s="111"/>
      <c r="Z185" s="111"/>
      <c r="AA185" s="111"/>
      <c r="AB185" s="111"/>
      <c r="AC185" s="113" t="s">
        <v>277</v>
      </c>
      <c r="AD185" s="114">
        <f t="shared" si="60"/>
        <v>8</v>
      </c>
      <c r="AE185" s="115">
        <f>'1. SA ABA DE CARREGAMENTO'!B90</f>
        <v>22</v>
      </c>
      <c r="AF185" s="380"/>
      <c r="AG185" s="117">
        <f t="shared" si="61"/>
        <v>0</v>
      </c>
      <c r="AH185" s="117">
        <f t="shared" si="62"/>
        <v>0</v>
      </c>
      <c r="AI185" s="117">
        <f t="shared" si="63"/>
        <v>0</v>
      </c>
      <c r="AJ185" s="117">
        <f t="shared" si="64"/>
        <v>0</v>
      </c>
      <c r="AK185" s="117">
        <f t="shared" si="65"/>
        <v>0</v>
      </c>
      <c r="AL185" s="117">
        <f t="shared" si="56"/>
        <v>0</v>
      </c>
      <c r="AM185" s="117">
        <f t="shared" si="57"/>
        <v>0</v>
      </c>
      <c r="AN185" s="117">
        <f t="shared" si="66"/>
        <v>0</v>
      </c>
      <c r="AO185" s="117">
        <f t="shared" si="67"/>
        <v>0</v>
      </c>
      <c r="AP185" s="117">
        <f t="shared" si="58"/>
        <v>0</v>
      </c>
      <c r="AQ185" s="117">
        <f t="shared" si="59"/>
        <v>0</v>
      </c>
      <c r="AR185" s="117">
        <f t="shared" si="68"/>
        <v>0</v>
      </c>
      <c r="AS185" s="117">
        <f t="shared" si="69"/>
        <v>0</v>
      </c>
      <c r="AT185" s="117">
        <f t="shared" si="70"/>
        <v>0</v>
      </c>
      <c r="AU185" s="117">
        <f t="shared" si="71"/>
        <v>0</v>
      </c>
      <c r="AV185" s="117">
        <f t="shared" si="72"/>
        <v>0</v>
      </c>
      <c r="AW185" s="117">
        <f t="shared" si="73"/>
        <v>0</v>
      </c>
      <c r="AX185" s="117">
        <f t="shared" si="74"/>
        <v>0</v>
      </c>
      <c r="AY185" s="117">
        <f t="shared" si="75"/>
        <v>4.4218181818181819</v>
      </c>
      <c r="AZ185" s="117">
        <f t="shared" si="76"/>
        <v>0</v>
      </c>
      <c r="BA185" s="117">
        <f t="shared" si="77"/>
        <v>0</v>
      </c>
      <c r="BB185" s="117">
        <f t="shared" si="78"/>
        <v>0</v>
      </c>
      <c r="BC185" s="117">
        <f t="shared" si="79"/>
        <v>0</v>
      </c>
      <c r="BD185" s="117">
        <f t="shared" si="80"/>
        <v>0</v>
      </c>
      <c r="BE185" s="107"/>
      <c r="BF185" s="107"/>
      <c r="BG185" s="107"/>
      <c r="BH185" s="107"/>
      <c r="BI185" s="107"/>
      <c r="BJ185" s="107"/>
      <c r="BK185" s="107"/>
      <c r="BL185" s="107"/>
    </row>
    <row r="186" spans="1:64" ht="12.75" customHeight="1" x14ac:dyDescent="0.2">
      <c r="A186" s="378"/>
      <c r="B186" s="378"/>
      <c r="C186" s="111" t="s">
        <v>411</v>
      </c>
      <c r="D186" s="380"/>
      <c r="E186" s="111"/>
      <c r="F186" s="111"/>
      <c r="G186" s="111"/>
      <c r="H186" s="111"/>
      <c r="I186" s="111"/>
      <c r="J186" s="111"/>
      <c r="K186" s="111"/>
      <c r="L186" s="111"/>
      <c r="M186" s="111"/>
      <c r="N186" s="111"/>
      <c r="O186" s="111"/>
      <c r="P186" s="111"/>
      <c r="Q186" s="111"/>
      <c r="R186" s="111"/>
      <c r="S186" s="111"/>
      <c r="T186" s="111"/>
      <c r="U186" s="111"/>
      <c r="V186" s="111"/>
      <c r="W186" s="111"/>
      <c r="X186" s="111"/>
      <c r="Y186" s="111"/>
      <c r="Z186" s="111">
        <v>10.57</v>
      </c>
      <c r="AA186" s="111"/>
      <c r="AB186" s="111"/>
      <c r="AC186" s="113" t="s">
        <v>289</v>
      </c>
      <c r="AD186" s="114">
        <f t="shared" si="60"/>
        <v>22</v>
      </c>
      <c r="AE186" s="115">
        <f>'1. SA ABA DE CARREGAMENTO'!B90</f>
        <v>22</v>
      </c>
      <c r="AF186" s="380"/>
      <c r="AG186" s="117">
        <f t="shared" si="61"/>
        <v>0</v>
      </c>
      <c r="AH186" s="117">
        <f t="shared" si="62"/>
        <v>0</v>
      </c>
      <c r="AI186" s="117">
        <f t="shared" si="63"/>
        <v>0</v>
      </c>
      <c r="AJ186" s="117">
        <f t="shared" si="64"/>
        <v>0</v>
      </c>
      <c r="AK186" s="117">
        <f t="shared" si="65"/>
        <v>0</v>
      </c>
      <c r="AL186" s="117">
        <f t="shared" si="56"/>
        <v>0</v>
      </c>
      <c r="AM186" s="117">
        <f t="shared" si="57"/>
        <v>0</v>
      </c>
      <c r="AN186" s="117">
        <f t="shared" si="66"/>
        <v>0</v>
      </c>
      <c r="AO186" s="117">
        <f t="shared" si="67"/>
        <v>0</v>
      </c>
      <c r="AP186" s="117">
        <f t="shared" si="58"/>
        <v>0</v>
      </c>
      <c r="AQ186" s="117">
        <f t="shared" si="59"/>
        <v>0</v>
      </c>
      <c r="AR186" s="117">
        <f t="shared" si="68"/>
        <v>0</v>
      </c>
      <c r="AS186" s="117">
        <f t="shared" si="69"/>
        <v>0</v>
      </c>
      <c r="AT186" s="117">
        <f t="shared" si="70"/>
        <v>0</v>
      </c>
      <c r="AU186" s="117">
        <f t="shared" si="71"/>
        <v>0</v>
      </c>
      <c r="AV186" s="117">
        <f t="shared" si="72"/>
        <v>0</v>
      </c>
      <c r="AW186" s="117">
        <f t="shared" si="73"/>
        <v>0</v>
      </c>
      <c r="AX186" s="117">
        <f t="shared" si="74"/>
        <v>0</v>
      </c>
      <c r="AY186" s="117">
        <f t="shared" si="75"/>
        <v>0</v>
      </c>
      <c r="AZ186" s="117">
        <f t="shared" si="76"/>
        <v>0</v>
      </c>
      <c r="BA186" s="117">
        <f t="shared" si="77"/>
        <v>0</v>
      </c>
      <c r="BB186" s="117">
        <f t="shared" si="78"/>
        <v>10.57</v>
      </c>
      <c r="BC186" s="117">
        <f t="shared" si="79"/>
        <v>0</v>
      </c>
      <c r="BD186" s="117">
        <f t="shared" si="80"/>
        <v>0</v>
      </c>
      <c r="BE186" s="107"/>
      <c r="BF186" s="107"/>
      <c r="BG186" s="107"/>
      <c r="BH186" s="107"/>
      <c r="BI186" s="107"/>
      <c r="BJ186" s="107"/>
      <c r="BK186" s="107"/>
      <c r="BL186" s="107"/>
    </row>
    <row r="187" spans="1:64" ht="12.75" customHeight="1" x14ac:dyDescent="0.2">
      <c r="A187" s="378"/>
      <c r="B187" s="378"/>
      <c r="C187" s="111" t="s">
        <v>280</v>
      </c>
      <c r="D187" s="380"/>
      <c r="E187" s="111"/>
      <c r="F187" s="111"/>
      <c r="G187" s="111"/>
      <c r="H187" s="111"/>
      <c r="I187" s="111"/>
      <c r="J187" s="111"/>
      <c r="K187" s="111"/>
      <c r="L187" s="111"/>
      <c r="M187" s="111"/>
      <c r="N187" s="111"/>
      <c r="O187" s="111"/>
      <c r="P187" s="111"/>
      <c r="Q187" s="111"/>
      <c r="R187" s="111"/>
      <c r="S187" s="111"/>
      <c r="T187" s="111"/>
      <c r="U187" s="111"/>
      <c r="V187" s="111"/>
      <c r="W187" s="111"/>
      <c r="X187" s="111"/>
      <c r="Y187" s="111"/>
      <c r="Z187" s="111"/>
      <c r="AA187" s="111">
        <v>36.799999999999997</v>
      </c>
      <c r="AB187" s="111"/>
      <c r="AC187" s="113" t="s">
        <v>281</v>
      </c>
      <c r="AD187" s="114">
        <f t="shared" si="60"/>
        <v>4.33</v>
      </c>
      <c r="AE187" s="115">
        <f>'1. SA ABA DE CARREGAMENTO'!B90</f>
        <v>22</v>
      </c>
      <c r="AF187" s="380"/>
      <c r="AG187" s="117">
        <f t="shared" si="61"/>
        <v>0</v>
      </c>
      <c r="AH187" s="117">
        <f t="shared" si="62"/>
        <v>0</v>
      </c>
      <c r="AI187" s="117">
        <f t="shared" si="63"/>
        <v>0</v>
      </c>
      <c r="AJ187" s="117">
        <f t="shared" si="64"/>
        <v>0</v>
      </c>
      <c r="AK187" s="117">
        <f t="shared" si="65"/>
        <v>0</v>
      </c>
      <c r="AL187" s="117">
        <f t="shared" si="56"/>
        <v>0</v>
      </c>
      <c r="AM187" s="117">
        <f t="shared" si="57"/>
        <v>0</v>
      </c>
      <c r="AN187" s="117">
        <f t="shared" si="66"/>
        <v>0</v>
      </c>
      <c r="AO187" s="117">
        <f t="shared" si="67"/>
        <v>0</v>
      </c>
      <c r="AP187" s="117">
        <f t="shared" si="58"/>
        <v>0</v>
      </c>
      <c r="AQ187" s="117">
        <f t="shared" si="59"/>
        <v>0</v>
      </c>
      <c r="AR187" s="117">
        <f t="shared" si="68"/>
        <v>0</v>
      </c>
      <c r="AS187" s="117">
        <f t="shared" si="69"/>
        <v>0</v>
      </c>
      <c r="AT187" s="117">
        <f t="shared" si="70"/>
        <v>0</v>
      </c>
      <c r="AU187" s="117">
        <f t="shared" si="71"/>
        <v>0</v>
      </c>
      <c r="AV187" s="117">
        <f t="shared" si="72"/>
        <v>0</v>
      </c>
      <c r="AW187" s="117">
        <f t="shared" si="73"/>
        <v>0</v>
      </c>
      <c r="AX187" s="117">
        <f t="shared" si="74"/>
        <v>0</v>
      </c>
      <c r="AY187" s="117">
        <f t="shared" si="75"/>
        <v>0</v>
      </c>
      <c r="AZ187" s="117">
        <f t="shared" si="76"/>
        <v>0</v>
      </c>
      <c r="BA187" s="117">
        <f t="shared" si="77"/>
        <v>0</v>
      </c>
      <c r="BB187" s="117">
        <f t="shared" si="78"/>
        <v>0</v>
      </c>
      <c r="BC187" s="117">
        <f t="shared" si="79"/>
        <v>7.242909090909091</v>
      </c>
      <c r="BD187" s="117">
        <f t="shared" si="80"/>
        <v>0</v>
      </c>
      <c r="BE187" s="107"/>
      <c r="BF187" s="107"/>
      <c r="BG187" s="107"/>
      <c r="BH187" s="107"/>
      <c r="BI187" s="107"/>
      <c r="BJ187" s="107"/>
      <c r="BK187" s="107"/>
      <c r="BL187" s="107"/>
    </row>
    <row r="188" spans="1:64" ht="12.75" customHeight="1" x14ac:dyDescent="0.2">
      <c r="A188" s="378"/>
      <c r="B188" s="378"/>
      <c r="C188" s="111" t="s">
        <v>282</v>
      </c>
      <c r="D188" s="380"/>
      <c r="E188" s="111"/>
      <c r="F188" s="111"/>
      <c r="G188" s="111"/>
      <c r="H188" s="111"/>
      <c r="I188" s="111"/>
      <c r="J188" s="111"/>
      <c r="K188" s="111"/>
      <c r="L188" s="111"/>
      <c r="M188" s="111"/>
      <c r="N188" s="111"/>
      <c r="O188" s="111"/>
      <c r="P188" s="111"/>
      <c r="Q188" s="111"/>
      <c r="R188" s="111"/>
      <c r="S188" s="111"/>
      <c r="T188" s="111"/>
      <c r="U188" s="111"/>
      <c r="V188" s="111"/>
      <c r="W188" s="111"/>
      <c r="X188" s="111"/>
      <c r="Y188" s="111"/>
      <c r="Z188" s="111"/>
      <c r="AA188" s="111"/>
      <c r="AB188" s="111">
        <v>10.57</v>
      </c>
      <c r="AC188" s="113" t="s">
        <v>281</v>
      </c>
      <c r="AD188" s="114">
        <f t="shared" si="60"/>
        <v>4.33</v>
      </c>
      <c r="AE188" s="115">
        <f>'1. SA ABA DE CARREGAMENTO'!B90</f>
        <v>22</v>
      </c>
      <c r="AF188" s="380"/>
      <c r="AG188" s="117">
        <f t="shared" si="61"/>
        <v>0</v>
      </c>
      <c r="AH188" s="117">
        <f t="shared" si="62"/>
        <v>0</v>
      </c>
      <c r="AI188" s="117">
        <f t="shared" si="63"/>
        <v>0</v>
      </c>
      <c r="AJ188" s="117">
        <f t="shared" si="64"/>
        <v>0</v>
      </c>
      <c r="AK188" s="117">
        <f t="shared" si="65"/>
        <v>0</v>
      </c>
      <c r="AL188" s="117">
        <f t="shared" si="56"/>
        <v>0</v>
      </c>
      <c r="AM188" s="117">
        <f t="shared" si="57"/>
        <v>0</v>
      </c>
      <c r="AN188" s="117">
        <f t="shared" si="66"/>
        <v>0</v>
      </c>
      <c r="AO188" s="117">
        <f t="shared" si="67"/>
        <v>0</v>
      </c>
      <c r="AP188" s="117">
        <f t="shared" si="58"/>
        <v>0</v>
      </c>
      <c r="AQ188" s="117">
        <f t="shared" si="59"/>
        <v>0</v>
      </c>
      <c r="AR188" s="117">
        <f t="shared" si="68"/>
        <v>0</v>
      </c>
      <c r="AS188" s="117">
        <f t="shared" si="69"/>
        <v>0</v>
      </c>
      <c r="AT188" s="117">
        <f t="shared" si="70"/>
        <v>0</v>
      </c>
      <c r="AU188" s="117">
        <f t="shared" si="71"/>
        <v>0</v>
      </c>
      <c r="AV188" s="117">
        <f t="shared" si="72"/>
        <v>0</v>
      </c>
      <c r="AW188" s="117">
        <f t="shared" si="73"/>
        <v>0</v>
      </c>
      <c r="AX188" s="117">
        <f t="shared" si="74"/>
        <v>0</v>
      </c>
      <c r="AY188" s="117">
        <f t="shared" si="75"/>
        <v>0</v>
      </c>
      <c r="AZ188" s="117">
        <f t="shared" si="76"/>
        <v>0</v>
      </c>
      <c r="BA188" s="117">
        <f t="shared" si="77"/>
        <v>0</v>
      </c>
      <c r="BB188" s="117">
        <f t="shared" si="78"/>
        <v>0</v>
      </c>
      <c r="BC188" s="117">
        <f t="shared" si="79"/>
        <v>0</v>
      </c>
      <c r="BD188" s="117">
        <f t="shared" si="80"/>
        <v>2.0803681818181818</v>
      </c>
      <c r="BE188" s="107"/>
      <c r="BF188" s="107"/>
      <c r="BG188" s="107"/>
      <c r="BH188" s="107"/>
      <c r="BI188" s="107"/>
      <c r="BJ188" s="107"/>
      <c r="BK188" s="107"/>
      <c r="BL188" s="107"/>
    </row>
    <row r="189" spans="1:64" ht="15" customHeight="1" x14ac:dyDescent="0.2">
      <c r="A189" s="391">
        <v>15</v>
      </c>
      <c r="B189" s="388" t="s">
        <v>412</v>
      </c>
      <c r="C189" s="106" t="s">
        <v>413</v>
      </c>
      <c r="D189" s="377">
        <f>SUM(E189:AB192)</f>
        <v>138.31</v>
      </c>
      <c r="E189" s="106"/>
      <c r="F189" s="106">
        <v>35.229999999999997</v>
      </c>
      <c r="G189" s="106"/>
      <c r="H189" s="106"/>
      <c r="I189" s="106"/>
      <c r="J189" s="106"/>
      <c r="K189" s="106"/>
      <c r="L189" s="106"/>
      <c r="M189" s="106"/>
      <c r="N189" s="106"/>
      <c r="O189" s="106"/>
      <c r="P189" s="106"/>
      <c r="Q189" s="106"/>
      <c r="R189" s="106"/>
      <c r="S189" s="106"/>
      <c r="T189" s="106"/>
      <c r="U189" s="106"/>
      <c r="V189" s="106"/>
      <c r="W189" s="106"/>
      <c r="X189" s="106"/>
      <c r="Y189" s="106"/>
      <c r="Z189" s="106"/>
      <c r="AA189" s="106"/>
      <c r="AB189" s="106"/>
      <c r="AC189" s="106" t="s">
        <v>285</v>
      </c>
      <c r="AD189" s="110">
        <f t="shared" si="60"/>
        <v>44</v>
      </c>
      <c r="AE189" s="108">
        <f>'1. SA ABA DE CARREGAMENTO'!B90</f>
        <v>22</v>
      </c>
      <c r="AF189" s="377">
        <f>SUM(AG189:BD192)</f>
        <v>202.59581818181815</v>
      </c>
      <c r="AG189" s="109">
        <f t="shared" si="61"/>
        <v>0</v>
      </c>
      <c r="AH189" s="109">
        <f t="shared" si="62"/>
        <v>70.459999999999994</v>
      </c>
      <c r="AI189" s="109">
        <f t="shared" si="63"/>
        <v>0</v>
      </c>
      <c r="AJ189" s="109">
        <f t="shared" si="64"/>
        <v>0</v>
      </c>
      <c r="AK189" s="109">
        <f t="shared" si="65"/>
        <v>0</v>
      </c>
      <c r="AL189" s="109">
        <f t="shared" si="56"/>
        <v>0</v>
      </c>
      <c r="AM189" s="109">
        <f t="shared" si="57"/>
        <v>0</v>
      </c>
      <c r="AN189" s="109">
        <f t="shared" si="66"/>
        <v>0</v>
      </c>
      <c r="AO189" s="109">
        <f t="shared" si="67"/>
        <v>0</v>
      </c>
      <c r="AP189" s="109">
        <f t="shared" si="58"/>
        <v>0</v>
      </c>
      <c r="AQ189" s="109">
        <f t="shared" si="59"/>
        <v>0</v>
      </c>
      <c r="AR189" s="109">
        <f t="shared" si="68"/>
        <v>0</v>
      </c>
      <c r="AS189" s="109">
        <f t="shared" si="69"/>
        <v>0</v>
      </c>
      <c r="AT189" s="109">
        <f t="shared" si="70"/>
        <v>0</v>
      </c>
      <c r="AU189" s="109">
        <f t="shared" si="71"/>
        <v>0</v>
      </c>
      <c r="AV189" s="109">
        <f t="shared" si="72"/>
        <v>0</v>
      </c>
      <c r="AW189" s="109">
        <f t="shared" si="73"/>
        <v>0</v>
      </c>
      <c r="AX189" s="109">
        <f t="shared" si="74"/>
        <v>0</v>
      </c>
      <c r="AY189" s="109">
        <f t="shared" si="75"/>
        <v>0</v>
      </c>
      <c r="AZ189" s="109">
        <f t="shared" si="76"/>
        <v>0</v>
      </c>
      <c r="BA189" s="109">
        <f t="shared" si="77"/>
        <v>0</v>
      </c>
      <c r="BB189" s="109">
        <f t="shared" si="78"/>
        <v>0</v>
      </c>
      <c r="BC189" s="109">
        <f t="shared" si="79"/>
        <v>0</v>
      </c>
      <c r="BD189" s="109">
        <f t="shared" si="80"/>
        <v>0</v>
      </c>
      <c r="BE189" s="107"/>
      <c r="BF189" s="107"/>
      <c r="BG189" s="107"/>
      <c r="BH189" s="107"/>
      <c r="BI189" s="107"/>
      <c r="BJ189" s="107"/>
      <c r="BK189" s="107"/>
      <c r="BL189" s="107"/>
    </row>
    <row r="190" spans="1:64" ht="12.75" customHeight="1" x14ac:dyDescent="0.2">
      <c r="A190" s="391"/>
      <c r="B190" s="391"/>
      <c r="C190" s="106" t="s">
        <v>403</v>
      </c>
      <c r="D190" s="377"/>
      <c r="E190" s="106"/>
      <c r="F190" s="106"/>
      <c r="G190" s="106">
        <v>62.28</v>
      </c>
      <c r="H190" s="106"/>
      <c r="I190" s="106"/>
      <c r="J190" s="106"/>
      <c r="K190" s="106"/>
      <c r="L190" s="106"/>
      <c r="M190" s="106"/>
      <c r="N190" s="106"/>
      <c r="O190" s="106"/>
      <c r="P190" s="106"/>
      <c r="Q190" s="106"/>
      <c r="R190" s="106"/>
      <c r="S190" s="106"/>
      <c r="T190" s="106"/>
      <c r="U190" s="106"/>
      <c r="V190" s="106"/>
      <c r="W190" s="106"/>
      <c r="X190" s="106"/>
      <c r="Y190" s="106"/>
      <c r="Z190" s="106"/>
      <c r="AA190" s="106"/>
      <c r="AB190" s="106"/>
      <c r="AC190" s="106" t="s">
        <v>285</v>
      </c>
      <c r="AD190" s="110">
        <f t="shared" si="60"/>
        <v>44</v>
      </c>
      <c r="AE190" s="108">
        <f>'1. SA ABA DE CARREGAMENTO'!B90</f>
        <v>22</v>
      </c>
      <c r="AF190" s="377"/>
      <c r="AG190" s="109">
        <f t="shared" si="61"/>
        <v>0</v>
      </c>
      <c r="AH190" s="109">
        <f t="shared" si="62"/>
        <v>0</v>
      </c>
      <c r="AI190" s="109">
        <f t="shared" si="63"/>
        <v>124.56</v>
      </c>
      <c r="AJ190" s="109">
        <f t="shared" si="64"/>
        <v>0</v>
      </c>
      <c r="AK190" s="109">
        <f t="shared" si="65"/>
        <v>0</v>
      </c>
      <c r="AL190" s="109">
        <f t="shared" si="56"/>
        <v>0</v>
      </c>
      <c r="AM190" s="109">
        <f t="shared" si="57"/>
        <v>0</v>
      </c>
      <c r="AN190" s="109">
        <f t="shared" si="66"/>
        <v>0</v>
      </c>
      <c r="AO190" s="109">
        <f t="shared" si="67"/>
        <v>0</v>
      </c>
      <c r="AP190" s="109">
        <f t="shared" si="58"/>
        <v>0</v>
      </c>
      <c r="AQ190" s="109">
        <f t="shared" si="59"/>
        <v>0</v>
      </c>
      <c r="AR190" s="109">
        <f t="shared" si="68"/>
        <v>0</v>
      </c>
      <c r="AS190" s="109">
        <f t="shared" si="69"/>
        <v>0</v>
      </c>
      <c r="AT190" s="109">
        <f t="shared" si="70"/>
        <v>0</v>
      </c>
      <c r="AU190" s="109">
        <f t="shared" si="71"/>
        <v>0</v>
      </c>
      <c r="AV190" s="109">
        <f t="shared" si="72"/>
        <v>0</v>
      </c>
      <c r="AW190" s="109">
        <f t="shared" si="73"/>
        <v>0</v>
      </c>
      <c r="AX190" s="109">
        <f t="shared" si="74"/>
        <v>0</v>
      </c>
      <c r="AY190" s="109">
        <f t="shared" si="75"/>
        <v>0</v>
      </c>
      <c r="AZ190" s="109">
        <f t="shared" si="76"/>
        <v>0</v>
      </c>
      <c r="BA190" s="109">
        <f t="shared" si="77"/>
        <v>0</v>
      </c>
      <c r="BB190" s="109">
        <f t="shared" si="78"/>
        <v>0</v>
      </c>
      <c r="BC190" s="109">
        <f t="shared" si="79"/>
        <v>0</v>
      </c>
      <c r="BD190" s="109">
        <f t="shared" si="80"/>
        <v>0</v>
      </c>
      <c r="BE190" s="107"/>
      <c r="BF190" s="107"/>
      <c r="BG190" s="107"/>
      <c r="BH190" s="107"/>
      <c r="BI190" s="107"/>
      <c r="BJ190" s="107"/>
      <c r="BK190" s="107"/>
      <c r="BL190" s="107"/>
    </row>
    <row r="191" spans="1:64" ht="12.75" customHeight="1" x14ac:dyDescent="0.2">
      <c r="A191" s="391"/>
      <c r="B191" s="391"/>
      <c r="C191" s="106" t="s">
        <v>274</v>
      </c>
      <c r="D191" s="377"/>
      <c r="E191" s="106"/>
      <c r="F191" s="106"/>
      <c r="G191" s="106"/>
      <c r="H191" s="106"/>
      <c r="I191" s="106"/>
      <c r="J191" s="106"/>
      <c r="K191" s="106"/>
      <c r="L191" s="106"/>
      <c r="M191" s="106"/>
      <c r="N191" s="106"/>
      <c r="O191" s="106"/>
      <c r="P191" s="106"/>
      <c r="Q191" s="106"/>
      <c r="R191" s="106"/>
      <c r="S191" s="106"/>
      <c r="T191" s="106"/>
      <c r="U191" s="106"/>
      <c r="V191" s="106">
        <v>20.399999999999999</v>
      </c>
      <c r="W191" s="106"/>
      <c r="X191" s="106"/>
      <c r="Y191" s="106"/>
      <c r="Z191" s="106"/>
      <c r="AA191" s="106"/>
      <c r="AB191" s="106"/>
      <c r="AC191" s="106" t="s">
        <v>275</v>
      </c>
      <c r="AD191" s="110">
        <f t="shared" si="60"/>
        <v>0.17</v>
      </c>
      <c r="AE191" s="108">
        <f>'1. SA ABA DE CARREGAMENTO'!B90</f>
        <v>22</v>
      </c>
      <c r="AF191" s="377"/>
      <c r="AG191" s="109">
        <f t="shared" si="61"/>
        <v>0</v>
      </c>
      <c r="AH191" s="109">
        <f t="shared" si="62"/>
        <v>0</v>
      </c>
      <c r="AI191" s="109">
        <f t="shared" si="63"/>
        <v>0</v>
      </c>
      <c r="AJ191" s="109">
        <f t="shared" si="64"/>
        <v>0</v>
      </c>
      <c r="AK191" s="109">
        <f t="shared" si="65"/>
        <v>0</v>
      </c>
      <c r="AL191" s="109">
        <f t="shared" si="56"/>
        <v>0</v>
      </c>
      <c r="AM191" s="109">
        <f t="shared" si="57"/>
        <v>0</v>
      </c>
      <c r="AN191" s="109">
        <f t="shared" si="66"/>
        <v>0</v>
      </c>
      <c r="AO191" s="109">
        <f t="shared" si="67"/>
        <v>0</v>
      </c>
      <c r="AP191" s="109">
        <f t="shared" si="58"/>
        <v>0</v>
      </c>
      <c r="AQ191" s="109">
        <f t="shared" si="59"/>
        <v>0</v>
      </c>
      <c r="AR191" s="109">
        <f t="shared" si="68"/>
        <v>0</v>
      </c>
      <c r="AS191" s="109">
        <f t="shared" si="69"/>
        <v>0</v>
      </c>
      <c r="AT191" s="109">
        <f t="shared" si="70"/>
        <v>0</v>
      </c>
      <c r="AU191" s="109">
        <f t="shared" si="71"/>
        <v>0</v>
      </c>
      <c r="AV191" s="109">
        <f t="shared" si="72"/>
        <v>0</v>
      </c>
      <c r="AW191" s="109">
        <f t="shared" si="73"/>
        <v>0</v>
      </c>
      <c r="AX191" s="109">
        <f t="shared" si="74"/>
        <v>0.15763636363636363</v>
      </c>
      <c r="AY191" s="109">
        <f t="shared" si="75"/>
        <v>0</v>
      </c>
      <c r="AZ191" s="109">
        <f t="shared" si="76"/>
        <v>0</v>
      </c>
      <c r="BA191" s="109">
        <f t="shared" si="77"/>
        <v>0</v>
      </c>
      <c r="BB191" s="109">
        <f t="shared" si="78"/>
        <v>0</v>
      </c>
      <c r="BC191" s="109">
        <f t="shared" si="79"/>
        <v>0</v>
      </c>
      <c r="BD191" s="109">
        <f t="shared" si="80"/>
        <v>0</v>
      </c>
      <c r="BE191" s="107"/>
      <c r="BF191" s="107"/>
      <c r="BG191" s="107"/>
      <c r="BH191" s="107"/>
      <c r="BI191" s="107"/>
      <c r="BJ191" s="107"/>
      <c r="BK191" s="107"/>
      <c r="BL191" s="107"/>
    </row>
    <row r="192" spans="1:64" ht="12.75" customHeight="1" x14ac:dyDescent="0.2">
      <c r="A192" s="391"/>
      <c r="B192" s="391"/>
      <c r="C192" s="106" t="s">
        <v>276</v>
      </c>
      <c r="D192" s="377"/>
      <c r="E192" s="106"/>
      <c r="F192" s="106"/>
      <c r="G192" s="106"/>
      <c r="H192" s="106"/>
      <c r="I192" s="106"/>
      <c r="J192" s="106"/>
      <c r="K192" s="106"/>
      <c r="L192" s="106"/>
      <c r="M192" s="106"/>
      <c r="N192" s="106"/>
      <c r="O192" s="106"/>
      <c r="P192" s="106"/>
      <c r="Q192" s="106"/>
      <c r="R192" s="106"/>
      <c r="S192" s="106"/>
      <c r="T192" s="106"/>
      <c r="U192" s="106"/>
      <c r="V192" s="106"/>
      <c r="W192" s="106">
        <v>20.399999999999999</v>
      </c>
      <c r="X192" s="106"/>
      <c r="Y192" s="106"/>
      <c r="Z192" s="106"/>
      <c r="AA192" s="106"/>
      <c r="AB192" s="106"/>
      <c r="AC192" s="106" t="s">
        <v>277</v>
      </c>
      <c r="AD192" s="110">
        <f t="shared" si="60"/>
        <v>8</v>
      </c>
      <c r="AE192" s="108">
        <f>'1. SA ABA DE CARREGAMENTO'!B90</f>
        <v>22</v>
      </c>
      <c r="AF192" s="377"/>
      <c r="AG192" s="109">
        <f t="shared" si="61"/>
        <v>0</v>
      </c>
      <c r="AH192" s="109">
        <f t="shared" si="62"/>
        <v>0</v>
      </c>
      <c r="AI192" s="109">
        <f t="shared" si="63"/>
        <v>0</v>
      </c>
      <c r="AJ192" s="109">
        <f t="shared" si="64"/>
        <v>0</v>
      </c>
      <c r="AK192" s="109">
        <f t="shared" si="65"/>
        <v>0</v>
      </c>
      <c r="AL192" s="109">
        <f t="shared" si="56"/>
        <v>0</v>
      </c>
      <c r="AM192" s="109">
        <f t="shared" si="57"/>
        <v>0</v>
      </c>
      <c r="AN192" s="109">
        <f t="shared" si="66"/>
        <v>0</v>
      </c>
      <c r="AO192" s="109">
        <f t="shared" si="67"/>
        <v>0</v>
      </c>
      <c r="AP192" s="109">
        <f t="shared" si="58"/>
        <v>0</v>
      </c>
      <c r="AQ192" s="109">
        <f t="shared" si="59"/>
        <v>0</v>
      </c>
      <c r="AR192" s="109">
        <f t="shared" si="68"/>
        <v>0</v>
      </c>
      <c r="AS192" s="109">
        <f t="shared" si="69"/>
        <v>0</v>
      </c>
      <c r="AT192" s="109">
        <f t="shared" si="70"/>
        <v>0</v>
      </c>
      <c r="AU192" s="109">
        <f t="shared" si="71"/>
        <v>0</v>
      </c>
      <c r="AV192" s="109">
        <f t="shared" si="72"/>
        <v>0</v>
      </c>
      <c r="AW192" s="109">
        <f t="shared" si="73"/>
        <v>0</v>
      </c>
      <c r="AX192" s="109">
        <f t="shared" si="74"/>
        <v>0</v>
      </c>
      <c r="AY192" s="109">
        <f t="shared" si="75"/>
        <v>7.418181818181818</v>
      </c>
      <c r="AZ192" s="109">
        <f t="shared" si="76"/>
        <v>0</v>
      </c>
      <c r="BA192" s="109">
        <f t="shared" si="77"/>
        <v>0</v>
      </c>
      <c r="BB192" s="109">
        <f t="shared" si="78"/>
        <v>0</v>
      </c>
      <c r="BC192" s="109">
        <f t="shared" si="79"/>
        <v>0</v>
      </c>
      <c r="BD192" s="109">
        <f t="shared" si="80"/>
        <v>0</v>
      </c>
      <c r="BE192" s="107"/>
      <c r="BF192" s="107"/>
      <c r="BG192" s="107"/>
      <c r="BH192" s="107"/>
      <c r="BI192" s="107"/>
      <c r="BJ192" s="107"/>
      <c r="BK192" s="107"/>
      <c r="BL192" s="107"/>
    </row>
    <row r="193" spans="1:64" ht="15" customHeight="1" x14ac:dyDescent="0.2">
      <c r="A193" s="378">
        <v>16</v>
      </c>
      <c r="B193" s="379" t="s">
        <v>414</v>
      </c>
      <c r="C193" s="111" t="s">
        <v>415</v>
      </c>
      <c r="D193" s="380">
        <f>SUM(E193:AB212)</f>
        <v>1921.22</v>
      </c>
      <c r="E193" s="111"/>
      <c r="F193" s="111">
        <v>483.05</v>
      </c>
      <c r="G193" s="111"/>
      <c r="H193" s="111"/>
      <c r="I193" s="111"/>
      <c r="J193" s="111"/>
      <c r="K193" s="111"/>
      <c r="L193" s="111"/>
      <c r="M193" s="111"/>
      <c r="N193" s="111"/>
      <c r="O193" s="111"/>
      <c r="P193" s="111"/>
      <c r="Q193" s="111"/>
      <c r="R193" s="111"/>
      <c r="S193" s="111"/>
      <c r="T193" s="111"/>
      <c r="U193" s="111"/>
      <c r="V193" s="111"/>
      <c r="W193" s="111"/>
      <c r="X193" s="111"/>
      <c r="Y193" s="111"/>
      <c r="Z193" s="111"/>
      <c r="AA193" s="111"/>
      <c r="AB193" s="111"/>
      <c r="AC193" s="113" t="s">
        <v>270</v>
      </c>
      <c r="AD193" s="114">
        <f t="shared" si="60"/>
        <v>66</v>
      </c>
      <c r="AE193" s="115">
        <f>'1. SA ABA DE CARREGAMENTO'!B90</f>
        <v>22</v>
      </c>
      <c r="AF193" s="380">
        <f>SUM(AG193:BD212)</f>
        <v>2456.3991681818179</v>
      </c>
      <c r="AG193" s="117">
        <f t="shared" si="61"/>
        <v>0</v>
      </c>
      <c r="AH193" s="117">
        <f t="shared" si="62"/>
        <v>1449.1499999999999</v>
      </c>
      <c r="AI193" s="117">
        <f t="shared" si="63"/>
        <v>0</v>
      </c>
      <c r="AJ193" s="117">
        <f t="shared" si="64"/>
        <v>0</v>
      </c>
      <c r="AK193" s="117">
        <f t="shared" si="65"/>
        <v>0</v>
      </c>
      <c r="AL193" s="117">
        <f t="shared" si="56"/>
        <v>0</v>
      </c>
      <c r="AM193" s="117">
        <f t="shared" si="57"/>
        <v>0</v>
      </c>
      <c r="AN193" s="117">
        <f t="shared" si="66"/>
        <v>0</v>
      </c>
      <c r="AO193" s="117">
        <f t="shared" si="67"/>
        <v>0</v>
      </c>
      <c r="AP193" s="117">
        <f t="shared" si="58"/>
        <v>0</v>
      </c>
      <c r="AQ193" s="117">
        <f t="shared" si="59"/>
        <v>0</v>
      </c>
      <c r="AR193" s="117">
        <f t="shared" si="68"/>
        <v>0</v>
      </c>
      <c r="AS193" s="117">
        <f t="shared" si="69"/>
        <v>0</v>
      </c>
      <c r="AT193" s="117">
        <f t="shared" si="70"/>
        <v>0</v>
      </c>
      <c r="AU193" s="117">
        <f t="shared" si="71"/>
        <v>0</v>
      </c>
      <c r="AV193" s="117">
        <f t="shared" si="72"/>
        <v>0</v>
      </c>
      <c r="AW193" s="117">
        <f t="shared" si="73"/>
        <v>0</v>
      </c>
      <c r="AX193" s="117">
        <f t="shared" si="74"/>
        <v>0</v>
      </c>
      <c r="AY193" s="117">
        <f t="shared" si="75"/>
        <v>0</v>
      </c>
      <c r="AZ193" s="117">
        <f t="shared" si="76"/>
        <v>0</v>
      </c>
      <c r="BA193" s="117">
        <f t="shared" si="77"/>
        <v>0</v>
      </c>
      <c r="BB193" s="117">
        <f t="shared" si="78"/>
        <v>0</v>
      </c>
      <c r="BC193" s="117">
        <f t="shared" si="79"/>
        <v>0</v>
      </c>
      <c r="BD193" s="117">
        <f t="shared" si="80"/>
        <v>0</v>
      </c>
      <c r="BE193" s="107"/>
      <c r="BF193" s="107"/>
      <c r="BG193" s="107"/>
      <c r="BH193" s="107"/>
      <c r="BI193" s="107"/>
      <c r="BJ193" s="107"/>
      <c r="BK193" s="107"/>
      <c r="BL193" s="107"/>
    </row>
    <row r="194" spans="1:64" ht="15" x14ac:dyDescent="0.2">
      <c r="A194" s="378"/>
      <c r="B194" s="378"/>
      <c r="C194" s="111" t="s">
        <v>416</v>
      </c>
      <c r="D194" s="380"/>
      <c r="E194" s="111"/>
      <c r="F194" s="111">
        <v>89.69</v>
      </c>
      <c r="G194" s="111"/>
      <c r="H194" s="111"/>
      <c r="I194" s="111"/>
      <c r="J194" s="111"/>
      <c r="K194" s="111"/>
      <c r="L194" s="111"/>
      <c r="M194" s="111"/>
      <c r="N194" s="111"/>
      <c r="O194" s="111"/>
      <c r="P194" s="111"/>
      <c r="Q194" s="111"/>
      <c r="R194" s="111"/>
      <c r="S194" s="111"/>
      <c r="T194" s="111"/>
      <c r="U194" s="111"/>
      <c r="V194" s="111"/>
      <c r="W194" s="111"/>
      <c r="X194" s="111"/>
      <c r="Y194" s="111"/>
      <c r="Z194" s="111"/>
      <c r="AA194" s="111"/>
      <c r="AB194" s="111"/>
      <c r="AC194" s="113" t="s">
        <v>289</v>
      </c>
      <c r="AD194" s="114">
        <f t="shared" si="60"/>
        <v>22</v>
      </c>
      <c r="AE194" s="115">
        <f>'1. SA ABA DE CARREGAMENTO'!B90</f>
        <v>22</v>
      </c>
      <c r="AF194" s="380"/>
      <c r="AG194" s="117">
        <f t="shared" si="61"/>
        <v>0</v>
      </c>
      <c r="AH194" s="117">
        <f t="shared" si="62"/>
        <v>89.69</v>
      </c>
      <c r="AI194" s="117">
        <f t="shared" si="63"/>
        <v>0</v>
      </c>
      <c r="AJ194" s="117">
        <f t="shared" si="64"/>
        <v>0</v>
      </c>
      <c r="AK194" s="117">
        <f t="shared" si="65"/>
        <v>0</v>
      </c>
      <c r="AL194" s="117">
        <f t="shared" si="56"/>
        <v>0</v>
      </c>
      <c r="AM194" s="117">
        <f t="shared" si="57"/>
        <v>0</v>
      </c>
      <c r="AN194" s="117">
        <f t="shared" si="66"/>
        <v>0</v>
      </c>
      <c r="AO194" s="117">
        <f t="shared" si="67"/>
        <v>0</v>
      </c>
      <c r="AP194" s="117">
        <f t="shared" si="58"/>
        <v>0</v>
      </c>
      <c r="AQ194" s="117">
        <f t="shared" si="59"/>
        <v>0</v>
      </c>
      <c r="AR194" s="117">
        <f t="shared" si="68"/>
        <v>0</v>
      </c>
      <c r="AS194" s="117">
        <f t="shared" si="69"/>
        <v>0</v>
      </c>
      <c r="AT194" s="117">
        <f t="shared" si="70"/>
        <v>0</v>
      </c>
      <c r="AU194" s="117">
        <f t="shared" si="71"/>
        <v>0</v>
      </c>
      <c r="AV194" s="117">
        <f t="shared" si="72"/>
        <v>0</v>
      </c>
      <c r="AW194" s="117">
        <f t="shared" si="73"/>
        <v>0</v>
      </c>
      <c r="AX194" s="117">
        <f t="shared" si="74"/>
        <v>0</v>
      </c>
      <c r="AY194" s="117">
        <f t="shared" si="75"/>
        <v>0</v>
      </c>
      <c r="AZ194" s="117">
        <f t="shared" si="76"/>
        <v>0</v>
      </c>
      <c r="BA194" s="117">
        <f t="shared" si="77"/>
        <v>0</v>
      </c>
      <c r="BB194" s="117">
        <f t="shared" si="78"/>
        <v>0</v>
      </c>
      <c r="BC194" s="117">
        <f t="shared" si="79"/>
        <v>0</v>
      </c>
      <c r="BD194" s="117">
        <f t="shared" si="80"/>
        <v>0</v>
      </c>
      <c r="BE194" s="107"/>
      <c r="BF194" s="107"/>
      <c r="BG194" s="107"/>
      <c r="BH194" s="107"/>
      <c r="BI194" s="107"/>
      <c r="BJ194" s="107"/>
      <c r="BK194" s="107"/>
      <c r="BL194" s="107"/>
    </row>
    <row r="195" spans="1:64" ht="30" x14ac:dyDescent="0.2">
      <c r="A195" s="378"/>
      <c r="B195" s="378"/>
      <c r="C195" s="111" t="s">
        <v>417</v>
      </c>
      <c r="D195" s="380"/>
      <c r="E195" s="111"/>
      <c r="F195" s="111">
        <v>33.03</v>
      </c>
      <c r="G195" s="111"/>
      <c r="H195" s="111"/>
      <c r="I195" s="111"/>
      <c r="J195" s="111"/>
      <c r="K195" s="111"/>
      <c r="L195" s="111"/>
      <c r="M195" s="111"/>
      <c r="N195" s="111"/>
      <c r="O195" s="111"/>
      <c r="P195" s="111"/>
      <c r="Q195" s="111"/>
      <c r="R195" s="111"/>
      <c r="S195" s="111"/>
      <c r="T195" s="111"/>
      <c r="U195" s="111"/>
      <c r="V195" s="111"/>
      <c r="W195" s="111"/>
      <c r="X195" s="111"/>
      <c r="Y195" s="111"/>
      <c r="Z195" s="111"/>
      <c r="AA195" s="111"/>
      <c r="AB195" s="111"/>
      <c r="AC195" s="113" t="s">
        <v>289</v>
      </c>
      <c r="AD195" s="114">
        <f t="shared" si="60"/>
        <v>22</v>
      </c>
      <c r="AE195" s="115">
        <f>'1. SA ABA DE CARREGAMENTO'!B90</f>
        <v>22</v>
      </c>
      <c r="AF195" s="380"/>
      <c r="AG195" s="117">
        <f t="shared" si="61"/>
        <v>0</v>
      </c>
      <c r="AH195" s="117">
        <f t="shared" si="62"/>
        <v>33.03</v>
      </c>
      <c r="AI195" s="117">
        <f t="shared" si="63"/>
        <v>0</v>
      </c>
      <c r="AJ195" s="117">
        <f t="shared" si="64"/>
        <v>0</v>
      </c>
      <c r="AK195" s="117">
        <f t="shared" si="65"/>
        <v>0</v>
      </c>
      <c r="AL195" s="117">
        <f t="shared" si="56"/>
        <v>0</v>
      </c>
      <c r="AM195" s="117">
        <f t="shared" si="57"/>
        <v>0</v>
      </c>
      <c r="AN195" s="117">
        <f t="shared" si="66"/>
        <v>0</v>
      </c>
      <c r="AO195" s="117">
        <f t="shared" si="67"/>
        <v>0</v>
      </c>
      <c r="AP195" s="117">
        <f t="shared" si="58"/>
        <v>0</v>
      </c>
      <c r="AQ195" s="117">
        <f t="shared" si="59"/>
        <v>0</v>
      </c>
      <c r="AR195" s="117">
        <f t="shared" si="68"/>
        <v>0</v>
      </c>
      <c r="AS195" s="117">
        <f t="shared" si="69"/>
        <v>0</v>
      </c>
      <c r="AT195" s="117">
        <f t="shared" si="70"/>
        <v>0</v>
      </c>
      <c r="AU195" s="117">
        <f t="shared" si="71"/>
        <v>0</v>
      </c>
      <c r="AV195" s="117">
        <f t="shared" si="72"/>
        <v>0</v>
      </c>
      <c r="AW195" s="117">
        <f t="shared" si="73"/>
        <v>0</v>
      </c>
      <c r="AX195" s="117">
        <f t="shared" si="74"/>
        <v>0</v>
      </c>
      <c r="AY195" s="117">
        <f t="shared" si="75"/>
        <v>0</v>
      </c>
      <c r="AZ195" s="117">
        <f t="shared" si="76"/>
        <v>0</v>
      </c>
      <c r="BA195" s="117">
        <f t="shared" si="77"/>
        <v>0</v>
      </c>
      <c r="BB195" s="117">
        <f t="shared" si="78"/>
        <v>0</v>
      </c>
      <c r="BC195" s="117">
        <f t="shared" si="79"/>
        <v>0</v>
      </c>
      <c r="BD195" s="117">
        <f t="shared" si="80"/>
        <v>0</v>
      </c>
      <c r="BE195" s="107"/>
      <c r="BF195" s="107"/>
      <c r="BG195" s="107"/>
      <c r="BH195" s="107"/>
      <c r="BI195" s="107"/>
      <c r="BJ195" s="107"/>
      <c r="BK195" s="107"/>
      <c r="BL195" s="107"/>
    </row>
    <row r="196" spans="1:64" ht="15" x14ac:dyDescent="0.2">
      <c r="A196" s="378"/>
      <c r="B196" s="378"/>
      <c r="C196" s="111" t="s">
        <v>418</v>
      </c>
      <c r="D196" s="380"/>
      <c r="E196" s="111"/>
      <c r="F196" s="111">
        <v>27.1</v>
      </c>
      <c r="G196" s="111"/>
      <c r="H196" s="111"/>
      <c r="I196" s="111"/>
      <c r="J196" s="111"/>
      <c r="K196" s="111"/>
      <c r="L196" s="111"/>
      <c r="M196" s="111"/>
      <c r="N196" s="111"/>
      <c r="O196" s="111"/>
      <c r="P196" s="111"/>
      <c r="Q196" s="111"/>
      <c r="R196" s="111"/>
      <c r="S196" s="111"/>
      <c r="T196" s="111"/>
      <c r="U196" s="111"/>
      <c r="V196" s="111"/>
      <c r="W196" s="111"/>
      <c r="X196" s="111"/>
      <c r="Y196" s="111"/>
      <c r="Z196" s="111"/>
      <c r="AA196" s="111"/>
      <c r="AB196" s="111"/>
      <c r="AC196" s="113" t="s">
        <v>289</v>
      </c>
      <c r="AD196" s="114">
        <f t="shared" si="60"/>
        <v>22</v>
      </c>
      <c r="AE196" s="115">
        <f>'1. SA ABA DE CARREGAMENTO'!B90</f>
        <v>22</v>
      </c>
      <c r="AF196" s="380"/>
      <c r="AG196" s="117">
        <f t="shared" si="61"/>
        <v>0</v>
      </c>
      <c r="AH196" s="117">
        <f t="shared" si="62"/>
        <v>27.1</v>
      </c>
      <c r="AI196" s="117">
        <f t="shared" si="63"/>
        <v>0</v>
      </c>
      <c r="AJ196" s="117">
        <f t="shared" si="64"/>
        <v>0</v>
      </c>
      <c r="AK196" s="117">
        <f t="shared" si="65"/>
        <v>0</v>
      </c>
      <c r="AL196" s="117">
        <f t="shared" ref="AL196:AL259" si="81">(J196*AD196)/AE196</f>
        <v>0</v>
      </c>
      <c r="AM196" s="117">
        <f t="shared" ref="AM196:AM259" si="82">(K196*AD196)/AE196</f>
        <v>0</v>
      </c>
      <c r="AN196" s="117">
        <f t="shared" si="66"/>
        <v>0</v>
      </c>
      <c r="AO196" s="117">
        <f t="shared" si="67"/>
        <v>0</v>
      </c>
      <c r="AP196" s="117">
        <f t="shared" ref="AP196:AP259" si="83">(N196*AD196)/AE196</f>
        <v>0</v>
      </c>
      <c r="AQ196" s="117">
        <f t="shared" ref="AQ196:AQ259" si="84">(O196*AD196)/AE196</f>
        <v>0</v>
      </c>
      <c r="AR196" s="117">
        <f t="shared" si="68"/>
        <v>0</v>
      </c>
      <c r="AS196" s="117">
        <f t="shared" si="69"/>
        <v>0</v>
      </c>
      <c r="AT196" s="117">
        <f t="shared" si="70"/>
        <v>0</v>
      </c>
      <c r="AU196" s="117">
        <f t="shared" si="71"/>
        <v>0</v>
      </c>
      <c r="AV196" s="117">
        <f t="shared" si="72"/>
        <v>0</v>
      </c>
      <c r="AW196" s="117">
        <f t="shared" si="73"/>
        <v>0</v>
      </c>
      <c r="AX196" s="117">
        <f t="shared" si="74"/>
        <v>0</v>
      </c>
      <c r="AY196" s="117">
        <f t="shared" si="75"/>
        <v>0</v>
      </c>
      <c r="AZ196" s="117">
        <f t="shared" si="76"/>
        <v>0</v>
      </c>
      <c r="BA196" s="117">
        <f t="shared" si="77"/>
        <v>0</v>
      </c>
      <c r="BB196" s="117">
        <f t="shared" si="78"/>
        <v>0</v>
      </c>
      <c r="BC196" s="117">
        <f t="shared" si="79"/>
        <v>0</v>
      </c>
      <c r="BD196" s="117">
        <f t="shared" si="80"/>
        <v>0</v>
      </c>
      <c r="BE196" s="107"/>
      <c r="BF196" s="107"/>
      <c r="BG196" s="107"/>
      <c r="BH196" s="107"/>
      <c r="BI196" s="107"/>
      <c r="BJ196" s="107"/>
      <c r="BK196" s="107"/>
      <c r="BL196" s="107"/>
    </row>
    <row r="197" spans="1:64" ht="30" x14ac:dyDescent="0.2">
      <c r="A197" s="378"/>
      <c r="B197" s="378"/>
      <c r="C197" s="111" t="s">
        <v>419</v>
      </c>
      <c r="D197" s="380"/>
      <c r="E197" s="111"/>
      <c r="F197" s="111">
        <v>72.87</v>
      </c>
      <c r="G197" s="111"/>
      <c r="H197" s="111"/>
      <c r="I197" s="111"/>
      <c r="J197" s="111"/>
      <c r="K197" s="111"/>
      <c r="L197" s="111"/>
      <c r="M197" s="111"/>
      <c r="N197" s="111"/>
      <c r="O197" s="111"/>
      <c r="P197" s="111"/>
      <c r="Q197" s="111"/>
      <c r="R197" s="111"/>
      <c r="S197" s="111"/>
      <c r="T197" s="111"/>
      <c r="U197" s="111"/>
      <c r="V197" s="111"/>
      <c r="W197" s="111"/>
      <c r="X197" s="111"/>
      <c r="Y197" s="111"/>
      <c r="Z197" s="111"/>
      <c r="AA197" s="111"/>
      <c r="AB197" s="111"/>
      <c r="AC197" s="113" t="s">
        <v>289</v>
      </c>
      <c r="AD197" s="114">
        <f t="shared" si="60"/>
        <v>22</v>
      </c>
      <c r="AE197" s="115">
        <f>'1. SA ABA DE CARREGAMENTO'!B90</f>
        <v>22</v>
      </c>
      <c r="AF197" s="380"/>
      <c r="AG197" s="117">
        <f t="shared" si="61"/>
        <v>0</v>
      </c>
      <c r="AH197" s="117">
        <f t="shared" si="62"/>
        <v>72.87</v>
      </c>
      <c r="AI197" s="117">
        <f t="shared" si="63"/>
        <v>0</v>
      </c>
      <c r="AJ197" s="117">
        <f t="shared" si="64"/>
        <v>0</v>
      </c>
      <c r="AK197" s="117">
        <f t="shared" si="65"/>
        <v>0</v>
      </c>
      <c r="AL197" s="117">
        <f t="shared" si="81"/>
        <v>0</v>
      </c>
      <c r="AM197" s="117">
        <f t="shared" si="82"/>
        <v>0</v>
      </c>
      <c r="AN197" s="117">
        <f t="shared" si="66"/>
        <v>0</v>
      </c>
      <c r="AO197" s="117">
        <f t="shared" si="67"/>
        <v>0</v>
      </c>
      <c r="AP197" s="117">
        <f t="shared" si="83"/>
        <v>0</v>
      </c>
      <c r="AQ197" s="117">
        <f t="shared" si="84"/>
        <v>0</v>
      </c>
      <c r="AR197" s="117">
        <f t="shared" si="68"/>
        <v>0</v>
      </c>
      <c r="AS197" s="117">
        <f t="shared" si="69"/>
        <v>0</v>
      </c>
      <c r="AT197" s="117">
        <f t="shared" si="70"/>
        <v>0</v>
      </c>
      <c r="AU197" s="117">
        <f t="shared" si="71"/>
        <v>0</v>
      </c>
      <c r="AV197" s="117">
        <f t="shared" si="72"/>
        <v>0</v>
      </c>
      <c r="AW197" s="117">
        <f t="shared" si="73"/>
        <v>0</v>
      </c>
      <c r="AX197" s="117">
        <f t="shared" si="74"/>
        <v>0</v>
      </c>
      <c r="AY197" s="117">
        <f t="shared" si="75"/>
        <v>0</v>
      </c>
      <c r="AZ197" s="117">
        <f t="shared" si="76"/>
        <v>0</v>
      </c>
      <c r="BA197" s="117">
        <f t="shared" si="77"/>
        <v>0</v>
      </c>
      <c r="BB197" s="117">
        <f t="shared" si="78"/>
        <v>0</v>
      </c>
      <c r="BC197" s="117">
        <f t="shared" si="79"/>
        <v>0</v>
      </c>
      <c r="BD197" s="117">
        <f t="shared" si="80"/>
        <v>0</v>
      </c>
      <c r="BE197" s="107"/>
      <c r="BF197" s="107"/>
      <c r="BG197" s="107"/>
      <c r="BH197" s="107"/>
      <c r="BI197" s="107"/>
      <c r="BJ197" s="107"/>
      <c r="BK197" s="107"/>
      <c r="BL197" s="107"/>
    </row>
    <row r="198" spans="1:64" ht="15" x14ac:dyDescent="0.2">
      <c r="A198" s="378"/>
      <c r="B198" s="378"/>
      <c r="C198" s="111" t="s">
        <v>420</v>
      </c>
      <c r="D198" s="380"/>
      <c r="E198" s="111"/>
      <c r="F198" s="111">
        <v>100.9</v>
      </c>
      <c r="G198" s="111"/>
      <c r="H198" s="111"/>
      <c r="I198" s="111"/>
      <c r="J198" s="111"/>
      <c r="K198" s="111"/>
      <c r="L198" s="111"/>
      <c r="M198" s="111"/>
      <c r="N198" s="111"/>
      <c r="O198" s="111"/>
      <c r="P198" s="111"/>
      <c r="Q198" s="111"/>
      <c r="R198" s="111"/>
      <c r="S198" s="111"/>
      <c r="T198" s="111"/>
      <c r="U198" s="111"/>
      <c r="V198" s="111"/>
      <c r="W198" s="111"/>
      <c r="X198" s="111"/>
      <c r="Y198" s="111"/>
      <c r="Z198" s="111"/>
      <c r="AA198" s="111"/>
      <c r="AB198" s="111"/>
      <c r="AC198" s="113" t="s">
        <v>289</v>
      </c>
      <c r="AD198" s="114">
        <f t="shared" si="60"/>
        <v>22</v>
      </c>
      <c r="AE198" s="115">
        <f>'1. SA ABA DE CARREGAMENTO'!B90</f>
        <v>22</v>
      </c>
      <c r="AF198" s="380"/>
      <c r="AG198" s="117">
        <f t="shared" si="61"/>
        <v>0</v>
      </c>
      <c r="AH198" s="117">
        <f t="shared" si="62"/>
        <v>100.9</v>
      </c>
      <c r="AI198" s="117">
        <f t="shared" si="63"/>
        <v>0</v>
      </c>
      <c r="AJ198" s="117">
        <f t="shared" si="64"/>
        <v>0</v>
      </c>
      <c r="AK198" s="117">
        <f t="shared" si="65"/>
        <v>0</v>
      </c>
      <c r="AL198" s="117">
        <f t="shared" si="81"/>
        <v>0</v>
      </c>
      <c r="AM198" s="117">
        <f t="shared" si="82"/>
        <v>0</v>
      </c>
      <c r="AN198" s="117">
        <f t="shared" si="66"/>
        <v>0</v>
      </c>
      <c r="AO198" s="117">
        <f t="shared" si="67"/>
        <v>0</v>
      </c>
      <c r="AP198" s="117">
        <f t="shared" si="83"/>
        <v>0</v>
      </c>
      <c r="AQ198" s="117">
        <f t="shared" si="84"/>
        <v>0</v>
      </c>
      <c r="AR198" s="117">
        <f t="shared" si="68"/>
        <v>0</v>
      </c>
      <c r="AS198" s="117">
        <f t="shared" si="69"/>
        <v>0</v>
      </c>
      <c r="AT198" s="117">
        <f t="shared" si="70"/>
        <v>0</v>
      </c>
      <c r="AU198" s="117">
        <f t="shared" si="71"/>
        <v>0</v>
      </c>
      <c r="AV198" s="117">
        <f t="shared" si="72"/>
        <v>0</v>
      </c>
      <c r="AW198" s="117">
        <f t="shared" si="73"/>
        <v>0</v>
      </c>
      <c r="AX198" s="117">
        <f t="shared" si="74"/>
        <v>0</v>
      </c>
      <c r="AY198" s="117">
        <f t="shared" si="75"/>
        <v>0</v>
      </c>
      <c r="AZ198" s="117">
        <f t="shared" si="76"/>
        <v>0</v>
      </c>
      <c r="BA198" s="117">
        <f t="shared" si="77"/>
        <v>0</v>
      </c>
      <c r="BB198" s="117">
        <f t="shared" si="78"/>
        <v>0</v>
      </c>
      <c r="BC198" s="117">
        <f t="shared" si="79"/>
        <v>0</v>
      </c>
      <c r="BD198" s="117">
        <f t="shared" si="80"/>
        <v>0</v>
      </c>
      <c r="BE198" s="107"/>
      <c r="BF198" s="107"/>
      <c r="BG198" s="107"/>
      <c r="BH198" s="107"/>
      <c r="BI198" s="107"/>
      <c r="BJ198" s="107"/>
      <c r="BK198" s="107"/>
      <c r="BL198" s="107"/>
    </row>
    <row r="199" spans="1:64" ht="15" x14ac:dyDescent="0.2">
      <c r="A199" s="378"/>
      <c r="B199" s="378"/>
      <c r="C199" s="111" t="s">
        <v>421</v>
      </c>
      <c r="D199" s="380"/>
      <c r="E199" s="111"/>
      <c r="F199" s="111">
        <v>10.08</v>
      </c>
      <c r="G199" s="111"/>
      <c r="H199" s="111"/>
      <c r="I199" s="111"/>
      <c r="J199" s="111"/>
      <c r="K199" s="111"/>
      <c r="L199" s="111"/>
      <c r="M199" s="111"/>
      <c r="N199" s="111"/>
      <c r="O199" s="111"/>
      <c r="P199" s="111"/>
      <c r="Q199" s="111"/>
      <c r="R199" s="111"/>
      <c r="S199" s="111"/>
      <c r="T199" s="111"/>
      <c r="U199" s="111"/>
      <c r="V199" s="111"/>
      <c r="W199" s="111"/>
      <c r="X199" s="111"/>
      <c r="Y199" s="111"/>
      <c r="Z199" s="111"/>
      <c r="AA199" s="111"/>
      <c r="AB199" s="111"/>
      <c r="AC199" s="113" t="s">
        <v>289</v>
      </c>
      <c r="AD199" s="114">
        <f t="shared" si="60"/>
        <v>22</v>
      </c>
      <c r="AE199" s="115">
        <f>'1. SA ABA DE CARREGAMENTO'!B90</f>
        <v>22</v>
      </c>
      <c r="AF199" s="380"/>
      <c r="AG199" s="117">
        <f t="shared" si="61"/>
        <v>0</v>
      </c>
      <c r="AH199" s="117">
        <f t="shared" si="62"/>
        <v>10.08</v>
      </c>
      <c r="AI199" s="117">
        <f t="shared" si="63"/>
        <v>0</v>
      </c>
      <c r="AJ199" s="117">
        <f t="shared" si="64"/>
        <v>0</v>
      </c>
      <c r="AK199" s="117">
        <f t="shared" si="65"/>
        <v>0</v>
      </c>
      <c r="AL199" s="117">
        <f t="shared" si="81"/>
        <v>0</v>
      </c>
      <c r="AM199" s="117">
        <f t="shared" si="82"/>
        <v>0</v>
      </c>
      <c r="AN199" s="117">
        <f t="shared" si="66"/>
        <v>0</v>
      </c>
      <c r="AO199" s="117">
        <f t="shared" si="67"/>
        <v>0</v>
      </c>
      <c r="AP199" s="117">
        <f t="shared" si="83"/>
        <v>0</v>
      </c>
      <c r="AQ199" s="117">
        <f t="shared" si="84"/>
        <v>0</v>
      </c>
      <c r="AR199" s="117">
        <f t="shared" si="68"/>
        <v>0</v>
      </c>
      <c r="AS199" s="117">
        <f t="shared" si="69"/>
        <v>0</v>
      </c>
      <c r="AT199" s="117">
        <f t="shared" si="70"/>
        <v>0</v>
      </c>
      <c r="AU199" s="117">
        <f t="shared" si="71"/>
        <v>0</v>
      </c>
      <c r="AV199" s="117">
        <f t="shared" si="72"/>
        <v>0</v>
      </c>
      <c r="AW199" s="117">
        <f t="shared" si="73"/>
        <v>0</v>
      </c>
      <c r="AX199" s="117">
        <f t="shared" si="74"/>
        <v>0</v>
      </c>
      <c r="AY199" s="117">
        <f t="shared" si="75"/>
        <v>0</v>
      </c>
      <c r="AZ199" s="117">
        <f t="shared" si="76"/>
        <v>0</v>
      </c>
      <c r="BA199" s="117">
        <f t="shared" si="77"/>
        <v>0</v>
      </c>
      <c r="BB199" s="117">
        <f t="shared" si="78"/>
        <v>0</v>
      </c>
      <c r="BC199" s="117">
        <f t="shared" si="79"/>
        <v>0</v>
      </c>
      <c r="BD199" s="117">
        <f t="shared" si="80"/>
        <v>0</v>
      </c>
      <c r="BE199" s="107"/>
      <c r="BF199" s="107"/>
      <c r="BG199" s="107"/>
      <c r="BH199" s="107"/>
      <c r="BI199" s="107"/>
      <c r="BJ199" s="107"/>
      <c r="BK199" s="107"/>
      <c r="BL199" s="107"/>
    </row>
    <row r="200" spans="1:64" ht="30" x14ac:dyDescent="0.2">
      <c r="A200" s="378"/>
      <c r="B200" s="378"/>
      <c r="C200" s="111" t="s">
        <v>422</v>
      </c>
      <c r="D200" s="380"/>
      <c r="E200" s="111"/>
      <c r="F200" s="111">
        <v>10.08</v>
      </c>
      <c r="G200" s="111"/>
      <c r="H200" s="111"/>
      <c r="I200" s="111"/>
      <c r="J200" s="111"/>
      <c r="K200" s="111"/>
      <c r="L200" s="111"/>
      <c r="M200" s="111"/>
      <c r="N200" s="111"/>
      <c r="O200" s="111"/>
      <c r="P200" s="111"/>
      <c r="Q200" s="111"/>
      <c r="R200" s="111"/>
      <c r="S200" s="111"/>
      <c r="T200" s="111"/>
      <c r="U200" s="111"/>
      <c r="V200" s="111"/>
      <c r="W200" s="111"/>
      <c r="X200" s="111"/>
      <c r="Y200" s="111"/>
      <c r="Z200" s="111"/>
      <c r="AA200" s="111"/>
      <c r="AB200" s="111"/>
      <c r="AC200" s="113" t="s">
        <v>289</v>
      </c>
      <c r="AD200" s="114">
        <f t="shared" ref="AD200:AD263" si="85">IF(AC200="DIÁRIA",AE200,IF(AC200="2xDIA",(AE200*2),IF(AC200="3xDIA",(AE200*3),IF(AC200="4xDIA",(AE200*4),IF(AC200="5xDIA",(AE200*5),IF(AC200="6xDIA",(AE200*6),IF(AC200="SEMANAL",4.33,IF(AC200="2xSEMANA",8,IF(AC200="3xSEMANA",12,IF(AC200="QUINZENAL",2,IF(AC200="MENSAL",1,IF(AC200="BIMESTRAL",0.5,IF(AC200="TRIMESTRAL",0.33,IF(AC200="SEMESTRAL",0.17,0))))))))))))))</f>
        <v>22</v>
      </c>
      <c r="AE200" s="115">
        <f>'1. SA ABA DE CARREGAMENTO'!B90</f>
        <v>22</v>
      </c>
      <c r="AF200" s="380"/>
      <c r="AG200" s="117">
        <f t="shared" ref="AG200:AG263" si="86">(E200*AD200)/AE200</f>
        <v>0</v>
      </c>
      <c r="AH200" s="117">
        <f t="shared" ref="AH200:AH263" si="87">(F200*AD200)/AE200</f>
        <v>10.08</v>
      </c>
      <c r="AI200" s="117">
        <f t="shared" ref="AI200:AI263" si="88">(G200*AD200)/AE200</f>
        <v>0</v>
      </c>
      <c r="AJ200" s="117">
        <f t="shared" ref="AJ200:AJ263" si="89">(H200*AD200)/AE200</f>
        <v>0</v>
      </c>
      <c r="AK200" s="117">
        <f t="shared" ref="AK200:AK263" si="90">(I200*AD200)/AE200</f>
        <v>0</v>
      </c>
      <c r="AL200" s="117">
        <f t="shared" si="81"/>
        <v>0</v>
      </c>
      <c r="AM200" s="117">
        <f t="shared" si="82"/>
        <v>0</v>
      </c>
      <c r="AN200" s="117">
        <f t="shared" ref="AN200:AN263" si="91">(L200*AD200)/AE200</f>
        <v>0</v>
      </c>
      <c r="AO200" s="117">
        <f t="shared" ref="AO200:AO263" si="92">(M200*AD200)/AE200</f>
        <v>0</v>
      </c>
      <c r="AP200" s="117">
        <f t="shared" si="83"/>
        <v>0</v>
      </c>
      <c r="AQ200" s="117">
        <f t="shared" si="84"/>
        <v>0</v>
      </c>
      <c r="AR200" s="117">
        <f t="shared" ref="AR200:AR263" si="93">(P200*AD200)/AE200</f>
        <v>0</v>
      </c>
      <c r="AS200" s="117">
        <f t="shared" ref="AS200:AS263" si="94">(Q200*AD200)/AE200</f>
        <v>0</v>
      </c>
      <c r="AT200" s="117">
        <f t="shared" ref="AT200:AT263" si="95">(R200*AD200)/AE200</f>
        <v>0</v>
      </c>
      <c r="AU200" s="117">
        <f t="shared" ref="AU200:AU263" si="96">(S200*AD200)/AE200</f>
        <v>0</v>
      </c>
      <c r="AV200" s="117">
        <f t="shared" ref="AV200:AV263" si="97">(T200*AD200)/AE200</f>
        <v>0</v>
      </c>
      <c r="AW200" s="117">
        <f t="shared" ref="AW200:AW263" si="98">(U200*AD200)/AE200</f>
        <v>0</v>
      </c>
      <c r="AX200" s="117">
        <f t="shared" ref="AX200:AX263" si="99">(V200*AD200)/AE200</f>
        <v>0</v>
      </c>
      <c r="AY200" s="117">
        <f t="shared" ref="AY200:AY263" si="100">(W200*AD200)/AE200</f>
        <v>0</v>
      </c>
      <c r="AZ200" s="117">
        <f t="shared" ref="AZ200:AZ263" si="101">(X200*AD200)/AE200</f>
        <v>0</v>
      </c>
      <c r="BA200" s="117">
        <f t="shared" ref="BA200:BA263" si="102">(Y200*AD200)/AE200</f>
        <v>0</v>
      </c>
      <c r="BB200" s="117">
        <f t="shared" ref="BB200:BB263" si="103">(Z200*AD200)/AE200</f>
        <v>0</v>
      </c>
      <c r="BC200" s="117">
        <f t="shared" ref="BC200:BC263" si="104">(AA200*AD200)/AE200</f>
        <v>0</v>
      </c>
      <c r="BD200" s="117">
        <f t="shared" si="80"/>
        <v>0</v>
      </c>
      <c r="BE200" s="107"/>
      <c r="BF200" s="107"/>
      <c r="BG200" s="107"/>
      <c r="BH200" s="107"/>
      <c r="BI200" s="107"/>
      <c r="BJ200" s="107"/>
      <c r="BK200" s="107"/>
      <c r="BL200" s="107"/>
    </row>
    <row r="201" spans="1:64" ht="15" x14ac:dyDescent="0.2">
      <c r="A201" s="378"/>
      <c r="B201" s="378"/>
      <c r="C201" s="111" t="s">
        <v>313</v>
      </c>
      <c r="D201" s="380"/>
      <c r="E201" s="111"/>
      <c r="F201" s="111">
        <v>5.45</v>
      </c>
      <c r="G201" s="111"/>
      <c r="H201" s="111"/>
      <c r="I201" s="111"/>
      <c r="J201" s="111"/>
      <c r="K201" s="111"/>
      <c r="L201" s="111"/>
      <c r="M201" s="111"/>
      <c r="N201" s="111"/>
      <c r="O201" s="111"/>
      <c r="P201" s="111"/>
      <c r="Q201" s="111"/>
      <c r="R201" s="111"/>
      <c r="S201" s="111"/>
      <c r="T201" s="111"/>
      <c r="U201" s="111"/>
      <c r="V201" s="111"/>
      <c r="W201" s="111"/>
      <c r="X201" s="111"/>
      <c r="Y201" s="111"/>
      <c r="Z201" s="111"/>
      <c r="AA201" s="111"/>
      <c r="AB201" s="111"/>
      <c r="AC201" s="113" t="s">
        <v>289</v>
      </c>
      <c r="AD201" s="114">
        <f t="shared" si="85"/>
        <v>22</v>
      </c>
      <c r="AE201" s="115">
        <f>'1. SA ABA DE CARREGAMENTO'!B90</f>
        <v>22</v>
      </c>
      <c r="AF201" s="380"/>
      <c r="AG201" s="117">
        <f t="shared" si="86"/>
        <v>0</v>
      </c>
      <c r="AH201" s="117">
        <f t="shared" si="87"/>
        <v>5.45</v>
      </c>
      <c r="AI201" s="117">
        <f t="shared" si="88"/>
        <v>0</v>
      </c>
      <c r="AJ201" s="117">
        <f t="shared" si="89"/>
        <v>0</v>
      </c>
      <c r="AK201" s="117">
        <f t="shared" si="90"/>
        <v>0</v>
      </c>
      <c r="AL201" s="117">
        <f t="shared" si="81"/>
        <v>0</v>
      </c>
      <c r="AM201" s="117">
        <f t="shared" si="82"/>
        <v>0</v>
      </c>
      <c r="AN201" s="117">
        <f t="shared" si="91"/>
        <v>0</v>
      </c>
      <c r="AO201" s="117">
        <f t="shared" si="92"/>
        <v>0</v>
      </c>
      <c r="AP201" s="117">
        <f t="shared" si="83"/>
        <v>0</v>
      </c>
      <c r="AQ201" s="117">
        <f t="shared" si="84"/>
        <v>0</v>
      </c>
      <c r="AR201" s="117">
        <f t="shared" si="93"/>
        <v>0</v>
      </c>
      <c r="AS201" s="117">
        <f t="shared" si="94"/>
        <v>0</v>
      </c>
      <c r="AT201" s="117">
        <f t="shared" si="95"/>
        <v>0</v>
      </c>
      <c r="AU201" s="117">
        <f t="shared" si="96"/>
        <v>0</v>
      </c>
      <c r="AV201" s="117">
        <f t="shared" si="97"/>
        <v>0</v>
      </c>
      <c r="AW201" s="117">
        <f t="shared" si="98"/>
        <v>0</v>
      </c>
      <c r="AX201" s="117">
        <f t="shared" si="99"/>
        <v>0</v>
      </c>
      <c r="AY201" s="117">
        <f t="shared" si="100"/>
        <v>0</v>
      </c>
      <c r="AZ201" s="117">
        <f t="shared" si="101"/>
        <v>0</v>
      </c>
      <c r="BA201" s="117">
        <f t="shared" si="102"/>
        <v>0</v>
      </c>
      <c r="BB201" s="117">
        <f t="shared" si="103"/>
        <v>0</v>
      </c>
      <c r="BC201" s="117">
        <f t="shared" si="104"/>
        <v>0</v>
      </c>
      <c r="BD201" s="117">
        <f t="shared" ref="BD201:BD264" si="105">(AB201*AD201)/AE201</f>
        <v>0</v>
      </c>
      <c r="BE201" s="107"/>
      <c r="BF201" s="107"/>
      <c r="BG201" s="107"/>
      <c r="BH201" s="107"/>
      <c r="BI201" s="107"/>
      <c r="BJ201" s="107"/>
      <c r="BK201" s="107"/>
      <c r="BL201" s="107"/>
    </row>
    <row r="202" spans="1:64" ht="15" x14ac:dyDescent="0.2">
      <c r="A202" s="378"/>
      <c r="B202" s="378"/>
      <c r="C202" s="111" t="s">
        <v>423</v>
      </c>
      <c r="D202" s="380"/>
      <c r="E202" s="111"/>
      <c r="F202" s="111">
        <v>11.13</v>
      </c>
      <c r="G202" s="111"/>
      <c r="H202" s="111"/>
      <c r="I202" s="111"/>
      <c r="J202" s="111"/>
      <c r="K202" s="111"/>
      <c r="L202" s="111"/>
      <c r="M202" s="111"/>
      <c r="N202" s="111"/>
      <c r="O202" s="111"/>
      <c r="P202" s="111"/>
      <c r="Q202" s="111"/>
      <c r="R202" s="111"/>
      <c r="S202" s="111"/>
      <c r="T202" s="111"/>
      <c r="U202" s="111"/>
      <c r="V202" s="111"/>
      <c r="W202" s="111"/>
      <c r="X202" s="111"/>
      <c r="Y202" s="111"/>
      <c r="Z202" s="111"/>
      <c r="AA202" s="111"/>
      <c r="AB202" s="111"/>
      <c r="AC202" s="113" t="s">
        <v>289</v>
      </c>
      <c r="AD202" s="114">
        <f t="shared" si="85"/>
        <v>22</v>
      </c>
      <c r="AE202" s="115">
        <f>'1. SA ABA DE CARREGAMENTO'!B90</f>
        <v>22</v>
      </c>
      <c r="AF202" s="380"/>
      <c r="AG202" s="117">
        <f t="shared" si="86"/>
        <v>0</v>
      </c>
      <c r="AH202" s="117">
        <f t="shared" si="87"/>
        <v>11.13</v>
      </c>
      <c r="AI202" s="117">
        <f t="shared" si="88"/>
        <v>0</v>
      </c>
      <c r="AJ202" s="117">
        <f t="shared" si="89"/>
        <v>0</v>
      </c>
      <c r="AK202" s="117">
        <f t="shared" si="90"/>
        <v>0</v>
      </c>
      <c r="AL202" s="117">
        <f t="shared" si="81"/>
        <v>0</v>
      </c>
      <c r="AM202" s="117">
        <f t="shared" si="82"/>
        <v>0</v>
      </c>
      <c r="AN202" s="117">
        <f t="shared" si="91"/>
        <v>0</v>
      </c>
      <c r="AO202" s="117">
        <f t="shared" si="92"/>
        <v>0</v>
      </c>
      <c r="AP202" s="117">
        <f t="shared" si="83"/>
        <v>0</v>
      </c>
      <c r="AQ202" s="117">
        <f t="shared" si="84"/>
        <v>0</v>
      </c>
      <c r="AR202" s="117">
        <f t="shared" si="93"/>
        <v>0</v>
      </c>
      <c r="AS202" s="117">
        <f t="shared" si="94"/>
        <v>0</v>
      </c>
      <c r="AT202" s="117">
        <f t="shared" si="95"/>
        <v>0</v>
      </c>
      <c r="AU202" s="117">
        <f t="shared" si="96"/>
        <v>0</v>
      </c>
      <c r="AV202" s="117">
        <f t="shared" si="97"/>
        <v>0</v>
      </c>
      <c r="AW202" s="117">
        <f t="shared" si="98"/>
        <v>0</v>
      </c>
      <c r="AX202" s="117">
        <f t="shared" si="99"/>
        <v>0</v>
      </c>
      <c r="AY202" s="117">
        <f t="shared" si="100"/>
        <v>0</v>
      </c>
      <c r="AZ202" s="117">
        <f t="shared" si="101"/>
        <v>0</v>
      </c>
      <c r="BA202" s="117">
        <f t="shared" si="102"/>
        <v>0</v>
      </c>
      <c r="BB202" s="117">
        <f t="shared" si="103"/>
        <v>0</v>
      </c>
      <c r="BC202" s="117">
        <f t="shared" si="104"/>
        <v>0</v>
      </c>
      <c r="BD202" s="117">
        <f t="shared" si="105"/>
        <v>0</v>
      </c>
      <c r="BE202" s="107"/>
      <c r="BF202" s="107"/>
      <c r="BG202" s="107"/>
      <c r="BH202" s="107"/>
      <c r="BI202" s="107"/>
      <c r="BJ202" s="107"/>
      <c r="BK202" s="107"/>
      <c r="BL202" s="107"/>
    </row>
    <row r="203" spans="1:64" ht="15" x14ac:dyDescent="0.2">
      <c r="A203" s="378"/>
      <c r="B203" s="378"/>
      <c r="C203" s="111" t="s">
        <v>424</v>
      </c>
      <c r="D203" s="380"/>
      <c r="E203" s="111"/>
      <c r="F203" s="111">
        <v>22.13</v>
      </c>
      <c r="G203" s="111"/>
      <c r="H203" s="111"/>
      <c r="I203" s="111"/>
      <c r="J203" s="111"/>
      <c r="K203" s="111"/>
      <c r="L203" s="111"/>
      <c r="M203" s="111"/>
      <c r="N203" s="111"/>
      <c r="O203" s="111"/>
      <c r="P203" s="111"/>
      <c r="Q203" s="111"/>
      <c r="R203" s="111"/>
      <c r="S203" s="111"/>
      <c r="T203" s="111"/>
      <c r="U203" s="111"/>
      <c r="V203" s="111"/>
      <c r="W203" s="111"/>
      <c r="X203" s="111"/>
      <c r="Y203" s="111"/>
      <c r="Z203" s="111"/>
      <c r="AA203" s="111"/>
      <c r="AB203" s="111"/>
      <c r="AC203" s="113" t="s">
        <v>289</v>
      </c>
      <c r="AD203" s="114">
        <f t="shared" si="85"/>
        <v>22</v>
      </c>
      <c r="AE203" s="115">
        <f>'1. SA ABA DE CARREGAMENTO'!B90</f>
        <v>22</v>
      </c>
      <c r="AF203" s="380"/>
      <c r="AG203" s="117">
        <f t="shared" si="86"/>
        <v>0</v>
      </c>
      <c r="AH203" s="117">
        <f t="shared" si="87"/>
        <v>22.13</v>
      </c>
      <c r="AI203" s="117">
        <f t="shared" si="88"/>
        <v>0</v>
      </c>
      <c r="AJ203" s="117">
        <f t="shared" si="89"/>
        <v>0</v>
      </c>
      <c r="AK203" s="117">
        <f t="shared" si="90"/>
        <v>0</v>
      </c>
      <c r="AL203" s="117">
        <f t="shared" si="81"/>
        <v>0</v>
      </c>
      <c r="AM203" s="117">
        <f t="shared" si="82"/>
        <v>0</v>
      </c>
      <c r="AN203" s="117">
        <f t="shared" si="91"/>
        <v>0</v>
      </c>
      <c r="AO203" s="117">
        <f t="shared" si="92"/>
        <v>0</v>
      </c>
      <c r="AP203" s="117">
        <f t="shared" si="83"/>
        <v>0</v>
      </c>
      <c r="AQ203" s="117">
        <f t="shared" si="84"/>
        <v>0</v>
      </c>
      <c r="AR203" s="117">
        <f t="shared" si="93"/>
        <v>0</v>
      </c>
      <c r="AS203" s="117">
        <f t="shared" si="94"/>
        <v>0</v>
      </c>
      <c r="AT203" s="117">
        <f t="shared" si="95"/>
        <v>0</v>
      </c>
      <c r="AU203" s="117">
        <f t="shared" si="96"/>
        <v>0</v>
      </c>
      <c r="AV203" s="117">
        <f t="shared" si="97"/>
        <v>0</v>
      </c>
      <c r="AW203" s="117">
        <f t="shared" si="98"/>
        <v>0</v>
      </c>
      <c r="AX203" s="117">
        <f t="shared" si="99"/>
        <v>0</v>
      </c>
      <c r="AY203" s="117">
        <f t="shared" si="100"/>
        <v>0</v>
      </c>
      <c r="AZ203" s="117">
        <f t="shared" si="101"/>
        <v>0</v>
      </c>
      <c r="BA203" s="117">
        <f t="shared" si="102"/>
        <v>0</v>
      </c>
      <c r="BB203" s="117">
        <f t="shared" si="103"/>
        <v>0</v>
      </c>
      <c r="BC203" s="117">
        <f t="shared" si="104"/>
        <v>0</v>
      </c>
      <c r="BD203" s="117">
        <f t="shared" si="105"/>
        <v>0</v>
      </c>
      <c r="BE203" s="107"/>
      <c r="BF203" s="107"/>
      <c r="BG203" s="107"/>
      <c r="BH203" s="107"/>
      <c r="BI203" s="107"/>
      <c r="BJ203" s="107"/>
      <c r="BK203" s="107"/>
      <c r="BL203" s="107"/>
    </row>
    <row r="204" spans="1:64" ht="15" x14ac:dyDescent="0.2">
      <c r="A204" s="378"/>
      <c r="B204" s="378"/>
      <c r="C204" s="111" t="s">
        <v>425</v>
      </c>
      <c r="D204" s="380"/>
      <c r="E204" s="111"/>
      <c r="F204" s="111">
        <v>2.59</v>
      </c>
      <c r="G204" s="111"/>
      <c r="H204" s="111"/>
      <c r="I204" s="111"/>
      <c r="J204" s="111"/>
      <c r="K204" s="111"/>
      <c r="L204" s="111"/>
      <c r="M204" s="111"/>
      <c r="N204" s="111"/>
      <c r="O204" s="111"/>
      <c r="P204" s="111"/>
      <c r="Q204" s="111"/>
      <c r="R204" s="111"/>
      <c r="S204" s="111"/>
      <c r="T204" s="111"/>
      <c r="U204" s="111"/>
      <c r="V204" s="111"/>
      <c r="W204" s="111"/>
      <c r="X204" s="111"/>
      <c r="Y204" s="111"/>
      <c r="Z204" s="111"/>
      <c r="AA204" s="111"/>
      <c r="AB204" s="111"/>
      <c r="AC204" s="113" t="s">
        <v>289</v>
      </c>
      <c r="AD204" s="114">
        <f t="shared" si="85"/>
        <v>22</v>
      </c>
      <c r="AE204" s="115">
        <f>'1. SA ABA DE CARREGAMENTO'!B90</f>
        <v>22</v>
      </c>
      <c r="AF204" s="380"/>
      <c r="AG204" s="117">
        <f t="shared" si="86"/>
        <v>0</v>
      </c>
      <c r="AH204" s="117">
        <f t="shared" si="87"/>
        <v>2.59</v>
      </c>
      <c r="AI204" s="117">
        <f t="shared" si="88"/>
        <v>0</v>
      </c>
      <c r="AJ204" s="117">
        <f t="shared" si="89"/>
        <v>0</v>
      </c>
      <c r="AK204" s="117">
        <f t="shared" si="90"/>
        <v>0</v>
      </c>
      <c r="AL204" s="117">
        <f t="shared" si="81"/>
        <v>0</v>
      </c>
      <c r="AM204" s="117">
        <f t="shared" si="82"/>
        <v>0</v>
      </c>
      <c r="AN204" s="117">
        <f t="shared" si="91"/>
        <v>0</v>
      </c>
      <c r="AO204" s="117">
        <f t="shared" si="92"/>
        <v>0</v>
      </c>
      <c r="AP204" s="117">
        <f t="shared" si="83"/>
        <v>0</v>
      </c>
      <c r="AQ204" s="117">
        <f t="shared" si="84"/>
        <v>0</v>
      </c>
      <c r="AR204" s="117">
        <f t="shared" si="93"/>
        <v>0</v>
      </c>
      <c r="AS204" s="117">
        <f t="shared" si="94"/>
        <v>0</v>
      </c>
      <c r="AT204" s="117">
        <f t="shared" si="95"/>
        <v>0</v>
      </c>
      <c r="AU204" s="117">
        <f t="shared" si="96"/>
        <v>0</v>
      </c>
      <c r="AV204" s="117">
        <f t="shared" si="97"/>
        <v>0</v>
      </c>
      <c r="AW204" s="117">
        <f t="shared" si="98"/>
        <v>0</v>
      </c>
      <c r="AX204" s="117">
        <f t="shared" si="99"/>
        <v>0</v>
      </c>
      <c r="AY204" s="117">
        <f t="shared" si="100"/>
        <v>0</v>
      </c>
      <c r="AZ204" s="117">
        <f t="shared" si="101"/>
        <v>0</v>
      </c>
      <c r="BA204" s="117">
        <f t="shared" si="102"/>
        <v>0</v>
      </c>
      <c r="BB204" s="117">
        <f t="shared" si="103"/>
        <v>0</v>
      </c>
      <c r="BC204" s="117">
        <f t="shared" si="104"/>
        <v>0</v>
      </c>
      <c r="BD204" s="117">
        <f t="shared" si="105"/>
        <v>0</v>
      </c>
      <c r="BE204" s="107"/>
      <c r="BF204" s="107"/>
      <c r="BG204" s="107"/>
      <c r="BH204" s="107"/>
      <c r="BI204" s="107"/>
      <c r="BJ204" s="107"/>
      <c r="BK204" s="107"/>
      <c r="BL204" s="107"/>
    </row>
    <row r="205" spans="1:64" ht="15" x14ac:dyDescent="0.2">
      <c r="A205" s="378"/>
      <c r="B205" s="378"/>
      <c r="C205" s="111" t="s">
        <v>308</v>
      </c>
      <c r="D205" s="380"/>
      <c r="E205" s="111"/>
      <c r="F205" s="111">
        <v>2.63</v>
      </c>
      <c r="G205" s="111"/>
      <c r="H205" s="111"/>
      <c r="I205" s="111"/>
      <c r="J205" s="111"/>
      <c r="K205" s="111"/>
      <c r="L205" s="111"/>
      <c r="M205" s="111"/>
      <c r="N205" s="111"/>
      <c r="O205" s="111"/>
      <c r="P205" s="111"/>
      <c r="Q205" s="111"/>
      <c r="R205" s="111"/>
      <c r="S205" s="111"/>
      <c r="T205" s="111"/>
      <c r="U205" s="111"/>
      <c r="V205" s="111"/>
      <c r="W205" s="111"/>
      <c r="X205" s="111"/>
      <c r="Y205" s="111"/>
      <c r="Z205" s="111"/>
      <c r="AA205" s="111"/>
      <c r="AB205" s="111"/>
      <c r="AC205" s="113" t="s">
        <v>289</v>
      </c>
      <c r="AD205" s="114">
        <f t="shared" si="85"/>
        <v>22</v>
      </c>
      <c r="AE205" s="115">
        <f>'1. SA ABA DE CARREGAMENTO'!B90</f>
        <v>22</v>
      </c>
      <c r="AF205" s="380"/>
      <c r="AG205" s="117">
        <f t="shared" si="86"/>
        <v>0</v>
      </c>
      <c r="AH205" s="117">
        <f t="shared" si="87"/>
        <v>2.63</v>
      </c>
      <c r="AI205" s="117">
        <f t="shared" si="88"/>
        <v>0</v>
      </c>
      <c r="AJ205" s="117">
        <f t="shared" si="89"/>
        <v>0</v>
      </c>
      <c r="AK205" s="117">
        <f t="shared" si="90"/>
        <v>0</v>
      </c>
      <c r="AL205" s="117">
        <f t="shared" si="81"/>
        <v>0</v>
      </c>
      <c r="AM205" s="117">
        <f t="shared" si="82"/>
        <v>0</v>
      </c>
      <c r="AN205" s="117">
        <f t="shared" si="91"/>
        <v>0</v>
      </c>
      <c r="AO205" s="117">
        <f t="shared" si="92"/>
        <v>0</v>
      </c>
      <c r="AP205" s="117">
        <f t="shared" si="83"/>
        <v>0</v>
      </c>
      <c r="AQ205" s="117">
        <f t="shared" si="84"/>
        <v>0</v>
      </c>
      <c r="AR205" s="117">
        <f t="shared" si="93"/>
        <v>0</v>
      </c>
      <c r="AS205" s="117">
        <f t="shared" si="94"/>
        <v>0</v>
      </c>
      <c r="AT205" s="117">
        <f t="shared" si="95"/>
        <v>0</v>
      </c>
      <c r="AU205" s="117">
        <f t="shared" si="96"/>
        <v>0</v>
      </c>
      <c r="AV205" s="117">
        <f t="shared" si="97"/>
        <v>0</v>
      </c>
      <c r="AW205" s="117">
        <f t="shared" si="98"/>
        <v>0</v>
      </c>
      <c r="AX205" s="117">
        <f t="shared" si="99"/>
        <v>0</v>
      </c>
      <c r="AY205" s="117">
        <f t="shared" si="100"/>
        <v>0</v>
      </c>
      <c r="AZ205" s="117">
        <f t="shared" si="101"/>
        <v>0</v>
      </c>
      <c r="BA205" s="117">
        <f t="shared" si="102"/>
        <v>0</v>
      </c>
      <c r="BB205" s="117">
        <f t="shared" si="103"/>
        <v>0</v>
      </c>
      <c r="BC205" s="117">
        <f t="shared" si="104"/>
        <v>0</v>
      </c>
      <c r="BD205" s="117">
        <f t="shared" si="105"/>
        <v>0</v>
      </c>
      <c r="BE205" s="107"/>
      <c r="BF205" s="107"/>
      <c r="BG205" s="107"/>
      <c r="BH205" s="107"/>
      <c r="BI205" s="107"/>
      <c r="BJ205" s="107"/>
      <c r="BK205" s="107"/>
      <c r="BL205" s="107"/>
    </row>
    <row r="206" spans="1:64" ht="30" x14ac:dyDescent="0.2">
      <c r="A206" s="378"/>
      <c r="B206" s="378"/>
      <c r="C206" s="111" t="s">
        <v>426</v>
      </c>
      <c r="D206" s="380"/>
      <c r="E206" s="111"/>
      <c r="F206" s="111"/>
      <c r="G206" s="111"/>
      <c r="H206" s="111"/>
      <c r="I206" s="111"/>
      <c r="J206" s="111"/>
      <c r="K206" s="111"/>
      <c r="L206" s="111"/>
      <c r="M206" s="111">
        <v>134</v>
      </c>
      <c r="N206" s="111"/>
      <c r="O206" s="111"/>
      <c r="P206" s="111"/>
      <c r="Q206" s="111"/>
      <c r="R206" s="111"/>
      <c r="S206" s="111"/>
      <c r="T206" s="111"/>
      <c r="U206" s="111"/>
      <c r="V206" s="111"/>
      <c r="W206" s="111"/>
      <c r="X206" s="111"/>
      <c r="Y206" s="111"/>
      <c r="Z206" s="111"/>
      <c r="AA206" s="111"/>
      <c r="AB206" s="111"/>
      <c r="AC206" s="113" t="s">
        <v>289</v>
      </c>
      <c r="AD206" s="114">
        <f t="shared" si="85"/>
        <v>22</v>
      </c>
      <c r="AE206" s="115">
        <f>'1. SA ABA DE CARREGAMENTO'!B90</f>
        <v>22</v>
      </c>
      <c r="AF206" s="380"/>
      <c r="AG206" s="117">
        <f t="shared" si="86"/>
        <v>0</v>
      </c>
      <c r="AH206" s="117">
        <f t="shared" si="87"/>
        <v>0</v>
      </c>
      <c r="AI206" s="117">
        <f t="shared" si="88"/>
        <v>0</v>
      </c>
      <c r="AJ206" s="117">
        <f t="shared" si="89"/>
        <v>0</v>
      </c>
      <c r="AK206" s="117">
        <f t="shared" si="90"/>
        <v>0</v>
      </c>
      <c r="AL206" s="117">
        <f t="shared" si="81"/>
        <v>0</v>
      </c>
      <c r="AM206" s="117">
        <f t="shared" si="82"/>
        <v>0</v>
      </c>
      <c r="AN206" s="117">
        <f t="shared" si="91"/>
        <v>0</v>
      </c>
      <c r="AO206" s="117">
        <f t="shared" si="92"/>
        <v>134</v>
      </c>
      <c r="AP206" s="117">
        <f t="shared" si="83"/>
        <v>0</v>
      </c>
      <c r="AQ206" s="117">
        <f t="shared" si="84"/>
        <v>0</v>
      </c>
      <c r="AR206" s="117">
        <f t="shared" si="93"/>
        <v>0</v>
      </c>
      <c r="AS206" s="117">
        <f t="shared" si="94"/>
        <v>0</v>
      </c>
      <c r="AT206" s="117">
        <f t="shared" si="95"/>
        <v>0</v>
      </c>
      <c r="AU206" s="117">
        <f t="shared" si="96"/>
        <v>0</v>
      </c>
      <c r="AV206" s="117">
        <f t="shared" si="97"/>
        <v>0</v>
      </c>
      <c r="AW206" s="117">
        <f t="shared" si="98"/>
        <v>0</v>
      </c>
      <c r="AX206" s="117">
        <f t="shared" si="99"/>
        <v>0</v>
      </c>
      <c r="AY206" s="117">
        <f t="shared" si="100"/>
        <v>0</v>
      </c>
      <c r="AZ206" s="117">
        <f t="shared" si="101"/>
        <v>0</v>
      </c>
      <c r="BA206" s="117">
        <f t="shared" si="102"/>
        <v>0</v>
      </c>
      <c r="BB206" s="117">
        <f t="shared" si="103"/>
        <v>0</v>
      </c>
      <c r="BC206" s="117">
        <f t="shared" si="104"/>
        <v>0</v>
      </c>
      <c r="BD206" s="117">
        <f t="shared" si="105"/>
        <v>0</v>
      </c>
      <c r="BE206" s="107"/>
      <c r="BF206" s="107"/>
      <c r="BG206" s="107"/>
      <c r="BH206" s="107"/>
      <c r="BI206" s="107"/>
      <c r="BJ206" s="107"/>
      <c r="BK206" s="107"/>
      <c r="BL206" s="107"/>
    </row>
    <row r="207" spans="1:64" ht="12.75" customHeight="1" x14ac:dyDescent="0.2">
      <c r="A207" s="378"/>
      <c r="B207" s="378"/>
      <c r="C207" s="111" t="s">
        <v>271</v>
      </c>
      <c r="D207" s="380"/>
      <c r="E207" s="111"/>
      <c r="F207" s="111"/>
      <c r="G207" s="111"/>
      <c r="H207" s="111"/>
      <c r="I207" s="111"/>
      <c r="J207" s="111"/>
      <c r="K207" s="111"/>
      <c r="L207" s="111">
        <v>148.29</v>
      </c>
      <c r="M207" s="111"/>
      <c r="N207" s="111"/>
      <c r="O207" s="111"/>
      <c r="P207" s="111"/>
      <c r="Q207" s="111"/>
      <c r="R207" s="111"/>
      <c r="S207" s="111"/>
      <c r="T207" s="111"/>
      <c r="U207" s="111"/>
      <c r="V207" s="111"/>
      <c r="W207" s="111"/>
      <c r="X207" s="111"/>
      <c r="Y207" s="111"/>
      <c r="Z207" s="111"/>
      <c r="AA207" s="111"/>
      <c r="AB207" s="111"/>
      <c r="AC207" s="113" t="s">
        <v>289</v>
      </c>
      <c r="AD207" s="114">
        <f t="shared" si="85"/>
        <v>22</v>
      </c>
      <c r="AE207" s="115">
        <f>'1. SA ABA DE CARREGAMENTO'!B90</f>
        <v>22</v>
      </c>
      <c r="AF207" s="380"/>
      <c r="AG207" s="117">
        <f t="shared" si="86"/>
        <v>0</v>
      </c>
      <c r="AH207" s="117">
        <f t="shared" si="87"/>
        <v>0</v>
      </c>
      <c r="AI207" s="117">
        <f t="shared" si="88"/>
        <v>0</v>
      </c>
      <c r="AJ207" s="117">
        <f t="shared" si="89"/>
        <v>0</v>
      </c>
      <c r="AK207" s="117">
        <f t="shared" si="90"/>
        <v>0</v>
      </c>
      <c r="AL207" s="117">
        <f t="shared" si="81"/>
        <v>0</v>
      </c>
      <c r="AM207" s="117">
        <f t="shared" si="82"/>
        <v>0</v>
      </c>
      <c r="AN207" s="117">
        <f t="shared" si="91"/>
        <v>148.29</v>
      </c>
      <c r="AO207" s="117">
        <f t="shared" si="92"/>
        <v>0</v>
      </c>
      <c r="AP207" s="117">
        <f t="shared" si="83"/>
        <v>0</v>
      </c>
      <c r="AQ207" s="117">
        <f t="shared" si="84"/>
        <v>0</v>
      </c>
      <c r="AR207" s="117">
        <f t="shared" si="93"/>
        <v>0</v>
      </c>
      <c r="AS207" s="117">
        <f t="shared" si="94"/>
        <v>0</v>
      </c>
      <c r="AT207" s="117">
        <f t="shared" si="95"/>
        <v>0</v>
      </c>
      <c r="AU207" s="117">
        <f t="shared" si="96"/>
        <v>0</v>
      </c>
      <c r="AV207" s="117">
        <f t="shared" si="97"/>
        <v>0</v>
      </c>
      <c r="AW207" s="117">
        <f t="shared" si="98"/>
        <v>0</v>
      </c>
      <c r="AX207" s="117">
        <f t="shared" si="99"/>
        <v>0</v>
      </c>
      <c r="AY207" s="117">
        <f t="shared" si="100"/>
        <v>0</v>
      </c>
      <c r="AZ207" s="117">
        <f t="shared" si="101"/>
        <v>0</v>
      </c>
      <c r="BA207" s="117">
        <f t="shared" si="102"/>
        <v>0</v>
      </c>
      <c r="BB207" s="117">
        <f t="shared" si="103"/>
        <v>0</v>
      </c>
      <c r="BC207" s="117">
        <f t="shared" si="104"/>
        <v>0</v>
      </c>
      <c r="BD207" s="117">
        <f t="shared" si="105"/>
        <v>0</v>
      </c>
      <c r="BE207" s="107"/>
      <c r="BF207" s="107"/>
      <c r="BG207" s="107"/>
      <c r="BH207" s="107"/>
      <c r="BI207" s="107"/>
      <c r="BJ207" s="107"/>
      <c r="BK207" s="107"/>
      <c r="BL207" s="107"/>
    </row>
    <row r="208" spans="1:64" ht="12.75" customHeight="1" x14ac:dyDescent="0.2">
      <c r="A208" s="378"/>
      <c r="B208" s="378"/>
      <c r="C208" s="111" t="s">
        <v>274</v>
      </c>
      <c r="D208" s="380"/>
      <c r="E208" s="111"/>
      <c r="F208" s="111"/>
      <c r="G208" s="111"/>
      <c r="H208" s="111"/>
      <c r="I208" s="111"/>
      <c r="J208" s="111"/>
      <c r="K208" s="111"/>
      <c r="L208" s="111"/>
      <c r="M208" s="111"/>
      <c r="N208" s="111"/>
      <c r="O208" s="111"/>
      <c r="P208" s="111"/>
      <c r="Q208" s="111"/>
      <c r="R208" s="111"/>
      <c r="S208" s="111"/>
      <c r="T208" s="111"/>
      <c r="U208" s="111">
        <v>96.88</v>
      </c>
      <c r="V208" s="111">
        <v>176.9</v>
      </c>
      <c r="W208" s="111"/>
      <c r="X208" s="111"/>
      <c r="Y208" s="111"/>
      <c r="Z208" s="111"/>
      <c r="AA208" s="111"/>
      <c r="AB208" s="111"/>
      <c r="AC208" s="113" t="s">
        <v>275</v>
      </c>
      <c r="AD208" s="114">
        <f t="shared" si="85"/>
        <v>0.17</v>
      </c>
      <c r="AE208" s="115">
        <f>'1. SA ABA DE CARREGAMENTO'!B90</f>
        <v>22</v>
      </c>
      <c r="AF208" s="380"/>
      <c r="AG208" s="117">
        <f t="shared" si="86"/>
        <v>0</v>
      </c>
      <c r="AH208" s="117">
        <f t="shared" si="87"/>
        <v>0</v>
      </c>
      <c r="AI208" s="117">
        <f t="shared" si="88"/>
        <v>0</v>
      </c>
      <c r="AJ208" s="117">
        <f t="shared" si="89"/>
        <v>0</v>
      </c>
      <c r="AK208" s="117">
        <f t="shared" si="90"/>
        <v>0</v>
      </c>
      <c r="AL208" s="117">
        <f t="shared" si="81"/>
        <v>0</v>
      </c>
      <c r="AM208" s="117">
        <f t="shared" si="82"/>
        <v>0</v>
      </c>
      <c r="AN208" s="117">
        <f t="shared" si="91"/>
        <v>0</v>
      </c>
      <c r="AO208" s="117">
        <f t="shared" si="92"/>
        <v>0</v>
      </c>
      <c r="AP208" s="117">
        <f t="shared" si="83"/>
        <v>0</v>
      </c>
      <c r="AQ208" s="117">
        <f t="shared" si="84"/>
        <v>0</v>
      </c>
      <c r="AR208" s="117">
        <f t="shared" si="93"/>
        <v>0</v>
      </c>
      <c r="AS208" s="117">
        <f t="shared" si="94"/>
        <v>0</v>
      </c>
      <c r="AT208" s="117">
        <f t="shared" si="95"/>
        <v>0</v>
      </c>
      <c r="AU208" s="117">
        <f t="shared" si="96"/>
        <v>0</v>
      </c>
      <c r="AV208" s="117">
        <f t="shared" si="97"/>
        <v>0</v>
      </c>
      <c r="AW208" s="117">
        <f t="shared" si="98"/>
        <v>0.74861818181818185</v>
      </c>
      <c r="AX208" s="117">
        <f t="shared" si="99"/>
        <v>1.3669545454545455</v>
      </c>
      <c r="AY208" s="117">
        <f t="shared" si="100"/>
        <v>0</v>
      </c>
      <c r="AZ208" s="117">
        <f t="shared" si="101"/>
        <v>0</v>
      </c>
      <c r="BA208" s="117">
        <f t="shared" si="102"/>
        <v>0</v>
      </c>
      <c r="BB208" s="117">
        <f t="shared" si="103"/>
        <v>0</v>
      </c>
      <c r="BC208" s="117">
        <f t="shared" si="104"/>
        <v>0</v>
      </c>
      <c r="BD208" s="117">
        <f t="shared" si="105"/>
        <v>0</v>
      </c>
      <c r="BE208" s="107"/>
      <c r="BF208" s="107"/>
      <c r="BG208" s="107"/>
      <c r="BH208" s="107"/>
      <c r="BI208" s="107"/>
      <c r="BJ208" s="107"/>
      <c r="BK208" s="107"/>
      <c r="BL208" s="107"/>
    </row>
    <row r="209" spans="1:64" ht="12.75" customHeight="1" x14ac:dyDescent="0.2">
      <c r="A209" s="378"/>
      <c r="B209" s="378"/>
      <c r="C209" s="111" t="s">
        <v>276</v>
      </c>
      <c r="D209" s="380"/>
      <c r="E209" s="111"/>
      <c r="F209" s="111"/>
      <c r="G209" s="111"/>
      <c r="H209" s="111"/>
      <c r="I209" s="111"/>
      <c r="J209" s="111"/>
      <c r="K209" s="111"/>
      <c r="L209" s="111"/>
      <c r="M209" s="111"/>
      <c r="N209" s="111"/>
      <c r="O209" s="111"/>
      <c r="P209" s="111"/>
      <c r="Q209" s="111"/>
      <c r="R209" s="111"/>
      <c r="S209" s="111"/>
      <c r="T209" s="111"/>
      <c r="U209" s="111"/>
      <c r="V209" s="111"/>
      <c r="W209" s="111">
        <f>53.8+273.78</f>
        <v>327.58</v>
      </c>
      <c r="X209" s="111"/>
      <c r="Y209" s="111"/>
      <c r="Z209" s="111"/>
      <c r="AA209" s="111"/>
      <c r="AB209" s="111"/>
      <c r="AC209" s="113" t="s">
        <v>277</v>
      </c>
      <c r="AD209" s="114">
        <f t="shared" si="85"/>
        <v>8</v>
      </c>
      <c r="AE209" s="115">
        <f>'1. SA ABA DE CARREGAMENTO'!B90</f>
        <v>22</v>
      </c>
      <c r="AF209" s="380"/>
      <c r="AG209" s="117">
        <f t="shared" si="86"/>
        <v>0</v>
      </c>
      <c r="AH209" s="117">
        <f t="shared" si="87"/>
        <v>0</v>
      </c>
      <c r="AI209" s="117">
        <f t="shared" si="88"/>
        <v>0</v>
      </c>
      <c r="AJ209" s="117">
        <f t="shared" si="89"/>
        <v>0</v>
      </c>
      <c r="AK209" s="117">
        <f t="shared" si="90"/>
        <v>0</v>
      </c>
      <c r="AL209" s="117">
        <f t="shared" si="81"/>
        <v>0</v>
      </c>
      <c r="AM209" s="117">
        <f t="shared" si="82"/>
        <v>0</v>
      </c>
      <c r="AN209" s="117">
        <f t="shared" si="91"/>
        <v>0</v>
      </c>
      <c r="AO209" s="117">
        <f t="shared" si="92"/>
        <v>0</v>
      </c>
      <c r="AP209" s="117">
        <f t="shared" si="83"/>
        <v>0</v>
      </c>
      <c r="AQ209" s="117">
        <f t="shared" si="84"/>
        <v>0</v>
      </c>
      <c r="AR209" s="117">
        <f t="shared" si="93"/>
        <v>0</v>
      </c>
      <c r="AS209" s="117">
        <f t="shared" si="94"/>
        <v>0</v>
      </c>
      <c r="AT209" s="117">
        <f t="shared" si="95"/>
        <v>0</v>
      </c>
      <c r="AU209" s="117">
        <f t="shared" si="96"/>
        <v>0</v>
      </c>
      <c r="AV209" s="117">
        <f t="shared" si="97"/>
        <v>0</v>
      </c>
      <c r="AW209" s="117">
        <f t="shared" si="98"/>
        <v>0</v>
      </c>
      <c r="AX209" s="117">
        <f t="shared" si="99"/>
        <v>0</v>
      </c>
      <c r="AY209" s="117">
        <f t="shared" si="100"/>
        <v>119.11999999999999</v>
      </c>
      <c r="AZ209" s="117">
        <f t="shared" si="101"/>
        <v>0</v>
      </c>
      <c r="BA209" s="117">
        <f t="shared" si="102"/>
        <v>0</v>
      </c>
      <c r="BB209" s="117">
        <f t="shared" si="103"/>
        <v>0</v>
      </c>
      <c r="BC209" s="117">
        <f t="shared" si="104"/>
        <v>0</v>
      </c>
      <c r="BD209" s="117">
        <f t="shared" si="105"/>
        <v>0</v>
      </c>
      <c r="BE209" s="107"/>
      <c r="BF209" s="107"/>
      <c r="BG209" s="107"/>
      <c r="BH209" s="107"/>
      <c r="BI209" s="107"/>
      <c r="BJ209" s="107"/>
      <c r="BK209" s="107"/>
      <c r="BL209" s="107"/>
    </row>
    <row r="210" spans="1:64" ht="12.75" customHeight="1" x14ac:dyDescent="0.2">
      <c r="A210" s="378"/>
      <c r="B210" s="378"/>
      <c r="C210" s="111" t="s">
        <v>278</v>
      </c>
      <c r="D210" s="380"/>
      <c r="E210" s="111"/>
      <c r="F210" s="111"/>
      <c r="G210" s="111"/>
      <c r="H210" s="111"/>
      <c r="I210" s="111"/>
      <c r="J210" s="111"/>
      <c r="K210" s="111"/>
      <c r="L210" s="111"/>
      <c r="M210" s="111"/>
      <c r="N210" s="111"/>
      <c r="O210" s="111"/>
      <c r="P210" s="111"/>
      <c r="Q210" s="111"/>
      <c r="R210" s="111"/>
      <c r="S210" s="111"/>
      <c r="T210" s="111"/>
      <c r="U210" s="111"/>
      <c r="V210" s="111"/>
      <c r="W210" s="111"/>
      <c r="X210" s="111"/>
      <c r="Y210" s="111"/>
      <c r="Z210" s="111">
        <v>31.57</v>
      </c>
      <c r="AA210" s="111"/>
      <c r="AB210" s="111"/>
      <c r="AC210" s="113" t="s">
        <v>279</v>
      </c>
      <c r="AD210" s="114">
        <f t="shared" si="85"/>
        <v>132</v>
      </c>
      <c r="AE210" s="115">
        <f>'1. SA ABA DE CARREGAMENTO'!B90</f>
        <v>22</v>
      </c>
      <c r="AF210" s="380"/>
      <c r="AG210" s="117">
        <f t="shared" si="86"/>
        <v>0</v>
      </c>
      <c r="AH210" s="117">
        <f t="shared" si="87"/>
        <v>0</v>
      </c>
      <c r="AI210" s="117">
        <f t="shared" si="88"/>
        <v>0</v>
      </c>
      <c r="AJ210" s="117">
        <f t="shared" si="89"/>
        <v>0</v>
      </c>
      <c r="AK210" s="117">
        <f t="shared" si="90"/>
        <v>0</v>
      </c>
      <c r="AL210" s="117">
        <f t="shared" si="81"/>
        <v>0</v>
      </c>
      <c r="AM210" s="117">
        <f t="shared" si="82"/>
        <v>0</v>
      </c>
      <c r="AN210" s="117">
        <f t="shared" si="91"/>
        <v>0</v>
      </c>
      <c r="AO210" s="117">
        <f t="shared" si="92"/>
        <v>0</v>
      </c>
      <c r="AP210" s="117">
        <f t="shared" si="83"/>
        <v>0</v>
      </c>
      <c r="AQ210" s="117">
        <f t="shared" si="84"/>
        <v>0</v>
      </c>
      <c r="AR210" s="117">
        <f t="shared" si="93"/>
        <v>0</v>
      </c>
      <c r="AS210" s="117">
        <f t="shared" si="94"/>
        <v>0</v>
      </c>
      <c r="AT210" s="117">
        <f t="shared" si="95"/>
        <v>0</v>
      </c>
      <c r="AU210" s="117">
        <f t="shared" si="96"/>
        <v>0</v>
      </c>
      <c r="AV210" s="117">
        <f t="shared" si="97"/>
        <v>0</v>
      </c>
      <c r="AW210" s="117">
        <f t="shared" si="98"/>
        <v>0</v>
      </c>
      <c r="AX210" s="117">
        <f t="shared" si="99"/>
        <v>0</v>
      </c>
      <c r="AY210" s="117">
        <f t="shared" si="100"/>
        <v>0</v>
      </c>
      <c r="AZ210" s="117">
        <f t="shared" si="101"/>
        <v>0</v>
      </c>
      <c r="BA210" s="117">
        <f t="shared" si="102"/>
        <v>0</v>
      </c>
      <c r="BB210" s="117">
        <f t="shared" si="103"/>
        <v>189.42</v>
      </c>
      <c r="BC210" s="117">
        <f t="shared" si="104"/>
        <v>0</v>
      </c>
      <c r="BD210" s="117">
        <f t="shared" si="105"/>
        <v>0</v>
      </c>
      <c r="BE210" s="107"/>
      <c r="BF210" s="107"/>
      <c r="BG210" s="107"/>
      <c r="BH210" s="107"/>
      <c r="BI210" s="107"/>
      <c r="BJ210" s="107"/>
      <c r="BK210" s="107"/>
      <c r="BL210" s="107"/>
    </row>
    <row r="211" spans="1:64" ht="12.75" customHeight="1" x14ac:dyDescent="0.2">
      <c r="A211" s="378"/>
      <c r="B211" s="378"/>
      <c r="C211" s="111" t="s">
        <v>280</v>
      </c>
      <c r="D211" s="380"/>
      <c r="E211" s="111"/>
      <c r="F211" s="111"/>
      <c r="G211" s="111"/>
      <c r="H211" s="111"/>
      <c r="I211" s="111"/>
      <c r="J211" s="111"/>
      <c r="K211" s="111"/>
      <c r="L211" s="111"/>
      <c r="M211" s="111"/>
      <c r="N211" s="111"/>
      <c r="O211" s="111"/>
      <c r="P211" s="111"/>
      <c r="Q211" s="111"/>
      <c r="R211" s="111"/>
      <c r="S211" s="111"/>
      <c r="T211" s="111"/>
      <c r="U211" s="111"/>
      <c r="V211" s="111"/>
      <c r="W211" s="111"/>
      <c r="X211" s="111"/>
      <c r="Y211" s="111"/>
      <c r="Z211" s="111"/>
      <c r="AA211" s="111">
        <v>103.7</v>
      </c>
      <c r="AB211" s="111"/>
      <c r="AC211" s="113" t="s">
        <v>281</v>
      </c>
      <c r="AD211" s="114">
        <f t="shared" si="85"/>
        <v>4.33</v>
      </c>
      <c r="AE211" s="115">
        <f>'1. SA ABA DE CARREGAMENTO'!B90</f>
        <v>22</v>
      </c>
      <c r="AF211" s="380"/>
      <c r="AG211" s="117">
        <f t="shared" si="86"/>
        <v>0</v>
      </c>
      <c r="AH211" s="117">
        <f t="shared" si="87"/>
        <v>0</v>
      </c>
      <c r="AI211" s="117">
        <f t="shared" si="88"/>
        <v>0</v>
      </c>
      <c r="AJ211" s="117">
        <f t="shared" si="89"/>
        <v>0</v>
      </c>
      <c r="AK211" s="117">
        <f t="shared" si="90"/>
        <v>0</v>
      </c>
      <c r="AL211" s="117">
        <f t="shared" si="81"/>
        <v>0</v>
      </c>
      <c r="AM211" s="117">
        <f t="shared" si="82"/>
        <v>0</v>
      </c>
      <c r="AN211" s="117">
        <f t="shared" si="91"/>
        <v>0</v>
      </c>
      <c r="AO211" s="117">
        <f t="shared" si="92"/>
        <v>0</v>
      </c>
      <c r="AP211" s="117">
        <f t="shared" si="83"/>
        <v>0</v>
      </c>
      <c r="AQ211" s="117">
        <f t="shared" si="84"/>
        <v>0</v>
      </c>
      <c r="AR211" s="117">
        <f t="shared" si="93"/>
        <v>0</v>
      </c>
      <c r="AS211" s="117">
        <f t="shared" si="94"/>
        <v>0</v>
      </c>
      <c r="AT211" s="117">
        <f t="shared" si="95"/>
        <v>0</v>
      </c>
      <c r="AU211" s="117">
        <f t="shared" si="96"/>
        <v>0</v>
      </c>
      <c r="AV211" s="117">
        <f t="shared" si="97"/>
        <v>0</v>
      </c>
      <c r="AW211" s="117">
        <f t="shared" si="98"/>
        <v>0</v>
      </c>
      <c r="AX211" s="117">
        <f t="shared" si="99"/>
        <v>0</v>
      </c>
      <c r="AY211" s="117">
        <f t="shared" si="100"/>
        <v>0</v>
      </c>
      <c r="AZ211" s="117">
        <f t="shared" si="101"/>
        <v>0</v>
      </c>
      <c r="BA211" s="117">
        <f t="shared" si="102"/>
        <v>0</v>
      </c>
      <c r="BB211" s="117">
        <f t="shared" si="103"/>
        <v>0</v>
      </c>
      <c r="BC211" s="117">
        <f t="shared" si="104"/>
        <v>20.410045454545454</v>
      </c>
      <c r="BD211" s="117">
        <f t="shared" si="105"/>
        <v>0</v>
      </c>
      <c r="BE211" s="107"/>
      <c r="BF211" s="107"/>
      <c r="BG211" s="107"/>
      <c r="BH211" s="107"/>
      <c r="BI211" s="107"/>
      <c r="BJ211" s="107"/>
      <c r="BK211" s="107"/>
      <c r="BL211" s="107"/>
    </row>
    <row r="212" spans="1:64" ht="12.75" customHeight="1" x14ac:dyDescent="0.2">
      <c r="A212" s="378"/>
      <c r="B212" s="378"/>
      <c r="C212" s="111" t="s">
        <v>282</v>
      </c>
      <c r="D212" s="380"/>
      <c r="E212" s="111"/>
      <c r="F212" s="111"/>
      <c r="G212" s="111"/>
      <c r="H212" s="111"/>
      <c r="I212" s="111"/>
      <c r="J212" s="111"/>
      <c r="K212" s="111"/>
      <c r="L212" s="111"/>
      <c r="M212" s="111"/>
      <c r="N212" s="111"/>
      <c r="O212" s="111"/>
      <c r="P212" s="111"/>
      <c r="Q212" s="111"/>
      <c r="R212" s="111"/>
      <c r="S212" s="111"/>
      <c r="T212" s="111"/>
      <c r="U212" s="111"/>
      <c r="V212" s="111"/>
      <c r="W212" s="111"/>
      <c r="X212" s="111"/>
      <c r="Y212" s="111"/>
      <c r="Z212" s="111"/>
      <c r="AA212" s="111"/>
      <c r="AB212" s="111">
        <v>31.57</v>
      </c>
      <c r="AC212" s="113" t="s">
        <v>281</v>
      </c>
      <c r="AD212" s="114">
        <f t="shared" si="85"/>
        <v>4.33</v>
      </c>
      <c r="AE212" s="115">
        <f>'1. SA ABA DE CARREGAMENTO'!B90</f>
        <v>22</v>
      </c>
      <c r="AF212" s="380"/>
      <c r="AG212" s="117">
        <f t="shared" si="86"/>
        <v>0</v>
      </c>
      <c r="AH212" s="117">
        <f t="shared" si="87"/>
        <v>0</v>
      </c>
      <c r="AI212" s="117">
        <f t="shared" si="88"/>
        <v>0</v>
      </c>
      <c r="AJ212" s="117">
        <f t="shared" si="89"/>
        <v>0</v>
      </c>
      <c r="AK212" s="117">
        <f t="shared" si="90"/>
        <v>0</v>
      </c>
      <c r="AL212" s="117">
        <f t="shared" si="81"/>
        <v>0</v>
      </c>
      <c r="AM212" s="117">
        <f t="shared" si="82"/>
        <v>0</v>
      </c>
      <c r="AN212" s="117">
        <f t="shared" si="91"/>
        <v>0</v>
      </c>
      <c r="AO212" s="117">
        <f t="shared" si="92"/>
        <v>0</v>
      </c>
      <c r="AP212" s="117">
        <f t="shared" si="83"/>
        <v>0</v>
      </c>
      <c r="AQ212" s="117">
        <f t="shared" si="84"/>
        <v>0</v>
      </c>
      <c r="AR212" s="117">
        <f t="shared" si="93"/>
        <v>0</v>
      </c>
      <c r="AS212" s="117">
        <f t="shared" si="94"/>
        <v>0</v>
      </c>
      <c r="AT212" s="117">
        <f t="shared" si="95"/>
        <v>0</v>
      </c>
      <c r="AU212" s="117">
        <f t="shared" si="96"/>
        <v>0</v>
      </c>
      <c r="AV212" s="117">
        <f t="shared" si="97"/>
        <v>0</v>
      </c>
      <c r="AW212" s="117">
        <f t="shared" si="98"/>
        <v>0</v>
      </c>
      <c r="AX212" s="117">
        <f t="shared" si="99"/>
        <v>0</v>
      </c>
      <c r="AY212" s="117">
        <f t="shared" si="100"/>
        <v>0</v>
      </c>
      <c r="AZ212" s="117">
        <f t="shared" si="101"/>
        <v>0</v>
      </c>
      <c r="BA212" s="117">
        <f t="shared" si="102"/>
        <v>0</v>
      </c>
      <c r="BB212" s="117">
        <f t="shared" si="103"/>
        <v>0</v>
      </c>
      <c r="BC212" s="117">
        <f t="shared" si="104"/>
        <v>0</v>
      </c>
      <c r="BD212" s="117">
        <f t="shared" si="105"/>
        <v>6.2135500000000006</v>
      </c>
      <c r="BE212" s="107"/>
      <c r="BF212" s="107"/>
      <c r="BG212" s="107"/>
      <c r="BH212" s="107"/>
      <c r="BI212" s="107"/>
      <c r="BJ212" s="107"/>
      <c r="BK212" s="107"/>
      <c r="BL212" s="107"/>
    </row>
    <row r="213" spans="1:64" ht="37.5" customHeight="1" x14ac:dyDescent="0.2">
      <c r="A213" s="108">
        <v>17</v>
      </c>
      <c r="B213" s="106" t="s">
        <v>427</v>
      </c>
      <c r="C213" s="106" t="s">
        <v>428</v>
      </c>
      <c r="D213" s="109">
        <f>SUM(E213:AB213)</f>
        <v>195.7</v>
      </c>
      <c r="E213" s="106"/>
      <c r="F213" s="106"/>
      <c r="G213" s="106"/>
      <c r="H213" s="106"/>
      <c r="I213" s="106"/>
      <c r="J213" s="106"/>
      <c r="K213" s="106"/>
      <c r="L213" s="106"/>
      <c r="M213" s="106">
        <v>195.7</v>
      </c>
      <c r="N213" s="106"/>
      <c r="O213" s="106"/>
      <c r="P213" s="106"/>
      <c r="Q213" s="106"/>
      <c r="R213" s="106"/>
      <c r="S213" s="106"/>
      <c r="T213" s="106"/>
      <c r="U213" s="106"/>
      <c r="V213" s="106"/>
      <c r="W213" s="106"/>
      <c r="X213" s="106"/>
      <c r="Y213" s="106"/>
      <c r="Z213" s="106"/>
      <c r="AA213" s="106"/>
      <c r="AB213" s="106"/>
      <c r="AC213" s="106" t="s">
        <v>429</v>
      </c>
      <c r="AD213" s="110">
        <f t="shared" si="85"/>
        <v>2</v>
      </c>
      <c r="AE213" s="108">
        <f>'1. SA ABA DE CARREGAMENTO'!B90</f>
        <v>22</v>
      </c>
      <c r="AF213" s="109">
        <f>SUM(AG213:BD213)</f>
        <v>17.790909090909089</v>
      </c>
      <c r="AG213" s="109">
        <f t="shared" si="86"/>
        <v>0</v>
      </c>
      <c r="AH213" s="109">
        <f t="shared" si="87"/>
        <v>0</v>
      </c>
      <c r="AI213" s="109">
        <f t="shared" si="88"/>
        <v>0</v>
      </c>
      <c r="AJ213" s="109">
        <f t="shared" si="89"/>
        <v>0</v>
      </c>
      <c r="AK213" s="109">
        <f t="shared" si="90"/>
        <v>0</v>
      </c>
      <c r="AL213" s="109">
        <f t="shared" si="81"/>
        <v>0</v>
      </c>
      <c r="AM213" s="109">
        <f t="shared" si="82"/>
        <v>0</v>
      </c>
      <c r="AN213" s="109">
        <f t="shared" si="91"/>
        <v>0</v>
      </c>
      <c r="AO213" s="109">
        <f t="shared" si="92"/>
        <v>17.790909090909089</v>
      </c>
      <c r="AP213" s="109">
        <f t="shared" si="83"/>
        <v>0</v>
      </c>
      <c r="AQ213" s="109">
        <f t="shared" si="84"/>
        <v>0</v>
      </c>
      <c r="AR213" s="109">
        <f t="shared" si="93"/>
        <v>0</v>
      </c>
      <c r="AS213" s="109">
        <f t="shared" si="94"/>
        <v>0</v>
      </c>
      <c r="AT213" s="109">
        <f t="shared" si="95"/>
        <v>0</v>
      </c>
      <c r="AU213" s="109">
        <f t="shared" si="96"/>
        <v>0</v>
      </c>
      <c r="AV213" s="109">
        <f t="shared" si="97"/>
        <v>0</v>
      </c>
      <c r="AW213" s="109">
        <f t="shared" si="98"/>
        <v>0</v>
      </c>
      <c r="AX213" s="109">
        <f t="shared" si="99"/>
        <v>0</v>
      </c>
      <c r="AY213" s="109">
        <f t="shared" si="100"/>
        <v>0</v>
      </c>
      <c r="AZ213" s="109">
        <f t="shared" si="101"/>
        <v>0</v>
      </c>
      <c r="BA213" s="109">
        <f t="shared" si="102"/>
        <v>0</v>
      </c>
      <c r="BB213" s="109">
        <f t="shared" si="103"/>
        <v>0</v>
      </c>
      <c r="BC213" s="109">
        <f t="shared" si="104"/>
        <v>0</v>
      </c>
      <c r="BD213" s="109">
        <f t="shared" si="105"/>
        <v>0</v>
      </c>
      <c r="BE213" s="107"/>
      <c r="BF213" s="107"/>
      <c r="BG213" s="107"/>
      <c r="BH213" s="107"/>
      <c r="BI213" s="107"/>
      <c r="BJ213" s="107"/>
      <c r="BK213" s="107"/>
      <c r="BL213" s="107"/>
    </row>
    <row r="214" spans="1:64" ht="12.75" customHeight="1" x14ac:dyDescent="0.2">
      <c r="A214" s="378">
        <v>18</v>
      </c>
      <c r="B214" s="379" t="s">
        <v>430</v>
      </c>
      <c r="C214" s="111" t="s">
        <v>361</v>
      </c>
      <c r="D214" s="380">
        <f>SUM(E214:AB221)</f>
        <v>427.67999999999995</v>
      </c>
      <c r="E214" s="111"/>
      <c r="F214" s="111"/>
      <c r="G214" s="111"/>
      <c r="H214" s="111">
        <v>49.24</v>
      </c>
      <c r="I214" s="111"/>
      <c r="J214" s="111"/>
      <c r="K214" s="111"/>
      <c r="L214" s="111"/>
      <c r="M214" s="111"/>
      <c r="N214" s="111"/>
      <c r="O214" s="111"/>
      <c r="P214" s="111"/>
      <c r="Q214" s="111"/>
      <c r="R214" s="111"/>
      <c r="S214" s="111"/>
      <c r="T214" s="111"/>
      <c r="U214" s="111"/>
      <c r="V214" s="111"/>
      <c r="W214" s="111"/>
      <c r="X214" s="111"/>
      <c r="Y214" s="111"/>
      <c r="Z214" s="111"/>
      <c r="AA214" s="111"/>
      <c r="AB214" s="111"/>
      <c r="AC214" s="113" t="s">
        <v>281</v>
      </c>
      <c r="AD214" s="114">
        <f t="shared" si="85"/>
        <v>4.33</v>
      </c>
      <c r="AE214" s="115">
        <f>'1. SA ABA DE CARREGAMENTO'!B90</f>
        <v>22</v>
      </c>
      <c r="AF214" s="380">
        <f>SUM(AG214:BD221)</f>
        <v>71.922109090909089</v>
      </c>
      <c r="AG214" s="117">
        <f t="shared" si="86"/>
        <v>0</v>
      </c>
      <c r="AH214" s="117">
        <f t="shared" si="87"/>
        <v>0</v>
      </c>
      <c r="AI214" s="117">
        <f t="shared" si="88"/>
        <v>0</v>
      </c>
      <c r="AJ214" s="117">
        <f t="shared" si="89"/>
        <v>9.691327272727273</v>
      </c>
      <c r="AK214" s="117">
        <f t="shared" si="90"/>
        <v>0</v>
      </c>
      <c r="AL214" s="117">
        <f t="shared" si="81"/>
        <v>0</v>
      </c>
      <c r="AM214" s="117">
        <f t="shared" si="82"/>
        <v>0</v>
      </c>
      <c r="AN214" s="117">
        <f t="shared" si="91"/>
        <v>0</v>
      </c>
      <c r="AO214" s="117">
        <f t="shared" si="92"/>
        <v>0</v>
      </c>
      <c r="AP214" s="117">
        <f t="shared" si="83"/>
        <v>0</v>
      </c>
      <c r="AQ214" s="117">
        <f t="shared" si="84"/>
        <v>0</v>
      </c>
      <c r="AR214" s="117">
        <f t="shared" si="93"/>
        <v>0</v>
      </c>
      <c r="AS214" s="117">
        <f t="shared" si="94"/>
        <v>0</v>
      </c>
      <c r="AT214" s="117">
        <f t="shared" si="95"/>
        <v>0</v>
      </c>
      <c r="AU214" s="117">
        <f t="shared" si="96"/>
        <v>0</v>
      </c>
      <c r="AV214" s="117">
        <f t="shared" si="97"/>
        <v>0</v>
      </c>
      <c r="AW214" s="117">
        <f t="shared" si="98"/>
        <v>0</v>
      </c>
      <c r="AX214" s="117">
        <f t="shared" si="99"/>
        <v>0</v>
      </c>
      <c r="AY214" s="117">
        <f t="shared" si="100"/>
        <v>0</v>
      </c>
      <c r="AZ214" s="117">
        <f t="shared" si="101"/>
        <v>0</v>
      </c>
      <c r="BA214" s="117">
        <f t="shared" si="102"/>
        <v>0</v>
      </c>
      <c r="BB214" s="117">
        <f t="shared" si="103"/>
        <v>0</v>
      </c>
      <c r="BC214" s="117">
        <f t="shared" si="104"/>
        <v>0</v>
      </c>
      <c r="BD214" s="117">
        <f t="shared" si="105"/>
        <v>0</v>
      </c>
      <c r="BE214" s="107"/>
      <c r="BF214" s="107"/>
      <c r="BG214" s="107"/>
      <c r="BH214" s="107"/>
      <c r="BI214" s="107"/>
      <c r="BJ214" s="107"/>
      <c r="BK214" s="107"/>
      <c r="BL214" s="107"/>
    </row>
    <row r="215" spans="1:64" ht="12.75" customHeight="1" x14ac:dyDescent="0.2">
      <c r="A215" s="378"/>
      <c r="B215" s="378"/>
      <c r="C215" s="111" t="s">
        <v>361</v>
      </c>
      <c r="D215" s="380"/>
      <c r="E215" s="111"/>
      <c r="F215" s="111"/>
      <c r="G215" s="111"/>
      <c r="H215" s="111">
        <v>49.24</v>
      </c>
      <c r="I215" s="111"/>
      <c r="J215" s="111"/>
      <c r="K215" s="111"/>
      <c r="L215" s="111"/>
      <c r="M215" s="111"/>
      <c r="N215" s="111"/>
      <c r="O215" s="111"/>
      <c r="P215" s="111"/>
      <c r="Q215" s="111"/>
      <c r="R215" s="111"/>
      <c r="S215" s="111"/>
      <c r="T215" s="111"/>
      <c r="U215" s="111"/>
      <c r="V215" s="111"/>
      <c r="W215" s="111"/>
      <c r="X215" s="111"/>
      <c r="Y215" s="111"/>
      <c r="Z215" s="111"/>
      <c r="AA215" s="111"/>
      <c r="AB215" s="111"/>
      <c r="AC215" s="113" t="s">
        <v>281</v>
      </c>
      <c r="AD215" s="114">
        <f t="shared" si="85"/>
        <v>4.33</v>
      </c>
      <c r="AE215" s="115">
        <f>'1. SA ABA DE CARREGAMENTO'!B90</f>
        <v>22</v>
      </c>
      <c r="AF215" s="380"/>
      <c r="AG215" s="117">
        <f t="shared" si="86"/>
        <v>0</v>
      </c>
      <c r="AH215" s="117">
        <f t="shared" si="87"/>
        <v>0</v>
      </c>
      <c r="AI215" s="117">
        <f t="shared" si="88"/>
        <v>0</v>
      </c>
      <c r="AJ215" s="117">
        <f t="shared" si="89"/>
        <v>9.691327272727273</v>
      </c>
      <c r="AK215" s="117">
        <f t="shared" si="90"/>
        <v>0</v>
      </c>
      <c r="AL215" s="117">
        <f t="shared" si="81"/>
        <v>0</v>
      </c>
      <c r="AM215" s="117">
        <f t="shared" si="82"/>
        <v>0</v>
      </c>
      <c r="AN215" s="117">
        <f t="shared" si="91"/>
        <v>0</v>
      </c>
      <c r="AO215" s="117">
        <f t="shared" si="92"/>
        <v>0</v>
      </c>
      <c r="AP215" s="117">
        <f t="shared" si="83"/>
        <v>0</v>
      </c>
      <c r="AQ215" s="117">
        <f t="shared" si="84"/>
        <v>0</v>
      </c>
      <c r="AR215" s="117">
        <f t="shared" si="93"/>
        <v>0</v>
      </c>
      <c r="AS215" s="117">
        <f t="shared" si="94"/>
        <v>0</v>
      </c>
      <c r="AT215" s="117">
        <f t="shared" si="95"/>
        <v>0</v>
      </c>
      <c r="AU215" s="117">
        <f t="shared" si="96"/>
        <v>0</v>
      </c>
      <c r="AV215" s="117">
        <f t="shared" si="97"/>
        <v>0</v>
      </c>
      <c r="AW215" s="117">
        <f t="shared" si="98"/>
        <v>0</v>
      </c>
      <c r="AX215" s="117">
        <f t="shared" si="99"/>
        <v>0</v>
      </c>
      <c r="AY215" s="117">
        <f t="shared" si="100"/>
        <v>0</v>
      </c>
      <c r="AZ215" s="117">
        <f t="shared" si="101"/>
        <v>0</v>
      </c>
      <c r="BA215" s="117">
        <f t="shared" si="102"/>
        <v>0</v>
      </c>
      <c r="BB215" s="117">
        <f t="shared" si="103"/>
        <v>0</v>
      </c>
      <c r="BC215" s="117">
        <f t="shared" si="104"/>
        <v>0</v>
      </c>
      <c r="BD215" s="117">
        <f t="shared" si="105"/>
        <v>0</v>
      </c>
      <c r="BE215" s="107"/>
      <c r="BF215" s="107"/>
      <c r="BG215" s="107"/>
      <c r="BH215" s="107"/>
      <c r="BI215" s="107"/>
      <c r="BJ215" s="107"/>
      <c r="BK215" s="107"/>
      <c r="BL215" s="107"/>
    </row>
    <row r="216" spans="1:64" ht="15" x14ac:dyDescent="0.2">
      <c r="A216" s="378"/>
      <c r="B216" s="378"/>
      <c r="C216" s="111" t="s">
        <v>431</v>
      </c>
      <c r="D216" s="380"/>
      <c r="E216" s="111"/>
      <c r="F216" s="111"/>
      <c r="G216" s="111"/>
      <c r="H216" s="111">
        <v>49.24</v>
      </c>
      <c r="I216" s="111"/>
      <c r="J216" s="111"/>
      <c r="K216" s="111"/>
      <c r="L216" s="111"/>
      <c r="M216" s="111"/>
      <c r="N216" s="111"/>
      <c r="O216" s="111"/>
      <c r="P216" s="111">
        <v>0</v>
      </c>
      <c r="Q216" s="111"/>
      <c r="R216" s="111"/>
      <c r="S216" s="111"/>
      <c r="T216" s="111"/>
      <c r="U216" s="111"/>
      <c r="V216" s="111"/>
      <c r="W216" s="111"/>
      <c r="X216" s="111"/>
      <c r="Y216" s="111"/>
      <c r="Z216" s="111"/>
      <c r="AA216" s="111"/>
      <c r="AB216" s="111"/>
      <c r="AC216" s="113" t="s">
        <v>281</v>
      </c>
      <c r="AD216" s="114">
        <f t="shared" si="85"/>
        <v>4.33</v>
      </c>
      <c r="AE216" s="115">
        <f>'1. SA ABA DE CARREGAMENTO'!B90</f>
        <v>22</v>
      </c>
      <c r="AF216" s="380"/>
      <c r="AG216" s="117">
        <f t="shared" si="86"/>
        <v>0</v>
      </c>
      <c r="AH216" s="117">
        <f t="shared" si="87"/>
        <v>0</v>
      </c>
      <c r="AI216" s="117">
        <f t="shared" si="88"/>
        <v>0</v>
      </c>
      <c r="AJ216" s="117">
        <f t="shared" si="89"/>
        <v>9.691327272727273</v>
      </c>
      <c r="AK216" s="117">
        <f t="shared" si="90"/>
        <v>0</v>
      </c>
      <c r="AL216" s="117">
        <f t="shared" si="81"/>
        <v>0</v>
      </c>
      <c r="AM216" s="117">
        <f t="shared" si="82"/>
        <v>0</v>
      </c>
      <c r="AN216" s="117">
        <f t="shared" si="91"/>
        <v>0</v>
      </c>
      <c r="AO216" s="117">
        <f t="shared" si="92"/>
        <v>0</v>
      </c>
      <c r="AP216" s="117">
        <f t="shared" si="83"/>
        <v>0</v>
      </c>
      <c r="AQ216" s="117">
        <f t="shared" si="84"/>
        <v>0</v>
      </c>
      <c r="AR216" s="117">
        <f t="shared" si="93"/>
        <v>0</v>
      </c>
      <c r="AS216" s="117">
        <f t="shared" si="94"/>
        <v>0</v>
      </c>
      <c r="AT216" s="117">
        <f t="shared" si="95"/>
        <v>0</v>
      </c>
      <c r="AU216" s="117">
        <f t="shared" si="96"/>
        <v>0</v>
      </c>
      <c r="AV216" s="117">
        <f t="shared" si="97"/>
        <v>0</v>
      </c>
      <c r="AW216" s="117">
        <f t="shared" si="98"/>
        <v>0</v>
      </c>
      <c r="AX216" s="117">
        <f t="shared" si="99"/>
        <v>0</v>
      </c>
      <c r="AY216" s="117">
        <f t="shared" si="100"/>
        <v>0</v>
      </c>
      <c r="AZ216" s="117">
        <f t="shared" si="101"/>
        <v>0</v>
      </c>
      <c r="BA216" s="117">
        <f t="shared" si="102"/>
        <v>0</v>
      </c>
      <c r="BB216" s="117">
        <f t="shared" si="103"/>
        <v>0</v>
      </c>
      <c r="BC216" s="117">
        <f t="shared" si="104"/>
        <v>0</v>
      </c>
      <c r="BD216" s="117">
        <f t="shared" si="105"/>
        <v>0</v>
      </c>
      <c r="BE216" s="107"/>
      <c r="BF216" s="107"/>
      <c r="BG216" s="107"/>
      <c r="BH216" s="107"/>
      <c r="BI216" s="107"/>
      <c r="BJ216" s="107"/>
      <c r="BK216" s="107"/>
      <c r="BL216" s="107"/>
    </row>
    <row r="217" spans="1:64" ht="15" x14ac:dyDescent="0.2">
      <c r="A217" s="378"/>
      <c r="B217" s="378"/>
      <c r="C217" s="111" t="s">
        <v>361</v>
      </c>
      <c r="D217" s="380"/>
      <c r="E217" s="111"/>
      <c r="F217" s="111"/>
      <c r="G217" s="111"/>
      <c r="H217" s="111">
        <v>16.95</v>
      </c>
      <c r="I217" s="111"/>
      <c r="J217" s="111"/>
      <c r="K217" s="111"/>
      <c r="L217" s="111"/>
      <c r="M217" s="111"/>
      <c r="N217" s="111"/>
      <c r="O217" s="111"/>
      <c r="P217" s="111"/>
      <c r="Q217" s="111"/>
      <c r="R217" s="111"/>
      <c r="S217" s="111"/>
      <c r="T217" s="111"/>
      <c r="U217" s="111"/>
      <c r="V217" s="111"/>
      <c r="W217" s="111"/>
      <c r="X217" s="111"/>
      <c r="Y217" s="111"/>
      <c r="Z217" s="111"/>
      <c r="AA217" s="111"/>
      <c r="AB217" s="111"/>
      <c r="AC217" s="113" t="s">
        <v>281</v>
      </c>
      <c r="AD217" s="114">
        <f t="shared" si="85"/>
        <v>4.33</v>
      </c>
      <c r="AE217" s="115">
        <f>'1. SA ABA DE CARREGAMENTO'!B90</f>
        <v>22</v>
      </c>
      <c r="AF217" s="380"/>
      <c r="AG217" s="117">
        <f t="shared" si="86"/>
        <v>0</v>
      </c>
      <c r="AH217" s="117">
        <f t="shared" si="87"/>
        <v>0</v>
      </c>
      <c r="AI217" s="117">
        <f t="shared" si="88"/>
        <v>0</v>
      </c>
      <c r="AJ217" s="117">
        <f t="shared" si="89"/>
        <v>3.3360681818181819</v>
      </c>
      <c r="AK217" s="117">
        <f t="shared" si="90"/>
        <v>0</v>
      </c>
      <c r="AL217" s="117">
        <f t="shared" si="81"/>
        <v>0</v>
      </c>
      <c r="AM217" s="117">
        <f t="shared" si="82"/>
        <v>0</v>
      </c>
      <c r="AN217" s="117">
        <f t="shared" si="91"/>
        <v>0</v>
      </c>
      <c r="AO217" s="117">
        <f t="shared" si="92"/>
        <v>0</v>
      </c>
      <c r="AP217" s="117">
        <f t="shared" si="83"/>
        <v>0</v>
      </c>
      <c r="AQ217" s="117">
        <f t="shared" si="84"/>
        <v>0</v>
      </c>
      <c r="AR217" s="117">
        <f t="shared" si="93"/>
        <v>0</v>
      </c>
      <c r="AS217" s="117">
        <f t="shared" si="94"/>
        <v>0</v>
      </c>
      <c r="AT217" s="117">
        <f t="shared" si="95"/>
        <v>0</v>
      </c>
      <c r="AU217" s="117">
        <f t="shared" si="96"/>
        <v>0</v>
      </c>
      <c r="AV217" s="117">
        <f t="shared" si="97"/>
        <v>0</v>
      </c>
      <c r="AW217" s="117">
        <f t="shared" si="98"/>
        <v>0</v>
      </c>
      <c r="AX217" s="117">
        <f t="shared" si="99"/>
        <v>0</v>
      </c>
      <c r="AY217" s="117">
        <f t="shared" si="100"/>
        <v>0</v>
      </c>
      <c r="AZ217" s="117">
        <f t="shared" si="101"/>
        <v>0</v>
      </c>
      <c r="BA217" s="117">
        <f t="shared" si="102"/>
        <v>0</v>
      </c>
      <c r="BB217" s="117">
        <f t="shared" si="103"/>
        <v>0</v>
      </c>
      <c r="BC217" s="117">
        <f t="shared" si="104"/>
        <v>0</v>
      </c>
      <c r="BD217" s="117">
        <f t="shared" si="105"/>
        <v>0</v>
      </c>
      <c r="BE217" s="107"/>
      <c r="BF217" s="107"/>
      <c r="BG217" s="107"/>
      <c r="BH217" s="107"/>
      <c r="BI217" s="107"/>
      <c r="BJ217" s="107"/>
      <c r="BK217" s="107"/>
      <c r="BL217" s="107"/>
    </row>
    <row r="218" spans="1:64" ht="15" x14ac:dyDescent="0.2">
      <c r="A218" s="378"/>
      <c r="B218" s="378"/>
      <c r="C218" s="111" t="s">
        <v>432</v>
      </c>
      <c r="D218" s="380"/>
      <c r="E218" s="111"/>
      <c r="F218" s="111"/>
      <c r="G218" s="111"/>
      <c r="H218" s="111"/>
      <c r="I218" s="111">
        <v>31.65</v>
      </c>
      <c r="J218" s="111"/>
      <c r="K218" s="111"/>
      <c r="L218" s="111"/>
      <c r="M218" s="111"/>
      <c r="N218" s="111"/>
      <c r="O218" s="111"/>
      <c r="P218" s="111"/>
      <c r="Q218" s="111"/>
      <c r="R218" s="111"/>
      <c r="S218" s="111"/>
      <c r="T218" s="111"/>
      <c r="U218" s="111"/>
      <c r="V218" s="111"/>
      <c r="W218" s="111"/>
      <c r="X218" s="111"/>
      <c r="Y218" s="111"/>
      <c r="Z218" s="111"/>
      <c r="AA218" s="111"/>
      <c r="AB218" s="111"/>
      <c r="AC218" s="113" t="s">
        <v>281</v>
      </c>
      <c r="AD218" s="114">
        <f t="shared" si="85"/>
        <v>4.33</v>
      </c>
      <c r="AE218" s="115">
        <f>'1. SA ABA DE CARREGAMENTO'!B90</f>
        <v>22</v>
      </c>
      <c r="AF218" s="380"/>
      <c r="AG218" s="117">
        <f t="shared" si="86"/>
        <v>0</v>
      </c>
      <c r="AH218" s="117">
        <f t="shared" si="87"/>
        <v>0</v>
      </c>
      <c r="AI218" s="117">
        <f t="shared" si="88"/>
        <v>0</v>
      </c>
      <c r="AJ218" s="117">
        <f t="shared" si="89"/>
        <v>0</v>
      </c>
      <c r="AK218" s="117">
        <f t="shared" si="90"/>
        <v>6.2292954545454542</v>
      </c>
      <c r="AL218" s="117">
        <f t="shared" si="81"/>
        <v>0</v>
      </c>
      <c r="AM218" s="117">
        <f t="shared" si="82"/>
        <v>0</v>
      </c>
      <c r="AN218" s="117">
        <f t="shared" si="91"/>
        <v>0</v>
      </c>
      <c r="AO218" s="117">
        <f t="shared" si="92"/>
        <v>0</v>
      </c>
      <c r="AP218" s="117">
        <f t="shared" si="83"/>
        <v>0</v>
      </c>
      <c r="AQ218" s="117">
        <f t="shared" si="84"/>
        <v>0</v>
      </c>
      <c r="AR218" s="117">
        <f t="shared" si="93"/>
        <v>0</v>
      </c>
      <c r="AS218" s="117">
        <f t="shared" si="94"/>
        <v>0</v>
      </c>
      <c r="AT218" s="117">
        <f t="shared" si="95"/>
        <v>0</v>
      </c>
      <c r="AU218" s="117">
        <f t="shared" si="96"/>
        <v>0</v>
      </c>
      <c r="AV218" s="117">
        <f t="shared" si="97"/>
        <v>0</v>
      </c>
      <c r="AW218" s="117">
        <f t="shared" si="98"/>
        <v>0</v>
      </c>
      <c r="AX218" s="117">
        <f t="shared" si="99"/>
        <v>0</v>
      </c>
      <c r="AY218" s="117">
        <f t="shared" si="100"/>
        <v>0</v>
      </c>
      <c r="AZ218" s="117">
        <f t="shared" si="101"/>
        <v>0</v>
      </c>
      <c r="BA218" s="117">
        <f t="shared" si="102"/>
        <v>0</v>
      </c>
      <c r="BB218" s="117">
        <f t="shared" si="103"/>
        <v>0</v>
      </c>
      <c r="BC218" s="117">
        <f t="shared" si="104"/>
        <v>0</v>
      </c>
      <c r="BD218" s="117">
        <f t="shared" si="105"/>
        <v>0</v>
      </c>
      <c r="BE218" s="107"/>
      <c r="BF218" s="107"/>
      <c r="BG218" s="107"/>
      <c r="BH218" s="107"/>
      <c r="BI218" s="107"/>
      <c r="BJ218" s="107"/>
      <c r="BK218" s="107"/>
      <c r="BL218" s="107"/>
    </row>
    <row r="219" spans="1:64" ht="15" x14ac:dyDescent="0.2">
      <c r="A219" s="378"/>
      <c r="B219" s="378"/>
      <c r="C219" s="111" t="s">
        <v>433</v>
      </c>
      <c r="D219" s="380"/>
      <c r="E219" s="111"/>
      <c r="F219" s="111"/>
      <c r="G219" s="111"/>
      <c r="H219" s="111"/>
      <c r="I219" s="111"/>
      <c r="J219" s="111"/>
      <c r="K219" s="111"/>
      <c r="L219" s="111"/>
      <c r="M219" s="111">
        <v>166.56</v>
      </c>
      <c r="N219" s="111"/>
      <c r="O219" s="111"/>
      <c r="P219" s="111"/>
      <c r="Q219" s="111"/>
      <c r="R219" s="111"/>
      <c r="S219" s="111"/>
      <c r="T219" s="111"/>
      <c r="U219" s="111"/>
      <c r="V219" s="111"/>
      <c r="W219" s="111"/>
      <c r="X219" s="111"/>
      <c r="Y219" s="111"/>
      <c r="Z219" s="111"/>
      <c r="AA219" s="111"/>
      <c r="AB219" s="111"/>
      <c r="AC219" s="113" t="s">
        <v>281</v>
      </c>
      <c r="AD219" s="114">
        <f t="shared" si="85"/>
        <v>4.33</v>
      </c>
      <c r="AE219" s="115">
        <f>'1. SA ABA DE CARREGAMENTO'!B90</f>
        <v>22</v>
      </c>
      <c r="AF219" s="380"/>
      <c r="AG219" s="117">
        <f t="shared" si="86"/>
        <v>0</v>
      </c>
      <c r="AH219" s="117">
        <f t="shared" si="87"/>
        <v>0</v>
      </c>
      <c r="AI219" s="117">
        <f t="shared" si="88"/>
        <v>0</v>
      </c>
      <c r="AJ219" s="117">
        <f t="shared" si="89"/>
        <v>0</v>
      </c>
      <c r="AK219" s="117">
        <f t="shared" si="90"/>
        <v>0</v>
      </c>
      <c r="AL219" s="117">
        <f t="shared" si="81"/>
        <v>0</v>
      </c>
      <c r="AM219" s="117">
        <f t="shared" si="82"/>
        <v>0</v>
      </c>
      <c r="AN219" s="117">
        <f t="shared" si="91"/>
        <v>0</v>
      </c>
      <c r="AO219" s="117">
        <f t="shared" si="92"/>
        <v>32.782036363636365</v>
      </c>
      <c r="AP219" s="117">
        <f t="shared" si="83"/>
        <v>0</v>
      </c>
      <c r="AQ219" s="117">
        <f t="shared" si="84"/>
        <v>0</v>
      </c>
      <c r="AR219" s="117">
        <f t="shared" si="93"/>
        <v>0</v>
      </c>
      <c r="AS219" s="117">
        <f t="shared" si="94"/>
        <v>0</v>
      </c>
      <c r="AT219" s="117">
        <f t="shared" si="95"/>
        <v>0</v>
      </c>
      <c r="AU219" s="117">
        <f t="shared" si="96"/>
        <v>0</v>
      </c>
      <c r="AV219" s="117">
        <f t="shared" si="97"/>
        <v>0</v>
      </c>
      <c r="AW219" s="117">
        <f t="shared" si="98"/>
        <v>0</v>
      </c>
      <c r="AX219" s="117">
        <f t="shared" si="99"/>
        <v>0</v>
      </c>
      <c r="AY219" s="117">
        <f t="shared" si="100"/>
        <v>0</v>
      </c>
      <c r="AZ219" s="117">
        <f t="shared" si="101"/>
        <v>0</v>
      </c>
      <c r="BA219" s="117">
        <f t="shared" si="102"/>
        <v>0</v>
      </c>
      <c r="BB219" s="117">
        <f t="shared" si="103"/>
        <v>0</v>
      </c>
      <c r="BC219" s="117">
        <f t="shared" si="104"/>
        <v>0</v>
      </c>
      <c r="BD219" s="117">
        <f t="shared" si="105"/>
        <v>0</v>
      </c>
      <c r="BE219" s="107"/>
      <c r="BF219" s="107"/>
      <c r="BG219" s="107"/>
      <c r="BH219" s="107"/>
      <c r="BI219" s="107"/>
      <c r="BJ219" s="107"/>
      <c r="BK219" s="107"/>
      <c r="BL219" s="107"/>
    </row>
    <row r="220" spans="1:64" ht="12.75" customHeight="1" x14ac:dyDescent="0.2">
      <c r="A220" s="378"/>
      <c r="B220" s="378"/>
      <c r="C220" s="111" t="s">
        <v>274</v>
      </c>
      <c r="D220" s="380"/>
      <c r="E220" s="111"/>
      <c r="F220" s="111"/>
      <c r="G220" s="111"/>
      <c r="H220" s="111"/>
      <c r="I220" s="111"/>
      <c r="J220" s="111"/>
      <c r="K220" s="111"/>
      <c r="L220" s="111"/>
      <c r="M220" s="111"/>
      <c r="N220" s="111"/>
      <c r="O220" s="111"/>
      <c r="P220" s="111"/>
      <c r="Q220" s="111"/>
      <c r="R220" s="111"/>
      <c r="S220" s="111"/>
      <c r="T220" s="111"/>
      <c r="U220" s="111"/>
      <c r="V220" s="111">
        <v>32.4</v>
      </c>
      <c r="W220" s="111"/>
      <c r="X220" s="111"/>
      <c r="Y220" s="111"/>
      <c r="Z220" s="111"/>
      <c r="AA220" s="111"/>
      <c r="AB220" s="111"/>
      <c r="AC220" s="113" t="s">
        <v>275</v>
      </c>
      <c r="AD220" s="114">
        <f t="shared" si="85"/>
        <v>0.17</v>
      </c>
      <c r="AE220" s="115">
        <f>'1. SA ABA DE CARREGAMENTO'!B90</f>
        <v>22</v>
      </c>
      <c r="AF220" s="380"/>
      <c r="AG220" s="117">
        <f t="shared" si="86"/>
        <v>0</v>
      </c>
      <c r="AH220" s="117">
        <f t="shared" si="87"/>
        <v>0</v>
      </c>
      <c r="AI220" s="117">
        <f t="shared" si="88"/>
        <v>0</v>
      </c>
      <c r="AJ220" s="117">
        <f t="shared" si="89"/>
        <v>0</v>
      </c>
      <c r="AK220" s="117">
        <f t="shared" si="90"/>
        <v>0</v>
      </c>
      <c r="AL220" s="117">
        <f t="shared" si="81"/>
        <v>0</v>
      </c>
      <c r="AM220" s="117">
        <f t="shared" si="82"/>
        <v>0</v>
      </c>
      <c r="AN220" s="117">
        <f t="shared" si="91"/>
        <v>0</v>
      </c>
      <c r="AO220" s="117">
        <f t="shared" si="92"/>
        <v>0</v>
      </c>
      <c r="AP220" s="117">
        <f t="shared" si="83"/>
        <v>0</v>
      </c>
      <c r="AQ220" s="117">
        <f t="shared" si="84"/>
        <v>0</v>
      </c>
      <c r="AR220" s="117">
        <f t="shared" si="93"/>
        <v>0</v>
      </c>
      <c r="AS220" s="117">
        <f t="shared" si="94"/>
        <v>0</v>
      </c>
      <c r="AT220" s="117">
        <f t="shared" si="95"/>
        <v>0</v>
      </c>
      <c r="AU220" s="117">
        <f t="shared" si="96"/>
        <v>0</v>
      </c>
      <c r="AV220" s="117">
        <f t="shared" si="97"/>
        <v>0</v>
      </c>
      <c r="AW220" s="117">
        <f t="shared" si="98"/>
        <v>0</v>
      </c>
      <c r="AX220" s="117">
        <f t="shared" si="99"/>
        <v>0.25036363636363634</v>
      </c>
      <c r="AY220" s="117">
        <f t="shared" si="100"/>
        <v>0</v>
      </c>
      <c r="AZ220" s="117">
        <f t="shared" si="101"/>
        <v>0</v>
      </c>
      <c r="BA220" s="117">
        <f t="shared" si="102"/>
        <v>0</v>
      </c>
      <c r="BB220" s="117">
        <f t="shared" si="103"/>
        <v>0</v>
      </c>
      <c r="BC220" s="117">
        <f t="shared" si="104"/>
        <v>0</v>
      </c>
      <c r="BD220" s="117">
        <f t="shared" si="105"/>
        <v>0</v>
      </c>
      <c r="BE220" s="107"/>
      <c r="BF220" s="107"/>
      <c r="BG220" s="107"/>
      <c r="BH220" s="107"/>
      <c r="BI220" s="107"/>
      <c r="BJ220" s="107"/>
      <c r="BK220" s="107"/>
      <c r="BL220" s="107"/>
    </row>
    <row r="221" spans="1:64" ht="12.75" customHeight="1" x14ac:dyDescent="0.2">
      <c r="A221" s="378"/>
      <c r="B221" s="378"/>
      <c r="C221" s="111" t="s">
        <v>276</v>
      </c>
      <c r="D221" s="380"/>
      <c r="E221" s="111"/>
      <c r="F221" s="111"/>
      <c r="G221" s="111"/>
      <c r="H221" s="111"/>
      <c r="I221" s="111"/>
      <c r="J221" s="111"/>
      <c r="K221" s="111"/>
      <c r="L221" s="111"/>
      <c r="M221" s="111"/>
      <c r="N221" s="111"/>
      <c r="O221" s="111"/>
      <c r="P221" s="111"/>
      <c r="Q221" s="111"/>
      <c r="R221" s="111"/>
      <c r="S221" s="111"/>
      <c r="T221" s="111"/>
      <c r="U221" s="111"/>
      <c r="V221" s="111"/>
      <c r="W221" s="111">
        <v>32.4</v>
      </c>
      <c r="X221" s="111"/>
      <c r="Y221" s="111"/>
      <c r="Z221" s="111"/>
      <c r="AA221" s="111"/>
      <c r="AB221" s="111"/>
      <c r="AC221" s="113" t="s">
        <v>275</v>
      </c>
      <c r="AD221" s="114">
        <f t="shared" si="85"/>
        <v>0.17</v>
      </c>
      <c r="AE221" s="115">
        <f>'1. SA ABA DE CARREGAMENTO'!B90</f>
        <v>22</v>
      </c>
      <c r="AF221" s="380"/>
      <c r="AG221" s="117">
        <f t="shared" si="86"/>
        <v>0</v>
      </c>
      <c r="AH221" s="117">
        <f t="shared" si="87"/>
        <v>0</v>
      </c>
      <c r="AI221" s="117">
        <f t="shared" si="88"/>
        <v>0</v>
      </c>
      <c r="AJ221" s="117">
        <f t="shared" si="89"/>
        <v>0</v>
      </c>
      <c r="AK221" s="117">
        <f t="shared" si="90"/>
        <v>0</v>
      </c>
      <c r="AL221" s="117">
        <f t="shared" si="81"/>
        <v>0</v>
      </c>
      <c r="AM221" s="117">
        <f t="shared" si="82"/>
        <v>0</v>
      </c>
      <c r="AN221" s="117">
        <f t="shared" si="91"/>
        <v>0</v>
      </c>
      <c r="AO221" s="117">
        <f t="shared" si="92"/>
        <v>0</v>
      </c>
      <c r="AP221" s="117">
        <f t="shared" si="83"/>
        <v>0</v>
      </c>
      <c r="AQ221" s="117">
        <f t="shared" si="84"/>
        <v>0</v>
      </c>
      <c r="AR221" s="117">
        <f t="shared" si="93"/>
        <v>0</v>
      </c>
      <c r="AS221" s="117">
        <f t="shared" si="94"/>
        <v>0</v>
      </c>
      <c r="AT221" s="117">
        <f t="shared" si="95"/>
        <v>0</v>
      </c>
      <c r="AU221" s="117">
        <f t="shared" si="96"/>
        <v>0</v>
      </c>
      <c r="AV221" s="117">
        <f t="shared" si="97"/>
        <v>0</v>
      </c>
      <c r="AW221" s="117">
        <f t="shared" si="98"/>
        <v>0</v>
      </c>
      <c r="AX221" s="117">
        <f t="shared" si="99"/>
        <v>0</v>
      </c>
      <c r="AY221" s="117">
        <f t="shared" si="100"/>
        <v>0.25036363636363634</v>
      </c>
      <c r="AZ221" s="117">
        <f t="shared" si="101"/>
        <v>0</v>
      </c>
      <c r="BA221" s="117">
        <f t="shared" si="102"/>
        <v>0</v>
      </c>
      <c r="BB221" s="117">
        <f t="shared" si="103"/>
        <v>0</v>
      </c>
      <c r="BC221" s="117">
        <f t="shared" si="104"/>
        <v>0</v>
      </c>
      <c r="BD221" s="117">
        <f t="shared" si="105"/>
        <v>0</v>
      </c>
      <c r="BE221" s="107"/>
      <c r="BF221" s="107"/>
      <c r="BG221" s="107"/>
      <c r="BH221" s="107"/>
      <c r="BI221" s="107"/>
      <c r="BJ221" s="107"/>
      <c r="BK221" s="107"/>
      <c r="BL221" s="107"/>
    </row>
    <row r="222" spans="1:64" ht="15" customHeight="1" x14ac:dyDescent="0.2">
      <c r="A222" s="376">
        <v>19</v>
      </c>
      <c r="B222" s="375" t="s">
        <v>434</v>
      </c>
      <c r="C222" s="106" t="s">
        <v>361</v>
      </c>
      <c r="D222" s="377">
        <f>SUM(E222:AB225)</f>
        <v>28.64</v>
      </c>
      <c r="E222" s="106"/>
      <c r="F222" s="106"/>
      <c r="G222" s="106"/>
      <c r="H222" s="106">
        <v>12.64</v>
      </c>
      <c r="I222" s="106"/>
      <c r="J222" s="106"/>
      <c r="K222" s="106"/>
      <c r="L222" s="106"/>
      <c r="M222" s="106"/>
      <c r="N222" s="106"/>
      <c r="O222" s="106"/>
      <c r="P222" s="106"/>
      <c r="Q222" s="106"/>
      <c r="R222" s="106"/>
      <c r="S222" s="106"/>
      <c r="T222" s="106"/>
      <c r="U222" s="106"/>
      <c r="V222" s="106"/>
      <c r="W222" s="106"/>
      <c r="X222" s="106"/>
      <c r="Y222" s="106"/>
      <c r="Z222" s="106"/>
      <c r="AA222" s="106"/>
      <c r="AB222" s="106"/>
      <c r="AC222" s="106" t="s">
        <v>429</v>
      </c>
      <c r="AD222" s="110">
        <f t="shared" si="85"/>
        <v>2</v>
      </c>
      <c r="AE222" s="108">
        <f>'1. SA ABA DE CARREGAMENTO'!B90</f>
        <v>22</v>
      </c>
      <c r="AF222" s="377">
        <f>SUM(AG222:BD225)</f>
        <v>2.1045454545454541</v>
      </c>
      <c r="AG222" s="109">
        <f t="shared" si="86"/>
        <v>0</v>
      </c>
      <c r="AH222" s="109">
        <f t="shared" si="87"/>
        <v>0</v>
      </c>
      <c r="AI222" s="109">
        <f t="shared" si="88"/>
        <v>0</v>
      </c>
      <c r="AJ222" s="109">
        <f t="shared" si="89"/>
        <v>1.1490909090909092</v>
      </c>
      <c r="AK222" s="109">
        <f t="shared" si="90"/>
        <v>0</v>
      </c>
      <c r="AL222" s="109">
        <f t="shared" si="81"/>
        <v>0</v>
      </c>
      <c r="AM222" s="109">
        <f t="shared" si="82"/>
        <v>0</v>
      </c>
      <c r="AN222" s="109">
        <f t="shared" si="91"/>
        <v>0</v>
      </c>
      <c r="AO222" s="109">
        <f t="shared" si="92"/>
        <v>0</v>
      </c>
      <c r="AP222" s="109">
        <f t="shared" si="83"/>
        <v>0</v>
      </c>
      <c r="AQ222" s="109">
        <f t="shared" si="84"/>
        <v>0</v>
      </c>
      <c r="AR222" s="109">
        <f t="shared" si="93"/>
        <v>0</v>
      </c>
      <c r="AS222" s="109">
        <f t="shared" si="94"/>
        <v>0</v>
      </c>
      <c r="AT222" s="109">
        <f t="shared" si="95"/>
        <v>0</v>
      </c>
      <c r="AU222" s="109">
        <f t="shared" si="96"/>
        <v>0</v>
      </c>
      <c r="AV222" s="109">
        <f t="shared" si="97"/>
        <v>0</v>
      </c>
      <c r="AW222" s="109">
        <f t="shared" si="98"/>
        <v>0</v>
      </c>
      <c r="AX222" s="109">
        <f t="shared" si="99"/>
        <v>0</v>
      </c>
      <c r="AY222" s="109">
        <f t="shared" si="100"/>
        <v>0</v>
      </c>
      <c r="AZ222" s="109">
        <f t="shared" si="101"/>
        <v>0</v>
      </c>
      <c r="BA222" s="109">
        <f t="shared" si="102"/>
        <v>0</v>
      </c>
      <c r="BB222" s="109">
        <f t="shared" si="103"/>
        <v>0</v>
      </c>
      <c r="BC222" s="109">
        <f t="shared" si="104"/>
        <v>0</v>
      </c>
      <c r="BD222" s="109">
        <f t="shared" si="105"/>
        <v>0</v>
      </c>
      <c r="BE222" s="107"/>
      <c r="BF222" s="107"/>
      <c r="BG222" s="107"/>
      <c r="BH222" s="107"/>
      <c r="BI222" s="107"/>
      <c r="BJ222" s="107"/>
      <c r="BK222" s="107"/>
      <c r="BL222" s="107"/>
    </row>
    <row r="223" spans="1:64" ht="15" x14ac:dyDescent="0.2">
      <c r="A223" s="376"/>
      <c r="B223" s="376"/>
      <c r="C223" s="106" t="s">
        <v>433</v>
      </c>
      <c r="D223" s="377"/>
      <c r="E223" s="106"/>
      <c r="F223" s="106"/>
      <c r="G223" s="106"/>
      <c r="H223" s="106"/>
      <c r="I223" s="106"/>
      <c r="J223" s="106"/>
      <c r="K223" s="106"/>
      <c r="L223" s="106"/>
      <c r="M223" s="106">
        <v>10</v>
      </c>
      <c r="N223" s="106"/>
      <c r="O223" s="106"/>
      <c r="P223" s="106"/>
      <c r="Q223" s="106"/>
      <c r="R223" s="106"/>
      <c r="S223" s="106"/>
      <c r="T223" s="106"/>
      <c r="U223" s="106"/>
      <c r="V223" s="106"/>
      <c r="W223" s="106"/>
      <c r="X223" s="106"/>
      <c r="Y223" s="106"/>
      <c r="Z223" s="106"/>
      <c r="AA223" s="106"/>
      <c r="AB223" s="106"/>
      <c r="AC223" s="106" t="s">
        <v>429</v>
      </c>
      <c r="AD223" s="110">
        <f t="shared" si="85"/>
        <v>2</v>
      </c>
      <c r="AE223" s="108">
        <f>'1. SA ABA DE CARREGAMENTO'!B90</f>
        <v>22</v>
      </c>
      <c r="AF223" s="377"/>
      <c r="AG223" s="109">
        <f t="shared" si="86"/>
        <v>0</v>
      </c>
      <c r="AH223" s="109">
        <f t="shared" si="87"/>
        <v>0</v>
      </c>
      <c r="AI223" s="109">
        <f t="shared" si="88"/>
        <v>0</v>
      </c>
      <c r="AJ223" s="109">
        <f t="shared" si="89"/>
        <v>0</v>
      </c>
      <c r="AK223" s="109">
        <f t="shared" si="90"/>
        <v>0</v>
      </c>
      <c r="AL223" s="109">
        <f t="shared" si="81"/>
        <v>0</v>
      </c>
      <c r="AM223" s="109">
        <f t="shared" si="82"/>
        <v>0</v>
      </c>
      <c r="AN223" s="109">
        <f t="shared" si="91"/>
        <v>0</v>
      </c>
      <c r="AO223" s="109">
        <f t="shared" si="92"/>
        <v>0.90909090909090906</v>
      </c>
      <c r="AP223" s="109">
        <f t="shared" si="83"/>
        <v>0</v>
      </c>
      <c r="AQ223" s="109">
        <f t="shared" si="84"/>
        <v>0</v>
      </c>
      <c r="AR223" s="109">
        <f t="shared" si="93"/>
        <v>0</v>
      </c>
      <c r="AS223" s="109">
        <f t="shared" si="94"/>
        <v>0</v>
      </c>
      <c r="AT223" s="109">
        <f t="shared" si="95"/>
        <v>0</v>
      </c>
      <c r="AU223" s="109">
        <f t="shared" si="96"/>
        <v>0</v>
      </c>
      <c r="AV223" s="109">
        <f t="shared" si="97"/>
        <v>0</v>
      </c>
      <c r="AW223" s="109">
        <f t="shared" si="98"/>
        <v>0</v>
      </c>
      <c r="AX223" s="109">
        <f t="shared" si="99"/>
        <v>0</v>
      </c>
      <c r="AY223" s="109">
        <f t="shared" si="100"/>
        <v>0</v>
      </c>
      <c r="AZ223" s="109">
        <f t="shared" si="101"/>
        <v>0</v>
      </c>
      <c r="BA223" s="109">
        <f t="shared" si="102"/>
        <v>0</v>
      </c>
      <c r="BB223" s="109">
        <f t="shared" si="103"/>
        <v>0</v>
      </c>
      <c r="BC223" s="109">
        <f t="shared" si="104"/>
        <v>0</v>
      </c>
      <c r="BD223" s="109">
        <f t="shared" si="105"/>
        <v>0</v>
      </c>
      <c r="BE223" s="107"/>
      <c r="BF223" s="107"/>
      <c r="BG223" s="107"/>
      <c r="BH223" s="107"/>
      <c r="BI223" s="107"/>
      <c r="BJ223" s="107"/>
      <c r="BK223" s="107"/>
      <c r="BL223" s="107"/>
    </row>
    <row r="224" spans="1:64" ht="12.75" customHeight="1" x14ac:dyDescent="0.2">
      <c r="A224" s="376"/>
      <c r="B224" s="376"/>
      <c r="C224" s="106" t="s">
        <v>274</v>
      </c>
      <c r="D224" s="377"/>
      <c r="E224" s="106"/>
      <c r="F224" s="106"/>
      <c r="G224" s="106"/>
      <c r="H224" s="106"/>
      <c r="I224" s="106"/>
      <c r="J224" s="106"/>
      <c r="K224" s="106"/>
      <c r="L224" s="106"/>
      <c r="M224" s="106"/>
      <c r="N224" s="106"/>
      <c r="O224" s="106"/>
      <c r="P224" s="106"/>
      <c r="Q224" s="106"/>
      <c r="R224" s="106"/>
      <c r="S224" s="106"/>
      <c r="T224" s="106"/>
      <c r="U224" s="106"/>
      <c r="V224" s="106">
        <v>3</v>
      </c>
      <c r="W224" s="106"/>
      <c r="X224" s="106"/>
      <c r="Y224" s="106"/>
      <c r="Z224" s="106"/>
      <c r="AA224" s="106"/>
      <c r="AB224" s="106"/>
      <c r="AC224" s="106" t="s">
        <v>275</v>
      </c>
      <c r="AD224" s="110">
        <f t="shared" si="85"/>
        <v>0.17</v>
      </c>
      <c r="AE224" s="108">
        <f>'1. SA ABA DE CARREGAMENTO'!B90</f>
        <v>22</v>
      </c>
      <c r="AF224" s="377"/>
      <c r="AG224" s="109">
        <f t="shared" si="86"/>
        <v>0</v>
      </c>
      <c r="AH224" s="109">
        <f t="shared" si="87"/>
        <v>0</v>
      </c>
      <c r="AI224" s="109">
        <f t="shared" si="88"/>
        <v>0</v>
      </c>
      <c r="AJ224" s="109">
        <f t="shared" si="89"/>
        <v>0</v>
      </c>
      <c r="AK224" s="109">
        <f t="shared" si="90"/>
        <v>0</v>
      </c>
      <c r="AL224" s="109">
        <f t="shared" si="81"/>
        <v>0</v>
      </c>
      <c r="AM224" s="109">
        <f t="shared" si="82"/>
        <v>0</v>
      </c>
      <c r="AN224" s="109">
        <f t="shared" si="91"/>
        <v>0</v>
      </c>
      <c r="AO224" s="109">
        <f t="shared" si="92"/>
        <v>0</v>
      </c>
      <c r="AP224" s="109">
        <f t="shared" si="83"/>
        <v>0</v>
      </c>
      <c r="AQ224" s="109">
        <f t="shared" si="84"/>
        <v>0</v>
      </c>
      <c r="AR224" s="109">
        <f t="shared" si="93"/>
        <v>0</v>
      </c>
      <c r="AS224" s="109">
        <f t="shared" si="94"/>
        <v>0</v>
      </c>
      <c r="AT224" s="109">
        <f t="shared" si="95"/>
        <v>0</v>
      </c>
      <c r="AU224" s="109">
        <f t="shared" si="96"/>
        <v>0</v>
      </c>
      <c r="AV224" s="109">
        <f t="shared" si="97"/>
        <v>0</v>
      </c>
      <c r="AW224" s="109">
        <f t="shared" si="98"/>
        <v>0</v>
      </c>
      <c r="AX224" s="109">
        <f t="shared" si="99"/>
        <v>2.3181818181818182E-2</v>
      </c>
      <c r="AY224" s="109">
        <f t="shared" si="100"/>
        <v>0</v>
      </c>
      <c r="AZ224" s="109">
        <f t="shared" si="101"/>
        <v>0</v>
      </c>
      <c r="BA224" s="109">
        <f t="shared" si="102"/>
        <v>0</v>
      </c>
      <c r="BB224" s="109">
        <f t="shared" si="103"/>
        <v>0</v>
      </c>
      <c r="BC224" s="109">
        <f t="shared" si="104"/>
        <v>0</v>
      </c>
      <c r="BD224" s="109">
        <f t="shared" si="105"/>
        <v>0</v>
      </c>
      <c r="BE224" s="107"/>
      <c r="BF224" s="107"/>
      <c r="BG224" s="107"/>
      <c r="BH224" s="107"/>
      <c r="BI224" s="107"/>
      <c r="BJ224" s="107"/>
      <c r="BK224" s="107"/>
      <c r="BL224" s="107"/>
    </row>
    <row r="225" spans="1:64" ht="12.75" customHeight="1" x14ac:dyDescent="0.2">
      <c r="A225" s="376"/>
      <c r="B225" s="376"/>
      <c r="C225" s="106" t="s">
        <v>276</v>
      </c>
      <c r="D225" s="377"/>
      <c r="E225" s="106"/>
      <c r="F225" s="106"/>
      <c r="G225" s="106"/>
      <c r="H225" s="106"/>
      <c r="I225" s="106"/>
      <c r="J225" s="106"/>
      <c r="K225" s="106"/>
      <c r="L225" s="106"/>
      <c r="M225" s="106"/>
      <c r="N225" s="106"/>
      <c r="O225" s="106"/>
      <c r="P225" s="106"/>
      <c r="Q225" s="106"/>
      <c r="R225" s="106"/>
      <c r="S225" s="106"/>
      <c r="T225" s="106"/>
      <c r="U225" s="106"/>
      <c r="V225" s="106"/>
      <c r="W225" s="106">
        <v>3</v>
      </c>
      <c r="X225" s="106"/>
      <c r="Y225" s="106"/>
      <c r="Z225" s="106"/>
      <c r="AA225" s="106"/>
      <c r="AB225" s="106"/>
      <c r="AC225" s="106" t="s">
        <v>275</v>
      </c>
      <c r="AD225" s="110">
        <f t="shared" si="85"/>
        <v>0.17</v>
      </c>
      <c r="AE225" s="108">
        <f>'1. SA ABA DE CARREGAMENTO'!B90</f>
        <v>22</v>
      </c>
      <c r="AF225" s="377"/>
      <c r="AG225" s="109">
        <f t="shared" si="86"/>
        <v>0</v>
      </c>
      <c r="AH225" s="109">
        <f t="shared" si="87"/>
        <v>0</v>
      </c>
      <c r="AI225" s="109">
        <f t="shared" si="88"/>
        <v>0</v>
      </c>
      <c r="AJ225" s="109">
        <f t="shared" si="89"/>
        <v>0</v>
      </c>
      <c r="AK225" s="109">
        <f t="shared" si="90"/>
        <v>0</v>
      </c>
      <c r="AL225" s="109">
        <f t="shared" si="81"/>
        <v>0</v>
      </c>
      <c r="AM225" s="109">
        <f t="shared" si="82"/>
        <v>0</v>
      </c>
      <c r="AN225" s="109">
        <f t="shared" si="91"/>
        <v>0</v>
      </c>
      <c r="AO225" s="109">
        <f t="shared" si="92"/>
        <v>0</v>
      </c>
      <c r="AP225" s="109">
        <f t="shared" si="83"/>
        <v>0</v>
      </c>
      <c r="AQ225" s="109">
        <f t="shared" si="84"/>
        <v>0</v>
      </c>
      <c r="AR225" s="109">
        <f t="shared" si="93"/>
        <v>0</v>
      </c>
      <c r="AS225" s="109">
        <f t="shared" si="94"/>
        <v>0</v>
      </c>
      <c r="AT225" s="109">
        <f t="shared" si="95"/>
        <v>0</v>
      </c>
      <c r="AU225" s="109">
        <f t="shared" si="96"/>
        <v>0</v>
      </c>
      <c r="AV225" s="109">
        <f t="shared" si="97"/>
        <v>0</v>
      </c>
      <c r="AW225" s="109">
        <f t="shared" si="98"/>
        <v>0</v>
      </c>
      <c r="AX225" s="109">
        <f t="shared" si="99"/>
        <v>0</v>
      </c>
      <c r="AY225" s="109">
        <f t="shared" si="100"/>
        <v>2.3181818181818182E-2</v>
      </c>
      <c r="AZ225" s="109">
        <f t="shared" si="101"/>
        <v>0</v>
      </c>
      <c r="BA225" s="109">
        <f t="shared" si="102"/>
        <v>0</v>
      </c>
      <c r="BB225" s="109">
        <f t="shared" si="103"/>
        <v>0</v>
      </c>
      <c r="BC225" s="109">
        <f t="shared" si="104"/>
        <v>0</v>
      </c>
      <c r="BD225" s="109">
        <f t="shared" si="105"/>
        <v>0</v>
      </c>
      <c r="BE225" s="107"/>
      <c r="BF225" s="107"/>
      <c r="BG225" s="107"/>
      <c r="BH225" s="107"/>
      <c r="BI225" s="107"/>
      <c r="BJ225" s="107"/>
      <c r="BK225" s="107"/>
      <c r="BL225" s="107"/>
    </row>
    <row r="226" spans="1:64" ht="30" customHeight="1" x14ac:dyDescent="0.2">
      <c r="A226" s="378">
        <v>20</v>
      </c>
      <c r="B226" s="379" t="s">
        <v>435</v>
      </c>
      <c r="C226" s="111" t="s">
        <v>436</v>
      </c>
      <c r="D226" s="380">
        <f>SUM(E226:AB245)</f>
        <v>1646.7499999999998</v>
      </c>
      <c r="E226" s="111"/>
      <c r="F226" s="111"/>
      <c r="G226" s="111">
        <v>365.4</v>
      </c>
      <c r="H226" s="111"/>
      <c r="I226" s="111"/>
      <c r="J226" s="111"/>
      <c r="K226" s="111"/>
      <c r="L226" s="111"/>
      <c r="M226" s="111"/>
      <c r="N226" s="111"/>
      <c r="O226" s="111"/>
      <c r="P226" s="111"/>
      <c r="Q226" s="111"/>
      <c r="R226" s="111"/>
      <c r="S226" s="111"/>
      <c r="T226" s="111"/>
      <c r="U226" s="111"/>
      <c r="V226" s="111"/>
      <c r="W226" s="111"/>
      <c r="X226" s="111"/>
      <c r="Y226" s="111"/>
      <c r="Z226" s="111"/>
      <c r="AA226" s="111"/>
      <c r="AB226" s="111"/>
      <c r="AC226" s="113" t="s">
        <v>285</v>
      </c>
      <c r="AD226" s="114">
        <f t="shared" si="85"/>
        <v>44</v>
      </c>
      <c r="AE226" s="115">
        <f>'1. SA ABA DE CARREGAMENTO'!B90</f>
        <v>22</v>
      </c>
      <c r="AF226" s="380">
        <f>SUM(AG226:BD245)</f>
        <v>2353.2093181818186</v>
      </c>
      <c r="AG226" s="117">
        <f t="shared" si="86"/>
        <v>0</v>
      </c>
      <c r="AH226" s="117">
        <f t="shared" si="87"/>
        <v>0</v>
      </c>
      <c r="AI226" s="117">
        <f t="shared" si="88"/>
        <v>730.8</v>
      </c>
      <c r="AJ226" s="117">
        <f t="shared" si="89"/>
        <v>0</v>
      </c>
      <c r="AK226" s="117">
        <f t="shared" si="90"/>
        <v>0</v>
      </c>
      <c r="AL226" s="117">
        <f t="shared" si="81"/>
        <v>0</v>
      </c>
      <c r="AM226" s="117">
        <f t="shared" si="82"/>
        <v>0</v>
      </c>
      <c r="AN226" s="117">
        <f t="shared" si="91"/>
        <v>0</v>
      </c>
      <c r="AO226" s="117">
        <f t="shared" si="92"/>
        <v>0</v>
      </c>
      <c r="AP226" s="117">
        <f t="shared" si="83"/>
        <v>0</v>
      </c>
      <c r="AQ226" s="117">
        <f t="shared" si="84"/>
        <v>0</v>
      </c>
      <c r="AR226" s="117">
        <f t="shared" si="93"/>
        <v>0</v>
      </c>
      <c r="AS226" s="117">
        <f t="shared" si="94"/>
        <v>0</v>
      </c>
      <c r="AT226" s="117">
        <f t="shared" si="95"/>
        <v>0</v>
      </c>
      <c r="AU226" s="117">
        <f t="shared" si="96"/>
        <v>0</v>
      </c>
      <c r="AV226" s="117">
        <f t="shared" si="97"/>
        <v>0</v>
      </c>
      <c r="AW226" s="117">
        <f t="shared" si="98"/>
        <v>0</v>
      </c>
      <c r="AX226" s="117">
        <f t="shared" si="99"/>
        <v>0</v>
      </c>
      <c r="AY226" s="117">
        <f t="shared" si="100"/>
        <v>0</v>
      </c>
      <c r="AZ226" s="117">
        <f t="shared" si="101"/>
        <v>0</v>
      </c>
      <c r="BA226" s="117">
        <f t="shared" si="102"/>
        <v>0</v>
      </c>
      <c r="BB226" s="117">
        <f t="shared" si="103"/>
        <v>0</v>
      </c>
      <c r="BC226" s="117">
        <f t="shared" si="104"/>
        <v>0</v>
      </c>
      <c r="BD226" s="112">
        <f t="shared" si="105"/>
        <v>0</v>
      </c>
      <c r="BE226" s="107"/>
      <c r="BF226" s="107"/>
      <c r="BG226" s="107"/>
      <c r="BH226" s="107"/>
      <c r="BI226" s="107"/>
      <c r="BJ226" s="107"/>
      <c r="BK226" s="107"/>
      <c r="BL226" s="107"/>
    </row>
    <row r="227" spans="1:64" ht="12.75" customHeight="1" x14ac:dyDescent="0.2">
      <c r="A227" s="378"/>
      <c r="B227" s="378"/>
      <c r="C227" s="111" t="s">
        <v>437</v>
      </c>
      <c r="D227" s="380"/>
      <c r="E227" s="111"/>
      <c r="F227" s="111">
        <v>38.4</v>
      </c>
      <c r="G227" s="111"/>
      <c r="H227" s="111"/>
      <c r="I227" s="111"/>
      <c r="J227" s="111"/>
      <c r="K227" s="111"/>
      <c r="L227" s="111"/>
      <c r="M227" s="111"/>
      <c r="N227" s="111"/>
      <c r="O227" s="111"/>
      <c r="P227" s="111"/>
      <c r="Q227" s="111"/>
      <c r="R227" s="111"/>
      <c r="S227" s="111"/>
      <c r="T227" s="111"/>
      <c r="U227" s="111"/>
      <c r="V227" s="111"/>
      <c r="W227" s="111"/>
      <c r="X227" s="111"/>
      <c r="Y227" s="111"/>
      <c r="Z227" s="111"/>
      <c r="AA227" s="111"/>
      <c r="AB227" s="111"/>
      <c r="AC227" s="113" t="s">
        <v>289</v>
      </c>
      <c r="AD227" s="114">
        <f t="shared" si="85"/>
        <v>22</v>
      </c>
      <c r="AE227" s="115">
        <f>'1. SA ABA DE CARREGAMENTO'!B90</f>
        <v>22</v>
      </c>
      <c r="AF227" s="380"/>
      <c r="AG227" s="117">
        <f t="shared" si="86"/>
        <v>0</v>
      </c>
      <c r="AH227" s="117">
        <f t="shared" si="87"/>
        <v>38.4</v>
      </c>
      <c r="AI227" s="117">
        <f t="shared" si="88"/>
        <v>0</v>
      </c>
      <c r="AJ227" s="117">
        <f t="shared" si="89"/>
        <v>0</v>
      </c>
      <c r="AK227" s="117">
        <f t="shared" si="90"/>
        <v>0</v>
      </c>
      <c r="AL227" s="117">
        <f t="shared" si="81"/>
        <v>0</v>
      </c>
      <c r="AM227" s="117">
        <f t="shared" si="82"/>
        <v>0</v>
      </c>
      <c r="AN227" s="117">
        <f t="shared" si="91"/>
        <v>0</v>
      </c>
      <c r="AO227" s="117">
        <f t="shared" si="92"/>
        <v>0</v>
      </c>
      <c r="AP227" s="117">
        <f t="shared" si="83"/>
        <v>0</v>
      </c>
      <c r="AQ227" s="117">
        <f t="shared" si="84"/>
        <v>0</v>
      </c>
      <c r="AR227" s="117">
        <f t="shared" si="93"/>
        <v>0</v>
      </c>
      <c r="AS227" s="117">
        <f t="shared" si="94"/>
        <v>0</v>
      </c>
      <c r="AT227" s="117">
        <f t="shared" si="95"/>
        <v>0</v>
      </c>
      <c r="AU227" s="117">
        <f t="shared" si="96"/>
        <v>0</v>
      </c>
      <c r="AV227" s="117">
        <f t="shared" si="97"/>
        <v>0</v>
      </c>
      <c r="AW227" s="117">
        <f t="shared" si="98"/>
        <v>0</v>
      </c>
      <c r="AX227" s="117">
        <f t="shared" si="99"/>
        <v>0</v>
      </c>
      <c r="AY227" s="117">
        <f t="shared" si="100"/>
        <v>0</v>
      </c>
      <c r="AZ227" s="117">
        <f t="shared" si="101"/>
        <v>0</v>
      </c>
      <c r="BA227" s="117">
        <f t="shared" si="102"/>
        <v>0</v>
      </c>
      <c r="BB227" s="117">
        <f t="shared" si="103"/>
        <v>0</v>
      </c>
      <c r="BC227" s="117">
        <f t="shared" si="104"/>
        <v>0</v>
      </c>
      <c r="BD227" s="112">
        <f t="shared" si="105"/>
        <v>0</v>
      </c>
      <c r="BE227" s="107"/>
      <c r="BF227" s="107"/>
      <c r="BG227" s="107"/>
      <c r="BH227" s="107"/>
      <c r="BI227" s="107"/>
      <c r="BJ227" s="107"/>
      <c r="BK227" s="107"/>
      <c r="BL227" s="107"/>
    </row>
    <row r="228" spans="1:64" ht="12.75" customHeight="1" x14ac:dyDescent="0.2">
      <c r="A228" s="378"/>
      <c r="B228" s="378"/>
      <c r="C228" s="111" t="s">
        <v>438</v>
      </c>
      <c r="D228" s="380"/>
      <c r="E228" s="111"/>
      <c r="F228" s="111">
        <v>60.88</v>
      </c>
      <c r="G228" s="111"/>
      <c r="H228" s="111"/>
      <c r="I228" s="111"/>
      <c r="J228" s="111"/>
      <c r="K228" s="111"/>
      <c r="L228" s="111"/>
      <c r="M228" s="111"/>
      <c r="N228" s="111"/>
      <c r="O228" s="111"/>
      <c r="P228" s="111"/>
      <c r="Q228" s="111"/>
      <c r="R228" s="111"/>
      <c r="S228" s="111"/>
      <c r="T228" s="111"/>
      <c r="U228" s="111"/>
      <c r="V228" s="111"/>
      <c r="W228" s="111"/>
      <c r="X228" s="111"/>
      <c r="Y228" s="111"/>
      <c r="Z228" s="111"/>
      <c r="AA228" s="111"/>
      <c r="AB228" s="111"/>
      <c r="AC228" s="113" t="s">
        <v>289</v>
      </c>
      <c r="AD228" s="114">
        <f t="shared" si="85"/>
        <v>22</v>
      </c>
      <c r="AE228" s="115">
        <f>'1. SA ABA DE CARREGAMENTO'!B90</f>
        <v>22</v>
      </c>
      <c r="AF228" s="380"/>
      <c r="AG228" s="117">
        <f t="shared" si="86"/>
        <v>0</v>
      </c>
      <c r="AH228" s="117">
        <f t="shared" si="87"/>
        <v>60.88</v>
      </c>
      <c r="AI228" s="117">
        <f t="shared" si="88"/>
        <v>0</v>
      </c>
      <c r="AJ228" s="117">
        <f t="shared" si="89"/>
        <v>0</v>
      </c>
      <c r="AK228" s="117">
        <f t="shared" si="90"/>
        <v>0</v>
      </c>
      <c r="AL228" s="117">
        <f t="shared" si="81"/>
        <v>0</v>
      </c>
      <c r="AM228" s="117">
        <f t="shared" si="82"/>
        <v>0</v>
      </c>
      <c r="AN228" s="117">
        <f t="shared" si="91"/>
        <v>0</v>
      </c>
      <c r="AO228" s="117">
        <f t="shared" si="92"/>
        <v>0</v>
      </c>
      <c r="AP228" s="117">
        <f t="shared" si="83"/>
        <v>0</v>
      </c>
      <c r="AQ228" s="117">
        <f t="shared" si="84"/>
        <v>0</v>
      </c>
      <c r="AR228" s="117">
        <f t="shared" si="93"/>
        <v>0</v>
      </c>
      <c r="AS228" s="117">
        <f t="shared" si="94"/>
        <v>0</v>
      </c>
      <c r="AT228" s="117">
        <f t="shared" si="95"/>
        <v>0</v>
      </c>
      <c r="AU228" s="117">
        <f t="shared" si="96"/>
        <v>0</v>
      </c>
      <c r="AV228" s="117">
        <f t="shared" si="97"/>
        <v>0</v>
      </c>
      <c r="AW228" s="117">
        <f t="shared" si="98"/>
        <v>0</v>
      </c>
      <c r="AX228" s="117">
        <f t="shared" si="99"/>
        <v>0</v>
      </c>
      <c r="AY228" s="117">
        <f t="shared" si="100"/>
        <v>0</v>
      </c>
      <c r="AZ228" s="117">
        <f t="shared" si="101"/>
        <v>0</v>
      </c>
      <c r="BA228" s="117">
        <f t="shared" si="102"/>
        <v>0</v>
      </c>
      <c r="BB228" s="117">
        <f t="shared" si="103"/>
        <v>0</v>
      </c>
      <c r="BC228" s="117">
        <f t="shared" si="104"/>
        <v>0</v>
      </c>
      <c r="BD228" s="112">
        <f t="shared" si="105"/>
        <v>0</v>
      </c>
      <c r="BE228" s="107"/>
      <c r="BF228" s="107"/>
      <c r="BG228" s="107"/>
      <c r="BH228" s="107"/>
      <c r="BI228" s="107"/>
      <c r="BJ228" s="107"/>
      <c r="BK228" s="107"/>
      <c r="BL228" s="107"/>
    </row>
    <row r="229" spans="1:64" ht="12.75" customHeight="1" x14ac:dyDescent="0.2">
      <c r="A229" s="378"/>
      <c r="B229" s="378"/>
      <c r="C229" s="111" t="s">
        <v>306</v>
      </c>
      <c r="D229" s="380"/>
      <c r="E229" s="111"/>
      <c r="F229" s="111">
        <v>38.94</v>
      </c>
      <c r="G229" s="111"/>
      <c r="H229" s="111"/>
      <c r="I229" s="111"/>
      <c r="J229" s="111"/>
      <c r="K229" s="111"/>
      <c r="L229" s="111"/>
      <c r="M229" s="111"/>
      <c r="N229" s="111"/>
      <c r="O229" s="111"/>
      <c r="P229" s="111"/>
      <c r="Q229" s="111"/>
      <c r="R229" s="111"/>
      <c r="S229" s="111"/>
      <c r="T229" s="111"/>
      <c r="U229" s="111"/>
      <c r="V229" s="111"/>
      <c r="W229" s="111"/>
      <c r="X229" s="111"/>
      <c r="Y229" s="111"/>
      <c r="Z229" s="111"/>
      <c r="AA229" s="111"/>
      <c r="AB229" s="111"/>
      <c r="AC229" s="113" t="s">
        <v>289</v>
      </c>
      <c r="AD229" s="114">
        <f t="shared" si="85"/>
        <v>22</v>
      </c>
      <c r="AE229" s="115">
        <f>'1. SA ABA DE CARREGAMENTO'!B90</f>
        <v>22</v>
      </c>
      <c r="AF229" s="380"/>
      <c r="AG229" s="117">
        <f t="shared" si="86"/>
        <v>0</v>
      </c>
      <c r="AH229" s="117">
        <f t="shared" si="87"/>
        <v>38.94</v>
      </c>
      <c r="AI229" s="117">
        <f t="shared" si="88"/>
        <v>0</v>
      </c>
      <c r="AJ229" s="117">
        <f t="shared" si="89"/>
        <v>0</v>
      </c>
      <c r="AK229" s="117">
        <f t="shared" si="90"/>
        <v>0</v>
      </c>
      <c r="AL229" s="117">
        <f t="shared" si="81"/>
        <v>0</v>
      </c>
      <c r="AM229" s="117">
        <f t="shared" si="82"/>
        <v>0</v>
      </c>
      <c r="AN229" s="117">
        <f t="shared" si="91"/>
        <v>0</v>
      </c>
      <c r="AO229" s="117">
        <f t="shared" si="92"/>
        <v>0</v>
      </c>
      <c r="AP229" s="117">
        <f t="shared" si="83"/>
        <v>0</v>
      </c>
      <c r="AQ229" s="117">
        <f t="shared" si="84"/>
        <v>0</v>
      </c>
      <c r="AR229" s="117">
        <f t="shared" si="93"/>
        <v>0</v>
      </c>
      <c r="AS229" s="117">
        <f t="shared" si="94"/>
        <v>0</v>
      </c>
      <c r="AT229" s="117">
        <f t="shared" si="95"/>
        <v>0</v>
      </c>
      <c r="AU229" s="117">
        <f t="shared" si="96"/>
        <v>0</v>
      </c>
      <c r="AV229" s="117">
        <f t="shared" si="97"/>
        <v>0</v>
      </c>
      <c r="AW229" s="117">
        <f t="shared" si="98"/>
        <v>0</v>
      </c>
      <c r="AX229" s="117">
        <f t="shared" si="99"/>
        <v>0</v>
      </c>
      <c r="AY229" s="117">
        <f t="shared" si="100"/>
        <v>0</v>
      </c>
      <c r="AZ229" s="117">
        <f t="shared" si="101"/>
        <v>0</v>
      </c>
      <c r="BA229" s="117">
        <f t="shared" si="102"/>
        <v>0</v>
      </c>
      <c r="BB229" s="117">
        <f t="shared" si="103"/>
        <v>0</v>
      </c>
      <c r="BC229" s="117">
        <f t="shared" si="104"/>
        <v>0</v>
      </c>
      <c r="BD229" s="112">
        <f t="shared" si="105"/>
        <v>0</v>
      </c>
      <c r="BE229" s="107"/>
      <c r="BF229" s="107"/>
      <c r="BG229" s="107"/>
      <c r="BH229" s="107"/>
      <c r="BI229" s="107"/>
      <c r="BJ229" s="107"/>
      <c r="BK229" s="107"/>
      <c r="BL229" s="107"/>
    </row>
    <row r="230" spans="1:64" ht="12.75" customHeight="1" x14ac:dyDescent="0.2">
      <c r="A230" s="378"/>
      <c r="B230" s="378"/>
      <c r="C230" s="111" t="s">
        <v>439</v>
      </c>
      <c r="D230" s="380"/>
      <c r="E230" s="111"/>
      <c r="F230" s="111"/>
      <c r="G230" s="111">
        <v>38.369999999999997</v>
      </c>
      <c r="H230" s="111"/>
      <c r="I230" s="111"/>
      <c r="J230" s="111"/>
      <c r="K230" s="111"/>
      <c r="L230" s="111"/>
      <c r="M230" s="111"/>
      <c r="N230" s="111"/>
      <c r="O230" s="111"/>
      <c r="P230" s="111"/>
      <c r="Q230" s="111"/>
      <c r="R230" s="111"/>
      <c r="S230" s="111"/>
      <c r="T230" s="111"/>
      <c r="U230" s="111"/>
      <c r="V230" s="111"/>
      <c r="W230" s="111"/>
      <c r="X230" s="111"/>
      <c r="Y230" s="111"/>
      <c r="Z230" s="111"/>
      <c r="AA230" s="111"/>
      <c r="AB230" s="111"/>
      <c r="AC230" s="113" t="s">
        <v>285</v>
      </c>
      <c r="AD230" s="114">
        <f t="shared" si="85"/>
        <v>44</v>
      </c>
      <c r="AE230" s="115">
        <f>'1. SA ABA DE CARREGAMENTO'!B90</f>
        <v>22</v>
      </c>
      <c r="AF230" s="380"/>
      <c r="AG230" s="117">
        <f t="shared" si="86"/>
        <v>0</v>
      </c>
      <c r="AH230" s="117">
        <f t="shared" si="87"/>
        <v>0</v>
      </c>
      <c r="AI230" s="117">
        <f t="shared" si="88"/>
        <v>76.739999999999995</v>
      </c>
      <c r="AJ230" s="117">
        <f t="shared" si="89"/>
        <v>0</v>
      </c>
      <c r="AK230" s="117">
        <f t="shared" si="90"/>
        <v>0</v>
      </c>
      <c r="AL230" s="117">
        <f t="shared" si="81"/>
        <v>0</v>
      </c>
      <c r="AM230" s="117">
        <f t="shared" si="82"/>
        <v>0</v>
      </c>
      <c r="AN230" s="117">
        <f t="shared" si="91"/>
        <v>0</v>
      </c>
      <c r="AO230" s="117">
        <f t="shared" si="92"/>
        <v>0</v>
      </c>
      <c r="AP230" s="117">
        <f t="shared" si="83"/>
        <v>0</v>
      </c>
      <c r="AQ230" s="117">
        <f t="shared" si="84"/>
        <v>0</v>
      </c>
      <c r="AR230" s="117">
        <f t="shared" si="93"/>
        <v>0</v>
      </c>
      <c r="AS230" s="117">
        <f t="shared" si="94"/>
        <v>0</v>
      </c>
      <c r="AT230" s="117">
        <f t="shared" si="95"/>
        <v>0</v>
      </c>
      <c r="AU230" s="117">
        <f t="shared" si="96"/>
        <v>0</v>
      </c>
      <c r="AV230" s="117">
        <f t="shared" si="97"/>
        <v>0</v>
      </c>
      <c r="AW230" s="117">
        <f t="shared" si="98"/>
        <v>0</v>
      </c>
      <c r="AX230" s="117">
        <f t="shared" si="99"/>
        <v>0</v>
      </c>
      <c r="AY230" s="117">
        <f t="shared" si="100"/>
        <v>0</v>
      </c>
      <c r="AZ230" s="117">
        <f t="shared" si="101"/>
        <v>0</v>
      </c>
      <c r="BA230" s="117">
        <f t="shared" si="102"/>
        <v>0</v>
      </c>
      <c r="BB230" s="117">
        <f t="shared" si="103"/>
        <v>0</v>
      </c>
      <c r="BC230" s="117">
        <f t="shared" si="104"/>
        <v>0</v>
      </c>
      <c r="BD230" s="112">
        <f t="shared" si="105"/>
        <v>0</v>
      </c>
      <c r="BE230" s="107"/>
      <c r="BF230" s="107"/>
      <c r="BG230" s="107"/>
      <c r="BH230" s="107"/>
      <c r="BI230" s="107"/>
      <c r="BJ230" s="107"/>
      <c r="BK230" s="107"/>
      <c r="BL230" s="107"/>
    </row>
    <row r="231" spans="1:64" ht="15" x14ac:dyDescent="0.2">
      <c r="A231" s="378"/>
      <c r="B231" s="378"/>
      <c r="C231" s="111" t="s">
        <v>440</v>
      </c>
      <c r="D231" s="380"/>
      <c r="E231" s="111"/>
      <c r="F231" s="111"/>
      <c r="G231" s="111">
        <v>4.5</v>
      </c>
      <c r="H231" s="111"/>
      <c r="I231" s="111"/>
      <c r="J231" s="111"/>
      <c r="K231" s="111"/>
      <c r="L231" s="111"/>
      <c r="M231" s="111"/>
      <c r="N231" s="111"/>
      <c r="O231" s="111"/>
      <c r="P231" s="111"/>
      <c r="Q231" s="111"/>
      <c r="R231" s="111"/>
      <c r="S231" s="111"/>
      <c r="T231" s="111"/>
      <c r="U231" s="111"/>
      <c r="V231" s="111"/>
      <c r="W231" s="111"/>
      <c r="X231" s="111"/>
      <c r="Y231" s="111"/>
      <c r="Z231" s="111"/>
      <c r="AA231" s="111"/>
      <c r="AB231" s="111"/>
      <c r="AC231" s="113" t="s">
        <v>285</v>
      </c>
      <c r="AD231" s="114">
        <f t="shared" si="85"/>
        <v>44</v>
      </c>
      <c r="AE231" s="115">
        <f>'1. SA ABA DE CARREGAMENTO'!B90</f>
        <v>22</v>
      </c>
      <c r="AF231" s="380"/>
      <c r="AG231" s="117">
        <f t="shared" si="86"/>
        <v>0</v>
      </c>
      <c r="AH231" s="117">
        <f t="shared" si="87"/>
        <v>0</v>
      </c>
      <c r="AI231" s="117">
        <f t="shared" si="88"/>
        <v>9</v>
      </c>
      <c r="AJ231" s="117">
        <f t="shared" si="89"/>
        <v>0</v>
      </c>
      <c r="AK231" s="117">
        <f t="shared" si="90"/>
        <v>0</v>
      </c>
      <c r="AL231" s="117">
        <f t="shared" si="81"/>
        <v>0</v>
      </c>
      <c r="AM231" s="117">
        <f t="shared" si="82"/>
        <v>0</v>
      </c>
      <c r="AN231" s="117">
        <f t="shared" si="91"/>
        <v>0</v>
      </c>
      <c r="AO231" s="117">
        <f t="shared" si="92"/>
        <v>0</v>
      </c>
      <c r="AP231" s="117">
        <f t="shared" si="83"/>
        <v>0</v>
      </c>
      <c r="AQ231" s="117">
        <f t="shared" si="84"/>
        <v>0</v>
      </c>
      <c r="AR231" s="117">
        <f t="shared" si="93"/>
        <v>0</v>
      </c>
      <c r="AS231" s="117">
        <f t="shared" si="94"/>
        <v>0</v>
      </c>
      <c r="AT231" s="117">
        <f t="shared" si="95"/>
        <v>0</v>
      </c>
      <c r="AU231" s="117">
        <f t="shared" si="96"/>
        <v>0</v>
      </c>
      <c r="AV231" s="117">
        <f t="shared" si="97"/>
        <v>0</v>
      </c>
      <c r="AW231" s="117">
        <f t="shared" si="98"/>
        <v>0</v>
      </c>
      <c r="AX231" s="117">
        <f t="shared" si="99"/>
        <v>0</v>
      </c>
      <c r="AY231" s="117">
        <f t="shared" si="100"/>
        <v>0</v>
      </c>
      <c r="AZ231" s="117">
        <f t="shared" si="101"/>
        <v>0</v>
      </c>
      <c r="BA231" s="117">
        <f t="shared" si="102"/>
        <v>0</v>
      </c>
      <c r="BB231" s="117">
        <f t="shared" si="103"/>
        <v>0</v>
      </c>
      <c r="BC231" s="117">
        <f t="shared" si="104"/>
        <v>0</v>
      </c>
      <c r="BD231" s="112">
        <f t="shared" si="105"/>
        <v>0</v>
      </c>
      <c r="BE231" s="107"/>
      <c r="BF231" s="107"/>
      <c r="BG231" s="107"/>
      <c r="BH231" s="107"/>
      <c r="BI231" s="107"/>
      <c r="BJ231" s="107"/>
      <c r="BK231" s="107"/>
      <c r="BL231" s="107"/>
    </row>
    <row r="232" spans="1:64" ht="12.75" customHeight="1" x14ac:dyDescent="0.2">
      <c r="A232" s="378"/>
      <c r="B232" s="378"/>
      <c r="C232" s="111" t="s">
        <v>441</v>
      </c>
      <c r="D232" s="380"/>
      <c r="E232" s="111"/>
      <c r="F232" s="111"/>
      <c r="G232" s="111">
        <v>52</v>
      </c>
      <c r="H232" s="111"/>
      <c r="I232" s="111"/>
      <c r="J232" s="111"/>
      <c r="K232" s="111"/>
      <c r="L232" s="111"/>
      <c r="M232" s="111"/>
      <c r="N232" s="111"/>
      <c r="O232" s="111"/>
      <c r="P232" s="111"/>
      <c r="Q232" s="111"/>
      <c r="R232" s="111"/>
      <c r="S232" s="111"/>
      <c r="T232" s="111"/>
      <c r="U232" s="111"/>
      <c r="V232" s="111"/>
      <c r="W232" s="111"/>
      <c r="X232" s="111"/>
      <c r="Y232" s="111"/>
      <c r="Z232" s="111"/>
      <c r="AA232" s="111"/>
      <c r="AB232" s="111"/>
      <c r="AC232" s="113" t="s">
        <v>285</v>
      </c>
      <c r="AD232" s="114">
        <f t="shared" si="85"/>
        <v>44</v>
      </c>
      <c r="AE232" s="115">
        <f>'1. SA ABA DE CARREGAMENTO'!B90</f>
        <v>22</v>
      </c>
      <c r="AF232" s="380"/>
      <c r="AG232" s="117">
        <f t="shared" si="86"/>
        <v>0</v>
      </c>
      <c r="AH232" s="117">
        <f t="shared" si="87"/>
        <v>0</v>
      </c>
      <c r="AI232" s="117">
        <f t="shared" si="88"/>
        <v>104</v>
      </c>
      <c r="AJ232" s="117">
        <f t="shared" si="89"/>
        <v>0</v>
      </c>
      <c r="AK232" s="117">
        <f t="shared" si="90"/>
        <v>0</v>
      </c>
      <c r="AL232" s="117">
        <f t="shared" si="81"/>
        <v>0</v>
      </c>
      <c r="AM232" s="117">
        <f t="shared" si="82"/>
        <v>0</v>
      </c>
      <c r="AN232" s="117">
        <f t="shared" si="91"/>
        <v>0</v>
      </c>
      <c r="AO232" s="117">
        <f t="shared" si="92"/>
        <v>0</v>
      </c>
      <c r="AP232" s="117">
        <f t="shared" si="83"/>
        <v>0</v>
      </c>
      <c r="AQ232" s="117">
        <f t="shared" si="84"/>
        <v>0</v>
      </c>
      <c r="AR232" s="117">
        <f t="shared" si="93"/>
        <v>0</v>
      </c>
      <c r="AS232" s="117">
        <f t="shared" si="94"/>
        <v>0</v>
      </c>
      <c r="AT232" s="117">
        <f t="shared" si="95"/>
        <v>0</v>
      </c>
      <c r="AU232" s="117">
        <f t="shared" si="96"/>
        <v>0</v>
      </c>
      <c r="AV232" s="117">
        <f t="shared" si="97"/>
        <v>0</v>
      </c>
      <c r="AW232" s="117">
        <f t="shared" si="98"/>
        <v>0</v>
      </c>
      <c r="AX232" s="117">
        <f t="shared" si="99"/>
        <v>0</v>
      </c>
      <c r="AY232" s="117">
        <f t="shared" si="100"/>
        <v>0</v>
      </c>
      <c r="AZ232" s="117">
        <f t="shared" si="101"/>
        <v>0</v>
      </c>
      <c r="BA232" s="117">
        <f t="shared" si="102"/>
        <v>0</v>
      </c>
      <c r="BB232" s="117">
        <f t="shared" si="103"/>
        <v>0</v>
      </c>
      <c r="BC232" s="117">
        <f t="shared" si="104"/>
        <v>0</v>
      </c>
      <c r="BD232" s="112">
        <f t="shared" si="105"/>
        <v>0</v>
      </c>
      <c r="BE232" s="107"/>
      <c r="BF232" s="107"/>
      <c r="BG232" s="107"/>
      <c r="BH232" s="107"/>
      <c r="BI232" s="107"/>
      <c r="BJ232" s="107"/>
      <c r="BK232" s="107"/>
      <c r="BL232" s="107"/>
    </row>
    <row r="233" spans="1:64" ht="12.75" customHeight="1" x14ac:dyDescent="0.2">
      <c r="A233" s="378"/>
      <c r="B233" s="378"/>
      <c r="C233" s="111" t="s">
        <v>442</v>
      </c>
      <c r="D233" s="380"/>
      <c r="E233" s="111"/>
      <c r="F233" s="111"/>
      <c r="G233" s="111">
        <v>6.55</v>
      </c>
      <c r="H233" s="111"/>
      <c r="I233" s="111"/>
      <c r="J233" s="111"/>
      <c r="K233" s="111"/>
      <c r="L233" s="111"/>
      <c r="M233" s="111"/>
      <c r="N233" s="111"/>
      <c r="O233" s="111"/>
      <c r="P233" s="111"/>
      <c r="Q233" s="111"/>
      <c r="R233" s="111"/>
      <c r="S233" s="111"/>
      <c r="T233" s="111"/>
      <c r="U233" s="111"/>
      <c r="V233" s="111"/>
      <c r="W233" s="111"/>
      <c r="X233" s="111"/>
      <c r="Y233" s="111"/>
      <c r="Z233" s="111"/>
      <c r="AA233" s="111"/>
      <c r="AB233" s="111"/>
      <c r="AC233" s="113" t="s">
        <v>285</v>
      </c>
      <c r="AD233" s="114">
        <f t="shared" si="85"/>
        <v>44</v>
      </c>
      <c r="AE233" s="115">
        <f>'1. SA ABA DE CARREGAMENTO'!B90</f>
        <v>22</v>
      </c>
      <c r="AF233" s="380"/>
      <c r="AG233" s="117">
        <f t="shared" si="86"/>
        <v>0</v>
      </c>
      <c r="AH233" s="117">
        <f t="shared" si="87"/>
        <v>0</v>
      </c>
      <c r="AI233" s="117">
        <f t="shared" si="88"/>
        <v>13.1</v>
      </c>
      <c r="AJ233" s="117">
        <f t="shared" si="89"/>
        <v>0</v>
      </c>
      <c r="AK233" s="117">
        <f t="shared" si="90"/>
        <v>0</v>
      </c>
      <c r="AL233" s="117">
        <f t="shared" si="81"/>
        <v>0</v>
      </c>
      <c r="AM233" s="117">
        <f t="shared" si="82"/>
        <v>0</v>
      </c>
      <c r="AN233" s="117">
        <f t="shared" si="91"/>
        <v>0</v>
      </c>
      <c r="AO233" s="117">
        <f t="shared" si="92"/>
        <v>0</v>
      </c>
      <c r="AP233" s="117">
        <f t="shared" si="83"/>
        <v>0</v>
      </c>
      <c r="AQ233" s="117">
        <f t="shared" si="84"/>
        <v>0</v>
      </c>
      <c r="AR233" s="117">
        <f t="shared" si="93"/>
        <v>0</v>
      </c>
      <c r="AS233" s="117">
        <f t="shared" si="94"/>
        <v>0</v>
      </c>
      <c r="AT233" s="117">
        <f t="shared" si="95"/>
        <v>0</v>
      </c>
      <c r="AU233" s="117">
        <f t="shared" si="96"/>
        <v>0</v>
      </c>
      <c r="AV233" s="117">
        <f t="shared" si="97"/>
        <v>0</v>
      </c>
      <c r="AW233" s="117">
        <f t="shared" si="98"/>
        <v>0</v>
      </c>
      <c r="AX233" s="117">
        <f t="shared" si="99"/>
        <v>0</v>
      </c>
      <c r="AY233" s="117">
        <f t="shared" si="100"/>
        <v>0</v>
      </c>
      <c r="AZ233" s="117">
        <f t="shared" si="101"/>
        <v>0</v>
      </c>
      <c r="BA233" s="117">
        <f t="shared" si="102"/>
        <v>0</v>
      </c>
      <c r="BB233" s="117">
        <f t="shared" si="103"/>
        <v>0</v>
      </c>
      <c r="BC233" s="117">
        <f t="shared" si="104"/>
        <v>0</v>
      </c>
      <c r="BD233" s="112">
        <f t="shared" si="105"/>
        <v>0</v>
      </c>
      <c r="BE233" s="107"/>
      <c r="BF233" s="107"/>
      <c r="BG233" s="107"/>
      <c r="BH233" s="107"/>
      <c r="BI233" s="107"/>
      <c r="BJ233" s="107"/>
      <c r="BK233" s="107"/>
      <c r="BL233" s="107"/>
    </row>
    <row r="234" spans="1:64" ht="12.75" customHeight="1" x14ac:dyDescent="0.2">
      <c r="A234" s="378"/>
      <c r="B234" s="378"/>
      <c r="C234" s="111" t="s">
        <v>443</v>
      </c>
      <c r="D234" s="380"/>
      <c r="E234" s="111"/>
      <c r="F234" s="111"/>
      <c r="G234" s="111">
        <v>7.1</v>
      </c>
      <c r="H234" s="111"/>
      <c r="I234" s="111"/>
      <c r="J234" s="111"/>
      <c r="K234" s="111"/>
      <c r="L234" s="111"/>
      <c r="M234" s="111"/>
      <c r="N234" s="111"/>
      <c r="O234" s="111"/>
      <c r="P234" s="111"/>
      <c r="Q234" s="111"/>
      <c r="R234" s="111"/>
      <c r="S234" s="111"/>
      <c r="T234" s="111"/>
      <c r="U234" s="111"/>
      <c r="V234" s="111"/>
      <c r="W234" s="111"/>
      <c r="X234" s="111"/>
      <c r="Y234" s="111"/>
      <c r="Z234" s="111"/>
      <c r="AA234" s="111"/>
      <c r="AB234" s="111"/>
      <c r="AC234" s="113" t="s">
        <v>285</v>
      </c>
      <c r="AD234" s="114">
        <f t="shared" si="85"/>
        <v>44</v>
      </c>
      <c r="AE234" s="115">
        <f>'1. SA ABA DE CARREGAMENTO'!B90</f>
        <v>22</v>
      </c>
      <c r="AF234" s="380"/>
      <c r="AG234" s="117">
        <f t="shared" si="86"/>
        <v>0</v>
      </c>
      <c r="AH234" s="117">
        <f t="shared" si="87"/>
        <v>0</v>
      </c>
      <c r="AI234" s="117">
        <f t="shared" si="88"/>
        <v>14.2</v>
      </c>
      <c r="AJ234" s="117">
        <f t="shared" si="89"/>
        <v>0</v>
      </c>
      <c r="AK234" s="117">
        <f t="shared" si="90"/>
        <v>0</v>
      </c>
      <c r="AL234" s="117">
        <f t="shared" si="81"/>
        <v>0</v>
      </c>
      <c r="AM234" s="117">
        <f t="shared" si="82"/>
        <v>0</v>
      </c>
      <c r="AN234" s="117">
        <f t="shared" si="91"/>
        <v>0</v>
      </c>
      <c r="AO234" s="117">
        <f t="shared" si="92"/>
        <v>0</v>
      </c>
      <c r="AP234" s="117">
        <f t="shared" si="83"/>
        <v>0</v>
      </c>
      <c r="AQ234" s="117">
        <f t="shared" si="84"/>
        <v>0</v>
      </c>
      <c r="AR234" s="117">
        <f t="shared" si="93"/>
        <v>0</v>
      </c>
      <c r="AS234" s="117">
        <f t="shared" si="94"/>
        <v>0</v>
      </c>
      <c r="AT234" s="117">
        <f t="shared" si="95"/>
        <v>0</v>
      </c>
      <c r="AU234" s="117">
        <f t="shared" si="96"/>
        <v>0</v>
      </c>
      <c r="AV234" s="117">
        <f t="shared" si="97"/>
        <v>0</v>
      </c>
      <c r="AW234" s="117">
        <f t="shared" si="98"/>
        <v>0</v>
      </c>
      <c r="AX234" s="117">
        <f t="shared" si="99"/>
        <v>0</v>
      </c>
      <c r="AY234" s="117">
        <f t="shared" si="100"/>
        <v>0</v>
      </c>
      <c r="AZ234" s="117">
        <f t="shared" si="101"/>
        <v>0</v>
      </c>
      <c r="BA234" s="117">
        <f t="shared" si="102"/>
        <v>0</v>
      </c>
      <c r="BB234" s="117">
        <f t="shared" si="103"/>
        <v>0</v>
      </c>
      <c r="BC234" s="117">
        <f t="shared" si="104"/>
        <v>0</v>
      </c>
      <c r="BD234" s="112">
        <f t="shared" si="105"/>
        <v>0</v>
      </c>
      <c r="BE234" s="107"/>
      <c r="BF234" s="107"/>
      <c r="BG234" s="107"/>
      <c r="BH234" s="107"/>
      <c r="BI234" s="107"/>
      <c r="BJ234" s="107"/>
      <c r="BK234" s="107"/>
      <c r="BL234" s="107"/>
    </row>
    <row r="235" spans="1:64" ht="12.75" customHeight="1" x14ac:dyDescent="0.2">
      <c r="A235" s="378"/>
      <c r="B235" s="378"/>
      <c r="C235" s="111" t="s">
        <v>444</v>
      </c>
      <c r="D235" s="380"/>
      <c r="E235" s="111"/>
      <c r="F235" s="111"/>
      <c r="G235" s="111">
        <v>42.3</v>
      </c>
      <c r="H235" s="111"/>
      <c r="I235" s="111"/>
      <c r="J235" s="111"/>
      <c r="K235" s="111"/>
      <c r="L235" s="111"/>
      <c r="M235" s="111"/>
      <c r="N235" s="111"/>
      <c r="O235" s="111"/>
      <c r="P235" s="111"/>
      <c r="Q235" s="111"/>
      <c r="R235" s="111"/>
      <c r="S235" s="111"/>
      <c r="T235" s="111"/>
      <c r="U235" s="111"/>
      <c r="V235" s="111"/>
      <c r="W235" s="111"/>
      <c r="X235" s="111"/>
      <c r="Y235" s="111"/>
      <c r="Z235" s="111"/>
      <c r="AA235" s="111"/>
      <c r="AB235" s="111"/>
      <c r="AC235" s="113" t="s">
        <v>285</v>
      </c>
      <c r="AD235" s="114">
        <f t="shared" si="85"/>
        <v>44</v>
      </c>
      <c r="AE235" s="115">
        <f>'1. SA ABA DE CARREGAMENTO'!B90</f>
        <v>22</v>
      </c>
      <c r="AF235" s="380"/>
      <c r="AG235" s="117">
        <f t="shared" si="86"/>
        <v>0</v>
      </c>
      <c r="AH235" s="117">
        <f t="shared" si="87"/>
        <v>0</v>
      </c>
      <c r="AI235" s="117">
        <f t="shared" si="88"/>
        <v>84.6</v>
      </c>
      <c r="AJ235" s="117">
        <f t="shared" si="89"/>
        <v>0</v>
      </c>
      <c r="AK235" s="117">
        <f t="shared" si="90"/>
        <v>0</v>
      </c>
      <c r="AL235" s="117">
        <f t="shared" si="81"/>
        <v>0</v>
      </c>
      <c r="AM235" s="117">
        <f t="shared" si="82"/>
        <v>0</v>
      </c>
      <c r="AN235" s="117">
        <f t="shared" si="91"/>
        <v>0</v>
      </c>
      <c r="AO235" s="117">
        <f t="shared" si="92"/>
        <v>0</v>
      </c>
      <c r="AP235" s="117">
        <f t="shared" si="83"/>
        <v>0</v>
      </c>
      <c r="AQ235" s="117">
        <f t="shared" si="84"/>
        <v>0</v>
      </c>
      <c r="AR235" s="117">
        <f t="shared" si="93"/>
        <v>0</v>
      </c>
      <c r="AS235" s="117">
        <f t="shared" si="94"/>
        <v>0</v>
      </c>
      <c r="AT235" s="117">
        <f t="shared" si="95"/>
        <v>0</v>
      </c>
      <c r="AU235" s="117">
        <f t="shared" si="96"/>
        <v>0</v>
      </c>
      <c r="AV235" s="117">
        <f t="shared" si="97"/>
        <v>0</v>
      </c>
      <c r="AW235" s="117">
        <f t="shared" si="98"/>
        <v>0</v>
      </c>
      <c r="AX235" s="117">
        <f t="shared" si="99"/>
        <v>0</v>
      </c>
      <c r="AY235" s="117">
        <f t="shared" si="100"/>
        <v>0</v>
      </c>
      <c r="AZ235" s="117">
        <f t="shared" si="101"/>
        <v>0</v>
      </c>
      <c r="BA235" s="117">
        <f t="shared" si="102"/>
        <v>0</v>
      </c>
      <c r="BB235" s="117">
        <f t="shared" si="103"/>
        <v>0</v>
      </c>
      <c r="BC235" s="117">
        <f t="shared" si="104"/>
        <v>0</v>
      </c>
      <c r="BD235" s="112">
        <f t="shared" si="105"/>
        <v>0</v>
      </c>
      <c r="BE235" s="107"/>
      <c r="BF235" s="107"/>
      <c r="BG235" s="107"/>
      <c r="BH235" s="107"/>
      <c r="BI235" s="107"/>
      <c r="BJ235" s="107"/>
      <c r="BK235" s="107"/>
      <c r="BL235" s="107"/>
    </row>
    <row r="236" spans="1:64" ht="12.75" customHeight="1" x14ac:dyDescent="0.2">
      <c r="A236" s="378"/>
      <c r="B236" s="378"/>
      <c r="C236" s="111" t="s">
        <v>445</v>
      </c>
      <c r="D236" s="380"/>
      <c r="E236" s="111"/>
      <c r="F236" s="111"/>
      <c r="G236" s="111">
        <v>45.45</v>
      </c>
      <c r="H236" s="111"/>
      <c r="I236" s="111"/>
      <c r="J236" s="111"/>
      <c r="K236" s="111"/>
      <c r="L236" s="111"/>
      <c r="M236" s="111"/>
      <c r="N236" s="111"/>
      <c r="O236" s="111"/>
      <c r="P236" s="111"/>
      <c r="Q236" s="111"/>
      <c r="R236" s="111"/>
      <c r="S236" s="111"/>
      <c r="T236" s="111"/>
      <c r="U236" s="111"/>
      <c r="V236" s="111"/>
      <c r="W236" s="111"/>
      <c r="X236" s="111"/>
      <c r="Y236" s="111"/>
      <c r="Z236" s="111"/>
      <c r="AA236" s="111"/>
      <c r="AB236" s="111"/>
      <c r="AC236" s="113" t="s">
        <v>285</v>
      </c>
      <c r="AD236" s="114">
        <f t="shared" si="85"/>
        <v>44</v>
      </c>
      <c r="AE236" s="115">
        <f>'1. SA ABA DE CARREGAMENTO'!B90</f>
        <v>22</v>
      </c>
      <c r="AF236" s="380"/>
      <c r="AG236" s="117">
        <f t="shared" si="86"/>
        <v>0</v>
      </c>
      <c r="AH236" s="117">
        <f t="shared" si="87"/>
        <v>0</v>
      </c>
      <c r="AI236" s="117">
        <f t="shared" si="88"/>
        <v>90.9</v>
      </c>
      <c r="AJ236" s="117">
        <f t="shared" si="89"/>
        <v>0</v>
      </c>
      <c r="AK236" s="117">
        <f t="shared" si="90"/>
        <v>0</v>
      </c>
      <c r="AL236" s="117">
        <f t="shared" si="81"/>
        <v>0</v>
      </c>
      <c r="AM236" s="117">
        <f t="shared" si="82"/>
        <v>0</v>
      </c>
      <c r="AN236" s="117">
        <f t="shared" si="91"/>
        <v>0</v>
      </c>
      <c r="AO236" s="117">
        <f t="shared" si="92"/>
        <v>0</v>
      </c>
      <c r="AP236" s="117">
        <f t="shared" si="83"/>
        <v>0</v>
      </c>
      <c r="AQ236" s="117">
        <f t="shared" si="84"/>
        <v>0</v>
      </c>
      <c r="AR236" s="117">
        <f t="shared" si="93"/>
        <v>0</v>
      </c>
      <c r="AS236" s="117">
        <f t="shared" si="94"/>
        <v>0</v>
      </c>
      <c r="AT236" s="117">
        <f t="shared" si="95"/>
        <v>0</v>
      </c>
      <c r="AU236" s="117">
        <f t="shared" si="96"/>
        <v>0</v>
      </c>
      <c r="AV236" s="117">
        <f t="shared" si="97"/>
        <v>0</v>
      </c>
      <c r="AW236" s="117">
        <f t="shared" si="98"/>
        <v>0</v>
      </c>
      <c r="AX236" s="117">
        <f t="shared" si="99"/>
        <v>0</v>
      </c>
      <c r="AY236" s="117">
        <f t="shared" si="100"/>
        <v>0</v>
      </c>
      <c r="AZ236" s="117">
        <f t="shared" si="101"/>
        <v>0</v>
      </c>
      <c r="BA236" s="117">
        <f t="shared" si="102"/>
        <v>0</v>
      </c>
      <c r="BB236" s="117">
        <f t="shared" si="103"/>
        <v>0</v>
      </c>
      <c r="BC236" s="117">
        <f t="shared" si="104"/>
        <v>0</v>
      </c>
      <c r="BD236" s="112">
        <f t="shared" si="105"/>
        <v>0</v>
      </c>
      <c r="BE236" s="107"/>
      <c r="BF236" s="107"/>
      <c r="BG236" s="107"/>
      <c r="BH236" s="107"/>
      <c r="BI236" s="107"/>
      <c r="BJ236" s="107"/>
      <c r="BK236" s="107"/>
      <c r="BL236" s="107"/>
    </row>
    <row r="237" spans="1:64" ht="12.75" customHeight="1" x14ac:dyDescent="0.2">
      <c r="A237" s="378"/>
      <c r="B237" s="378"/>
      <c r="C237" s="111" t="s">
        <v>446</v>
      </c>
      <c r="D237" s="380"/>
      <c r="E237" s="111"/>
      <c r="F237" s="111"/>
      <c r="G237" s="111">
        <v>45.45</v>
      </c>
      <c r="H237" s="111"/>
      <c r="I237" s="111"/>
      <c r="J237" s="111"/>
      <c r="K237" s="111"/>
      <c r="L237" s="111"/>
      <c r="M237" s="111"/>
      <c r="N237" s="111"/>
      <c r="O237" s="111"/>
      <c r="P237" s="111"/>
      <c r="Q237" s="111"/>
      <c r="R237" s="111"/>
      <c r="S237" s="111"/>
      <c r="T237" s="111"/>
      <c r="U237" s="111"/>
      <c r="V237" s="111"/>
      <c r="W237" s="111"/>
      <c r="X237" s="111"/>
      <c r="Y237" s="111"/>
      <c r="Z237" s="111"/>
      <c r="AA237" s="111"/>
      <c r="AB237" s="111"/>
      <c r="AC237" s="113" t="s">
        <v>285</v>
      </c>
      <c r="AD237" s="114">
        <f t="shared" si="85"/>
        <v>44</v>
      </c>
      <c r="AE237" s="115">
        <f>'1. SA ABA DE CARREGAMENTO'!B90</f>
        <v>22</v>
      </c>
      <c r="AF237" s="380"/>
      <c r="AG237" s="117">
        <f t="shared" si="86"/>
        <v>0</v>
      </c>
      <c r="AH237" s="117">
        <f t="shared" si="87"/>
        <v>0</v>
      </c>
      <c r="AI237" s="117">
        <f t="shared" si="88"/>
        <v>90.9</v>
      </c>
      <c r="AJ237" s="117">
        <f t="shared" si="89"/>
        <v>0</v>
      </c>
      <c r="AK237" s="117">
        <f t="shared" si="90"/>
        <v>0</v>
      </c>
      <c r="AL237" s="117">
        <f t="shared" si="81"/>
        <v>0</v>
      </c>
      <c r="AM237" s="117">
        <f t="shared" si="82"/>
        <v>0</v>
      </c>
      <c r="AN237" s="117">
        <f t="shared" si="91"/>
        <v>0</v>
      </c>
      <c r="AO237" s="117">
        <f t="shared" si="92"/>
        <v>0</v>
      </c>
      <c r="AP237" s="117">
        <f t="shared" si="83"/>
        <v>0</v>
      </c>
      <c r="AQ237" s="117">
        <f t="shared" si="84"/>
        <v>0</v>
      </c>
      <c r="AR237" s="117">
        <f t="shared" si="93"/>
        <v>0</v>
      </c>
      <c r="AS237" s="117">
        <f t="shared" si="94"/>
        <v>0</v>
      </c>
      <c r="AT237" s="117">
        <f t="shared" si="95"/>
        <v>0</v>
      </c>
      <c r="AU237" s="117">
        <f t="shared" si="96"/>
        <v>0</v>
      </c>
      <c r="AV237" s="117">
        <f t="shared" si="97"/>
        <v>0</v>
      </c>
      <c r="AW237" s="117">
        <f t="shared" si="98"/>
        <v>0</v>
      </c>
      <c r="AX237" s="117">
        <f t="shared" si="99"/>
        <v>0</v>
      </c>
      <c r="AY237" s="117">
        <f t="shared" si="100"/>
        <v>0</v>
      </c>
      <c r="AZ237" s="117">
        <f t="shared" si="101"/>
        <v>0</v>
      </c>
      <c r="BA237" s="117">
        <f t="shared" si="102"/>
        <v>0</v>
      </c>
      <c r="BB237" s="117">
        <f t="shared" si="103"/>
        <v>0</v>
      </c>
      <c r="BC237" s="117">
        <f t="shared" si="104"/>
        <v>0</v>
      </c>
      <c r="BD237" s="112">
        <f t="shared" si="105"/>
        <v>0</v>
      </c>
      <c r="BE237" s="107"/>
      <c r="BF237" s="107"/>
      <c r="BG237" s="107"/>
      <c r="BH237" s="107"/>
      <c r="BI237" s="107"/>
      <c r="BJ237" s="107"/>
      <c r="BK237" s="107"/>
      <c r="BL237" s="107"/>
    </row>
    <row r="238" spans="1:64" ht="12.75" customHeight="1" x14ac:dyDescent="0.2">
      <c r="A238" s="378"/>
      <c r="B238" s="378"/>
      <c r="C238" s="111" t="s">
        <v>447</v>
      </c>
      <c r="D238" s="380"/>
      <c r="E238" s="111"/>
      <c r="F238" s="111"/>
      <c r="G238" s="111">
        <v>49.33</v>
      </c>
      <c r="H238" s="111"/>
      <c r="I238" s="111"/>
      <c r="J238" s="111"/>
      <c r="K238" s="111"/>
      <c r="L238" s="111"/>
      <c r="M238" s="111"/>
      <c r="N238" s="111"/>
      <c r="O238" s="111"/>
      <c r="P238" s="111"/>
      <c r="Q238" s="111"/>
      <c r="R238" s="111"/>
      <c r="S238" s="111"/>
      <c r="T238" s="111"/>
      <c r="U238" s="111"/>
      <c r="V238" s="111"/>
      <c r="W238" s="111"/>
      <c r="X238" s="111"/>
      <c r="Y238" s="111"/>
      <c r="Z238" s="111"/>
      <c r="AA238" s="111"/>
      <c r="AB238" s="111"/>
      <c r="AC238" s="113" t="s">
        <v>285</v>
      </c>
      <c r="AD238" s="114">
        <f t="shared" si="85"/>
        <v>44</v>
      </c>
      <c r="AE238" s="115">
        <f>'1. SA ABA DE CARREGAMENTO'!B90</f>
        <v>22</v>
      </c>
      <c r="AF238" s="380"/>
      <c r="AG238" s="117">
        <f t="shared" si="86"/>
        <v>0</v>
      </c>
      <c r="AH238" s="117">
        <f t="shared" si="87"/>
        <v>0</v>
      </c>
      <c r="AI238" s="117">
        <f t="shared" si="88"/>
        <v>98.66</v>
      </c>
      <c r="AJ238" s="117">
        <f t="shared" si="89"/>
        <v>0</v>
      </c>
      <c r="AK238" s="117">
        <f t="shared" si="90"/>
        <v>0</v>
      </c>
      <c r="AL238" s="117">
        <f t="shared" si="81"/>
        <v>0</v>
      </c>
      <c r="AM238" s="117">
        <f t="shared" si="82"/>
        <v>0</v>
      </c>
      <c r="AN238" s="117">
        <f t="shared" si="91"/>
        <v>0</v>
      </c>
      <c r="AO238" s="117">
        <f t="shared" si="92"/>
        <v>0</v>
      </c>
      <c r="AP238" s="117">
        <f t="shared" si="83"/>
        <v>0</v>
      </c>
      <c r="AQ238" s="117">
        <f t="shared" si="84"/>
        <v>0</v>
      </c>
      <c r="AR238" s="117">
        <f t="shared" si="93"/>
        <v>0</v>
      </c>
      <c r="AS238" s="117">
        <f t="shared" si="94"/>
        <v>0</v>
      </c>
      <c r="AT238" s="117">
        <f t="shared" si="95"/>
        <v>0</v>
      </c>
      <c r="AU238" s="117">
        <f t="shared" si="96"/>
        <v>0</v>
      </c>
      <c r="AV238" s="117">
        <f t="shared" si="97"/>
        <v>0</v>
      </c>
      <c r="AW238" s="117">
        <f t="shared" si="98"/>
        <v>0</v>
      </c>
      <c r="AX238" s="117">
        <f t="shared" si="99"/>
        <v>0</v>
      </c>
      <c r="AY238" s="117">
        <f t="shared" si="100"/>
        <v>0</v>
      </c>
      <c r="AZ238" s="117">
        <f t="shared" si="101"/>
        <v>0</v>
      </c>
      <c r="BA238" s="117">
        <f t="shared" si="102"/>
        <v>0</v>
      </c>
      <c r="BB238" s="117">
        <f t="shared" si="103"/>
        <v>0</v>
      </c>
      <c r="BC238" s="117">
        <f t="shared" si="104"/>
        <v>0</v>
      </c>
      <c r="BD238" s="112">
        <f t="shared" si="105"/>
        <v>0</v>
      </c>
      <c r="BE238" s="107"/>
      <c r="BF238" s="107"/>
      <c r="BG238" s="107"/>
      <c r="BH238" s="107"/>
      <c r="BI238" s="107"/>
      <c r="BJ238" s="107"/>
      <c r="BK238" s="107"/>
      <c r="BL238" s="107"/>
    </row>
    <row r="239" spans="1:64" ht="15" x14ac:dyDescent="0.2">
      <c r="A239" s="378"/>
      <c r="B239" s="378"/>
      <c r="C239" s="111" t="s">
        <v>448</v>
      </c>
      <c r="D239" s="380"/>
      <c r="E239" s="111"/>
      <c r="F239" s="111"/>
      <c r="G239" s="111">
        <v>11.28</v>
      </c>
      <c r="H239" s="111"/>
      <c r="I239" s="111"/>
      <c r="J239" s="111"/>
      <c r="K239" s="111"/>
      <c r="L239" s="111"/>
      <c r="M239" s="111"/>
      <c r="N239" s="111"/>
      <c r="O239" s="111"/>
      <c r="P239" s="111"/>
      <c r="Q239" s="111"/>
      <c r="R239" s="111"/>
      <c r="S239" s="111"/>
      <c r="T239" s="111"/>
      <c r="U239" s="111"/>
      <c r="V239" s="111"/>
      <c r="W239" s="111"/>
      <c r="X239" s="111"/>
      <c r="Y239" s="111"/>
      <c r="Z239" s="111"/>
      <c r="AA239" s="111"/>
      <c r="AB239" s="111"/>
      <c r="AC239" s="113" t="s">
        <v>285</v>
      </c>
      <c r="AD239" s="114">
        <f t="shared" si="85"/>
        <v>44</v>
      </c>
      <c r="AE239" s="115">
        <f>'1. SA ABA DE CARREGAMENTO'!B90</f>
        <v>22</v>
      </c>
      <c r="AF239" s="380"/>
      <c r="AG239" s="117">
        <f t="shared" si="86"/>
        <v>0</v>
      </c>
      <c r="AH239" s="117">
        <f t="shared" si="87"/>
        <v>0</v>
      </c>
      <c r="AI239" s="117">
        <f t="shared" si="88"/>
        <v>22.56</v>
      </c>
      <c r="AJ239" s="117">
        <f t="shared" si="89"/>
        <v>0</v>
      </c>
      <c r="AK239" s="117">
        <f t="shared" si="90"/>
        <v>0</v>
      </c>
      <c r="AL239" s="117">
        <f t="shared" si="81"/>
        <v>0</v>
      </c>
      <c r="AM239" s="117">
        <f t="shared" si="82"/>
        <v>0</v>
      </c>
      <c r="AN239" s="117">
        <f t="shared" si="91"/>
        <v>0</v>
      </c>
      <c r="AO239" s="117">
        <f t="shared" si="92"/>
        <v>0</v>
      </c>
      <c r="AP239" s="117">
        <f t="shared" si="83"/>
        <v>0</v>
      </c>
      <c r="AQ239" s="117">
        <f t="shared" si="84"/>
        <v>0</v>
      </c>
      <c r="AR239" s="117">
        <f t="shared" si="93"/>
        <v>0</v>
      </c>
      <c r="AS239" s="117">
        <f t="shared" si="94"/>
        <v>0</v>
      </c>
      <c r="AT239" s="117">
        <f t="shared" si="95"/>
        <v>0</v>
      </c>
      <c r="AU239" s="117">
        <f t="shared" si="96"/>
        <v>0</v>
      </c>
      <c r="AV239" s="117">
        <f t="shared" si="97"/>
        <v>0</v>
      </c>
      <c r="AW239" s="117">
        <f t="shared" si="98"/>
        <v>0</v>
      </c>
      <c r="AX239" s="117">
        <f t="shared" si="99"/>
        <v>0</v>
      </c>
      <c r="AY239" s="117">
        <f t="shared" si="100"/>
        <v>0</v>
      </c>
      <c r="AZ239" s="117">
        <f t="shared" si="101"/>
        <v>0</v>
      </c>
      <c r="BA239" s="117">
        <f t="shared" si="102"/>
        <v>0</v>
      </c>
      <c r="BB239" s="117">
        <f t="shared" si="103"/>
        <v>0</v>
      </c>
      <c r="BC239" s="117">
        <f t="shared" si="104"/>
        <v>0</v>
      </c>
      <c r="BD239" s="112">
        <f t="shared" si="105"/>
        <v>0</v>
      </c>
      <c r="BE239" s="107"/>
      <c r="BF239" s="107"/>
      <c r="BG239" s="107"/>
      <c r="BH239" s="107"/>
      <c r="BI239" s="107"/>
      <c r="BJ239" s="107"/>
      <c r="BK239" s="107"/>
      <c r="BL239" s="107"/>
    </row>
    <row r="240" spans="1:64" ht="12.75" customHeight="1" x14ac:dyDescent="0.2">
      <c r="A240" s="378"/>
      <c r="B240" s="378"/>
      <c r="C240" s="111" t="s">
        <v>271</v>
      </c>
      <c r="D240" s="380"/>
      <c r="E240" s="111"/>
      <c r="F240" s="111"/>
      <c r="G240" s="111"/>
      <c r="H240" s="111"/>
      <c r="I240" s="111"/>
      <c r="J240" s="111"/>
      <c r="K240" s="111"/>
      <c r="L240" s="111">
        <v>130</v>
      </c>
      <c r="M240" s="111"/>
      <c r="N240" s="111"/>
      <c r="O240" s="111"/>
      <c r="P240" s="111"/>
      <c r="Q240" s="111"/>
      <c r="R240" s="111"/>
      <c r="S240" s="111"/>
      <c r="T240" s="111"/>
      <c r="U240" s="111"/>
      <c r="V240" s="111"/>
      <c r="W240" s="111"/>
      <c r="X240" s="111"/>
      <c r="Y240" s="111"/>
      <c r="Z240" s="111"/>
      <c r="AA240" s="111"/>
      <c r="AB240" s="111"/>
      <c r="AC240" s="113" t="s">
        <v>270</v>
      </c>
      <c r="AD240" s="114">
        <f t="shared" si="85"/>
        <v>66</v>
      </c>
      <c r="AE240" s="115">
        <f>'1. SA ABA DE CARREGAMENTO'!B90</f>
        <v>22</v>
      </c>
      <c r="AF240" s="380"/>
      <c r="AG240" s="117">
        <f t="shared" si="86"/>
        <v>0</v>
      </c>
      <c r="AH240" s="117">
        <f t="shared" si="87"/>
        <v>0</v>
      </c>
      <c r="AI240" s="117">
        <f t="shared" si="88"/>
        <v>0</v>
      </c>
      <c r="AJ240" s="117">
        <f t="shared" si="89"/>
        <v>0</v>
      </c>
      <c r="AK240" s="117">
        <f t="shared" si="90"/>
        <v>0</v>
      </c>
      <c r="AL240" s="117">
        <f t="shared" si="81"/>
        <v>0</v>
      </c>
      <c r="AM240" s="117">
        <f t="shared" si="82"/>
        <v>0</v>
      </c>
      <c r="AN240" s="117">
        <f t="shared" si="91"/>
        <v>390</v>
      </c>
      <c r="AO240" s="117">
        <f t="shared" si="92"/>
        <v>0</v>
      </c>
      <c r="AP240" s="117">
        <f t="shared" si="83"/>
        <v>0</v>
      </c>
      <c r="AQ240" s="117">
        <f t="shared" si="84"/>
        <v>0</v>
      </c>
      <c r="AR240" s="117">
        <f t="shared" si="93"/>
        <v>0</v>
      </c>
      <c r="AS240" s="117">
        <f t="shared" si="94"/>
        <v>0</v>
      </c>
      <c r="AT240" s="117">
        <f t="shared" si="95"/>
        <v>0</v>
      </c>
      <c r="AU240" s="117">
        <f t="shared" si="96"/>
        <v>0</v>
      </c>
      <c r="AV240" s="117">
        <f t="shared" si="97"/>
        <v>0</v>
      </c>
      <c r="AW240" s="117">
        <f t="shared" si="98"/>
        <v>0</v>
      </c>
      <c r="AX240" s="117">
        <f t="shared" si="99"/>
        <v>0</v>
      </c>
      <c r="AY240" s="117">
        <f t="shared" si="100"/>
        <v>0</v>
      </c>
      <c r="AZ240" s="117">
        <f t="shared" si="101"/>
        <v>0</v>
      </c>
      <c r="BA240" s="117">
        <f t="shared" si="102"/>
        <v>0</v>
      </c>
      <c r="BB240" s="117">
        <f t="shared" si="103"/>
        <v>0</v>
      </c>
      <c r="BC240" s="117">
        <f t="shared" si="104"/>
        <v>0</v>
      </c>
      <c r="BD240" s="112">
        <f t="shared" si="105"/>
        <v>0</v>
      </c>
      <c r="BE240" s="107"/>
      <c r="BF240" s="107"/>
      <c r="BG240" s="107"/>
      <c r="BH240" s="107"/>
      <c r="BI240" s="107"/>
      <c r="BJ240" s="107"/>
      <c r="BK240" s="107"/>
      <c r="BL240" s="107"/>
    </row>
    <row r="241" spans="1:64" ht="12.75" customHeight="1" x14ac:dyDescent="0.2">
      <c r="A241" s="378"/>
      <c r="B241" s="378"/>
      <c r="C241" s="111" t="s">
        <v>274</v>
      </c>
      <c r="D241" s="380"/>
      <c r="E241" s="111"/>
      <c r="F241" s="111"/>
      <c r="G241" s="111"/>
      <c r="H241" s="111"/>
      <c r="I241" s="111"/>
      <c r="J241" s="111"/>
      <c r="K241" s="111"/>
      <c r="L241" s="111"/>
      <c r="M241" s="111"/>
      <c r="N241" s="111"/>
      <c r="O241" s="111"/>
      <c r="P241" s="111"/>
      <c r="Q241" s="111"/>
      <c r="R241" s="111"/>
      <c r="S241" s="111"/>
      <c r="T241" s="111"/>
      <c r="U241" s="111"/>
      <c r="V241" s="111">
        <v>188.5</v>
      </c>
      <c r="W241" s="111"/>
      <c r="X241" s="111"/>
      <c r="Y241" s="111"/>
      <c r="Z241" s="111"/>
      <c r="AA241" s="111"/>
      <c r="AB241" s="111"/>
      <c r="AC241" s="113" t="s">
        <v>275</v>
      </c>
      <c r="AD241" s="114">
        <f t="shared" si="85"/>
        <v>0.17</v>
      </c>
      <c r="AE241" s="115">
        <f>'1. SA ABA DE CARREGAMENTO'!B90</f>
        <v>22</v>
      </c>
      <c r="AF241" s="380"/>
      <c r="AG241" s="117">
        <f t="shared" si="86"/>
        <v>0</v>
      </c>
      <c r="AH241" s="117">
        <f t="shared" si="87"/>
        <v>0</v>
      </c>
      <c r="AI241" s="117">
        <f t="shared" si="88"/>
        <v>0</v>
      </c>
      <c r="AJ241" s="117">
        <f t="shared" si="89"/>
        <v>0</v>
      </c>
      <c r="AK241" s="117">
        <f t="shared" si="90"/>
        <v>0</v>
      </c>
      <c r="AL241" s="117">
        <f t="shared" si="81"/>
        <v>0</v>
      </c>
      <c r="AM241" s="117">
        <f t="shared" si="82"/>
        <v>0</v>
      </c>
      <c r="AN241" s="117">
        <f t="shared" si="91"/>
        <v>0</v>
      </c>
      <c r="AO241" s="117">
        <f t="shared" si="92"/>
        <v>0</v>
      </c>
      <c r="AP241" s="117">
        <f t="shared" si="83"/>
        <v>0</v>
      </c>
      <c r="AQ241" s="117">
        <f t="shared" si="84"/>
        <v>0</v>
      </c>
      <c r="AR241" s="117">
        <f t="shared" si="93"/>
        <v>0</v>
      </c>
      <c r="AS241" s="117">
        <f t="shared" si="94"/>
        <v>0</v>
      </c>
      <c r="AT241" s="117">
        <f t="shared" si="95"/>
        <v>0</v>
      </c>
      <c r="AU241" s="117">
        <f t="shared" si="96"/>
        <v>0</v>
      </c>
      <c r="AV241" s="117">
        <f t="shared" si="97"/>
        <v>0</v>
      </c>
      <c r="AW241" s="117">
        <f t="shared" si="98"/>
        <v>0</v>
      </c>
      <c r="AX241" s="117">
        <f t="shared" si="99"/>
        <v>1.4565909090909093</v>
      </c>
      <c r="AY241" s="117">
        <f t="shared" si="100"/>
        <v>0</v>
      </c>
      <c r="AZ241" s="117">
        <f t="shared" si="101"/>
        <v>0</v>
      </c>
      <c r="BA241" s="117">
        <f t="shared" si="102"/>
        <v>0</v>
      </c>
      <c r="BB241" s="117">
        <f t="shared" si="103"/>
        <v>0</v>
      </c>
      <c r="BC241" s="117">
        <f t="shared" si="104"/>
        <v>0</v>
      </c>
      <c r="BD241" s="112">
        <f t="shared" si="105"/>
        <v>0</v>
      </c>
      <c r="BE241" s="107"/>
      <c r="BF241" s="107"/>
      <c r="BG241" s="107"/>
      <c r="BH241" s="107"/>
      <c r="BI241" s="107"/>
      <c r="BJ241" s="107"/>
      <c r="BK241" s="107"/>
      <c r="BL241" s="107"/>
    </row>
    <row r="242" spans="1:64" ht="12.75" customHeight="1" x14ac:dyDescent="0.2">
      <c r="A242" s="378"/>
      <c r="B242" s="378"/>
      <c r="C242" s="111" t="s">
        <v>276</v>
      </c>
      <c r="D242" s="380"/>
      <c r="E242" s="111"/>
      <c r="F242" s="111"/>
      <c r="G242" s="111"/>
      <c r="H242" s="111"/>
      <c r="I242" s="111"/>
      <c r="J242" s="111"/>
      <c r="K242" s="111"/>
      <c r="L242" s="111"/>
      <c r="M242" s="111"/>
      <c r="N242" s="111"/>
      <c r="O242" s="111"/>
      <c r="P242" s="111"/>
      <c r="Q242" s="111"/>
      <c r="R242" s="111"/>
      <c r="S242" s="111"/>
      <c r="T242" s="111"/>
      <c r="U242" s="111"/>
      <c r="V242" s="111"/>
      <c r="W242" s="111">
        <f>188.5+33.8</f>
        <v>222.3</v>
      </c>
      <c r="X242" s="111"/>
      <c r="Y242" s="111"/>
      <c r="Z242" s="111"/>
      <c r="AA242" s="111"/>
      <c r="AB242" s="111"/>
      <c r="AC242" s="113" t="s">
        <v>277</v>
      </c>
      <c r="AD242" s="114">
        <f t="shared" si="85"/>
        <v>8</v>
      </c>
      <c r="AE242" s="115">
        <f>'1. SA ABA DE CARREGAMENTO'!B90</f>
        <v>22</v>
      </c>
      <c r="AF242" s="380"/>
      <c r="AG242" s="117">
        <f t="shared" si="86"/>
        <v>0</v>
      </c>
      <c r="AH242" s="117">
        <f t="shared" si="87"/>
        <v>0</v>
      </c>
      <c r="AI242" s="117">
        <f t="shared" si="88"/>
        <v>0</v>
      </c>
      <c r="AJ242" s="117">
        <f t="shared" si="89"/>
        <v>0</v>
      </c>
      <c r="AK242" s="117">
        <f t="shared" si="90"/>
        <v>0</v>
      </c>
      <c r="AL242" s="117">
        <f t="shared" si="81"/>
        <v>0</v>
      </c>
      <c r="AM242" s="117">
        <f t="shared" si="82"/>
        <v>0</v>
      </c>
      <c r="AN242" s="117">
        <f t="shared" si="91"/>
        <v>0</v>
      </c>
      <c r="AO242" s="117">
        <f t="shared" si="92"/>
        <v>0</v>
      </c>
      <c r="AP242" s="117">
        <f t="shared" si="83"/>
        <v>0</v>
      </c>
      <c r="AQ242" s="117">
        <f t="shared" si="84"/>
        <v>0</v>
      </c>
      <c r="AR242" s="117">
        <f t="shared" si="93"/>
        <v>0</v>
      </c>
      <c r="AS242" s="117">
        <f t="shared" si="94"/>
        <v>0</v>
      </c>
      <c r="AT242" s="117">
        <f t="shared" si="95"/>
        <v>0</v>
      </c>
      <c r="AU242" s="117">
        <f t="shared" si="96"/>
        <v>0</v>
      </c>
      <c r="AV242" s="117">
        <f t="shared" si="97"/>
        <v>0</v>
      </c>
      <c r="AW242" s="117">
        <f t="shared" si="98"/>
        <v>0</v>
      </c>
      <c r="AX242" s="117">
        <f t="shared" si="99"/>
        <v>0</v>
      </c>
      <c r="AY242" s="117">
        <f t="shared" si="100"/>
        <v>80.836363636363643</v>
      </c>
      <c r="AZ242" s="117">
        <f t="shared" si="101"/>
        <v>0</v>
      </c>
      <c r="BA242" s="117">
        <f t="shared" si="102"/>
        <v>0</v>
      </c>
      <c r="BB242" s="117">
        <f t="shared" si="103"/>
        <v>0</v>
      </c>
      <c r="BC242" s="117">
        <f t="shared" si="104"/>
        <v>0</v>
      </c>
      <c r="BD242" s="112">
        <f t="shared" si="105"/>
        <v>0</v>
      </c>
      <c r="BE242" s="107"/>
      <c r="BF242" s="107"/>
      <c r="BG242" s="107"/>
      <c r="BH242" s="107"/>
      <c r="BI242" s="107"/>
      <c r="BJ242" s="107"/>
      <c r="BK242" s="107"/>
      <c r="BL242" s="107"/>
    </row>
    <row r="243" spans="1:64" ht="12.75" customHeight="1" x14ac:dyDescent="0.2">
      <c r="A243" s="378"/>
      <c r="B243" s="378"/>
      <c r="C243" s="111" t="s">
        <v>278</v>
      </c>
      <c r="D243" s="380"/>
      <c r="E243" s="111"/>
      <c r="F243" s="111"/>
      <c r="G243" s="111"/>
      <c r="H243" s="111"/>
      <c r="I243" s="111"/>
      <c r="J243" s="111"/>
      <c r="K243" s="111"/>
      <c r="L243" s="111"/>
      <c r="M243" s="111"/>
      <c r="N243" s="111"/>
      <c r="O243" s="111"/>
      <c r="P243" s="111"/>
      <c r="Q243" s="111"/>
      <c r="R243" s="111"/>
      <c r="S243" s="111"/>
      <c r="T243" s="111"/>
      <c r="U243" s="111"/>
      <c r="V243" s="111"/>
      <c r="W243" s="111"/>
      <c r="X243" s="111"/>
      <c r="Y243" s="111"/>
      <c r="Z243" s="111">
        <v>60</v>
      </c>
      <c r="AA243" s="111"/>
      <c r="AB243" s="111"/>
      <c r="AC243" s="113" t="s">
        <v>279</v>
      </c>
      <c r="AD243" s="114">
        <f t="shared" si="85"/>
        <v>132</v>
      </c>
      <c r="AE243" s="115">
        <f>'1. SA ABA DE CARREGAMENTO'!B90</f>
        <v>22</v>
      </c>
      <c r="AF243" s="380"/>
      <c r="AG243" s="117">
        <f t="shared" si="86"/>
        <v>0</v>
      </c>
      <c r="AH243" s="117">
        <f t="shared" si="87"/>
        <v>0</v>
      </c>
      <c r="AI243" s="117">
        <f t="shared" si="88"/>
        <v>0</v>
      </c>
      <c r="AJ243" s="117">
        <f t="shared" si="89"/>
        <v>0</v>
      </c>
      <c r="AK243" s="117">
        <f t="shared" si="90"/>
        <v>0</v>
      </c>
      <c r="AL243" s="117">
        <f t="shared" si="81"/>
        <v>0</v>
      </c>
      <c r="AM243" s="117">
        <f t="shared" si="82"/>
        <v>0</v>
      </c>
      <c r="AN243" s="117">
        <f t="shared" si="91"/>
        <v>0</v>
      </c>
      <c r="AO243" s="117">
        <f t="shared" si="92"/>
        <v>0</v>
      </c>
      <c r="AP243" s="117">
        <f t="shared" si="83"/>
        <v>0</v>
      </c>
      <c r="AQ243" s="117">
        <f t="shared" si="84"/>
        <v>0</v>
      </c>
      <c r="AR243" s="117">
        <f t="shared" si="93"/>
        <v>0</v>
      </c>
      <c r="AS243" s="117">
        <f t="shared" si="94"/>
        <v>0</v>
      </c>
      <c r="AT243" s="117">
        <f t="shared" si="95"/>
        <v>0</v>
      </c>
      <c r="AU243" s="117">
        <f t="shared" si="96"/>
        <v>0</v>
      </c>
      <c r="AV243" s="117">
        <f t="shared" si="97"/>
        <v>0</v>
      </c>
      <c r="AW243" s="117">
        <f t="shared" si="98"/>
        <v>0</v>
      </c>
      <c r="AX243" s="117">
        <f t="shared" si="99"/>
        <v>0</v>
      </c>
      <c r="AY243" s="117">
        <f t="shared" si="100"/>
        <v>0</v>
      </c>
      <c r="AZ243" s="117">
        <f t="shared" si="101"/>
        <v>0</v>
      </c>
      <c r="BA243" s="117">
        <f t="shared" si="102"/>
        <v>0</v>
      </c>
      <c r="BB243" s="117">
        <f t="shared" si="103"/>
        <v>360</v>
      </c>
      <c r="BC243" s="117">
        <f t="shared" si="104"/>
        <v>0</v>
      </c>
      <c r="BD243" s="112">
        <f t="shared" si="105"/>
        <v>0</v>
      </c>
      <c r="BE243" s="107"/>
      <c r="BF243" s="107"/>
      <c r="BG243" s="107"/>
      <c r="BH243" s="107"/>
      <c r="BI243" s="107"/>
      <c r="BJ243" s="107"/>
      <c r="BK243" s="107"/>
      <c r="BL243" s="107"/>
    </row>
    <row r="244" spans="1:64" ht="12.75" customHeight="1" x14ac:dyDescent="0.2">
      <c r="A244" s="378"/>
      <c r="B244" s="378"/>
      <c r="C244" s="111" t="s">
        <v>280</v>
      </c>
      <c r="D244" s="380"/>
      <c r="E244" s="111"/>
      <c r="F244" s="111"/>
      <c r="G244" s="111"/>
      <c r="H244" s="111"/>
      <c r="I244" s="111"/>
      <c r="J244" s="111"/>
      <c r="K244" s="111"/>
      <c r="L244" s="111"/>
      <c r="M244" s="111"/>
      <c r="N244" s="111"/>
      <c r="O244" s="111"/>
      <c r="P244" s="111"/>
      <c r="Q244" s="111"/>
      <c r="R244" s="111"/>
      <c r="S244" s="111"/>
      <c r="T244" s="111"/>
      <c r="U244" s="111"/>
      <c r="V244" s="111"/>
      <c r="W244" s="111"/>
      <c r="X244" s="111"/>
      <c r="Y244" s="111"/>
      <c r="Z244" s="111"/>
      <c r="AA244" s="111">
        <v>180</v>
      </c>
      <c r="AB244" s="111"/>
      <c r="AC244" s="113" t="s">
        <v>281</v>
      </c>
      <c r="AD244" s="114">
        <f t="shared" si="85"/>
        <v>4.33</v>
      </c>
      <c r="AE244" s="115">
        <f>'1. SA ABA DE CARREGAMENTO'!B90</f>
        <v>22</v>
      </c>
      <c r="AF244" s="380"/>
      <c r="AG244" s="117">
        <f t="shared" si="86"/>
        <v>0</v>
      </c>
      <c r="AH244" s="117">
        <f t="shared" si="87"/>
        <v>0</v>
      </c>
      <c r="AI244" s="117">
        <f t="shared" si="88"/>
        <v>0</v>
      </c>
      <c r="AJ244" s="117">
        <f t="shared" si="89"/>
        <v>0</v>
      </c>
      <c r="AK244" s="117">
        <f t="shared" si="90"/>
        <v>0</v>
      </c>
      <c r="AL244" s="117">
        <f t="shared" si="81"/>
        <v>0</v>
      </c>
      <c r="AM244" s="117">
        <f t="shared" si="82"/>
        <v>0</v>
      </c>
      <c r="AN244" s="117">
        <f t="shared" si="91"/>
        <v>0</v>
      </c>
      <c r="AO244" s="117">
        <f t="shared" si="92"/>
        <v>0</v>
      </c>
      <c r="AP244" s="117">
        <f t="shared" si="83"/>
        <v>0</v>
      </c>
      <c r="AQ244" s="117">
        <f t="shared" si="84"/>
        <v>0</v>
      </c>
      <c r="AR244" s="117">
        <f t="shared" si="93"/>
        <v>0</v>
      </c>
      <c r="AS244" s="117">
        <f t="shared" si="94"/>
        <v>0</v>
      </c>
      <c r="AT244" s="117">
        <f t="shared" si="95"/>
        <v>0</v>
      </c>
      <c r="AU244" s="117">
        <f t="shared" si="96"/>
        <v>0</v>
      </c>
      <c r="AV244" s="117">
        <f t="shared" si="97"/>
        <v>0</v>
      </c>
      <c r="AW244" s="117">
        <f t="shared" si="98"/>
        <v>0</v>
      </c>
      <c r="AX244" s="117">
        <f t="shared" si="99"/>
        <v>0</v>
      </c>
      <c r="AY244" s="117">
        <f t="shared" si="100"/>
        <v>0</v>
      </c>
      <c r="AZ244" s="117">
        <f t="shared" si="101"/>
        <v>0</v>
      </c>
      <c r="BA244" s="117">
        <f t="shared" si="102"/>
        <v>0</v>
      </c>
      <c r="BB244" s="117">
        <f t="shared" si="103"/>
        <v>0</v>
      </c>
      <c r="BC244" s="117">
        <f t="shared" si="104"/>
        <v>35.427272727272729</v>
      </c>
      <c r="BD244" s="112">
        <f t="shared" si="105"/>
        <v>0</v>
      </c>
      <c r="BE244" s="107"/>
      <c r="BF244" s="107"/>
      <c r="BG244" s="107"/>
      <c r="BH244" s="107"/>
      <c r="BI244" s="107"/>
      <c r="BJ244" s="107"/>
      <c r="BK244" s="107"/>
      <c r="BL244" s="107"/>
    </row>
    <row r="245" spans="1:64" ht="12.75" customHeight="1" x14ac:dyDescent="0.2">
      <c r="A245" s="378"/>
      <c r="B245" s="378"/>
      <c r="C245" s="111" t="s">
        <v>282</v>
      </c>
      <c r="D245" s="380"/>
      <c r="E245" s="111"/>
      <c r="F245" s="111"/>
      <c r="G245" s="111"/>
      <c r="H245" s="111"/>
      <c r="I245" s="111"/>
      <c r="J245" s="111"/>
      <c r="K245" s="111"/>
      <c r="L245" s="111"/>
      <c r="M245" s="111"/>
      <c r="N245" s="111"/>
      <c r="O245" s="111"/>
      <c r="P245" s="111"/>
      <c r="Q245" s="111"/>
      <c r="R245" s="111"/>
      <c r="S245" s="111"/>
      <c r="T245" s="111"/>
      <c r="U245" s="111"/>
      <c r="V245" s="111"/>
      <c r="W245" s="111"/>
      <c r="X245" s="111"/>
      <c r="Y245" s="111"/>
      <c r="Z245" s="111"/>
      <c r="AA245" s="111"/>
      <c r="AB245" s="111">
        <v>60</v>
      </c>
      <c r="AC245" s="113" t="s">
        <v>281</v>
      </c>
      <c r="AD245" s="114">
        <f t="shared" si="85"/>
        <v>4.33</v>
      </c>
      <c r="AE245" s="115">
        <f>'1. SA ABA DE CARREGAMENTO'!B90</f>
        <v>22</v>
      </c>
      <c r="AF245" s="380"/>
      <c r="AG245" s="117">
        <f t="shared" si="86"/>
        <v>0</v>
      </c>
      <c r="AH245" s="117">
        <f t="shared" si="87"/>
        <v>0</v>
      </c>
      <c r="AI245" s="117">
        <f t="shared" si="88"/>
        <v>0</v>
      </c>
      <c r="AJ245" s="117">
        <f t="shared" si="89"/>
        <v>0</v>
      </c>
      <c r="AK245" s="117">
        <f t="shared" si="90"/>
        <v>0</v>
      </c>
      <c r="AL245" s="117">
        <f t="shared" si="81"/>
        <v>0</v>
      </c>
      <c r="AM245" s="117">
        <f t="shared" si="82"/>
        <v>0</v>
      </c>
      <c r="AN245" s="117">
        <f t="shared" si="91"/>
        <v>0</v>
      </c>
      <c r="AO245" s="117">
        <f t="shared" si="92"/>
        <v>0</v>
      </c>
      <c r="AP245" s="117">
        <f t="shared" si="83"/>
        <v>0</v>
      </c>
      <c r="AQ245" s="117">
        <f t="shared" si="84"/>
        <v>0</v>
      </c>
      <c r="AR245" s="117">
        <f t="shared" si="93"/>
        <v>0</v>
      </c>
      <c r="AS245" s="117">
        <f t="shared" si="94"/>
        <v>0</v>
      </c>
      <c r="AT245" s="117">
        <f t="shared" si="95"/>
        <v>0</v>
      </c>
      <c r="AU245" s="117">
        <f t="shared" si="96"/>
        <v>0</v>
      </c>
      <c r="AV245" s="117">
        <f t="shared" si="97"/>
        <v>0</v>
      </c>
      <c r="AW245" s="117">
        <f t="shared" si="98"/>
        <v>0</v>
      </c>
      <c r="AX245" s="117">
        <f t="shared" si="99"/>
        <v>0</v>
      </c>
      <c r="AY245" s="117">
        <f t="shared" si="100"/>
        <v>0</v>
      </c>
      <c r="AZ245" s="117">
        <f t="shared" si="101"/>
        <v>0</v>
      </c>
      <c r="BA245" s="117">
        <f t="shared" si="102"/>
        <v>0</v>
      </c>
      <c r="BB245" s="117">
        <f t="shared" si="103"/>
        <v>0</v>
      </c>
      <c r="BC245" s="117">
        <f t="shared" si="104"/>
        <v>0</v>
      </c>
      <c r="BD245" s="112">
        <f t="shared" si="105"/>
        <v>11.80909090909091</v>
      </c>
      <c r="BE245" s="107"/>
      <c r="BF245" s="107"/>
      <c r="BG245" s="107"/>
      <c r="BH245" s="107"/>
      <c r="BI245" s="107"/>
      <c r="BJ245" s="107"/>
      <c r="BK245" s="107"/>
      <c r="BL245" s="107"/>
    </row>
    <row r="246" spans="1:64" ht="12.75" customHeight="1" x14ac:dyDescent="0.2">
      <c r="A246" s="376">
        <v>21</v>
      </c>
      <c r="B246" s="375" t="s">
        <v>449</v>
      </c>
      <c r="C246" s="106" t="s">
        <v>450</v>
      </c>
      <c r="D246" s="384">
        <f>SUM(E246:AB253)</f>
        <v>241.52000000000004</v>
      </c>
      <c r="E246" s="106"/>
      <c r="F246" s="106"/>
      <c r="G246" s="106"/>
      <c r="H246" s="106"/>
      <c r="I246" s="106"/>
      <c r="J246" s="106"/>
      <c r="K246" s="106"/>
      <c r="L246" s="106"/>
      <c r="M246" s="106">
        <v>165.19</v>
      </c>
      <c r="N246" s="106"/>
      <c r="O246" s="106"/>
      <c r="P246" s="106"/>
      <c r="Q246" s="106"/>
      <c r="R246" s="106"/>
      <c r="S246" s="106"/>
      <c r="T246" s="106"/>
      <c r="U246" s="106"/>
      <c r="V246" s="106"/>
      <c r="W246" s="106"/>
      <c r="X246" s="106"/>
      <c r="Y246" s="106"/>
      <c r="Z246" s="106"/>
      <c r="AA246" s="106"/>
      <c r="AB246" s="106"/>
      <c r="AC246" s="106" t="s">
        <v>275</v>
      </c>
      <c r="AD246" s="110">
        <f t="shared" si="85"/>
        <v>0.17</v>
      </c>
      <c r="AE246" s="108">
        <f>'1. SA ABA DE CARREGAMENTO'!B90</f>
        <v>22</v>
      </c>
      <c r="AF246" s="385">
        <f>SUM(AG246:BD253)</f>
        <v>10.632763636363636</v>
      </c>
      <c r="AG246" s="109">
        <f t="shared" si="86"/>
        <v>0</v>
      </c>
      <c r="AH246" s="109">
        <f t="shared" si="87"/>
        <v>0</v>
      </c>
      <c r="AI246" s="109">
        <f t="shared" si="88"/>
        <v>0</v>
      </c>
      <c r="AJ246" s="109">
        <f t="shared" si="89"/>
        <v>0</v>
      </c>
      <c r="AK246" s="109">
        <f t="shared" si="90"/>
        <v>0</v>
      </c>
      <c r="AL246" s="109">
        <f t="shared" si="81"/>
        <v>0</v>
      </c>
      <c r="AM246" s="109">
        <f t="shared" si="82"/>
        <v>0</v>
      </c>
      <c r="AN246" s="109">
        <f t="shared" si="91"/>
        <v>0</v>
      </c>
      <c r="AO246" s="109">
        <f t="shared" si="92"/>
        <v>1.2764681818181818</v>
      </c>
      <c r="AP246" s="109">
        <f t="shared" si="83"/>
        <v>0</v>
      </c>
      <c r="AQ246" s="109">
        <f t="shared" si="84"/>
        <v>0</v>
      </c>
      <c r="AR246" s="109">
        <f t="shared" si="93"/>
        <v>0</v>
      </c>
      <c r="AS246" s="109">
        <f t="shared" si="94"/>
        <v>0</v>
      </c>
      <c r="AT246" s="109">
        <f t="shared" si="95"/>
        <v>0</v>
      </c>
      <c r="AU246" s="109">
        <f t="shared" si="96"/>
        <v>0</v>
      </c>
      <c r="AV246" s="109">
        <f t="shared" si="97"/>
        <v>0</v>
      </c>
      <c r="AW246" s="109">
        <f t="shared" si="98"/>
        <v>0</v>
      </c>
      <c r="AX246" s="109">
        <f t="shared" si="99"/>
        <v>0</v>
      </c>
      <c r="AY246" s="109">
        <f t="shared" si="100"/>
        <v>0</v>
      </c>
      <c r="AZ246" s="109">
        <f t="shared" si="101"/>
        <v>0</v>
      </c>
      <c r="BA246" s="109">
        <f t="shared" si="102"/>
        <v>0</v>
      </c>
      <c r="BB246" s="109">
        <f t="shared" si="103"/>
        <v>0</v>
      </c>
      <c r="BC246" s="109">
        <f t="shared" si="104"/>
        <v>0</v>
      </c>
      <c r="BD246" s="109">
        <f t="shared" si="105"/>
        <v>0</v>
      </c>
      <c r="BE246" s="107"/>
      <c r="BF246" s="107"/>
      <c r="BG246" s="107"/>
      <c r="BH246" s="107"/>
      <c r="BI246" s="107"/>
      <c r="BJ246" s="107"/>
      <c r="BK246" s="107"/>
      <c r="BL246" s="107"/>
    </row>
    <row r="247" spans="1:64" ht="12.75" customHeight="1" x14ac:dyDescent="0.2">
      <c r="A247" s="376"/>
      <c r="B247" s="375"/>
      <c r="C247" s="106" t="s">
        <v>451</v>
      </c>
      <c r="D247" s="384"/>
      <c r="E247" s="106"/>
      <c r="F247" s="106">
        <v>2.65</v>
      </c>
      <c r="G247" s="106"/>
      <c r="H247" s="106"/>
      <c r="I247" s="106"/>
      <c r="J247" s="106"/>
      <c r="K247" s="106"/>
      <c r="L247" s="106"/>
      <c r="M247" s="106">
        <v>44.78</v>
      </c>
      <c r="N247" s="106"/>
      <c r="O247" s="106"/>
      <c r="P247" s="106"/>
      <c r="Q247" s="106"/>
      <c r="R247" s="106"/>
      <c r="S247" s="106"/>
      <c r="T247" s="106"/>
      <c r="U247" s="106"/>
      <c r="V247" s="106"/>
      <c r="W247" s="106"/>
      <c r="X247" s="106"/>
      <c r="Y247" s="106"/>
      <c r="Z247" s="106"/>
      <c r="AA247" s="106"/>
      <c r="AB247" s="106"/>
      <c r="AC247" s="106" t="s">
        <v>275</v>
      </c>
      <c r="AD247" s="110">
        <f t="shared" si="85"/>
        <v>0.17</v>
      </c>
      <c r="AE247" s="108">
        <f>'1. SA ABA DE CARREGAMENTO'!B90</f>
        <v>22</v>
      </c>
      <c r="AF247" s="385"/>
      <c r="AG247" s="109">
        <f t="shared" si="86"/>
        <v>0</v>
      </c>
      <c r="AH247" s="109">
        <f t="shared" si="87"/>
        <v>2.0477272727272729E-2</v>
      </c>
      <c r="AI247" s="109">
        <f t="shared" si="88"/>
        <v>0</v>
      </c>
      <c r="AJ247" s="109">
        <f t="shared" si="89"/>
        <v>0</v>
      </c>
      <c r="AK247" s="109">
        <f t="shared" si="90"/>
        <v>0</v>
      </c>
      <c r="AL247" s="109">
        <f t="shared" si="81"/>
        <v>0</v>
      </c>
      <c r="AM247" s="109">
        <f t="shared" si="82"/>
        <v>0</v>
      </c>
      <c r="AN247" s="109">
        <f t="shared" si="91"/>
        <v>0</v>
      </c>
      <c r="AO247" s="109">
        <f t="shared" si="92"/>
        <v>0.34602727272727274</v>
      </c>
      <c r="AP247" s="109">
        <f t="shared" si="83"/>
        <v>0</v>
      </c>
      <c r="AQ247" s="109">
        <f t="shared" si="84"/>
        <v>0</v>
      </c>
      <c r="AR247" s="109">
        <f t="shared" si="93"/>
        <v>0</v>
      </c>
      <c r="AS247" s="109">
        <f t="shared" si="94"/>
        <v>0</v>
      </c>
      <c r="AT247" s="109">
        <f t="shared" si="95"/>
        <v>0</v>
      </c>
      <c r="AU247" s="109">
        <f t="shared" si="96"/>
        <v>0</v>
      </c>
      <c r="AV247" s="109">
        <f t="shared" si="97"/>
        <v>0</v>
      </c>
      <c r="AW247" s="109">
        <f t="shared" si="98"/>
        <v>0</v>
      </c>
      <c r="AX247" s="109">
        <f t="shared" si="99"/>
        <v>0</v>
      </c>
      <c r="AY247" s="109">
        <f t="shared" si="100"/>
        <v>0</v>
      </c>
      <c r="AZ247" s="109">
        <f t="shared" si="101"/>
        <v>0</v>
      </c>
      <c r="BA247" s="109">
        <f t="shared" si="102"/>
        <v>0</v>
      </c>
      <c r="BB247" s="109">
        <f t="shared" si="103"/>
        <v>0</v>
      </c>
      <c r="BC247" s="109">
        <f t="shared" si="104"/>
        <v>0</v>
      </c>
      <c r="BD247" s="109">
        <f t="shared" si="105"/>
        <v>0</v>
      </c>
      <c r="BE247" s="107"/>
      <c r="BF247" s="107"/>
      <c r="BG247" s="107"/>
      <c r="BH247" s="107"/>
      <c r="BI247" s="107"/>
      <c r="BJ247" s="107"/>
      <c r="BK247" s="107"/>
      <c r="BL247" s="107"/>
    </row>
    <row r="248" spans="1:64" ht="12.75" customHeight="1" x14ac:dyDescent="0.2">
      <c r="A248" s="376"/>
      <c r="B248" s="375"/>
      <c r="C248" s="106" t="s">
        <v>452</v>
      </c>
      <c r="D248" s="384"/>
      <c r="E248" s="106"/>
      <c r="F248" s="106">
        <v>5.52</v>
      </c>
      <c r="G248" s="106"/>
      <c r="H248" s="106"/>
      <c r="I248" s="106"/>
      <c r="J248" s="106"/>
      <c r="K248" s="106"/>
      <c r="L248" s="106"/>
      <c r="M248" s="106"/>
      <c r="N248" s="106"/>
      <c r="O248" s="106"/>
      <c r="P248" s="106"/>
      <c r="Q248" s="106"/>
      <c r="R248" s="106"/>
      <c r="S248" s="106"/>
      <c r="T248" s="106"/>
      <c r="U248" s="106"/>
      <c r="V248" s="106"/>
      <c r="W248" s="106"/>
      <c r="X248" s="106"/>
      <c r="Y248" s="106"/>
      <c r="Z248" s="106"/>
      <c r="AA248" s="106"/>
      <c r="AB248" s="106"/>
      <c r="AC248" s="106" t="s">
        <v>275</v>
      </c>
      <c r="AD248" s="110">
        <f t="shared" si="85"/>
        <v>0.17</v>
      </c>
      <c r="AE248" s="108">
        <f>'1. SA ABA DE CARREGAMENTO'!B90</f>
        <v>22</v>
      </c>
      <c r="AF248" s="385"/>
      <c r="AG248" s="109">
        <f t="shared" si="86"/>
        <v>0</v>
      </c>
      <c r="AH248" s="109">
        <f t="shared" si="87"/>
        <v>4.2654545454545452E-2</v>
      </c>
      <c r="AI248" s="109">
        <f t="shared" si="88"/>
        <v>0</v>
      </c>
      <c r="AJ248" s="109">
        <f t="shared" si="89"/>
        <v>0</v>
      </c>
      <c r="AK248" s="109">
        <f t="shared" si="90"/>
        <v>0</v>
      </c>
      <c r="AL248" s="109">
        <f t="shared" si="81"/>
        <v>0</v>
      </c>
      <c r="AM248" s="109">
        <f t="shared" si="82"/>
        <v>0</v>
      </c>
      <c r="AN248" s="109">
        <f t="shared" si="91"/>
        <v>0</v>
      </c>
      <c r="AO248" s="109">
        <f t="shared" si="92"/>
        <v>0</v>
      </c>
      <c r="AP248" s="109">
        <f t="shared" si="83"/>
        <v>0</v>
      </c>
      <c r="AQ248" s="109">
        <f t="shared" si="84"/>
        <v>0</v>
      </c>
      <c r="AR248" s="109">
        <f t="shared" si="93"/>
        <v>0</v>
      </c>
      <c r="AS248" s="109">
        <f t="shared" si="94"/>
        <v>0</v>
      </c>
      <c r="AT248" s="109">
        <f t="shared" si="95"/>
        <v>0</v>
      </c>
      <c r="AU248" s="109">
        <f t="shared" si="96"/>
        <v>0</v>
      </c>
      <c r="AV248" s="109">
        <f t="shared" si="97"/>
        <v>0</v>
      </c>
      <c r="AW248" s="109">
        <f t="shared" si="98"/>
        <v>0</v>
      </c>
      <c r="AX248" s="109">
        <f t="shared" si="99"/>
        <v>0</v>
      </c>
      <c r="AY248" s="109">
        <f t="shared" si="100"/>
        <v>0</v>
      </c>
      <c r="AZ248" s="109">
        <f t="shared" si="101"/>
        <v>0</v>
      </c>
      <c r="BA248" s="109">
        <f t="shared" si="102"/>
        <v>0</v>
      </c>
      <c r="BB248" s="109">
        <f t="shared" si="103"/>
        <v>0</v>
      </c>
      <c r="BC248" s="109">
        <f t="shared" si="104"/>
        <v>0</v>
      </c>
      <c r="BD248" s="109">
        <f t="shared" si="105"/>
        <v>0</v>
      </c>
      <c r="BE248" s="107"/>
      <c r="BF248" s="107"/>
      <c r="BG248" s="107"/>
      <c r="BH248" s="107"/>
      <c r="BI248" s="107"/>
      <c r="BJ248" s="107"/>
      <c r="BK248" s="107"/>
      <c r="BL248" s="107"/>
    </row>
    <row r="249" spans="1:64" ht="12.75" customHeight="1" x14ac:dyDescent="0.2">
      <c r="A249" s="376"/>
      <c r="B249" s="375"/>
      <c r="C249" s="106" t="s">
        <v>453</v>
      </c>
      <c r="D249" s="384"/>
      <c r="E249" s="106"/>
      <c r="F249" s="106">
        <v>4.5999999999999996</v>
      </c>
      <c r="G249" s="106"/>
      <c r="H249" s="106"/>
      <c r="I249" s="106"/>
      <c r="J249" s="106"/>
      <c r="K249" s="106"/>
      <c r="L249" s="106"/>
      <c r="M249" s="106"/>
      <c r="N249" s="106"/>
      <c r="O249" s="106"/>
      <c r="P249" s="106"/>
      <c r="Q249" s="106"/>
      <c r="R249" s="106"/>
      <c r="S249" s="106"/>
      <c r="T249" s="106"/>
      <c r="U249" s="106"/>
      <c r="V249" s="106"/>
      <c r="W249" s="106"/>
      <c r="X249" s="106"/>
      <c r="Y249" s="106"/>
      <c r="Z249" s="106"/>
      <c r="AA249" s="106"/>
      <c r="AB249" s="106"/>
      <c r="AC249" s="106" t="s">
        <v>275</v>
      </c>
      <c r="AD249" s="110">
        <f t="shared" si="85"/>
        <v>0.17</v>
      </c>
      <c r="AE249" s="108">
        <f>'1. SA ABA DE CARREGAMENTO'!B90</f>
        <v>22</v>
      </c>
      <c r="AF249" s="385"/>
      <c r="AG249" s="109">
        <f t="shared" si="86"/>
        <v>0</v>
      </c>
      <c r="AH249" s="109">
        <f t="shared" si="87"/>
        <v>3.5545454545454547E-2</v>
      </c>
      <c r="AI249" s="109">
        <f t="shared" si="88"/>
        <v>0</v>
      </c>
      <c r="AJ249" s="109">
        <f t="shared" si="89"/>
        <v>0</v>
      </c>
      <c r="AK249" s="109">
        <f t="shared" si="90"/>
        <v>0</v>
      </c>
      <c r="AL249" s="109">
        <f t="shared" si="81"/>
        <v>0</v>
      </c>
      <c r="AM249" s="109">
        <f t="shared" si="82"/>
        <v>0</v>
      </c>
      <c r="AN249" s="109">
        <f t="shared" si="91"/>
        <v>0</v>
      </c>
      <c r="AO249" s="109">
        <f t="shared" si="92"/>
        <v>0</v>
      </c>
      <c r="AP249" s="109">
        <f t="shared" si="83"/>
        <v>0</v>
      </c>
      <c r="AQ249" s="109">
        <f t="shared" si="84"/>
        <v>0</v>
      </c>
      <c r="AR249" s="109">
        <f t="shared" si="93"/>
        <v>0</v>
      </c>
      <c r="AS249" s="109">
        <f t="shared" si="94"/>
        <v>0</v>
      </c>
      <c r="AT249" s="109">
        <f t="shared" si="95"/>
        <v>0</v>
      </c>
      <c r="AU249" s="109">
        <f t="shared" si="96"/>
        <v>0</v>
      </c>
      <c r="AV249" s="109">
        <f t="shared" si="97"/>
        <v>0</v>
      </c>
      <c r="AW249" s="109">
        <f t="shared" si="98"/>
        <v>0</v>
      </c>
      <c r="AX249" s="109">
        <f t="shared" si="99"/>
        <v>0</v>
      </c>
      <c r="AY249" s="109">
        <f t="shared" si="100"/>
        <v>0</v>
      </c>
      <c r="AZ249" s="109">
        <f t="shared" si="101"/>
        <v>0</v>
      </c>
      <c r="BA249" s="109">
        <f t="shared" si="102"/>
        <v>0</v>
      </c>
      <c r="BB249" s="109">
        <f t="shared" si="103"/>
        <v>0</v>
      </c>
      <c r="BC249" s="109">
        <f t="shared" si="104"/>
        <v>0</v>
      </c>
      <c r="BD249" s="109">
        <f t="shared" si="105"/>
        <v>0</v>
      </c>
      <c r="BE249" s="107"/>
      <c r="BF249" s="107"/>
      <c r="BG249" s="107"/>
      <c r="BH249" s="107"/>
      <c r="BI249" s="107"/>
      <c r="BJ249" s="107"/>
      <c r="BK249" s="107"/>
      <c r="BL249" s="107"/>
    </row>
    <row r="250" spans="1:64" ht="12.75" customHeight="1" x14ac:dyDescent="0.2">
      <c r="A250" s="376"/>
      <c r="B250" s="375"/>
      <c r="C250" s="106" t="s">
        <v>271</v>
      </c>
      <c r="D250" s="384"/>
      <c r="E250" s="106"/>
      <c r="F250" s="106"/>
      <c r="G250" s="106"/>
      <c r="H250" s="106"/>
      <c r="I250" s="106"/>
      <c r="J250" s="106"/>
      <c r="K250" s="106"/>
      <c r="L250" s="106">
        <v>4.46</v>
      </c>
      <c r="M250" s="106"/>
      <c r="N250" s="106"/>
      <c r="O250" s="106"/>
      <c r="P250" s="106"/>
      <c r="Q250" s="106"/>
      <c r="R250" s="106"/>
      <c r="S250" s="106"/>
      <c r="T250" s="106"/>
      <c r="U250" s="106"/>
      <c r="V250" s="106"/>
      <c r="W250" s="106"/>
      <c r="X250" s="106"/>
      <c r="Y250" s="106"/>
      <c r="Z250" s="106"/>
      <c r="AA250" s="106"/>
      <c r="AB250" s="106"/>
      <c r="AC250" s="106" t="s">
        <v>275</v>
      </c>
      <c r="AD250" s="110">
        <f t="shared" si="85"/>
        <v>0.17</v>
      </c>
      <c r="AE250" s="108">
        <f>'1. SA ABA DE CARREGAMENTO'!B90</f>
        <v>22</v>
      </c>
      <c r="AF250" s="385"/>
      <c r="AG250" s="109">
        <f t="shared" si="86"/>
        <v>0</v>
      </c>
      <c r="AH250" s="109">
        <f t="shared" si="87"/>
        <v>0</v>
      </c>
      <c r="AI250" s="109">
        <f t="shared" si="88"/>
        <v>0</v>
      </c>
      <c r="AJ250" s="109">
        <f t="shared" si="89"/>
        <v>0</v>
      </c>
      <c r="AK250" s="109">
        <f t="shared" si="90"/>
        <v>0</v>
      </c>
      <c r="AL250" s="109">
        <f t="shared" si="81"/>
        <v>0</v>
      </c>
      <c r="AM250" s="109">
        <f t="shared" si="82"/>
        <v>0</v>
      </c>
      <c r="AN250" s="109">
        <f t="shared" si="91"/>
        <v>3.446363636363637E-2</v>
      </c>
      <c r="AO250" s="109">
        <f t="shared" si="92"/>
        <v>0</v>
      </c>
      <c r="AP250" s="109">
        <f t="shared" si="83"/>
        <v>0</v>
      </c>
      <c r="AQ250" s="109">
        <f t="shared" si="84"/>
        <v>0</v>
      </c>
      <c r="AR250" s="109">
        <f t="shared" si="93"/>
        <v>0</v>
      </c>
      <c r="AS250" s="109">
        <f t="shared" si="94"/>
        <v>0</v>
      </c>
      <c r="AT250" s="109">
        <f t="shared" si="95"/>
        <v>0</v>
      </c>
      <c r="AU250" s="109">
        <f t="shared" si="96"/>
        <v>0</v>
      </c>
      <c r="AV250" s="109">
        <f t="shared" si="97"/>
        <v>0</v>
      </c>
      <c r="AW250" s="109">
        <f t="shared" si="98"/>
        <v>0</v>
      </c>
      <c r="AX250" s="109">
        <f t="shared" si="99"/>
        <v>0</v>
      </c>
      <c r="AY250" s="109">
        <f t="shared" si="100"/>
        <v>0</v>
      </c>
      <c r="AZ250" s="109">
        <f t="shared" si="101"/>
        <v>0</v>
      </c>
      <c r="BA250" s="109">
        <f t="shared" si="102"/>
        <v>0</v>
      </c>
      <c r="BB250" s="109">
        <f t="shared" si="103"/>
        <v>0</v>
      </c>
      <c r="BC250" s="109">
        <f t="shared" si="104"/>
        <v>0</v>
      </c>
      <c r="BD250" s="109">
        <f t="shared" si="105"/>
        <v>0</v>
      </c>
      <c r="BE250" s="107"/>
      <c r="BF250" s="107"/>
      <c r="BG250" s="107"/>
      <c r="BH250" s="107"/>
      <c r="BI250" s="107"/>
      <c r="BJ250" s="107"/>
      <c r="BK250" s="107"/>
      <c r="BL250" s="107"/>
    </row>
    <row r="251" spans="1:64" ht="21" customHeight="1" x14ac:dyDescent="0.2">
      <c r="A251" s="376"/>
      <c r="B251" s="375"/>
      <c r="C251" s="106" t="s">
        <v>454</v>
      </c>
      <c r="D251" s="384"/>
      <c r="E251" s="106"/>
      <c r="F251" s="106"/>
      <c r="G251" s="106"/>
      <c r="H251" s="106"/>
      <c r="I251" s="106"/>
      <c r="J251" s="106"/>
      <c r="K251" s="106"/>
      <c r="L251" s="106"/>
      <c r="M251" s="106"/>
      <c r="N251" s="106"/>
      <c r="O251" s="106"/>
      <c r="P251" s="106"/>
      <c r="Q251" s="106"/>
      <c r="R251" s="106"/>
      <c r="S251" s="106"/>
      <c r="T251" s="106"/>
      <c r="U251" s="106"/>
      <c r="V251" s="106"/>
      <c r="W251" s="106"/>
      <c r="X251" s="106"/>
      <c r="Y251" s="106"/>
      <c r="Z251" s="106">
        <v>3.36</v>
      </c>
      <c r="AA251" s="106"/>
      <c r="AB251" s="106"/>
      <c r="AC251" s="106" t="s">
        <v>285</v>
      </c>
      <c r="AD251" s="110">
        <f t="shared" si="85"/>
        <v>44</v>
      </c>
      <c r="AE251" s="108">
        <f>'1. SA ABA DE CARREGAMENTO'!B90</f>
        <v>22</v>
      </c>
      <c r="AF251" s="385"/>
      <c r="AG251" s="109">
        <f t="shared" si="86"/>
        <v>0</v>
      </c>
      <c r="AH251" s="109">
        <f t="shared" si="87"/>
        <v>0</v>
      </c>
      <c r="AI251" s="109">
        <f t="shared" si="88"/>
        <v>0</v>
      </c>
      <c r="AJ251" s="109">
        <f t="shared" si="89"/>
        <v>0</v>
      </c>
      <c r="AK251" s="109">
        <f t="shared" si="90"/>
        <v>0</v>
      </c>
      <c r="AL251" s="109">
        <f t="shared" si="81"/>
        <v>0</v>
      </c>
      <c r="AM251" s="109">
        <f t="shared" si="82"/>
        <v>0</v>
      </c>
      <c r="AN251" s="109">
        <f t="shared" si="91"/>
        <v>0</v>
      </c>
      <c r="AO251" s="109">
        <f t="shared" si="92"/>
        <v>0</v>
      </c>
      <c r="AP251" s="109">
        <f t="shared" si="83"/>
        <v>0</v>
      </c>
      <c r="AQ251" s="109">
        <f t="shared" si="84"/>
        <v>0</v>
      </c>
      <c r="AR251" s="109">
        <f t="shared" si="93"/>
        <v>0</v>
      </c>
      <c r="AS251" s="109">
        <f t="shared" si="94"/>
        <v>0</v>
      </c>
      <c r="AT251" s="109">
        <f t="shared" si="95"/>
        <v>0</v>
      </c>
      <c r="AU251" s="109">
        <f t="shared" si="96"/>
        <v>0</v>
      </c>
      <c r="AV251" s="109">
        <f t="shared" si="97"/>
        <v>0</v>
      </c>
      <c r="AW251" s="109">
        <f t="shared" si="98"/>
        <v>0</v>
      </c>
      <c r="AX251" s="109">
        <f t="shared" si="99"/>
        <v>0</v>
      </c>
      <c r="AY251" s="109">
        <f t="shared" si="100"/>
        <v>0</v>
      </c>
      <c r="AZ251" s="109">
        <f t="shared" si="101"/>
        <v>0</v>
      </c>
      <c r="BA251" s="109">
        <f t="shared" si="102"/>
        <v>0</v>
      </c>
      <c r="BB251" s="109">
        <f t="shared" si="103"/>
        <v>6.72</v>
      </c>
      <c r="BC251" s="109">
        <f t="shared" si="104"/>
        <v>0</v>
      </c>
      <c r="BD251" s="109">
        <f t="shared" si="105"/>
        <v>0</v>
      </c>
      <c r="BE251" s="107"/>
      <c r="BF251" s="107"/>
      <c r="BG251" s="107"/>
      <c r="BH251" s="107"/>
      <c r="BI251" s="107"/>
      <c r="BJ251" s="107"/>
      <c r="BK251" s="107"/>
      <c r="BL251" s="107"/>
    </row>
    <row r="252" spans="1:64" ht="27" customHeight="1" x14ac:dyDescent="0.2">
      <c r="A252" s="376"/>
      <c r="B252" s="375"/>
      <c r="C252" s="106" t="s">
        <v>455</v>
      </c>
      <c r="D252" s="384"/>
      <c r="E252" s="106"/>
      <c r="F252" s="106"/>
      <c r="G252" s="106"/>
      <c r="H252" s="106"/>
      <c r="I252" s="106"/>
      <c r="J252" s="106"/>
      <c r="K252" s="106"/>
      <c r="L252" s="106"/>
      <c r="M252" s="106"/>
      <c r="N252" s="106"/>
      <c r="O252" s="106"/>
      <c r="P252" s="106"/>
      <c r="Q252" s="106"/>
      <c r="R252" s="106"/>
      <c r="S252" s="106"/>
      <c r="T252" s="106"/>
      <c r="U252" s="106"/>
      <c r="V252" s="106"/>
      <c r="W252" s="106"/>
      <c r="X252" s="106"/>
      <c r="Y252" s="106"/>
      <c r="Z252" s="106"/>
      <c r="AA252" s="106">
        <v>7.6</v>
      </c>
      <c r="AB252" s="106"/>
      <c r="AC252" s="106" t="s">
        <v>281</v>
      </c>
      <c r="AD252" s="110">
        <f t="shared" si="85"/>
        <v>4.33</v>
      </c>
      <c r="AE252" s="108">
        <f>'1. SA ABA DE CARREGAMENTO'!B90</f>
        <v>22</v>
      </c>
      <c r="AF252" s="385"/>
      <c r="AG252" s="109">
        <f t="shared" si="86"/>
        <v>0</v>
      </c>
      <c r="AH252" s="109">
        <f t="shared" si="87"/>
        <v>0</v>
      </c>
      <c r="AI252" s="109">
        <f t="shared" si="88"/>
        <v>0</v>
      </c>
      <c r="AJ252" s="109">
        <f t="shared" si="89"/>
        <v>0</v>
      </c>
      <c r="AK252" s="109">
        <f t="shared" si="90"/>
        <v>0</v>
      </c>
      <c r="AL252" s="109">
        <f t="shared" si="81"/>
        <v>0</v>
      </c>
      <c r="AM252" s="109">
        <f t="shared" si="82"/>
        <v>0</v>
      </c>
      <c r="AN252" s="109">
        <f t="shared" si="91"/>
        <v>0</v>
      </c>
      <c r="AO252" s="109">
        <f t="shared" si="92"/>
        <v>0</v>
      </c>
      <c r="AP252" s="109">
        <f t="shared" si="83"/>
        <v>0</v>
      </c>
      <c r="AQ252" s="109">
        <f t="shared" si="84"/>
        <v>0</v>
      </c>
      <c r="AR252" s="109">
        <f t="shared" si="93"/>
        <v>0</v>
      </c>
      <c r="AS252" s="109">
        <f t="shared" si="94"/>
        <v>0</v>
      </c>
      <c r="AT252" s="109">
        <f t="shared" si="95"/>
        <v>0</v>
      </c>
      <c r="AU252" s="109">
        <f t="shared" si="96"/>
        <v>0</v>
      </c>
      <c r="AV252" s="109">
        <f t="shared" si="97"/>
        <v>0</v>
      </c>
      <c r="AW252" s="109">
        <f t="shared" si="98"/>
        <v>0</v>
      </c>
      <c r="AX252" s="109">
        <f t="shared" si="99"/>
        <v>0</v>
      </c>
      <c r="AY252" s="109">
        <f t="shared" si="100"/>
        <v>0</v>
      </c>
      <c r="AZ252" s="109">
        <f t="shared" si="101"/>
        <v>0</v>
      </c>
      <c r="BA252" s="109">
        <f t="shared" si="102"/>
        <v>0</v>
      </c>
      <c r="BB252" s="109">
        <f t="shared" si="103"/>
        <v>0</v>
      </c>
      <c r="BC252" s="109">
        <f t="shared" si="104"/>
        <v>1.4958181818181819</v>
      </c>
      <c r="BD252" s="109">
        <f t="shared" si="105"/>
        <v>0</v>
      </c>
      <c r="BE252" s="107"/>
      <c r="BF252" s="107"/>
      <c r="BG252" s="107"/>
      <c r="BH252" s="107"/>
      <c r="BI252" s="107"/>
      <c r="BJ252" s="107"/>
      <c r="BK252" s="107"/>
      <c r="BL252" s="107"/>
    </row>
    <row r="253" spans="1:64" ht="12.75" customHeight="1" x14ac:dyDescent="0.2">
      <c r="A253" s="376"/>
      <c r="B253" s="375"/>
      <c r="C253" s="106" t="s">
        <v>456</v>
      </c>
      <c r="D253" s="384"/>
      <c r="E253" s="106"/>
      <c r="F253" s="106"/>
      <c r="G253" s="106"/>
      <c r="H253" s="106"/>
      <c r="I253" s="106"/>
      <c r="J253" s="106"/>
      <c r="K253" s="106"/>
      <c r="L253" s="106"/>
      <c r="M253" s="106"/>
      <c r="N253" s="106"/>
      <c r="O253" s="106"/>
      <c r="P253" s="106"/>
      <c r="Q253" s="106"/>
      <c r="R253" s="106"/>
      <c r="S253" s="106"/>
      <c r="T253" s="106"/>
      <c r="U253" s="106"/>
      <c r="V253" s="106"/>
      <c r="W253" s="106"/>
      <c r="X253" s="106"/>
      <c r="Y253" s="106"/>
      <c r="Z253" s="106"/>
      <c r="AA253" s="106"/>
      <c r="AB253" s="106">
        <v>3.36</v>
      </c>
      <c r="AC253" s="106" t="s">
        <v>281</v>
      </c>
      <c r="AD253" s="110">
        <f t="shared" si="85"/>
        <v>4.33</v>
      </c>
      <c r="AE253" s="108">
        <f>'1. SA ABA DE CARREGAMENTO'!B90</f>
        <v>22</v>
      </c>
      <c r="AF253" s="385"/>
      <c r="AG253" s="109">
        <f t="shared" si="86"/>
        <v>0</v>
      </c>
      <c r="AH253" s="109">
        <f t="shared" si="87"/>
        <v>0</v>
      </c>
      <c r="AI253" s="109">
        <f t="shared" si="88"/>
        <v>0</v>
      </c>
      <c r="AJ253" s="109">
        <f t="shared" si="89"/>
        <v>0</v>
      </c>
      <c r="AK253" s="109">
        <f t="shared" si="90"/>
        <v>0</v>
      </c>
      <c r="AL253" s="109">
        <f t="shared" si="81"/>
        <v>0</v>
      </c>
      <c r="AM253" s="109">
        <f t="shared" si="82"/>
        <v>0</v>
      </c>
      <c r="AN253" s="109">
        <f t="shared" si="91"/>
        <v>0</v>
      </c>
      <c r="AO253" s="109">
        <f t="shared" si="92"/>
        <v>0</v>
      </c>
      <c r="AP253" s="109">
        <f t="shared" si="83"/>
        <v>0</v>
      </c>
      <c r="AQ253" s="109">
        <f t="shared" si="84"/>
        <v>0</v>
      </c>
      <c r="AR253" s="109">
        <f t="shared" si="93"/>
        <v>0</v>
      </c>
      <c r="AS253" s="109">
        <f t="shared" si="94"/>
        <v>0</v>
      </c>
      <c r="AT253" s="109">
        <f t="shared" si="95"/>
        <v>0</v>
      </c>
      <c r="AU253" s="109">
        <f t="shared" si="96"/>
        <v>0</v>
      </c>
      <c r="AV253" s="109">
        <f t="shared" si="97"/>
        <v>0</v>
      </c>
      <c r="AW253" s="109">
        <f t="shared" si="98"/>
        <v>0</v>
      </c>
      <c r="AX253" s="109">
        <f t="shared" si="99"/>
        <v>0</v>
      </c>
      <c r="AY253" s="109">
        <f t="shared" si="100"/>
        <v>0</v>
      </c>
      <c r="AZ253" s="109">
        <f t="shared" si="101"/>
        <v>0</v>
      </c>
      <c r="BA253" s="109">
        <f t="shared" si="102"/>
        <v>0</v>
      </c>
      <c r="BB253" s="109">
        <f t="shared" si="103"/>
        <v>0</v>
      </c>
      <c r="BC253" s="109">
        <f t="shared" si="104"/>
        <v>0</v>
      </c>
      <c r="BD253" s="109">
        <f t="shared" si="105"/>
        <v>0.66130909090909096</v>
      </c>
      <c r="BE253" s="107"/>
      <c r="BF253" s="107"/>
      <c r="BG253" s="107"/>
      <c r="BH253" s="107"/>
      <c r="BI253" s="107"/>
      <c r="BJ253" s="107"/>
      <c r="BK253" s="107"/>
      <c r="BL253" s="107"/>
    </row>
    <row r="254" spans="1:64" ht="15" customHeight="1" x14ac:dyDescent="0.2">
      <c r="A254" s="392">
        <v>22</v>
      </c>
      <c r="B254" s="393" t="s">
        <v>457</v>
      </c>
      <c r="C254" s="111" t="s">
        <v>458</v>
      </c>
      <c r="D254" s="394">
        <f>SUM(E254:AB257)</f>
        <v>38.870000000000005</v>
      </c>
      <c r="E254" s="111"/>
      <c r="F254" s="111"/>
      <c r="G254" s="111"/>
      <c r="H254" s="111">
        <v>5.4</v>
      </c>
      <c r="I254" s="111"/>
      <c r="J254" s="111"/>
      <c r="K254" s="111"/>
      <c r="L254" s="111"/>
      <c r="M254" s="111"/>
      <c r="N254" s="111"/>
      <c r="O254" s="111"/>
      <c r="P254" s="111"/>
      <c r="Q254" s="111"/>
      <c r="R254" s="111"/>
      <c r="S254" s="111"/>
      <c r="T254" s="111"/>
      <c r="U254" s="111"/>
      <c r="V254" s="111"/>
      <c r="W254" s="111"/>
      <c r="X254" s="111"/>
      <c r="Y254" s="111"/>
      <c r="Z254" s="111"/>
      <c r="AA254" s="111"/>
      <c r="AB254" s="111"/>
      <c r="AC254" s="113" t="s">
        <v>275</v>
      </c>
      <c r="AD254" s="114">
        <f t="shared" si="85"/>
        <v>0.17</v>
      </c>
      <c r="AE254" s="115">
        <f>'1. SA ABA DE CARREGAMENTO'!B90</f>
        <v>22</v>
      </c>
      <c r="AF254" s="394">
        <f>SUM(AG254:BD257)</f>
        <v>0.30035909090909096</v>
      </c>
      <c r="AG254" s="117">
        <f t="shared" si="86"/>
        <v>0</v>
      </c>
      <c r="AH254" s="117">
        <f t="shared" si="87"/>
        <v>0</v>
      </c>
      <c r="AI254" s="117">
        <f t="shared" si="88"/>
        <v>0</v>
      </c>
      <c r="AJ254" s="117">
        <f t="shared" si="89"/>
        <v>4.1727272727272731E-2</v>
      </c>
      <c r="AK254" s="117">
        <f t="shared" si="90"/>
        <v>0</v>
      </c>
      <c r="AL254" s="117">
        <f t="shared" si="81"/>
        <v>0</v>
      </c>
      <c r="AM254" s="117">
        <f t="shared" si="82"/>
        <v>0</v>
      </c>
      <c r="AN254" s="117">
        <f t="shared" si="91"/>
        <v>0</v>
      </c>
      <c r="AO254" s="117">
        <f t="shared" si="92"/>
        <v>0</v>
      </c>
      <c r="AP254" s="117">
        <f t="shared" si="83"/>
        <v>0</v>
      </c>
      <c r="AQ254" s="117">
        <f t="shared" si="84"/>
        <v>0</v>
      </c>
      <c r="AR254" s="117">
        <f t="shared" si="93"/>
        <v>0</v>
      </c>
      <c r="AS254" s="117">
        <f t="shared" si="94"/>
        <v>0</v>
      </c>
      <c r="AT254" s="117">
        <f t="shared" si="95"/>
        <v>0</v>
      </c>
      <c r="AU254" s="117">
        <f t="shared" si="96"/>
        <v>0</v>
      </c>
      <c r="AV254" s="117">
        <f t="shared" si="97"/>
        <v>0</v>
      </c>
      <c r="AW254" s="117">
        <f t="shared" si="98"/>
        <v>0</v>
      </c>
      <c r="AX254" s="117">
        <f t="shared" si="99"/>
        <v>0</v>
      </c>
      <c r="AY254" s="117">
        <f t="shared" si="100"/>
        <v>0</v>
      </c>
      <c r="AZ254" s="117">
        <f t="shared" si="101"/>
        <v>0</v>
      </c>
      <c r="BA254" s="117">
        <f t="shared" si="102"/>
        <v>0</v>
      </c>
      <c r="BB254" s="117">
        <f t="shared" si="103"/>
        <v>0</v>
      </c>
      <c r="BC254" s="117">
        <f t="shared" si="104"/>
        <v>0</v>
      </c>
      <c r="BD254" s="112">
        <f t="shared" si="105"/>
        <v>0</v>
      </c>
      <c r="BE254" s="107"/>
      <c r="BF254" s="107"/>
      <c r="BG254" s="107"/>
      <c r="BH254" s="107"/>
      <c r="BI254" s="107"/>
      <c r="BJ254" s="107"/>
      <c r="BK254" s="107"/>
      <c r="BL254" s="107"/>
    </row>
    <row r="255" spans="1:64" ht="15" x14ac:dyDescent="0.2">
      <c r="A255" s="392"/>
      <c r="B255" s="393"/>
      <c r="C255" s="111" t="s">
        <v>459</v>
      </c>
      <c r="D255" s="394"/>
      <c r="E255" s="111"/>
      <c r="F255" s="111"/>
      <c r="G255" s="111"/>
      <c r="H255" s="111">
        <v>3.4</v>
      </c>
      <c r="I255" s="111"/>
      <c r="J255" s="111"/>
      <c r="K255" s="111"/>
      <c r="L255" s="111"/>
      <c r="M255" s="111"/>
      <c r="N255" s="111"/>
      <c r="O255" s="111"/>
      <c r="P255" s="111"/>
      <c r="Q255" s="111"/>
      <c r="R255" s="111"/>
      <c r="S255" s="111"/>
      <c r="T255" s="111"/>
      <c r="U255" s="111"/>
      <c r="V255" s="111"/>
      <c r="W255" s="111"/>
      <c r="X255" s="111"/>
      <c r="Y255" s="111"/>
      <c r="Z255" s="111"/>
      <c r="AA255" s="111"/>
      <c r="AB255" s="111"/>
      <c r="AC255" s="113" t="s">
        <v>275</v>
      </c>
      <c r="AD255" s="114">
        <f t="shared" si="85"/>
        <v>0.17</v>
      </c>
      <c r="AE255" s="115">
        <f>'1. SA ABA DE CARREGAMENTO'!B90</f>
        <v>22</v>
      </c>
      <c r="AF255" s="394"/>
      <c r="AG255" s="117">
        <f t="shared" si="86"/>
        <v>0</v>
      </c>
      <c r="AH255" s="117">
        <f t="shared" si="87"/>
        <v>0</v>
      </c>
      <c r="AI255" s="117">
        <f t="shared" si="88"/>
        <v>0</v>
      </c>
      <c r="AJ255" s="117">
        <f t="shared" si="89"/>
        <v>2.6272727272727277E-2</v>
      </c>
      <c r="AK255" s="117">
        <f t="shared" si="90"/>
        <v>0</v>
      </c>
      <c r="AL255" s="117">
        <f t="shared" si="81"/>
        <v>0</v>
      </c>
      <c r="AM255" s="117">
        <f t="shared" si="82"/>
        <v>0</v>
      </c>
      <c r="AN255" s="117">
        <f t="shared" si="91"/>
        <v>0</v>
      </c>
      <c r="AO255" s="117">
        <f t="shared" si="92"/>
        <v>0</v>
      </c>
      <c r="AP255" s="117">
        <f t="shared" si="83"/>
        <v>0</v>
      </c>
      <c r="AQ255" s="117">
        <f t="shared" si="84"/>
        <v>0</v>
      </c>
      <c r="AR255" s="117">
        <f t="shared" si="93"/>
        <v>0</v>
      </c>
      <c r="AS255" s="117">
        <f t="shared" si="94"/>
        <v>0</v>
      </c>
      <c r="AT255" s="117">
        <f t="shared" si="95"/>
        <v>0</v>
      </c>
      <c r="AU255" s="117">
        <f t="shared" si="96"/>
        <v>0</v>
      </c>
      <c r="AV255" s="117">
        <f t="shared" si="97"/>
        <v>0</v>
      </c>
      <c r="AW255" s="117">
        <f t="shared" si="98"/>
        <v>0</v>
      </c>
      <c r="AX255" s="117">
        <f t="shared" si="99"/>
        <v>0</v>
      </c>
      <c r="AY255" s="117">
        <f t="shared" si="100"/>
        <v>0</v>
      </c>
      <c r="AZ255" s="117">
        <f t="shared" si="101"/>
        <v>0</v>
      </c>
      <c r="BA255" s="117">
        <f t="shared" si="102"/>
        <v>0</v>
      </c>
      <c r="BB255" s="117">
        <f t="shared" si="103"/>
        <v>0</v>
      </c>
      <c r="BC255" s="117">
        <f t="shared" si="104"/>
        <v>0</v>
      </c>
      <c r="BD255" s="112">
        <f t="shared" si="105"/>
        <v>0</v>
      </c>
      <c r="BE255" s="107"/>
      <c r="BF255" s="107"/>
      <c r="BG255" s="107"/>
      <c r="BH255" s="107"/>
      <c r="BI255" s="107"/>
      <c r="BJ255" s="107"/>
      <c r="BK255" s="107"/>
      <c r="BL255" s="107"/>
    </row>
    <row r="256" spans="1:64" ht="12.75" customHeight="1" x14ac:dyDescent="0.2">
      <c r="A256" s="392"/>
      <c r="B256" s="393"/>
      <c r="C256" s="111" t="s">
        <v>271</v>
      </c>
      <c r="D256" s="394"/>
      <c r="E256" s="111"/>
      <c r="F256" s="111"/>
      <c r="G256" s="111"/>
      <c r="H256" s="111"/>
      <c r="I256" s="111"/>
      <c r="J256" s="111"/>
      <c r="K256" s="111"/>
      <c r="L256" s="111">
        <v>2</v>
      </c>
      <c r="M256" s="111"/>
      <c r="N256" s="111"/>
      <c r="O256" s="111"/>
      <c r="P256" s="111"/>
      <c r="Q256" s="111"/>
      <c r="R256" s="111"/>
      <c r="S256" s="111"/>
      <c r="T256" s="111"/>
      <c r="U256" s="111"/>
      <c r="V256" s="111"/>
      <c r="W256" s="111"/>
      <c r="X256" s="111"/>
      <c r="Y256" s="111"/>
      <c r="Z256" s="111"/>
      <c r="AA256" s="111"/>
      <c r="AB256" s="111"/>
      <c r="AC256" s="113" t="s">
        <v>275</v>
      </c>
      <c r="AD256" s="114">
        <f t="shared" si="85"/>
        <v>0.17</v>
      </c>
      <c r="AE256" s="115">
        <f>'1. SA ABA DE CARREGAMENTO'!B90</f>
        <v>22</v>
      </c>
      <c r="AF256" s="394"/>
      <c r="AG256" s="117">
        <f t="shared" si="86"/>
        <v>0</v>
      </c>
      <c r="AH256" s="117">
        <f t="shared" si="87"/>
        <v>0</v>
      </c>
      <c r="AI256" s="117">
        <f t="shared" si="88"/>
        <v>0</v>
      </c>
      <c r="AJ256" s="117">
        <f t="shared" si="89"/>
        <v>0</v>
      </c>
      <c r="AK256" s="117">
        <f t="shared" si="90"/>
        <v>0</v>
      </c>
      <c r="AL256" s="117">
        <f t="shared" si="81"/>
        <v>0</v>
      </c>
      <c r="AM256" s="117">
        <f t="shared" si="82"/>
        <v>0</v>
      </c>
      <c r="AN256" s="117">
        <f t="shared" si="91"/>
        <v>1.5454545454545455E-2</v>
      </c>
      <c r="AO256" s="117">
        <f t="shared" si="92"/>
        <v>0</v>
      </c>
      <c r="AP256" s="117">
        <f t="shared" si="83"/>
        <v>0</v>
      </c>
      <c r="AQ256" s="117">
        <f t="shared" si="84"/>
        <v>0</v>
      </c>
      <c r="AR256" s="117">
        <f t="shared" si="93"/>
        <v>0</v>
      </c>
      <c r="AS256" s="117">
        <f t="shared" si="94"/>
        <v>0</v>
      </c>
      <c r="AT256" s="117">
        <f t="shared" si="95"/>
        <v>0</v>
      </c>
      <c r="AU256" s="117">
        <f t="shared" si="96"/>
        <v>0</v>
      </c>
      <c r="AV256" s="117">
        <f t="shared" si="97"/>
        <v>0</v>
      </c>
      <c r="AW256" s="117">
        <f t="shared" si="98"/>
        <v>0</v>
      </c>
      <c r="AX256" s="117">
        <f t="shared" si="99"/>
        <v>0</v>
      </c>
      <c r="AY256" s="117">
        <f t="shared" si="100"/>
        <v>0</v>
      </c>
      <c r="AZ256" s="117">
        <f t="shared" si="101"/>
        <v>0</v>
      </c>
      <c r="BA256" s="117">
        <f t="shared" si="102"/>
        <v>0</v>
      </c>
      <c r="BB256" s="117">
        <f t="shared" si="103"/>
        <v>0</v>
      </c>
      <c r="BC256" s="117">
        <f t="shared" si="104"/>
        <v>0</v>
      </c>
      <c r="BD256" s="112">
        <f t="shared" si="105"/>
        <v>0</v>
      </c>
      <c r="BE256" s="107"/>
      <c r="BF256" s="107"/>
      <c r="BG256" s="107"/>
      <c r="BH256" s="107"/>
      <c r="BI256" s="107"/>
      <c r="BJ256" s="107"/>
      <c r="BK256" s="107"/>
      <c r="BL256" s="107"/>
    </row>
    <row r="257" spans="1:64" ht="15" x14ac:dyDescent="0.2">
      <c r="A257" s="392"/>
      <c r="B257" s="393"/>
      <c r="C257" s="111" t="s">
        <v>460</v>
      </c>
      <c r="D257" s="394"/>
      <c r="E257" s="111"/>
      <c r="F257" s="111"/>
      <c r="G257" s="111"/>
      <c r="H257" s="111"/>
      <c r="I257" s="111"/>
      <c r="J257" s="111"/>
      <c r="K257" s="111"/>
      <c r="L257" s="111"/>
      <c r="M257" s="111"/>
      <c r="N257" s="111"/>
      <c r="O257" s="111"/>
      <c r="P257" s="111">
        <v>28.07</v>
      </c>
      <c r="Q257" s="111"/>
      <c r="R257" s="111"/>
      <c r="S257" s="111"/>
      <c r="T257" s="111"/>
      <c r="U257" s="111"/>
      <c r="V257" s="111"/>
      <c r="W257" s="111"/>
      <c r="X257" s="111"/>
      <c r="Y257" s="111"/>
      <c r="Z257" s="111"/>
      <c r="AA257" s="111"/>
      <c r="AB257" s="111"/>
      <c r="AC257" s="113" t="s">
        <v>275</v>
      </c>
      <c r="AD257" s="114">
        <f t="shared" si="85"/>
        <v>0.17</v>
      </c>
      <c r="AE257" s="115">
        <f>'1. SA ABA DE CARREGAMENTO'!B90</f>
        <v>22</v>
      </c>
      <c r="AF257" s="394"/>
      <c r="AG257" s="117">
        <f t="shared" si="86"/>
        <v>0</v>
      </c>
      <c r="AH257" s="117">
        <f t="shared" si="87"/>
        <v>0</v>
      </c>
      <c r="AI257" s="117">
        <f t="shared" si="88"/>
        <v>0</v>
      </c>
      <c r="AJ257" s="117">
        <f t="shared" si="89"/>
        <v>0</v>
      </c>
      <c r="AK257" s="117">
        <f t="shared" si="90"/>
        <v>0</v>
      </c>
      <c r="AL257" s="117">
        <f t="shared" si="81"/>
        <v>0</v>
      </c>
      <c r="AM257" s="117">
        <f t="shared" si="82"/>
        <v>0</v>
      </c>
      <c r="AN257" s="117">
        <f t="shared" si="91"/>
        <v>0</v>
      </c>
      <c r="AO257" s="117">
        <f t="shared" si="92"/>
        <v>0</v>
      </c>
      <c r="AP257" s="117">
        <f t="shared" si="83"/>
        <v>0</v>
      </c>
      <c r="AQ257" s="117">
        <f t="shared" si="84"/>
        <v>0</v>
      </c>
      <c r="AR257" s="117">
        <f t="shared" si="93"/>
        <v>0.21690454545454549</v>
      </c>
      <c r="AS257" s="117">
        <f t="shared" si="94"/>
        <v>0</v>
      </c>
      <c r="AT257" s="117">
        <f t="shared" si="95"/>
        <v>0</v>
      </c>
      <c r="AU257" s="117">
        <f t="shared" si="96"/>
        <v>0</v>
      </c>
      <c r="AV257" s="117">
        <f t="shared" si="97"/>
        <v>0</v>
      </c>
      <c r="AW257" s="117">
        <f t="shared" si="98"/>
        <v>0</v>
      </c>
      <c r="AX257" s="117">
        <f t="shared" si="99"/>
        <v>0</v>
      </c>
      <c r="AY257" s="117">
        <f t="shared" si="100"/>
        <v>0</v>
      </c>
      <c r="AZ257" s="117">
        <f t="shared" si="101"/>
        <v>0</v>
      </c>
      <c r="BA257" s="117">
        <f t="shared" si="102"/>
        <v>0</v>
      </c>
      <c r="BB257" s="117">
        <f t="shared" si="103"/>
        <v>0</v>
      </c>
      <c r="BC257" s="117">
        <f t="shared" si="104"/>
        <v>0</v>
      </c>
      <c r="BD257" s="112">
        <f t="shared" si="105"/>
        <v>0</v>
      </c>
      <c r="BE257" s="107"/>
      <c r="BF257" s="107"/>
      <c r="BG257" s="107"/>
      <c r="BH257" s="107"/>
      <c r="BI257" s="107"/>
      <c r="BJ257" s="107"/>
      <c r="BK257" s="107"/>
      <c r="BL257" s="107"/>
    </row>
    <row r="258" spans="1:64" ht="15" customHeight="1" x14ac:dyDescent="0.2">
      <c r="A258" s="389" t="s">
        <v>461</v>
      </c>
      <c r="B258" s="390" t="s">
        <v>462</v>
      </c>
      <c r="C258" s="106" t="s">
        <v>463</v>
      </c>
      <c r="D258" s="395">
        <f>SUM(E258:AB261)</f>
        <v>71.86999999999999</v>
      </c>
      <c r="E258" s="106"/>
      <c r="F258" s="106"/>
      <c r="G258" s="106"/>
      <c r="H258" s="106"/>
      <c r="I258" s="106"/>
      <c r="J258" s="106"/>
      <c r="K258" s="106"/>
      <c r="L258" s="106"/>
      <c r="M258" s="106"/>
      <c r="N258" s="106"/>
      <c r="O258" s="106"/>
      <c r="P258" s="106">
        <v>27.81</v>
      </c>
      <c r="Q258" s="106"/>
      <c r="R258" s="106"/>
      <c r="S258" s="106"/>
      <c r="T258" s="106"/>
      <c r="U258" s="106"/>
      <c r="V258" s="106"/>
      <c r="W258" s="106"/>
      <c r="X258" s="106"/>
      <c r="Y258" s="106"/>
      <c r="Z258" s="106"/>
      <c r="AA258" s="106"/>
      <c r="AB258" s="106"/>
      <c r="AC258" s="106" t="s">
        <v>275</v>
      </c>
      <c r="AD258" s="110">
        <f t="shared" si="85"/>
        <v>0.17</v>
      </c>
      <c r="AE258" s="108">
        <f>'1. SA ABA DE CARREGAMENTO'!B90</f>
        <v>22</v>
      </c>
      <c r="AF258" s="395">
        <f>SUM(AG258:BD261)</f>
        <v>0.55535909090909097</v>
      </c>
      <c r="AG258" s="109">
        <f t="shared" si="86"/>
        <v>0</v>
      </c>
      <c r="AH258" s="109">
        <f t="shared" si="87"/>
        <v>0</v>
      </c>
      <c r="AI258" s="109">
        <f t="shared" si="88"/>
        <v>0</v>
      </c>
      <c r="AJ258" s="109">
        <f t="shared" si="89"/>
        <v>0</v>
      </c>
      <c r="AK258" s="109">
        <f t="shared" si="90"/>
        <v>0</v>
      </c>
      <c r="AL258" s="109">
        <f t="shared" si="81"/>
        <v>0</v>
      </c>
      <c r="AM258" s="109">
        <f t="shared" si="82"/>
        <v>0</v>
      </c>
      <c r="AN258" s="109">
        <f t="shared" si="91"/>
        <v>0</v>
      </c>
      <c r="AO258" s="109">
        <f t="shared" si="92"/>
        <v>0</v>
      </c>
      <c r="AP258" s="109">
        <f t="shared" si="83"/>
        <v>0</v>
      </c>
      <c r="AQ258" s="109">
        <f t="shared" si="84"/>
        <v>0</v>
      </c>
      <c r="AR258" s="109">
        <f t="shared" si="93"/>
        <v>0.21489545454545456</v>
      </c>
      <c r="AS258" s="109">
        <f t="shared" si="94"/>
        <v>0</v>
      </c>
      <c r="AT258" s="109">
        <f t="shared" si="95"/>
        <v>0</v>
      </c>
      <c r="AU258" s="109">
        <f t="shared" si="96"/>
        <v>0</v>
      </c>
      <c r="AV258" s="109">
        <f t="shared" si="97"/>
        <v>0</v>
      </c>
      <c r="AW258" s="109">
        <f t="shared" si="98"/>
        <v>0</v>
      </c>
      <c r="AX258" s="109">
        <f t="shared" si="99"/>
        <v>0</v>
      </c>
      <c r="AY258" s="109">
        <f t="shared" si="100"/>
        <v>0</v>
      </c>
      <c r="AZ258" s="109">
        <f t="shared" si="101"/>
        <v>0</v>
      </c>
      <c r="BA258" s="109">
        <f t="shared" si="102"/>
        <v>0</v>
      </c>
      <c r="BB258" s="109">
        <f t="shared" si="103"/>
        <v>0</v>
      </c>
      <c r="BC258" s="109">
        <f t="shared" si="104"/>
        <v>0</v>
      </c>
      <c r="BD258" s="109">
        <f t="shared" si="105"/>
        <v>0</v>
      </c>
      <c r="BE258" s="107"/>
      <c r="BF258" s="107"/>
      <c r="BG258" s="107"/>
      <c r="BH258" s="107"/>
      <c r="BI258" s="107"/>
      <c r="BJ258" s="107"/>
      <c r="BK258" s="107"/>
      <c r="BL258" s="107"/>
    </row>
    <row r="259" spans="1:64" ht="15" x14ac:dyDescent="0.2">
      <c r="A259" s="389"/>
      <c r="B259" s="389"/>
      <c r="C259" s="106" t="s">
        <v>464</v>
      </c>
      <c r="D259" s="395"/>
      <c r="E259" s="106"/>
      <c r="F259" s="106"/>
      <c r="G259" s="106"/>
      <c r="H259" s="106"/>
      <c r="I259" s="106"/>
      <c r="J259" s="106"/>
      <c r="K259" s="106"/>
      <c r="L259" s="106"/>
      <c r="M259" s="106"/>
      <c r="N259" s="106"/>
      <c r="O259" s="106"/>
      <c r="P259" s="106">
        <v>27.81</v>
      </c>
      <c r="Q259" s="106"/>
      <c r="R259" s="106"/>
      <c r="S259" s="106"/>
      <c r="T259" s="106"/>
      <c r="U259" s="106"/>
      <c r="V259" s="106"/>
      <c r="W259" s="106"/>
      <c r="X259" s="106"/>
      <c r="Y259" s="106"/>
      <c r="Z259" s="106"/>
      <c r="AA259" s="106"/>
      <c r="AB259" s="106"/>
      <c r="AC259" s="106" t="s">
        <v>275</v>
      </c>
      <c r="AD259" s="110">
        <f t="shared" si="85"/>
        <v>0.17</v>
      </c>
      <c r="AE259" s="108">
        <f>'1. SA ABA DE CARREGAMENTO'!B90</f>
        <v>22</v>
      </c>
      <c r="AF259" s="395"/>
      <c r="AG259" s="109">
        <f t="shared" si="86"/>
        <v>0</v>
      </c>
      <c r="AH259" s="109">
        <f t="shared" si="87"/>
        <v>0</v>
      </c>
      <c r="AI259" s="109">
        <f t="shared" si="88"/>
        <v>0</v>
      </c>
      <c r="AJ259" s="109">
        <f t="shared" si="89"/>
        <v>0</v>
      </c>
      <c r="AK259" s="109">
        <f t="shared" si="90"/>
        <v>0</v>
      </c>
      <c r="AL259" s="109">
        <f t="shared" si="81"/>
        <v>0</v>
      </c>
      <c r="AM259" s="109">
        <f t="shared" si="82"/>
        <v>0</v>
      </c>
      <c r="AN259" s="109">
        <f t="shared" si="91"/>
        <v>0</v>
      </c>
      <c r="AO259" s="109">
        <f t="shared" si="92"/>
        <v>0</v>
      </c>
      <c r="AP259" s="109">
        <f t="shared" si="83"/>
        <v>0</v>
      </c>
      <c r="AQ259" s="109">
        <f t="shared" si="84"/>
        <v>0</v>
      </c>
      <c r="AR259" s="109">
        <f t="shared" si="93"/>
        <v>0.21489545454545456</v>
      </c>
      <c r="AS259" s="109">
        <f t="shared" si="94"/>
        <v>0</v>
      </c>
      <c r="AT259" s="109">
        <f t="shared" si="95"/>
        <v>0</v>
      </c>
      <c r="AU259" s="109">
        <f t="shared" si="96"/>
        <v>0</v>
      </c>
      <c r="AV259" s="109">
        <f t="shared" si="97"/>
        <v>0</v>
      </c>
      <c r="AW259" s="109">
        <f t="shared" si="98"/>
        <v>0</v>
      </c>
      <c r="AX259" s="109">
        <f t="shared" si="99"/>
        <v>0</v>
      </c>
      <c r="AY259" s="109">
        <f t="shared" si="100"/>
        <v>0</v>
      </c>
      <c r="AZ259" s="109">
        <f t="shared" si="101"/>
        <v>0</v>
      </c>
      <c r="BA259" s="109">
        <f t="shared" si="102"/>
        <v>0</v>
      </c>
      <c r="BB259" s="109">
        <f t="shared" si="103"/>
        <v>0</v>
      </c>
      <c r="BC259" s="109">
        <f t="shared" si="104"/>
        <v>0</v>
      </c>
      <c r="BD259" s="109">
        <f t="shared" si="105"/>
        <v>0</v>
      </c>
      <c r="BE259" s="107"/>
      <c r="BF259" s="107"/>
      <c r="BG259" s="107"/>
      <c r="BH259" s="107"/>
      <c r="BI259" s="107"/>
      <c r="BJ259" s="107"/>
      <c r="BK259" s="107"/>
      <c r="BL259" s="107"/>
    </row>
    <row r="260" spans="1:64" ht="15" x14ac:dyDescent="0.2">
      <c r="A260" s="389"/>
      <c r="B260" s="389"/>
      <c r="C260" s="106" t="s">
        <v>465</v>
      </c>
      <c r="D260" s="395"/>
      <c r="E260" s="106"/>
      <c r="F260" s="106"/>
      <c r="G260" s="106"/>
      <c r="H260" s="106">
        <v>12.4</v>
      </c>
      <c r="I260" s="106"/>
      <c r="J260" s="106"/>
      <c r="K260" s="106"/>
      <c r="L260" s="106"/>
      <c r="M260" s="106"/>
      <c r="N260" s="106"/>
      <c r="O260" s="106"/>
      <c r="P260" s="106"/>
      <c r="Q260" s="106"/>
      <c r="R260" s="106"/>
      <c r="S260" s="106"/>
      <c r="T260" s="106"/>
      <c r="U260" s="106"/>
      <c r="V260" s="106"/>
      <c r="W260" s="106"/>
      <c r="X260" s="106"/>
      <c r="Y260" s="106"/>
      <c r="Z260" s="106"/>
      <c r="AA260" s="106"/>
      <c r="AB260" s="106"/>
      <c r="AC260" s="106" t="s">
        <v>275</v>
      </c>
      <c r="AD260" s="110">
        <f t="shared" si="85"/>
        <v>0.17</v>
      </c>
      <c r="AE260" s="108">
        <f>'1. SA ABA DE CARREGAMENTO'!B90</f>
        <v>22</v>
      </c>
      <c r="AF260" s="395"/>
      <c r="AG260" s="109">
        <f t="shared" si="86"/>
        <v>0</v>
      </c>
      <c r="AH260" s="109">
        <f t="shared" si="87"/>
        <v>0</v>
      </c>
      <c r="AI260" s="109">
        <f t="shared" si="88"/>
        <v>0</v>
      </c>
      <c r="AJ260" s="109">
        <f t="shared" si="89"/>
        <v>9.5818181818181816E-2</v>
      </c>
      <c r="AK260" s="109">
        <f t="shared" si="90"/>
        <v>0</v>
      </c>
      <c r="AL260" s="109">
        <f t="shared" ref="AL260:AL275" si="106">(J260*AD260)/AE260</f>
        <v>0</v>
      </c>
      <c r="AM260" s="109">
        <f t="shared" ref="AM260:AM275" si="107">(K260*AD260)/AE260</f>
        <v>0</v>
      </c>
      <c r="AN260" s="109">
        <f t="shared" si="91"/>
        <v>0</v>
      </c>
      <c r="AO260" s="109">
        <f t="shared" si="92"/>
        <v>0</v>
      </c>
      <c r="AP260" s="109">
        <f t="shared" ref="AP260:AP275" si="108">(N260*AD260)/AE260</f>
        <v>0</v>
      </c>
      <c r="AQ260" s="109">
        <f t="shared" ref="AQ260:AQ275" si="109">(O260*AD260)/AE260</f>
        <v>0</v>
      </c>
      <c r="AR260" s="109">
        <f t="shared" si="93"/>
        <v>0</v>
      </c>
      <c r="AS260" s="109">
        <f t="shared" si="94"/>
        <v>0</v>
      </c>
      <c r="AT260" s="109">
        <f t="shared" si="95"/>
        <v>0</v>
      </c>
      <c r="AU260" s="109">
        <f t="shared" si="96"/>
        <v>0</v>
      </c>
      <c r="AV260" s="109">
        <f t="shared" si="97"/>
        <v>0</v>
      </c>
      <c r="AW260" s="109">
        <f t="shared" si="98"/>
        <v>0</v>
      </c>
      <c r="AX260" s="109">
        <f t="shared" si="99"/>
        <v>0</v>
      </c>
      <c r="AY260" s="109">
        <f t="shared" si="100"/>
        <v>0</v>
      </c>
      <c r="AZ260" s="109">
        <f t="shared" si="101"/>
        <v>0</v>
      </c>
      <c r="BA260" s="109">
        <f t="shared" si="102"/>
        <v>0</v>
      </c>
      <c r="BB260" s="109">
        <f t="shared" si="103"/>
        <v>0</v>
      </c>
      <c r="BC260" s="109">
        <f t="shared" si="104"/>
        <v>0</v>
      </c>
      <c r="BD260" s="109">
        <f t="shared" si="105"/>
        <v>0</v>
      </c>
      <c r="BE260" s="107"/>
      <c r="BF260" s="107"/>
      <c r="BG260" s="107"/>
      <c r="BH260" s="107"/>
      <c r="BI260" s="107"/>
      <c r="BJ260" s="107"/>
      <c r="BK260" s="107"/>
      <c r="BL260" s="107"/>
    </row>
    <row r="261" spans="1:64" ht="12.75" customHeight="1" x14ac:dyDescent="0.2">
      <c r="A261" s="389"/>
      <c r="B261" s="389"/>
      <c r="C261" s="106" t="s">
        <v>271</v>
      </c>
      <c r="D261" s="395"/>
      <c r="E261" s="106"/>
      <c r="F261" s="106"/>
      <c r="G261" s="106"/>
      <c r="H261" s="106"/>
      <c r="I261" s="106"/>
      <c r="J261" s="106"/>
      <c r="K261" s="106"/>
      <c r="L261" s="106">
        <v>3.85</v>
      </c>
      <c r="M261" s="106"/>
      <c r="N261" s="106"/>
      <c r="O261" s="106"/>
      <c r="P261" s="106"/>
      <c r="Q261" s="106"/>
      <c r="R261" s="106"/>
      <c r="S261" s="106"/>
      <c r="T261" s="106"/>
      <c r="U261" s="106"/>
      <c r="V261" s="106"/>
      <c r="W261" s="106"/>
      <c r="X261" s="106"/>
      <c r="Y261" s="106"/>
      <c r="Z261" s="106"/>
      <c r="AA261" s="106"/>
      <c r="AB261" s="106"/>
      <c r="AC261" s="106" t="s">
        <v>275</v>
      </c>
      <c r="AD261" s="110">
        <f t="shared" si="85"/>
        <v>0.17</v>
      </c>
      <c r="AE261" s="108">
        <f>'1. SA ABA DE CARREGAMENTO'!B90</f>
        <v>22</v>
      </c>
      <c r="AF261" s="395"/>
      <c r="AG261" s="109">
        <f t="shared" si="86"/>
        <v>0</v>
      </c>
      <c r="AH261" s="109">
        <f t="shared" si="87"/>
        <v>0</v>
      </c>
      <c r="AI261" s="109">
        <f t="shared" si="88"/>
        <v>0</v>
      </c>
      <c r="AJ261" s="109">
        <f t="shared" si="89"/>
        <v>0</v>
      </c>
      <c r="AK261" s="109">
        <f t="shared" si="90"/>
        <v>0</v>
      </c>
      <c r="AL261" s="109">
        <f t="shared" si="106"/>
        <v>0</v>
      </c>
      <c r="AM261" s="109">
        <f t="shared" si="107"/>
        <v>0</v>
      </c>
      <c r="AN261" s="109">
        <f t="shared" si="91"/>
        <v>2.9750000000000002E-2</v>
      </c>
      <c r="AO261" s="109">
        <f t="shared" si="92"/>
        <v>0</v>
      </c>
      <c r="AP261" s="109">
        <f t="shared" si="108"/>
        <v>0</v>
      </c>
      <c r="AQ261" s="109">
        <f t="shared" si="109"/>
        <v>0</v>
      </c>
      <c r="AR261" s="109">
        <f t="shared" si="93"/>
        <v>0</v>
      </c>
      <c r="AS261" s="109">
        <f t="shared" si="94"/>
        <v>0</v>
      </c>
      <c r="AT261" s="109">
        <f t="shared" si="95"/>
        <v>0</v>
      </c>
      <c r="AU261" s="109">
        <f t="shared" si="96"/>
        <v>0</v>
      </c>
      <c r="AV261" s="109">
        <f t="shared" si="97"/>
        <v>0</v>
      </c>
      <c r="AW261" s="109">
        <f t="shared" si="98"/>
        <v>0</v>
      </c>
      <c r="AX261" s="109">
        <f t="shared" si="99"/>
        <v>0</v>
      </c>
      <c r="AY261" s="109">
        <f t="shared" si="100"/>
        <v>0</v>
      </c>
      <c r="AZ261" s="109">
        <f t="shared" si="101"/>
        <v>0</v>
      </c>
      <c r="BA261" s="109">
        <f t="shared" si="102"/>
        <v>0</v>
      </c>
      <c r="BB261" s="109">
        <f t="shared" si="103"/>
        <v>0</v>
      </c>
      <c r="BC261" s="109">
        <f t="shared" si="104"/>
        <v>0</v>
      </c>
      <c r="BD261" s="109">
        <f t="shared" si="105"/>
        <v>0</v>
      </c>
      <c r="BE261" s="107"/>
      <c r="BF261" s="107"/>
      <c r="BG261" s="107"/>
      <c r="BH261" s="107"/>
      <c r="BI261" s="107"/>
      <c r="BJ261" s="107"/>
      <c r="BK261" s="107"/>
      <c r="BL261" s="107"/>
    </row>
    <row r="262" spans="1:64" ht="15" customHeight="1" x14ac:dyDescent="0.2">
      <c r="A262" s="378">
        <v>24</v>
      </c>
      <c r="B262" s="379" t="s">
        <v>466</v>
      </c>
      <c r="C262" s="111" t="s">
        <v>467</v>
      </c>
      <c r="D262" s="380">
        <f>SUM(E262:AB274)</f>
        <v>146.64999999999998</v>
      </c>
      <c r="E262" s="111"/>
      <c r="F262" s="111">
        <v>5.0999999999999996</v>
      </c>
      <c r="G262" s="111"/>
      <c r="H262" s="111"/>
      <c r="I262" s="111"/>
      <c r="J262" s="111"/>
      <c r="K262" s="111"/>
      <c r="L262" s="111"/>
      <c r="M262" s="111"/>
      <c r="N262" s="111"/>
      <c r="O262" s="111"/>
      <c r="P262" s="111"/>
      <c r="Q262" s="111"/>
      <c r="R262" s="111"/>
      <c r="S262" s="111"/>
      <c r="T262" s="111"/>
      <c r="U262" s="111"/>
      <c r="V262" s="111"/>
      <c r="W262" s="111"/>
      <c r="X262" s="111"/>
      <c r="Y262" s="111"/>
      <c r="Z262" s="111"/>
      <c r="AA262" s="111"/>
      <c r="AB262" s="111"/>
      <c r="AC262" s="113" t="s">
        <v>275</v>
      </c>
      <c r="AD262" s="114">
        <f t="shared" si="85"/>
        <v>0.17</v>
      </c>
      <c r="AE262" s="115">
        <f>'1. SA ABA DE CARREGAMENTO'!B90</f>
        <v>22</v>
      </c>
      <c r="AF262" s="380">
        <f>SUM(AG262:BD274)</f>
        <v>9.9386090909090914</v>
      </c>
      <c r="AG262" s="117">
        <f t="shared" si="86"/>
        <v>0</v>
      </c>
      <c r="AH262" s="117">
        <f t="shared" si="87"/>
        <v>3.9409090909090908E-2</v>
      </c>
      <c r="AI262" s="117">
        <f t="shared" si="88"/>
        <v>0</v>
      </c>
      <c r="AJ262" s="117">
        <f t="shared" si="89"/>
        <v>0</v>
      </c>
      <c r="AK262" s="117">
        <f t="shared" si="90"/>
        <v>0</v>
      </c>
      <c r="AL262" s="117">
        <f t="shared" si="106"/>
        <v>0</v>
      </c>
      <c r="AM262" s="117">
        <f t="shared" si="107"/>
        <v>0</v>
      </c>
      <c r="AN262" s="117">
        <f t="shared" si="91"/>
        <v>0</v>
      </c>
      <c r="AO262" s="117">
        <f t="shared" si="92"/>
        <v>0</v>
      </c>
      <c r="AP262" s="117">
        <f t="shared" si="108"/>
        <v>0</v>
      </c>
      <c r="AQ262" s="117">
        <f t="shared" si="109"/>
        <v>0</v>
      </c>
      <c r="AR262" s="117">
        <f t="shared" si="93"/>
        <v>0</v>
      </c>
      <c r="AS262" s="117">
        <f t="shared" si="94"/>
        <v>0</v>
      </c>
      <c r="AT262" s="117">
        <f t="shared" si="95"/>
        <v>0</v>
      </c>
      <c r="AU262" s="117">
        <f t="shared" si="96"/>
        <v>0</v>
      </c>
      <c r="AV262" s="117">
        <f t="shared" si="97"/>
        <v>0</v>
      </c>
      <c r="AW262" s="117">
        <f t="shared" si="98"/>
        <v>0</v>
      </c>
      <c r="AX262" s="117">
        <f t="shared" si="99"/>
        <v>0</v>
      </c>
      <c r="AY262" s="117">
        <f t="shared" si="100"/>
        <v>0</v>
      </c>
      <c r="AZ262" s="117">
        <f t="shared" si="101"/>
        <v>0</v>
      </c>
      <c r="BA262" s="117">
        <f t="shared" si="102"/>
        <v>0</v>
      </c>
      <c r="BB262" s="117">
        <f t="shared" si="103"/>
        <v>0</v>
      </c>
      <c r="BC262" s="117">
        <f t="shared" si="104"/>
        <v>0</v>
      </c>
      <c r="BD262" s="112">
        <f t="shared" si="105"/>
        <v>0</v>
      </c>
      <c r="BE262" s="107"/>
      <c r="BF262" s="107"/>
      <c r="BG262" s="107"/>
      <c r="BH262" s="107"/>
      <c r="BI262" s="107"/>
      <c r="BJ262" s="107"/>
      <c r="BK262" s="107"/>
      <c r="BL262" s="107"/>
    </row>
    <row r="263" spans="1:64" ht="15" x14ac:dyDescent="0.2">
      <c r="A263" s="378"/>
      <c r="B263" s="378"/>
      <c r="C263" s="111" t="s">
        <v>468</v>
      </c>
      <c r="D263" s="380"/>
      <c r="E263" s="111"/>
      <c r="F263" s="111"/>
      <c r="G263" s="111"/>
      <c r="H263" s="111"/>
      <c r="I263" s="111"/>
      <c r="J263" s="111"/>
      <c r="K263" s="111"/>
      <c r="L263" s="111"/>
      <c r="M263" s="111">
        <v>5.15</v>
      </c>
      <c r="N263" s="111"/>
      <c r="O263" s="111"/>
      <c r="P263" s="111"/>
      <c r="Q263" s="111"/>
      <c r="R263" s="111"/>
      <c r="S263" s="111"/>
      <c r="T263" s="111"/>
      <c r="U263" s="111"/>
      <c r="V263" s="111"/>
      <c r="W263" s="111"/>
      <c r="X263" s="111"/>
      <c r="Y263" s="111"/>
      <c r="Z263" s="111"/>
      <c r="AA263" s="111"/>
      <c r="AB263" s="111"/>
      <c r="AC263" s="113" t="s">
        <v>275</v>
      </c>
      <c r="AD263" s="114">
        <f t="shared" si="85"/>
        <v>0.17</v>
      </c>
      <c r="AE263" s="115">
        <f>'1. SA ABA DE CARREGAMENTO'!B90</f>
        <v>22</v>
      </c>
      <c r="AF263" s="380"/>
      <c r="AG263" s="117">
        <f t="shared" si="86"/>
        <v>0</v>
      </c>
      <c r="AH263" s="117">
        <f t="shared" si="87"/>
        <v>0</v>
      </c>
      <c r="AI263" s="117">
        <f t="shared" si="88"/>
        <v>0</v>
      </c>
      <c r="AJ263" s="117">
        <f t="shared" si="89"/>
        <v>0</v>
      </c>
      <c r="AK263" s="117">
        <f t="shared" si="90"/>
        <v>0</v>
      </c>
      <c r="AL263" s="117">
        <f t="shared" si="106"/>
        <v>0</v>
      </c>
      <c r="AM263" s="117">
        <f t="shared" si="107"/>
        <v>0</v>
      </c>
      <c r="AN263" s="117">
        <f t="shared" si="91"/>
        <v>0</v>
      </c>
      <c r="AO263" s="117">
        <f t="shared" si="92"/>
        <v>3.9795454545454551E-2</v>
      </c>
      <c r="AP263" s="117">
        <f t="shared" si="108"/>
        <v>0</v>
      </c>
      <c r="AQ263" s="117">
        <f t="shared" si="109"/>
        <v>0</v>
      </c>
      <c r="AR263" s="117">
        <f t="shared" si="93"/>
        <v>0</v>
      </c>
      <c r="AS263" s="117">
        <f t="shared" si="94"/>
        <v>0</v>
      </c>
      <c r="AT263" s="117">
        <f t="shared" si="95"/>
        <v>0</v>
      </c>
      <c r="AU263" s="117">
        <f t="shared" si="96"/>
        <v>0</v>
      </c>
      <c r="AV263" s="117">
        <f t="shared" si="97"/>
        <v>0</v>
      </c>
      <c r="AW263" s="117">
        <f t="shared" si="98"/>
        <v>0</v>
      </c>
      <c r="AX263" s="117">
        <f t="shared" si="99"/>
        <v>0</v>
      </c>
      <c r="AY263" s="117">
        <f t="shared" si="100"/>
        <v>0</v>
      </c>
      <c r="AZ263" s="117">
        <f t="shared" si="101"/>
        <v>0</v>
      </c>
      <c r="BA263" s="117">
        <f t="shared" si="102"/>
        <v>0</v>
      </c>
      <c r="BB263" s="117">
        <f t="shared" si="103"/>
        <v>0</v>
      </c>
      <c r="BC263" s="117">
        <f t="shared" si="104"/>
        <v>0</v>
      </c>
      <c r="BD263" s="112">
        <f t="shared" si="105"/>
        <v>0</v>
      </c>
      <c r="BE263" s="107"/>
      <c r="BF263" s="107"/>
      <c r="BG263" s="107"/>
      <c r="BH263" s="107"/>
      <c r="BI263" s="107"/>
      <c r="BJ263" s="107"/>
      <c r="BK263" s="107"/>
      <c r="BL263" s="107"/>
    </row>
    <row r="264" spans="1:64" ht="15" x14ac:dyDescent="0.2">
      <c r="A264" s="378"/>
      <c r="B264" s="378"/>
      <c r="C264" s="111" t="s">
        <v>469</v>
      </c>
      <c r="D264" s="380"/>
      <c r="E264" s="111"/>
      <c r="F264" s="111"/>
      <c r="G264" s="111"/>
      <c r="H264" s="111"/>
      <c r="I264" s="111"/>
      <c r="J264" s="111"/>
      <c r="K264" s="111"/>
      <c r="L264" s="111"/>
      <c r="M264" s="111">
        <v>5.5</v>
      </c>
      <c r="N264" s="111"/>
      <c r="O264" s="111"/>
      <c r="P264" s="111"/>
      <c r="Q264" s="111"/>
      <c r="R264" s="111"/>
      <c r="S264" s="111"/>
      <c r="T264" s="111"/>
      <c r="U264" s="111"/>
      <c r="V264" s="111"/>
      <c r="W264" s="111"/>
      <c r="X264" s="111"/>
      <c r="Y264" s="111"/>
      <c r="Z264" s="111"/>
      <c r="AA264" s="111"/>
      <c r="AB264" s="111"/>
      <c r="AC264" s="113" t="s">
        <v>275</v>
      </c>
      <c r="AD264" s="114">
        <f t="shared" ref="AD264:AD275" si="110">IF(AC264="DIÁRIA",AE264,IF(AC264="2xDIA",(AE264*2),IF(AC264="3xDIA",(AE264*3),IF(AC264="4xDIA",(AE264*4),IF(AC264="5xDIA",(AE264*5),IF(AC264="6xDIA",(AE264*6),IF(AC264="SEMANAL",4.33,IF(AC264="2xSEMANA",8,IF(AC264="3xSEMANA",12,IF(AC264="QUINZENAL",2,IF(AC264="MENSAL",1,IF(AC264="BIMESTRAL",0.5,IF(AC264="TRIMESTRAL",0.33,IF(AC264="SEMESTRAL",0.17,0))))))))))))))</f>
        <v>0.17</v>
      </c>
      <c r="AE264" s="115">
        <f>'1. SA ABA DE CARREGAMENTO'!B90</f>
        <v>22</v>
      </c>
      <c r="AF264" s="380"/>
      <c r="AG264" s="117">
        <f t="shared" ref="AG264:AG275" si="111">(E264*AD264)/AE264</f>
        <v>0</v>
      </c>
      <c r="AH264" s="117">
        <f t="shared" ref="AH264:AH275" si="112">(F264*AD264)/AE264</f>
        <v>0</v>
      </c>
      <c r="AI264" s="117">
        <f t="shared" ref="AI264:AI275" si="113">(G264*AD264)/AE264</f>
        <v>0</v>
      </c>
      <c r="AJ264" s="117">
        <f t="shared" ref="AJ264:AJ275" si="114">(H264*AD264)/AE264</f>
        <v>0</v>
      </c>
      <c r="AK264" s="117">
        <f t="shared" ref="AK264:AK275" si="115">(I264*AD264)/AE264</f>
        <v>0</v>
      </c>
      <c r="AL264" s="117">
        <f t="shared" si="106"/>
        <v>0</v>
      </c>
      <c r="AM264" s="117">
        <f t="shared" si="107"/>
        <v>0</v>
      </c>
      <c r="AN264" s="117">
        <f t="shared" ref="AN264:AN275" si="116">(L264*AD264)/AE264</f>
        <v>0</v>
      </c>
      <c r="AO264" s="117">
        <f t="shared" ref="AO264:AO275" si="117">(M264*AD264)/AE264</f>
        <v>4.2500000000000003E-2</v>
      </c>
      <c r="AP264" s="117">
        <f t="shared" si="108"/>
        <v>0</v>
      </c>
      <c r="AQ264" s="117">
        <f t="shared" si="109"/>
        <v>0</v>
      </c>
      <c r="AR264" s="117">
        <f t="shared" ref="AR264:AR275" si="118">(P264*AD264)/AE264</f>
        <v>0</v>
      </c>
      <c r="AS264" s="117">
        <f t="shared" ref="AS264:AS275" si="119">(Q264*AD264)/AE264</f>
        <v>0</v>
      </c>
      <c r="AT264" s="117">
        <f t="shared" ref="AT264:AT275" si="120">(R264*AD264)/AE264</f>
        <v>0</v>
      </c>
      <c r="AU264" s="117">
        <f t="shared" ref="AU264:AU275" si="121">(S264*AD264)/AE264</f>
        <v>0</v>
      </c>
      <c r="AV264" s="117">
        <f t="shared" ref="AV264:AV275" si="122">(T264*AD264)/AE264</f>
        <v>0</v>
      </c>
      <c r="AW264" s="117">
        <f t="shared" ref="AW264:AW275" si="123">(U264*AD264)/AE264</f>
        <v>0</v>
      </c>
      <c r="AX264" s="117">
        <f t="shared" ref="AX264:AX275" si="124">(V264*AD264)/AE264</f>
        <v>0</v>
      </c>
      <c r="AY264" s="117">
        <f t="shared" ref="AY264:AY275" si="125">(W264*AD264)/AE264</f>
        <v>0</v>
      </c>
      <c r="AZ264" s="117">
        <f t="shared" ref="AZ264:AZ275" si="126">(X264*AD264)/AE264</f>
        <v>0</v>
      </c>
      <c r="BA264" s="117">
        <f t="shared" ref="BA264:BA275" si="127">(Y264*AD264)/AE264</f>
        <v>0</v>
      </c>
      <c r="BB264" s="117">
        <f t="shared" ref="BB264:BB275" si="128">(Z264*AD264)/AE264</f>
        <v>0</v>
      </c>
      <c r="BC264" s="117">
        <f t="shared" ref="BC264:BC275" si="129">(AA264*AD264)/AE264</f>
        <v>0</v>
      </c>
      <c r="BD264" s="112">
        <f t="shared" si="105"/>
        <v>0</v>
      </c>
      <c r="BE264" s="107"/>
      <c r="BF264" s="107"/>
      <c r="BG264" s="107"/>
      <c r="BH264" s="107"/>
      <c r="BI264" s="107"/>
      <c r="BJ264" s="107"/>
      <c r="BK264" s="107"/>
      <c r="BL264" s="107"/>
    </row>
    <row r="265" spans="1:64" ht="15" x14ac:dyDescent="0.2">
      <c r="A265" s="378"/>
      <c r="B265" s="378"/>
      <c r="C265" s="111" t="s">
        <v>470</v>
      </c>
      <c r="D265" s="380"/>
      <c r="E265" s="111"/>
      <c r="F265" s="111"/>
      <c r="G265" s="111"/>
      <c r="H265" s="111"/>
      <c r="I265" s="111"/>
      <c r="J265" s="111"/>
      <c r="K265" s="111"/>
      <c r="L265" s="111"/>
      <c r="M265" s="111">
        <v>13.02</v>
      </c>
      <c r="N265" s="111"/>
      <c r="O265" s="111"/>
      <c r="P265" s="111"/>
      <c r="Q265" s="111"/>
      <c r="R265" s="111"/>
      <c r="S265" s="111"/>
      <c r="T265" s="111"/>
      <c r="U265" s="111"/>
      <c r="V265" s="111"/>
      <c r="W265" s="111"/>
      <c r="X265" s="111"/>
      <c r="Y265" s="111"/>
      <c r="Z265" s="111"/>
      <c r="AA265" s="111"/>
      <c r="AB265" s="111"/>
      <c r="AC265" s="113" t="s">
        <v>275</v>
      </c>
      <c r="AD265" s="114">
        <f t="shared" si="110"/>
        <v>0.17</v>
      </c>
      <c r="AE265" s="115">
        <f>'1. SA ABA DE CARREGAMENTO'!B90</f>
        <v>22</v>
      </c>
      <c r="AF265" s="380"/>
      <c r="AG265" s="117">
        <f t="shared" si="111"/>
        <v>0</v>
      </c>
      <c r="AH265" s="117">
        <f t="shared" si="112"/>
        <v>0</v>
      </c>
      <c r="AI265" s="117">
        <f t="shared" si="113"/>
        <v>0</v>
      </c>
      <c r="AJ265" s="117">
        <f t="shared" si="114"/>
        <v>0</v>
      </c>
      <c r="AK265" s="117">
        <f t="shared" si="115"/>
        <v>0</v>
      </c>
      <c r="AL265" s="117">
        <f t="shared" si="106"/>
        <v>0</v>
      </c>
      <c r="AM265" s="117">
        <f t="shared" si="107"/>
        <v>0</v>
      </c>
      <c r="AN265" s="117">
        <f t="shared" si="116"/>
        <v>0</v>
      </c>
      <c r="AO265" s="117">
        <f t="shared" si="117"/>
        <v>0.10060909090909091</v>
      </c>
      <c r="AP265" s="117">
        <f t="shared" si="108"/>
        <v>0</v>
      </c>
      <c r="AQ265" s="117">
        <f t="shared" si="109"/>
        <v>0</v>
      </c>
      <c r="AR265" s="117">
        <f t="shared" si="118"/>
        <v>0</v>
      </c>
      <c r="AS265" s="117">
        <f t="shared" si="119"/>
        <v>0</v>
      </c>
      <c r="AT265" s="117">
        <f t="shared" si="120"/>
        <v>0</v>
      </c>
      <c r="AU265" s="117">
        <f t="shared" si="121"/>
        <v>0</v>
      </c>
      <c r="AV265" s="117">
        <f t="shared" si="122"/>
        <v>0</v>
      </c>
      <c r="AW265" s="117">
        <f t="shared" si="123"/>
        <v>0</v>
      </c>
      <c r="AX265" s="117">
        <f t="shared" si="124"/>
        <v>0</v>
      </c>
      <c r="AY265" s="117">
        <f t="shared" si="125"/>
        <v>0</v>
      </c>
      <c r="AZ265" s="117">
        <f t="shared" si="126"/>
        <v>0</v>
      </c>
      <c r="BA265" s="117">
        <f t="shared" si="127"/>
        <v>0</v>
      </c>
      <c r="BB265" s="117">
        <f t="shared" si="128"/>
        <v>0</v>
      </c>
      <c r="BC265" s="117">
        <f t="shared" si="129"/>
        <v>0</v>
      </c>
      <c r="BD265" s="112">
        <f t="shared" ref="BD265:BD275" si="130">(AB265*AD265)/AE265</f>
        <v>0</v>
      </c>
      <c r="BE265" s="107"/>
      <c r="BF265" s="107"/>
      <c r="BG265" s="107"/>
      <c r="BH265" s="107"/>
      <c r="BI265" s="107"/>
      <c r="BJ265" s="107"/>
      <c r="BK265" s="107"/>
      <c r="BL265" s="107"/>
    </row>
    <row r="266" spans="1:64" ht="15" x14ac:dyDescent="0.2">
      <c r="A266" s="378"/>
      <c r="B266" s="378"/>
      <c r="C266" s="111" t="s">
        <v>471</v>
      </c>
      <c r="D266" s="380"/>
      <c r="E266" s="111"/>
      <c r="F266" s="111"/>
      <c r="G266" s="111"/>
      <c r="H266" s="111"/>
      <c r="I266" s="111"/>
      <c r="J266" s="111"/>
      <c r="K266" s="111"/>
      <c r="L266" s="111"/>
      <c r="M266" s="111">
        <v>19.55</v>
      </c>
      <c r="N266" s="111"/>
      <c r="O266" s="111"/>
      <c r="P266" s="111"/>
      <c r="Q266" s="111"/>
      <c r="R266" s="111"/>
      <c r="S266" s="111"/>
      <c r="T266" s="111"/>
      <c r="U266" s="111"/>
      <c r="V266" s="111"/>
      <c r="W266" s="111"/>
      <c r="X266" s="111"/>
      <c r="Y266" s="111"/>
      <c r="Z266" s="111"/>
      <c r="AA266" s="111"/>
      <c r="AB266" s="111"/>
      <c r="AC266" s="113" t="s">
        <v>275</v>
      </c>
      <c r="AD266" s="114">
        <f t="shared" si="110"/>
        <v>0.17</v>
      </c>
      <c r="AE266" s="115">
        <f>'1. SA ABA DE CARREGAMENTO'!B90</f>
        <v>22</v>
      </c>
      <c r="AF266" s="380"/>
      <c r="AG266" s="117">
        <f t="shared" si="111"/>
        <v>0</v>
      </c>
      <c r="AH266" s="117">
        <f t="shared" si="112"/>
        <v>0</v>
      </c>
      <c r="AI266" s="117">
        <f t="shared" si="113"/>
        <v>0</v>
      </c>
      <c r="AJ266" s="117">
        <f t="shared" si="114"/>
        <v>0</v>
      </c>
      <c r="AK266" s="117">
        <f t="shared" si="115"/>
        <v>0</v>
      </c>
      <c r="AL266" s="117">
        <f t="shared" si="106"/>
        <v>0</v>
      </c>
      <c r="AM266" s="117">
        <f t="shared" si="107"/>
        <v>0</v>
      </c>
      <c r="AN266" s="117">
        <f t="shared" si="116"/>
        <v>0</v>
      </c>
      <c r="AO266" s="117">
        <f t="shared" si="117"/>
        <v>0.15106818181818185</v>
      </c>
      <c r="AP266" s="117">
        <f t="shared" si="108"/>
        <v>0</v>
      </c>
      <c r="AQ266" s="117">
        <f t="shared" si="109"/>
        <v>0</v>
      </c>
      <c r="AR266" s="117">
        <f t="shared" si="118"/>
        <v>0</v>
      </c>
      <c r="AS266" s="117">
        <f t="shared" si="119"/>
        <v>0</v>
      </c>
      <c r="AT266" s="117">
        <f t="shared" si="120"/>
        <v>0</v>
      </c>
      <c r="AU266" s="117">
        <f t="shared" si="121"/>
        <v>0</v>
      </c>
      <c r="AV266" s="117">
        <f t="shared" si="122"/>
        <v>0</v>
      </c>
      <c r="AW266" s="117">
        <f t="shared" si="123"/>
        <v>0</v>
      </c>
      <c r="AX266" s="117">
        <f t="shared" si="124"/>
        <v>0</v>
      </c>
      <c r="AY266" s="117">
        <f t="shared" si="125"/>
        <v>0</v>
      </c>
      <c r="AZ266" s="117">
        <f t="shared" si="126"/>
        <v>0</v>
      </c>
      <c r="BA266" s="117">
        <f t="shared" si="127"/>
        <v>0</v>
      </c>
      <c r="BB266" s="117">
        <f t="shared" si="128"/>
        <v>0</v>
      </c>
      <c r="BC266" s="117">
        <f t="shared" si="129"/>
        <v>0</v>
      </c>
      <c r="BD266" s="112">
        <f t="shared" si="130"/>
        <v>0</v>
      </c>
      <c r="BE266" s="107"/>
      <c r="BF266" s="107"/>
      <c r="BG266" s="107"/>
      <c r="BH266" s="107"/>
      <c r="BI266" s="107"/>
      <c r="BJ266" s="107"/>
      <c r="BK266" s="107"/>
      <c r="BL266" s="107"/>
    </row>
    <row r="267" spans="1:64" ht="15" x14ac:dyDescent="0.2">
      <c r="A267" s="378"/>
      <c r="B267" s="378"/>
      <c r="C267" s="111" t="s">
        <v>472</v>
      </c>
      <c r="D267" s="380"/>
      <c r="E267" s="111"/>
      <c r="F267" s="111"/>
      <c r="G267" s="111"/>
      <c r="H267" s="111"/>
      <c r="I267" s="111"/>
      <c r="J267" s="111"/>
      <c r="K267" s="111"/>
      <c r="L267" s="111"/>
      <c r="M267" s="111">
        <v>8.6999999999999993</v>
      </c>
      <c r="N267" s="111"/>
      <c r="O267" s="111"/>
      <c r="P267" s="111"/>
      <c r="Q267" s="111"/>
      <c r="R267" s="111"/>
      <c r="S267" s="111"/>
      <c r="T267" s="111"/>
      <c r="U267" s="111"/>
      <c r="V267" s="111"/>
      <c r="W267" s="111"/>
      <c r="X267" s="111"/>
      <c r="Y267" s="111"/>
      <c r="Z267" s="111"/>
      <c r="AA267" s="111"/>
      <c r="AB267" s="111"/>
      <c r="AC267" s="113" t="s">
        <v>275</v>
      </c>
      <c r="AD267" s="114">
        <f t="shared" si="110"/>
        <v>0.17</v>
      </c>
      <c r="AE267" s="115">
        <f>'1. SA ABA DE CARREGAMENTO'!B90</f>
        <v>22</v>
      </c>
      <c r="AF267" s="380"/>
      <c r="AG267" s="117">
        <f t="shared" si="111"/>
        <v>0</v>
      </c>
      <c r="AH267" s="117">
        <f t="shared" si="112"/>
        <v>0</v>
      </c>
      <c r="AI267" s="117">
        <f t="shared" si="113"/>
        <v>0</v>
      </c>
      <c r="AJ267" s="117">
        <f t="shared" si="114"/>
        <v>0</v>
      </c>
      <c r="AK267" s="117">
        <f t="shared" si="115"/>
        <v>0</v>
      </c>
      <c r="AL267" s="117">
        <f t="shared" si="106"/>
        <v>0</v>
      </c>
      <c r="AM267" s="117">
        <f t="shared" si="107"/>
        <v>0</v>
      </c>
      <c r="AN267" s="117">
        <f t="shared" si="116"/>
        <v>0</v>
      </c>
      <c r="AO267" s="117">
        <f t="shared" si="117"/>
        <v>6.7227272727272733E-2</v>
      </c>
      <c r="AP267" s="117">
        <f t="shared" si="108"/>
        <v>0</v>
      </c>
      <c r="AQ267" s="117">
        <f t="shared" si="109"/>
        <v>0</v>
      </c>
      <c r="AR267" s="117">
        <f t="shared" si="118"/>
        <v>0</v>
      </c>
      <c r="AS267" s="117">
        <f t="shared" si="119"/>
        <v>0</v>
      </c>
      <c r="AT267" s="117">
        <f t="shared" si="120"/>
        <v>0</v>
      </c>
      <c r="AU267" s="117">
        <f t="shared" si="121"/>
        <v>0</v>
      </c>
      <c r="AV267" s="117">
        <f t="shared" si="122"/>
        <v>0</v>
      </c>
      <c r="AW267" s="117">
        <f t="shared" si="123"/>
        <v>0</v>
      </c>
      <c r="AX267" s="117">
        <f t="shared" si="124"/>
        <v>0</v>
      </c>
      <c r="AY267" s="117">
        <f t="shared" si="125"/>
        <v>0</v>
      </c>
      <c r="AZ267" s="117">
        <f t="shared" si="126"/>
        <v>0</v>
      </c>
      <c r="BA267" s="117">
        <f t="shared" si="127"/>
        <v>0</v>
      </c>
      <c r="BB267" s="117">
        <f t="shared" si="128"/>
        <v>0</v>
      </c>
      <c r="BC267" s="117">
        <f t="shared" si="129"/>
        <v>0</v>
      </c>
      <c r="BD267" s="112">
        <f t="shared" si="130"/>
        <v>0</v>
      </c>
      <c r="BE267" s="107"/>
      <c r="BF267" s="107"/>
      <c r="BG267" s="107"/>
      <c r="BH267" s="107"/>
      <c r="BI267" s="107"/>
      <c r="BJ267" s="107"/>
      <c r="BK267" s="107"/>
      <c r="BL267" s="107"/>
    </row>
    <row r="268" spans="1:64" ht="15" x14ac:dyDescent="0.2">
      <c r="A268" s="378"/>
      <c r="B268" s="378"/>
      <c r="C268" s="111" t="s">
        <v>473</v>
      </c>
      <c r="D268" s="380"/>
      <c r="E268" s="111"/>
      <c r="F268" s="111"/>
      <c r="G268" s="111"/>
      <c r="H268" s="111"/>
      <c r="I268" s="111"/>
      <c r="J268" s="111"/>
      <c r="K268" s="111"/>
      <c r="L268" s="111"/>
      <c r="M268" s="111">
        <v>13.05</v>
      </c>
      <c r="N268" s="111"/>
      <c r="O268" s="111"/>
      <c r="P268" s="111"/>
      <c r="Q268" s="111"/>
      <c r="R268" s="111"/>
      <c r="S268" s="111"/>
      <c r="T268" s="111"/>
      <c r="U268" s="111"/>
      <c r="V268" s="111"/>
      <c r="W268" s="111"/>
      <c r="X268" s="111"/>
      <c r="Y268" s="111"/>
      <c r="Z268" s="111"/>
      <c r="AA268" s="111"/>
      <c r="AB268" s="111"/>
      <c r="AC268" s="113" t="s">
        <v>275</v>
      </c>
      <c r="AD268" s="114">
        <f t="shared" si="110"/>
        <v>0.17</v>
      </c>
      <c r="AE268" s="115">
        <f>'1. SA ABA DE CARREGAMENTO'!B90</f>
        <v>22</v>
      </c>
      <c r="AF268" s="380"/>
      <c r="AG268" s="117">
        <f t="shared" si="111"/>
        <v>0</v>
      </c>
      <c r="AH268" s="117">
        <f t="shared" si="112"/>
        <v>0</v>
      </c>
      <c r="AI268" s="117">
        <f t="shared" si="113"/>
        <v>0</v>
      </c>
      <c r="AJ268" s="117">
        <f t="shared" si="114"/>
        <v>0</v>
      </c>
      <c r="AK268" s="117">
        <f t="shared" si="115"/>
        <v>0</v>
      </c>
      <c r="AL268" s="117">
        <f t="shared" si="106"/>
        <v>0</v>
      </c>
      <c r="AM268" s="117">
        <f t="shared" si="107"/>
        <v>0</v>
      </c>
      <c r="AN268" s="117">
        <f t="shared" si="116"/>
        <v>0</v>
      </c>
      <c r="AO268" s="117">
        <f t="shared" si="117"/>
        <v>0.10084090909090909</v>
      </c>
      <c r="AP268" s="117">
        <f t="shared" si="108"/>
        <v>0</v>
      </c>
      <c r="AQ268" s="117">
        <f t="shared" si="109"/>
        <v>0</v>
      </c>
      <c r="AR268" s="117">
        <f t="shared" si="118"/>
        <v>0</v>
      </c>
      <c r="AS268" s="117">
        <f t="shared" si="119"/>
        <v>0</v>
      </c>
      <c r="AT268" s="117">
        <f t="shared" si="120"/>
        <v>0</v>
      </c>
      <c r="AU268" s="117">
        <f t="shared" si="121"/>
        <v>0</v>
      </c>
      <c r="AV268" s="117">
        <f t="shared" si="122"/>
        <v>0</v>
      </c>
      <c r="AW268" s="117">
        <f t="shared" si="123"/>
        <v>0</v>
      </c>
      <c r="AX268" s="117">
        <f t="shared" si="124"/>
        <v>0</v>
      </c>
      <c r="AY268" s="117">
        <f t="shared" si="125"/>
        <v>0</v>
      </c>
      <c r="AZ268" s="117">
        <f t="shared" si="126"/>
        <v>0</v>
      </c>
      <c r="BA268" s="117">
        <f t="shared" si="127"/>
        <v>0</v>
      </c>
      <c r="BB268" s="117">
        <f t="shared" si="128"/>
        <v>0</v>
      </c>
      <c r="BC268" s="117">
        <f t="shared" si="129"/>
        <v>0</v>
      </c>
      <c r="BD268" s="112">
        <f t="shared" si="130"/>
        <v>0</v>
      </c>
      <c r="BE268" s="107"/>
      <c r="BF268" s="107"/>
      <c r="BG268" s="107"/>
      <c r="BH268" s="107"/>
      <c r="BI268" s="107"/>
      <c r="BJ268" s="107"/>
      <c r="BK268" s="107"/>
      <c r="BL268" s="107"/>
    </row>
    <row r="269" spans="1:64" ht="15" x14ac:dyDescent="0.2">
      <c r="A269" s="378"/>
      <c r="B269" s="378"/>
      <c r="C269" s="111" t="s">
        <v>473</v>
      </c>
      <c r="D269" s="380"/>
      <c r="E269" s="111"/>
      <c r="F269" s="111"/>
      <c r="G269" s="111"/>
      <c r="H269" s="111"/>
      <c r="I269" s="111"/>
      <c r="J269" s="111"/>
      <c r="K269" s="111"/>
      <c r="L269" s="111"/>
      <c r="M269" s="111">
        <v>13.05</v>
      </c>
      <c r="N269" s="111"/>
      <c r="O269" s="111"/>
      <c r="P269" s="111"/>
      <c r="Q269" s="111"/>
      <c r="R269" s="111"/>
      <c r="S269" s="111"/>
      <c r="T269" s="111"/>
      <c r="U269" s="111"/>
      <c r="V269" s="111"/>
      <c r="W269" s="111"/>
      <c r="X269" s="111"/>
      <c r="Y269" s="111"/>
      <c r="Z269" s="111"/>
      <c r="AA269" s="111"/>
      <c r="AB269" s="111"/>
      <c r="AC269" s="113" t="s">
        <v>275</v>
      </c>
      <c r="AD269" s="114">
        <f t="shared" si="110"/>
        <v>0.17</v>
      </c>
      <c r="AE269" s="115">
        <f>'1. SA ABA DE CARREGAMENTO'!B90</f>
        <v>22</v>
      </c>
      <c r="AF269" s="380"/>
      <c r="AG269" s="117">
        <f t="shared" si="111"/>
        <v>0</v>
      </c>
      <c r="AH269" s="117">
        <f t="shared" si="112"/>
        <v>0</v>
      </c>
      <c r="AI269" s="117">
        <f t="shared" si="113"/>
        <v>0</v>
      </c>
      <c r="AJ269" s="117">
        <f t="shared" si="114"/>
        <v>0</v>
      </c>
      <c r="AK269" s="117">
        <f t="shared" si="115"/>
        <v>0</v>
      </c>
      <c r="AL269" s="117">
        <f t="shared" si="106"/>
        <v>0</v>
      </c>
      <c r="AM269" s="117">
        <f t="shared" si="107"/>
        <v>0</v>
      </c>
      <c r="AN269" s="117">
        <f t="shared" si="116"/>
        <v>0</v>
      </c>
      <c r="AO269" s="117">
        <f t="shared" si="117"/>
        <v>0.10084090909090909</v>
      </c>
      <c r="AP269" s="117">
        <f t="shared" si="108"/>
        <v>0</v>
      </c>
      <c r="AQ269" s="117">
        <f t="shared" si="109"/>
        <v>0</v>
      </c>
      <c r="AR269" s="117">
        <f t="shared" si="118"/>
        <v>0</v>
      </c>
      <c r="AS269" s="117">
        <f t="shared" si="119"/>
        <v>0</v>
      </c>
      <c r="AT269" s="117">
        <f t="shared" si="120"/>
        <v>0</v>
      </c>
      <c r="AU269" s="117">
        <f t="shared" si="121"/>
        <v>0</v>
      </c>
      <c r="AV269" s="117">
        <f t="shared" si="122"/>
        <v>0</v>
      </c>
      <c r="AW269" s="117">
        <f t="shared" si="123"/>
        <v>0</v>
      </c>
      <c r="AX269" s="117">
        <f t="shared" si="124"/>
        <v>0</v>
      </c>
      <c r="AY269" s="117">
        <f t="shared" si="125"/>
        <v>0</v>
      </c>
      <c r="AZ269" s="117">
        <f t="shared" si="126"/>
        <v>0</v>
      </c>
      <c r="BA269" s="117">
        <f t="shared" si="127"/>
        <v>0</v>
      </c>
      <c r="BB269" s="117">
        <f t="shared" si="128"/>
        <v>0</v>
      </c>
      <c r="BC269" s="117">
        <f t="shared" si="129"/>
        <v>0</v>
      </c>
      <c r="BD269" s="112">
        <f t="shared" si="130"/>
        <v>0</v>
      </c>
      <c r="BE269" s="107"/>
      <c r="BF269" s="107"/>
      <c r="BG269" s="107"/>
      <c r="BH269" s="107"/>
      <c r="BI269" s="107"/>
      <c r="BJ269" s="107"/>
      <c r="BK269" s="107"/>
      <c r="BL269" s="107"/>
    </row>
    <row r="270" spans="1:64" ht="15" x14ac:dyDescent="0.2">
      <c r="A270" s="378"/>
      <c r="B270" s="378"/>
      <c r="C270" s="111" t="s">
        <v>474</v>
      </c>
      <c r="D270" s="380"/>
      <c r="E270" s="111"/>
      <c r="F270" s="111"/>
      <c r="G270" s="111"/>
      <c r="H270" s="111"/>
      <c r="I270" s="111"/>
      <c r="J270" s="111"/>
      <c r="K270" s="111"/>
      <c r="L270" s="111"/>
      <c r="M270" s="111">
        <v>30.9</v>
      </c>
      <c r="N270" s="111"/>
      <c r="O270" s="111"/>
      <c r="P270" s="111"/>
      <c r="Q270" s="111"/>
      <c r="R270" s="111"/>
      <c r="S270" s="111"/>
      <c r="T270" s="111"/>
      <c r="U270" s="111"/>
      <c r="V270" s="111"/>
      <c r="W270" s="111"/>
      <c r="X270" s="111"/>
      <c r="Y270" s="111"/>
      <c r="Z270" s="111"/>
      <c r="AA270" s="111"/>
      <c r="AB270" s="111"/>
      <c r="AC270" s="113" t="s">
        <v>275</v>
      </c>
      <c r="AD270" s="114">
        <f t="shared" si="110"/>
        <v>0.17</v>
      </c>
      <c r="AE270" s="115">
        <f>'1. SA ABA DE CARREGAMENTO'!B90</f>
        <v>22</v>
      </c>
      <c r="AF270" s="380"/>
      <c r="AG270" s="117">
        <f t="shared" si="111"/>
        <v>0</v>
      </c>
      <c r="AH270" s="117">
        <f t="shared" si="112"/>
        <v>0</v>
      </c>
      <c r="AI270" s="117">
        <f t="shared" si="113"/>
        <v>0</v>
      </c>
      <c r="AJ270" s="117">
        <f t="shared" si="114"/>
        <v>0</v>
      </c>
      <c r="AK270" s="117">
        <f t="shared" si="115"/>
        <v>0</v>
      </c>
      <c r="AL270" s="117">
        <f t="shared" si="106"/>
        <v>0</v>
      </c>
      <c r="AM270" s="117">
        <f t="shared" si="107"/>
        <v>0</v>
      </c>
      <c r="AN270" s="117">
        <f t="shared" si="116"/>
        <v>0</v>
      </c>
      <c r="AO270" s="117">
        <f t="shared" si="117"/>
        <v>0.23877272727272728</v>
      </c>
      <c r="AP270" s="117">
        <f t="shared" si="108"/>
        <v>0</v>
      </c>
      <c r="AQ270" s="117">
        <f t="shared" si="109"/>
        <v>0</v>
      </c>
      <c r="AR270" s="117">
        <f t="shared" si="118"/>
        <v>0</v>
      </c>
      <c r="AS270" s="117">
        <f t="shared" si="119"/>
        <v>0</v>
      </c>
      <c r="AT270" s="117">
        <f t="shared" si="120"/>
        <v>0</v>
      </c>
      <c r="AU270" s="117">
        <f t="shared" si="121"/>
        <v>0</v>
      </c>
      <c r="AV270" s="117">
        <f t="shared" si="122"/>
        <v>0</v>
      </c>
      <c r="AW270" s="117">
        <f t="shared" si="123"/>
        <v>0</v>
      </c>
      <c r="AX270" s="117">
        <f t="shared" si="124"/>
        <v>0</v>
      </c>
      <c r="AY270" s="117">
        <f t="shared" si="125"/>
        <v>0</v>
      </c>
      <c r="AZ270" s="117">
        <f t="shared" si="126"/>
        <v>0</v>
      </c>
      <c r="BA270" s="117">
        <f t="shared" si="127"/>
        <v>0</v>
      </c>
      <c r="BB270" s="117">
        <f t="shared" si="128"/>
        <v>0</v>
      </c>
      <c r="BC270" s="117">
        <f t="shared" si="129"/>
        <v>0</v>
      </c>
      <c r="BD270" s="112">
        <f t="shared" si="130"/>
        <v>0</v>
      </c>
      <c r="BE270" s="107"/>
      <c r="BF270" s="107"/>
      <c r="BG270" s="107"/>
      <c r="BH270" s="107"/>
      <c r="BI270" s="107"/>
      <c r="BJ270" s="107"/>
      <c r="BK270" s="107"/>
      <c r="BL270" s="107"/>
    </row>
    <row r="271" spans="1:64" ht="15" x14ac:dyDescent="0.2">
      <c r="A271" s="378"/>
      <c r="B271" s="378"/>
      <c r="C271" s="111" t="s">
        <v>475</v>
      </c>
      <c r="D271" s="380"/>
      <c r="E271" s="111"/>
      <c r="F271" s="111"/>
      <c r="G271" s="111"/>
      <c r="H271" s="111">
        <v>13.05</v>
      </c>
      <c r="I271" s="111"/>
      <c r="J271" s="111"/>
      <c r="K271" s="111"/>
      <c r="L271" s="111"/>
      <c r="M271" s="111"/>
      <c r="N271" s="111"/>
      <c r="O271" s="111"/>
      <c r="P271" s="111"/>
      <c r="Q271" s="111"/>
      <c r="R271" s="111"/>
      <c r="S271" s="111"/>
      <c r="T271" s="111"/>
      <c r="U271" s="111"/>
      <c r="V271" s="111"/>
      <c r="W271" s="111"/>
      <c r="X271" s="111"/>
      <c r="Y271" s="111"/>
      <c r="Z271" s="111"/>
      <c r="AA271" s="111"/>
      <c r="AB271" s="111"/>
      <c r="AC271" s="113" t="s">
        <v>275</v>
      </c>
      <c r="AD271" s="114">
        <f t="shared" si="110"/>
        <v>0.17</v>
      </c>
      <c r="AE271" s="115">
        <f>'1. SA ABA DE CARREGAMENTO'!B90</f>
        <v>22</v>
      </c>
      <c r="AF271" s="380"/>
      <c r="AG271" s="117">
        <f t="shared" si="111"/>
        <v>0</v>
      </c>
      <c r="AH271" s="117">
        <f t="shared" si="112"/>
        <v>0</v>
      </c>
      <c r="AI271" s="117">
        <f t="shared" si="113"/>
        <v>0</v>
      </c>
      <c r="AJ271" s="117">
        <f t="shared" si="114"/>
        <v>0.10084090909090909</v>
      </c>
      <c r="AK271" s="117">
        <f t="shared" si="115"/>
        <v>0</v>
      </c>
      <c r="AL271" s="117">
        <f t="shared" si="106"/>
        <v>0</v>
      </c>
      <c r="AM271" s="117">
        <f t="shared" si="107"/>
        <v>0</v>
      </c>
      <c r="AN271" s="117">
        <f t="shared" si="116"/>
        <v>0</v>
      </c>
      <c r="AO271" s="117">
        <f t="shared" si="117"/>
        <v>0</v>
      </c>
      <c r="AP271" s="117">
        <f t="shared" si="108"/>
        <v>0</v>
      </c>
      <c r="AQ271" s="117">
        <f t="shared" si="109"/>
        <v>0</v>
      </c>
      <c r="AR271" s="117">
        <f t="shared" si="118"/>
        <v>0</v>
      </c>
      <c r="AS271" s="117">
        <f t="shared" si="119"/>
        <v>0</v>
      </c>
      <c r="AT271" s="117">
        <f t="shared" si="120"/>
        <v>0</v>
      </c>
      <c r="AU271" s="117">
        <f t="shared" si="121"/>
        <v>0</v>
      </c>
      <c r="AV271" s="117">
        <f t="shared" si="122"/>
        <v>0</v>
      </c>
      <c r="AW271" s="117">
        <f t="shared" si="123"/>
        <v>0</v>
      </c>
      <c r="AX271" s="117">
        <f t="shared" si="124"/>
        <v>0</v>
      </c>
      <c r="AY271" s="117">
        <f t="shared" si="125"/>
        <v>0</v>
      </c>
      <c r="AZ271" s="117">
        <f t="shared" si="126"/>
        <v>0</v>
      </c>
      <c r="BA271" s="117">
        <f t="shared" si="127"/>
        <v>0</v>
      </c>
      <c r="BB271" s="117">
        <f t="shared" si="128"/>
        <v>0</v>
      </c>
      <c r="BC271" s="117">
        <f t="shared" si="129"/>
        <v>0</v>
      </c>
      <c r="BD271" s="112">
        <f t="shared" si="130"/>
        <v>0</v>
      </c>
      <c r="BE271" s="107"/>
      <c r="BF271" s="107"/>
      <c r="BG271" s="107"/>
      <c r="BH271" s="107"/>
      <c r="BI271" s="107"/>
      <c r="BJ271" s="107"/>
      <c r="BK271" s="107"/>
      <c r="BL271" s="107"/>
    </row>
    <row r="272" spans="1:64" ht="12.75" customHeight="1" x14ac:dyDescent="0.2">
      <c r="A272" s="378"/>
      <c r="B272" s="378"/>
      <c r="C272" s="111" t="s">
        <v>278</v>
      </c>
      <c r="D272" s="380"/>
      <c r="E272" s="111"/>
      <c r="F272" s="111"/>
      <c r="G272" s="111"/>
      <c r="H272" s="111"/>
      <c r="I272" s="111"/>
      <c r="J272" s="111"/>
      <c r="K272" s="111"/>
      <c r="L272" s="111"/>
      <c r="M272" s="111"/>
      <c r="N272" s="111"/>
      <c r="O272" s="111"/>
      <c r="P272" s="111"/>
      <c r="Q272" s="111"/>
      <c r="R272" s="111"/>
      <c r="S272" s="111"/>
      <c r="T272" s="111"/>
      <c r="U272" s="111"/>
      <c r="V272" s="111"/>
      <c r="W272" s="111"/>
      <c r="X272" s="111"/>
      <c r="Y272" s="111"/>
      <c r="Z272" s="111">
        <v>2.83</v>
      </c>
      <c r="AA272" s="111"/>
      <c r="AB272" s="111"/>
      <c r="AC272" s="113" t="s">
        <v>285</v>
      </c>
      <c r="AD272" s="114">
        <f t="shared" si="110"/>
        <v>44</v>
      </c>
      <c r="AE272" s="115">
        <f>'1. SA ABA DE CARREGAMENTO'!B90</f>
        <v>22</v>
      </c>
      <c r="AF272" s="380"/>
      <c r="AG272" s="117">
        <f t="shared" si="111"/>
        <v>0</v>
      </c>
      <c r="AH272" s="117">
        <f t="shared" si="112"/>
        <v>0</v>
      </c>
      <c r="AI272" s="117">
        <f t="shared" si="113"/>
        <v>0</v>
      </c>
      <c r="AJ272" s="117">
        <f t="shared" si="114"/>
        <v>0</v>
      </c>
      <c r="AK272" s="117">
        <f t="shared" si="115"/>
        <v>0</v>
      </c>
      <c r="AL272" s="117">
        <f t="shared" si="106"/>
        <v>0</v>
      </c>
      <c r="AM272" s="117">
        <f t="shared" si="107"/>
        <v>0</v>
      </c>
      <c r="AN272" s="117">
        <f t="shared" si="116"/>
        <v>0</v>
      </c>
      <c r="AO272" s="117">
        <f t="shared" si="117"/>
        <v>0</v>
      </c>
      <c r="AP272" s="117">
        <f t="shared" si="108"/>
        <v>0</v>
      </c>
      <c r="AQ272" s="117">
        <f t="shared" si="109"/>
        <v>0</v>
      </c>
      <c r="AR272" s="117">
        <f t="shared" si="118"/>
        <v>0</v>
      </c>
      <c r="AS272" s="117">
        <f t="shared" si="119"/>
        <v>0</v>
      </c>
      <c r="AT272" s="117">
        <f t="shared" si="120"/>
        <v>0</v>
      </c>
      <c r="AU272" s="117">
        <f t="shared" si="121"/>
        <v>0</v>
      </c>
      <c r="AV272" s="117">
        <f t="shared" si="122"/>
        <v>0</v>
      </c>
      <c r="AW272" s="117">
        <f t="shared" si="123"/>
        <v>0</v>
      </c>
      <c r="AX272" s="117">
        <f t="shared" si="124"/>
        <v>0</v>
      </c>
      <c r="AY272" s="117">
        <f t="shared" si="125"/>
        <v>0</v>
      </c>
      <c r="AZ272" s="117">
        <f t="shared" si="126"/>
        <v>0</v>
      </c>
      <c r="BA272" s="117">
        <f t="shared" si="127"/>
        <v>0</v>
      </c>
      <c r="BB272" s="117">
        <f t="shared" si="128"/>
        <v>5.66</v>
      </c>
      <c r="BC272" s="117">
        <f t="shared" si="129"/>
        <v>0</v>
      </c>
      <c r="BD272" s="112">
        <f t="shared" si="130"/>
        <v>0</v>
      </c>
      <c r="BE272" s="107"/>
      <c r="BF272" s="107"/>
      <c r="BG272" s="107"/>
      <c r="BH272" s="107"/>
      <c r="BI272" s="107"/>
      <c r="BJ272" s="107"/>
      <c r="BK272" s="107"/>
      <c r="BL272" s="107"/>
    </row>
    <row r="273" spans="1:64" ht="12.75" customHeight="1" x14ac:dyDescent="0.2">
      <c r="A273" s="378"/>
      <c r="B273" s="378"/>
      <c r="C273" s="111" t="s">
        <v>280</v>
      </c>
      <c r="D273" s="380"/>
      <c r="E273" s="111"/>
      <c r="F273" s="111"/>
      <c r="G273" s="111"/>
      <c r="H273" s="111"/>
      <c r="I273" s="111"/>
      <c r="J273" s="111"/>
      <c r="K273" s="111"/>
      <c r="L273" s="111"/>
      <c r="M273" s="111"/>
      <c r="N273" s="111"/>
      <c r="O273" s="111"/>
      <c r="P273" s="111"/>
      <c r="Q273" s="111"/>
      <c r="R273" s="111"/>
      <c r="S273" s="111"/>
      <c r="T273" s="111"/>
      <c r="U273" s="111"/>
      <c r="V273" s="111"/>
      <c r="W273" s="111"/>
      <c r="X273" s="111"/>
      <c r="Y273" s="111"/>
      <c r="Z273" s="111"/>
      <c r="AA273" s="111">
        <v>13.92</v>
      </c>
      <c r="AB273" s="111"/>
      <c r="AC273" s="113" t="s">
        <v>281</v>
      </c>
      <c r="AD273" s="114">
        <f t="shared" si="110"/>
        <v>4.33</v>
      </c>
      <c r="AE273" s="115">
        <f>'1. SA ABA DE CARREGAMENTO'!B90</f>
        <v>22</v>
      </c>
      <c r="AF273" s="380"/>
      <c r="AG273" s="117">
        <f t="shared" si="111"/>
        <v>0</v>
      </c>
      <c r="AH273" s="117">
        <f t="shared" si="112"/>
        <v>0</v>
      </c>
      <c r="AI273" s="117">
        <f t="shared" si="113"/>
        <v>0</v>
      </c>
      <c r="AJ273" s="117">
        <f t="shared" si="114"/>
        <v>0</v>
      </c>
      <c r="AK273" s="117">
        <f t="shared" si="115"/>
        <v>0</v>
      </c>
      <c r="AL273" s="117">
        <f t="shared" si="106"/>
        <v>0</v>
      </c>
      <c r="AM273" s="117">
        <f t="shared" si="107"/>
        <v>0</v>
      </c>
      <c r="AN273" s="117">
        <f t="shared" si="116"/>
        <v>0</v>
      </c>
      <c r="AO273" s="117">
        <f t="shared" si="117"/>
        <v>0</v>
      </c>
      <c r="AP273" s="117">
        <f t="shared" si="108"/>
        <v>0</v>
      </c>
      <c r="AQ273" s="117">
        <f t="shared" si="109"/>
        <v>0</v>
      </c>
      <c r="AR273" s="117">
        <f t="shared" si="118"/>
        <v>0</v>
      </c>
      <c r="AS273" s="117">
        <f t="shared" si="119"/>
        <v>0</v>
      </c>
      <c r="AT273" s="117">
        <f t="shared" si="120"/>
        <v>0</v>
      </c>
      <c r="AU273" s="117">
        <f t="shared" si="121"/>
        <v>0</v>
      </c>
      <c r="AV273" s="117">
        <f t="shared" si="122"/>
        <v>0</v>
      </c>
      <c r="AW273" s="117">
        <f t="shared" si="123"/>
        <v>0</v>
      </c>
      <c r="AX273" s="117">
        <f t="shared" si="124"/>
        <v>0</v>
      </c>
      <c r="AY273" s="117">
        <f t="shared" si="125"/>
        <v>0</v>
      </c>
      <c r="AZ273" s="117">
        <f t="shared" si="126"/>
        <v>0</v>
      </c>
      <c r="BA273" s="117">
        <f t="shared" si="127"/>
        <v>0</v>
      </c>
      <c r="BB273" s="117">
        <f t="shared" si="128"/>
        <v>0</v>
      </c>
      <c r="BC273" s="117">
        <f t="shared" si="129"/>
        <v>2.7397090909090909</v>
      </c>
      <c r="BD273" s="112">
        <f t="shared" si="130"/>
        <v>0</v>
      </c>
      <c r="BE273" s="107"/>
      <c r="BF273" s="107"/>
      <c r="BG273" s="107"/>
      <c r="BH273" s="107"/>
      <c r="BI273" s="107"/>
      <c r="BJ273" s="107"/>
      <c r="BK273" s="107"/>
      <c r="BL273" s="107"/>
    </row>
    <row r="274" spans="1:64" ht="12.75" customHeight="1" x14ac:dyDescent="0.2">
      <c r="A274" s="378"/>
      <c r="B274" s="378"/>
      <c r="C274" s="111" t="s">
        <v>476</v>
      </c>
      <c r="D274" s="380"/>
      <c r="E274" s="111"/>
      <c r="F274" s="111"/>
      <c r="G274" s="111"/>
      <c r="H274" s="111"/>
      <c r="I274" s="111"/>
      <c r="J274" s="111"/>
      <c r="K274" s="111"/>
      <c r="L274" s="111"/>
      <c r="M274" s="111"/>
      <c r="N274" s="111"/>
      <c r="O274" s="111"/>
      <c r="P274" s="111"/>
      <c r="Q274" s="111"/>
      <c r="R274" s="111"/>
      <c r="S274" s="111"/>
      <c r="T274" s="111"/>
      <c r="U274" s="111"/>
      <c r="V274" s="111"/>
      <c r="W274" s="111"/>
      <c r="X274" s="111"/>
      <c r="Y274" s="111"/>
      <c r="Z274" s="111"/>
      <c r="AA274" s="111"/>
      <c r="AB274" s="111">
        <v>2.83</v>
      </c>
      <c r="AC274" s="113" t="s">
        <v>281</v>
      </c>
      <c r="AD274" s="114">
        <f t="shared" si="110"/>
        <v>4.33</v>
      </c>
      <c r="AE274" s="115">
        <f>'1. SA ABA DE CARREGAMENTO'!B90</f>
        <v>22</v>
      </c>
      <c r="AF274" s="380"/>
      <c r="AG274" s="117">
        <f t="shared" si="111"/>
        <v>0</v>
      </c>
      <c r="AH274" s="117">
        <f t="shared" si="112"/>
        <v>0</v>
      </c>
      <c r="AI274" s="117">
        <f t="shared" si="113"/>
        <v>0</v>
      </c>
      <c r="AJ274" s="117">
        <f t="shared" si="114"/>
        <v>0</v>
      </c>
      <c r="AK274" s="117">
        <f t="shared" si="115"/>
        <v>0</v>
      </c>
      <c r="AL274" s="117">
        <f t="shared" si="106"/>
        <v>0</v>
      </c>
      <c r="AM274" s="117">
        <f t="shared" si="107"/>
        <v>0</v>
      </c>
      <c r="AN274" s="117">
        <f t="shared" si="116"/>
        <v>0</v>
      </c>
      <c r="AO274" s="117">
        <f t="shared" si="117"/>
        <v>0</v>
      </c>
      <c r="AP274" s="117">
        <f t="shared" si="108"/>
        <v>0</v>
      </c>
      <c r="AQ274" s="117">
        <f t="shared" si="109"/>
        <v>0</v>
      </c>
      <c r="AR274" s="117">
        <f t="shared" si="118"/>
        <v>0</v>
      </c>
      <c r="AS274" s="117">
        <f t="shared" si="119"/>
        <v>0</v>
      </c>
      <c r="AT274" s="117">
        <f t="shared" si="120"/>
        <v>0</v>
      </c>
      <c r="AU274" s="117">
        <f t="shared" si="121"/>
        <v>0</v>
      </c>
      <c r="AV274" s="117">
        <f t="shared" si="122"/>
        <v>0</v>
      </c>
      <c r="AW274" s="117">
        <f t="shared" si="123"/>
        <v>0</v>
      </c>
      <c r="AX274" s="117">
        <f t="shared" si="124"/>
        <v>0</v>
      </c>
      <c r="AY274" s="117">
        <f t="shared" si="125"/>
        <v>0</v>
      </c>
      <c r="AZ274" s="117">
        <f t="shared" si="126"/>
        <v>0</v>
      </c>
      <c r="BA274" s="117">
        <f t="shared" si="127"/>
        <v>0</v>
      </c>
      <c r="BB274" s="117">
        <f t="shared" si="128"/>
        <v>0</v>
      </c>
      <c r="BC274" s="117">
        <f t="shared" si="129"/>
        <v>0</v>
      </c>
      <c r="BD274" s="112">
        <f t="shared" si="130"/>
        <v>0.55699545454545452</v>
      </c>
      <c r="BE274" s="107"/>
      <c r="BF274" s="107"/>
      <c r="BG274" s="107"/>
      <c r="BH274" s="107"/>
      <c r="BI274" s="107"/>
      <c r="BJ274" s="107"/>
      <c r="BK274" s="107"/>
      <c r="BL274" s="107"/>
    </row>
    <row r="275" spans="1:64" ht="51" customHeight="1" x14ac:dyDescent="0.2">
      <c r="A275" s="128">
        <v>32</v>
      </c>
      <c r="B275" s="129" t="s">
        <v>477</v>
      </c>
      <c r="C275" s="129" t="s">
        <v>477</v>
      </c>
      <c r="D275" s="130">
        <f>SUM(E275:AB275)</f>
        <v>265.60000000000002</v>
      </c>
      <c r="E275" s="129"/>
      <c r="F275" s="129"/>
      <c r="G275" s="129"/>
      <c r="H275" s="129"/>
      <c r="I275" s="129"/>
      <c r="J275" s="129"/>
      <c r="K275" s="129"/>
      <c r="L275" s="129"/>
      <c r="M275" s="129">
        <v>265.60000000000002</v>
      </c>
      <c r="N275" s="129"/>
      <c r="O275" s="129"/>
      <c r="P275" s="129"/>
      <c r="Q275" s="129"/>
      <c r="R275" s="129"/>
      <c r="S275" s="129"/>
      <c r="T275" s="129"/>
      <c r="U275" s="129"/>
      <c r="V275" s="129">
        <v>0</v>
      </c>
      <c r="W275" s="129">
        <v>0</v>
      </c>
      <c r="X275" s="129"/>
      <c r="Y275" s="129"/>
      <c r="Z275" s="129"/>
      <c r="AA275" s="129"/>
      <c r="AB275" s="129"/>
      <c r="AC275" s="129" t="s">
        <v>281</v>
      </c>
      <c r="AD275" s="110">
        <f t="shared" si="110"/>
        <v>4.33</v>
      </c>
      <c r="AE275" s="108">
        <f>'1. SA ABA DE CARREGAMENTO'!B90</f>
        <v>22</v>
      </c>
      <c r="AF275" s="130">
        <f>SUM(AG275:BD275)</f>
        <v>52.274909090909098</v>
      </c>
      <c r="AG275" s="109">
        <f t="shared" si="111"/>
        <v>0</v>
      </c>
      <c r="AH275" s="109">
        <f t="shared" si="112"/>
        <v>0</v>
      </c>
      <c r="AI275" s="109">
        <f t="shared" si="113"/>
        <v>0</v>
      </c>
      <c r="AJ275" s="109">
        <f t="shared" si="114"/>
        <v>0</v>
      </c>
      <c r="AK275" s="109">
        <f t="shared" si="115"/>
        <v>0</v>
      </c>
      <c r="AL275" s="109">
        <f t="shared" si="106"/>
        <v>0</v>
      </c>
      <c r="AM275" s="109">
        <f t="shared" si="107"/>
        <v>0</v>
      </c>
      <c r="AN275" s="109">
        <f t="shared" si="116"/>
        <v>0</v>
      </c>
      <c r="AO275" s="109">
        <f t="shared" si="117"/>
        <v>52.274909090909098</v>
      </c>
      <c r="AP275" s="109">
        <f t="shared" si="108"/>
        <v>0</v>
      </c>
      <c r="AQ275" s="109">
        <f t="shared" si="109"/>
        <v>0</v>
      </c>
      <c r="AR275" s="109">
        <f t="shared" si="118"/>
        <v>0</v>
      </c>
      <c r="AS275" s="109">
        <f t="shared" si="119"/>
        <v>0</v>
      </c>
      <c r="AT275" s="109">
        <f t="shared" si="120"/>
        <v>0</v>
      </c>
      <c r="AU275" s="109">
        <f t="shared" si="121"/>
        <v>0</v>
      </c>
      <c r="AV275" s="109">
        <f t="shared" si="122"/>
        <v>0</v>
      </c>
      <c r="AW275" s="109">
        <f t="shared" si="123"/>
        <v>0</v>
      </c>
      <c r="AX275" s="109">
        <f t="shared" si="124"/>
        <v>0</v>
      </c>
      <c r="AY275" s="109">
        <f t="shared" si="125"/>
        <v>0</v>
      </c>
      <c r="AZ275" s="109">
        <f t="shared" si="126"/>
        <v>0</v>
      </c>
      <c r="BA275" s="109">
        <f t="shared" si="127"/>
        <v>0</v>
      </c>
      <c r="BB275" s="109">
        <f t="shared" si="128"/>
        <v>0</v>
      </c>
      <c r="BC275" s="109">
        <f t="shared" si="129"/>
        <v>0</v>
      </c>
      <c r="BD275" s="130">
        <f t="shared" si="130"/>
        <v>0</v>
      </c>
      <c r="BE275" s="131"/>
      <c r="BF275" s="131"/>
      <c r="BG275" s="131"/>
      <c r="BH275" s="131"/>
      <c r="BI275" s="131"/>
      <c r="BJ275" s="131"/>
      <c r="BK275" s="131"/>
      <c r="BL275" s="131"/>
    </row>
    <row r="276" spans="1:64" ht="12.75" customHeight="1" x14ac:dyDescent="0.2">
      <c r="A276" s="396" t="s">
        <v>227</v>
      </c>
      <c r="B276" s="396"/>
      <c r="C276" s="396"/>
      <c r="D276" s="132">
        <f t="shared" ref="D276:AI276" si="131">SUM(D8:D275)</f>
        <v>16284.420000000002</v>
      </c>
      <c r="E276" s="132">
        <f t="shared" si="131"/>
        <v>1361.1999999999998</v>
      </c>
      <c r="F276" s="132">
        <f t="shared" si="131"/>
        <v>4584.76</v>
      </c>
      <c r="G276" s="132">
        <f t="shared" si="131"/>
        <v>1441.2799999999997</v>
      </c>
      <c r="H276" s="132">
        <f t="shared" si="131"/>
        <v>499.96999999999991</v>
      </c>
      <c r="I276" s="132">
        <f t="shared" si="131"/>
        <v>31.65</v>
      </c>
      <c r="J276" s="132">
        <f t="shared" si="131"/>
        <v>0</v>
      </c>
      <c r="K276" s="132">
        <f t="shared" si="131"/>
        <v>0</v>
      </c>
      <c r="L276" s="132">
        <f t="shared" si="131"/>
        <v>1444.1399999999999</v>
      </c>
      <c r="M276" s="132">
        <f t="shared" si="131"/>
        <v>1333.7000000000003</v>
      </c>
      <c r="N276" s="132">
        <f t="shared" si="131"/>
        <v>0</v>
      </c>
      <c r="O276" s="132">
        <f t="shared" si="131"/>
        <v>0</v>
      </c>
      <c r="P276" s="132">
        <f t="shared" si="131"/>
        <v>83.69</v>
      </c>
      <c r="Q276" s="132">
        <f t="shared" si="131"/>
        <v>0</v>
      </c>
      <c r="R276" s="132">
        <f t="shared" si="131"/>
        <v>0</v>
      </c>
      <c r="S276" s="132">
        <f t="shared" si="131"/>
        <v>0</v>
      </c>
      <c r="T276" s="132">
        <f t="shared" si="131"/>
        <v>0</v>
      </c>
      <c r="U276" s="132">
        <f t="shared" si="131"/>
        <v>492.3</v>
      </c>
      <c r="V276" s="132">
        <f t="shared" si="131"/>
        <v>1237.0800000000002</v>
      </c>
      <c r="W276" s="132">
        <f t="shared" si="131"/>
        <v>1888.75</v>
      </c>
      <c r="X276" s="132">
        <f t="shared" si="131"/>
        <v>0</v>
      </c>
      <c r="Y276" s="132">
        <f t="shared" si="131"/>
        <v>40.14</v>
      </c>
      <c r="Z276" s="132">
        <f t="shared" si="131"/>
        <v>385.44</v>
      </c>
      <c r="AA276" s="132">
        <f t="shared" si="131"/>
        <v>1074.8800000000001</v>
      </c>
      <c r="AB276" s="132">
        <f t="shared" si="131"/>
        <v>385.44</v>
      </c>
      <c r="AC276" s="132">
        <f t="shared" si="131"/>
        <v>0</v>
      </c>
      <c r="AD276" s="132">
        <f t="shared" si="131"/>
        <v>5716.119999999999</v>
      </c>
      <c r="AE276" s="132">
        <f t="shared" si="131"/>
        <v>5896</v>
      </c>
      <c r="AF276" s="132">
        <f t="shared" si="131"/>
        <v>18582.666881818182</v>
      </c>
      <c r="AG276" s="132">
        <f t="shared" si="131"/>
        <v>782.90909090909088</v>
      </c>
      <c r="AH276" s="132">
        <f t="shared" si="131"/>
        <v>8067.0091272727259</v>
      </c>
      <c r="AI276" s="132">
        <f t="shared" si="131"/>
        <v>2805.9702272727268</v>
      </c>
      <c r="AJ276" s="132">
        <f t="shared" ref="AJ276:BD276" si="132">SUM(AJ8:AJ275)</f>
        <v>93.613372727272747</v>
      </c>
      <c r="AK276" s="132">
        <f t="shared" si="132"/>
        <v>6.2292954545454542</v>
      </c>
      <c r="AL276" s="132">
        <f t="shared" si="132"/>
        <v>0</v>
      </c>
      <c r="AM276" s="132">
        <f t="shared" si="132"/>
        <v>0</v>
      </c>
      <c r="AN276" s="132">
        <f t="shared" si="132"/>
        <v>3871.5101045454553</v>
      </c>
      <c r="AO276" s="132">
        <f t="shared" si="132"/>
        <v>477.54882272727275</v>
      </c>
      <c r="AP276" s="132">
        <f t="shared" si="132"/>
        <v>0</v>
      </c>
      <c r="AQ276" s="132">
        <f t="shared" si="132"/>
        <v>0</v>
      </c>
      <c r="AR276" s="132">
        <f t="shared" si="132"/>
        <v>0.64669545454545463</v>
      </c>
      <c r="AS276" s="132">
        <f t="shared" si="132"/>
        <v>0</v>
      </c>
      <c r="AT276" s="132">
        <f t="shared" si="132"/>
        <v>0</v>
      </c>
      <c r="AU276" s="132">
        <f t="shared" si="132"/>
        <v>0</v>
      </c>
      <c r="AV276" s="132">
        <f t="shared" si="132"/>
        <v>0</v>
      </c>
      <c r="AW276" s="132">
        <f t="shared" si="132"/>
        <v>3.8041363636363639</v>
      </c>
      <c r="AX276" s="132">
        <f t="shared" si="132"/>
        <v>9.5592545454545466</v>
      </c>
      <c r="AY276" s="132">
        <f t="shared" si="132"/>
        <v>567.45922727272739</v>
      </c>
      <c r="AZ276" s="132">
        <f t="shared" si="132"/>
        <v>0</v>
      </c>
      <c r="BA276" s="132">
        <f t="shared" si="132"/>
        <v>80.28</v>
      </c>
      <c r="BB276" s="132">
        <f t="shared" si="132"/>
        <v>1528.7100000000003</v>
      </c>
      <c r="BC276" s="132">
        <f t="shared" si="132"/>
        <v>211.55592727272727</v>
      </c>
      <c r="BD276" s="132">
        <f t="shared" si="132"/>
        <v>75.861599999999996</v>
      </c>
      <c r="BE276" s="107"/>
      <c r="BF276" s="107"/>
      <c r="BG276" s="107"/>
      <c r="BH276" s="107"/>
      <c r="BI276" s="107"/>
      <c r="BJ276" s="107"/>
      <c r="BK276" s="107"/>
      <c r="BL276" s="107"/>
    </row>
    <row r="277" spans="1:64" ht="12.75" customHeight="1" x14ac:dyDescent="0.2"/>
    <row r="278" spans="1:64" ht="12.75" customHeight="1" x14ac:dyDescent="0.2"/>
    <row r="279" spans="1:64" ht="12.75" customHeight="1" x14ac:dyDescent="0.2"/>
    <row r="280" spans="1:64" ht="12.75" customHeight="1" x14ac:dyDescent="0.2">
      <c r="D280" s="133"/>
    </row>
    <row r="281" spans="1:64" ht="12.75" customHeight="1" x14ac:dyDescent="0.2">
      <c r="D281" s="133"/>
    </row>
    <row r="282" spans="1:64" ht="12.75" customHeight="1" x14ac:dyDescent="0.2">
      <c r="D282" s="133"/>
    </row>
    <row r="283" spans="1:64" ht="12.75" customHeight="1" x14ac:dyDescent="0.2">
      <c r="D283" s="133"/>
    </row>
    <row r="284" spans="1:64" ht="12.75" customHeight="1" x14ac:dyDescent="0.2">
      <c r="D284" s="133"/>
    </row>
    <row r="285" spans="1:64" ht="12.75" customHeight="1" x14ac:dyDescent="0.2"/>
    <row r="286" spans="1:64" ht="12.75" customHeight="1" x14ac:dyDescent="0.2"/>
    <row r="287" spans="1:64" ht="12.75" customHeight="1" x14ac:dyDescent="0.2"/>
    <row r="288" spans="1:64"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row r="1001" ht="12.75" customHeight="1" x14ac:dyDescent="0.2"/>
    <row r="1002" ht="12.75" customHeight="1" x14ac:dyDescent="0.2"/>
    <row r="1003" ht="12.75" customHeight="1" x14ac:dyDescent="0.2"/>
    <row r="1004" ht="12.75" customHeight="1" x14ac:dyDescent="0.2"/>
    <row r="1005" ht="12.75" customHeight="1" x14ac:dyDescent="0.2"/>
    <row r="1006" ht="12.75" customHeight="1" x14ac:dyDescent="0.2"/>
    <row r="1007" ht="12.75" customHeight="1" x14ac:dyDescent="0.2"/>
    <row r="1008" ht="12.75" customHeight="1" x14ac:dyDescent="0.2"/>
    <row r="1009" ht="12.75" customHeight="1" x14ac:dyDescent="0.2"/>
    <row r="1010" ht="12.75" customHeight="1" x14ac:dyDescent="0.2"/>
    <row r="1011" ht="12.75" customHeight="1" x14ac:dyDescent="0.2"/>
    <row r="1012" ht="12.75" customHeight="1" x14ac:dyDescent="0.2"/>
    <row r="1013" ht="12.75" customHeight="1" x14ac:dyDescent="0.2"/>
    <row r="1014" ht="12.75" customHeight="1" x14ac:dyDescent="0.2"/>
    <row r="1015" ht="12.75" customHeight="1" x14ac:dyDescent="0.2"/>
    <row r="1016" ht="12.75" customHeight="1" x14ac:dyDescent="0.2"/>
    <row r="1017" ht="12.75" customHeight="1" x14ac:dyDescent="0.2"/>
    <row r="1018" ht="12.75" customHeight="1" x14ac:dyDescent="0.2"/>
    <row r="1019" ht="12.75" customHeight="1" x14ac:dyDescent="0.2"/>
    <row r="1020" ht="12.75" customHeight="1" x14ac:dyDescent="0.2"/>
    <row r="1021" ht="12.75" customHeight="1" x14ac:dyDescent="0.2"/>
    <row r="1022" ht="12.75" customHeight="1" x14ac:dyDescent="0.2"/>
    <row r="1023" ht="12.75" customHeight="1" x14ac:dyDescent="0.2"/>
    <row r="1024" ht="12.75" customHeight="1" x14ac:dyDescent="0.2"/>
    <row r="1025" ht="12.75" customHeight="1" x14ac:dyDescent="0.2"/>
    <row r="1026" ht="12.75" customHeight="1" x14ac:dyDescent="0.2"/>
    <row r="1027" ht="12.75" customHeight="1" x14ac:dyDescent="0.2"/>
    <row r="1028" ht="12.75" customHeight="1" x14ac:dyDescent="0.2"/>
    <row r="1029" ht="12.75" customHeight="1" x14ac:dyDescent="0.2"/>
    <row r="1030" ht="12.75" customHeight="1" x14ac:dyDescent="0.2"/>
    <row r="1031" ht="12.75" customHeight="1" x14ac:dyDescent="0.2"/>
    <row r="1032" ht="12.75" customHeight="1" x14ac:dyDescent="0.2"/>
    <row r="1033" ht="12.75" customHeight="1" x14ac:dyDescent="0.2"/>
    <row r="1034" ht="12.75" customHeight="1" x14ac:dyDescent="0.2"/>
    <row r="1035" ht="12.75" customHeight="1" x14ac:dyDescent="0.2"/>
    <row r="1036" ht="12.75" customHeight="1" x14ac:dyDescent="0.2"/>
    <row r="1037" ht="12.75" customHeight="1" x14ac:dyDescent="0.2"/>
    <row r="1038" ht="12.75" customHeight="1" x14ac:dyDescent="0.2"/>
    <row r="1039" ht="12.75" customHeight="1" x14ac:dyDescent="0.2"/>
    <row r="1040" ht="12.75" customHeight="1" x14ac:dyDescent="0.2"/>
    <row r="1041" ht="12.75" customHeight="1" x14ac:dyDescent="0.2"/>
    <row r="1042" ht="12.75" customHeight="1" x14ac:dyDescent="0.2"/>
    <row r="1043" ht="12.75" customHeight="1" x14ac:dyDescent="0.2"/>
    <row r="1044" ht="12.75" customHeight="1" x14ac:dyDescent="0.2"/>
    <row r="1045" ht="12.75" customHeight="1" x14ac:dyDescent="0.2"/>
    <row r="1046" ht="12.75" customHeight="1" x14ac:dyDescent="0.2"/>
    <row r="1047" ht="12.75" customHeight="1" x14ac:dyDescent="0.2"/>
    <row r="1048" ht="12.75" customHeight="1" x14ac:dyDescent="0.2"/>
    <row r="1049" ht="12.75" customHeight="1" x14ac:dyDescent="0.2"/>
    <row r="1050" ht="12.75" customHeight="1" x14ac:dyDescent="0.2"/>
    <row r="1051" ht="12.75" customHeight="1" x14ac:dyDescent="0.2"/>
    <row r="1052" ht="12.75" customHeight="1" x14ac:dyDescent="0.2"/>
    <row r="1053" ht="12.75" customHeight="1" x14ac:dyDescent="0.2"/>
    <row r="1054" ht="12.75" customHeight="1" x14ac:dyDescent="0.2"/>
    <row r="1055" ht="12.75" customHeight="1" x14ac:dyDescent="0.2"/>
    <row r="1056" ht="12.75" customHeight="1" x14ac:dyDescent="0.2"/>
    <row r="1057" ht="12.75" customHeight="1" x14ac:dyDescent="0.2"/>
  </sheetData>
  <mergeCells count="114">
    <mergeCell ref="A258:A261"/>
    <mergeCell ref="B258:B261"/>
    <mergeCell ref="D258:D261"/>
    <mergeCell ref="AF258:AF261"/>
    <mergeCell ref="A262:A274"/>
    <mergeCell ref="B262:B274"/>
    <mergeCell ref="D262:D274"/>
    <mergeCell ref="AF262:AF274"/>
    <mergeCell ref="A276:C276"/>
    <mergeCell ref="A226:A245"/>
    <mergeCell ref="B226:B245"/>
    <mergeCell ref="D226:D245"/>
    <mergeCell ref="AF226:AF245"/>
    <mergeCell ref="A246:A253"/>
    <mergeCell ref="B246:B253"/>
    <mergeCell ref="D246:D253"/>
    <mergeCell ref="AF246:AF253"/>
    <mergeCell ref="A254:A257"/>
    <mergeCell ref="B254:B257"/>
    <mergeCell ref="D254:D257"/>
    <mergeCell ref="AF254:AF257"/>
    <mergeCell ref="A193:A212"/>
    <mergeCell ref="B193:B212"/>
    <mergeCell ref="D193:D212"/>
    <mergeCell ref="AF193:AF212"/>
    <mergeCell ref="A214:A221"/>
    <mergeCell ref="B214:B221"/>
    <mergeCell ref="D214:D221"/>
    <mergeCell ref="AF214:AF221"/>
    <mergeCell ref="A222:A225"/>
    <mergeCell ref="B222:B225"/>
    <mergeCell ref="D222:D225"/>
    <mergeCell ref="AF222:AF225"/>
    <mergeCell ref="A128:A173"/>
    <mergeCell ref="B128:B173"/>
    <mergeCell ref="D128:D173"/>
    <mergeCell ref="AF128:AF173"/>
    <mergeCell ref="A174:A188"/>
    <mergeCell ref="B174:B188"/>
    <mergeCell ref="D174:D188"/>
    <mergeCell ref="AF174:AF188"/>
    <mergeCell ref="A189:A192"/>
    <mergeCell ref="B189:B192"/>
    <mergeCell ref="D189:D192"/>
    <mergeCell ref="AF189:AF192"/>
    <mergeCell ref="A98:A104"/>
    <mergeCell ref="D98:D104"/>
    <mergeCell ref="AF98:AF104"/>
    <mergeCell ref="A105:A119"/>
    <mergeCell ref="B105:B119"/>
    <mergeCell ref="D105:D119"/>
    <mergeCell ref="AF105:AF119"/>
    <mergeCell ref="A120:A127"/>
    <mergeCell ref="B120:B127"/>
    <mergeCell ref="D120:D127"/>
    <mergeCell ref="AF120:AF127"/>
    <mergeCell ref="A73:A77"/>
    <mergeCell ref="B73:B77"/>
    <mergeCell ref="D73:D77"/>
    <mergeCell ref="AF73:AF77"/>
    <mergeCell ref="A78:A92"/>
    <mergeCell ref="B78:B92"/>
    <mergeCell ref="D78:D92"/>
    <mergeCell ref="AF78:AF92"/>
    <mergeCell ref="A93:A97"/>
    <mergeCell ref="B93:B97"/>
    <mergeCell ref="D93:D97"/>
    <mergeCell ref="AF93:AF97"/>
    <mergeCell ref="A25:A40"/>
    <mergeCell ref="B25:B40"/>
    <mergeCell ref="D25:D40"/>
    <mergeCell ref="AF25:AF40"/>
    <mergeCell ref="A41:A58"/>
    <mergeCell ref="B41:B58"/>
    <mergeCell ref="D41:D58"/>
    <mergeCell ref="AF41:AF58"/>
    <mergeCell ref="A59:A72"/>
    <mergeCell ref="B59:B72"/>
    <mergeCell ref="D59:D72"/>
    <mergeCell ref="AF59:AF72"/>
    <mergeCell ref="A8:A15"/>
    <mergeCell ref="B8:B15"/>
    <mergeCell ref="D8:D15"/>
    <mergeCell ref="AF8:AF15"/>
    <mergeCell ref="A16:A21"/>
    <mergeCell ref="B16:B21"/>
    <mergeCell ref="D16:D21"/>
    <mergeCell ref="AF16:AF21"/>
    <mergeCell ref="A22:A24"/>
    <mergeCell ref="B22:B24"/>
    <mergeCell ref="D22:D24"/>
    <mergeCell ref="AF22:AF24"/>
    <mergeCell ref="A1:D4"/>
    <mergeCell ref="E1:S4"/>
    <mergeCell ref="T1:AB4"/>
    <mergeCell ref="AC1:AK4"/>
    <mergeCell ref="AN1:BD4"/>
    <mergeCell ref="A5:A7"/>
    <mergeCell ref="B5:B7"/>
    <mergeCell ref="C5:C7"/>
    <mergeCell ref="D5:D7"/>
    <mergeCell ref="E5:AB5"/>
    <mergeCell ref="AC5:AC7"/>
    <mergeCell ref="AD5:AD7"/>
    <mergeCell ref="AE5:AE7"/>
    <mergeCell ref="AG5:BD5"/>
    <mergeCell ref="E6:L6"/>
    <mergeCell ref="M6:T6"/>
    <mergeCell ref="U6:W6"/>
    <mergeCell ref="Z6:AB6"/>
    <mergeCell ref="AG6:AN6"/>
    <mergeCell ref="AO6:AV6"/>
    <mergeCell ref="AW6:AY6"/>
    <mergeCell ref="BB6:BD6"/>
  </mergeCells>
  <dataValidations count="1">
    <dataValidation type="list" allowBlank="1" showInputMessage="1" showErrorMessage="1" prompt=" - " sqref="AC8:AC275">
      <formula1>"DIÁRIA,2xDIA,3xDIA,4xDIA,5xDIA,6xDIA,SEMANAL,2xSEMANA,3xSEMANA,QUINZENAL,MENSAL,BIMESTRAL,TRIMESTRAL,SEMESTRAL"</formula1>
      <formula2>0</formula2>
    </dataValidation>
  </dataValidations>
  <printOptions horizontalCentered="1" verticalCentered="1"/>
  <pageMargins left="0" right="0" top="0.39370078740157483" bottom="0" header="0" footer="0.51181102362204722"/>
  <pageSetup paperSize="9" scale="24" firstPageNumber="0" pageOrder="overThenDown" orientation="landscape" r:id="rId1"/>
  <headerFooter>
    <oddHeader>&amp;R&amp;P de &amp;N</oddHeader>
    <oddFooter>&amp;L&amp;F - &amp;A&amp;CPágina &amp;P de &amp;N</oddFooter>
  </headerFooter>
  <rowBreaks count="1" manualBreakCount="1">
    <brk id="134" max="55" man="1"/>
  </rowBreaks>
  <colBreaks count="1" manualBreakCount="1">
    <brk id="56"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CCFF"/>
  </sheetPr>
  <dimension ref="A1:AMJ1006"/>
  <sheetViews>
    <sheetView showGridLines="0" zoomScaleNormal="100" workbookViewId="0">
      <selection activeCell="J7" sqref="J7"/>
    </sheetView>
  </sheetViews>
  <sheetFormatPr defaultColWidth="14.42578125" defaultRowHeight="14.25" x14ac:dyDescent="0.2"/>
  <cols>
    <col min="1" max="1" width="17.85546875" style="1" customWidth="1"/>
    <col min="2" max="2" width="27.7109375" style="1" customWidth="1"/>
    <col min="3" max="3" width="14" style="1" customWidth="1"/>
    <col min="4" max="4" width="17.5703125" style="1" customWidth="1"/>
    <col min="5" max="5" width="16" style="1" customWidth="1"/>
    <col min="6" max="6" width="17.42578125" style="1" customWidth="1"/>
    <col min="7" max="7" width="16.28515625" style="1" customWidth="1"/>
    <col min="8" max="8" width="17.140625" style="1" customWidth="1"/>
    <col min="9" max="9" width="5.85546875" style="1" customWidth="1"/>
    <col min="10" max="10" width="21.42578125" style="1" customWidth="1"/>
    <col min="11" max="11" width="7.42578125" style="1" customWidth="1"/>
    <col min="12" max="12" width="8.140625" style="1" customWidth="1"/>
    <col min="13" max="13" width="4.42578125" style="1" customWidth="1"/>
    <col min="14" max="14" width="13.42578125" style="1" customWidth="1"/>
    <col min="15" max="15" width="14.28515625" style="1" bestFit="1" customWidth="1"/>
    <col min="16" max="16" width="9.5703125" style="1" customWidth="1"/>
    <col min="17" max="17" width="11.7109375" style="1" customWidth="1"/>
    <col min="18" max="19" width="9.140625" style="1" customWidth="1"/>
    <col min="20" max="26" width="8" style="1" customWidth="1"/>
    <col min="27" max="1024" width="14.42578125" style="1"/>
  </cols>
  <sheetData>
    <row r="1" spans="1:26" ht="14.25" customHeight="1" x14ac:dyDescent="0.2">
      <c r="A1" s="326" t="s">
        <v>0</v>
      </c>
      <c r="B1" s="326"/>
      <c r="C1" s="326"/>
      <c r="D1" s="326"/>
      <c r="E1" s="326"/>
      <c r="F1" s="326"/>
      <c r="G1" s="326"/>
      <c r="H1" s="326"/>
      <c r="I1" s="326"/>
      <c r="J1" s="326"/>
      <c r="K1" s="326"/>
      <c r="L1" s="326"/>
      <c r="M1" s="326"/>
      <c r="N1" s="326"/>
      <c r="O1" s="326"/>
      <c r="P1" s="326"/>
      <c r="Q1" s="2"/>
      <c r="R1" s="2"/>
      <c r="S1" s="2"/>
      <c r="T1" s="2"/>
      <c r="U1" s="2"/>
      <c r="V1" s="2"/>
      <c r="W1" s="2"/>
      <c r="X1" s="2"/>
      <c r="Y1" s="2"/>
      <c r="Z1" s="2"/>
    </row>
    <row r="2" spans="1:26" ht="14.25" customHeight="1" x14ac:dyDescent="0.2">
      <c r="A2" s="326" t="s">
        <v>1</v>
      </c>
      <c r="B2" s="326"/>
      <c r="C2" s="326"/>
      <c r="D2" s="326"/>
      <c r="E2" s="326"/>
      <c r="F2" s="326"/>
      <c r="G2" s="326"/>
      <c r="H2" s="326"/>
      <c r="I2" s="326"/>
      <c r="J2" s="326"/>
      <c r="K2" s="326"/>
      <c r="L2" s="326"/>
      <c r="M2" s="326"/>
      <c r="N2" s="326"/>
      <c r="O2" s="326"/>
      <c r="P2" s="326"/>
      <c r="Q2" s="2"/>
      <c r="R2" s="2"/>
      <c r="S2" s="2"/>
      <c r="T2" s="2"/>
      <c r="U2" s="2"/>
      <c r="V2" s="2"/>
      <c r="W2" s="2"/>
      <c r="X2" s="2"/>
      <c r="Y2" s="2"/>
      <c r="Z2" s="2"/>
    </row>
    <row r="3" spans="1:26" ht="14.25" customHeight="1" x14ac:dyDescent="0.2">
      <c r="A3" s="326" t="s">
        <v>2</v>
      </c>
      <c r="B3" s="326"/>
      <c r="C3" s="326"/>
      <c r="D3" s="326"/>
      <c r="E3" s="326"/>
      <c r="F3" s="326"/>
      <c r="G3" s="326"/>
      <c r="H3" s="326"/>
      <c r="I3" s="326"/>
      <c r="J3" s="326"/>
      <c r="K3" s="326"/>
      <c r="L3" s="326"/>
      <c r="M3" s="326"/>
      <c r="N3" s="326"/>
      <c r="O3" s="326"/>
      <c r="P3" s="326"/>
      <c r="Q3" s="2"/>
      <c r="R3" s="2"/>
      <c r="S3" s="2"/>
      <c r="T3" s="2"/>
      <c r="U3" s="2"/>
      <c r="V3" s="2"/>
      <c r="W3" s="2"/>
      <c r="X3" s="2"/>
      <c r="Y3" s="2"/>
      <c r="Z3" s="2"/>
    </row>
    <row r="4" spans="1:26" ht="15" x14ac:dyDescent="0.2">
      <c r="A4" s="356" t="str">
        <f>'1. SA ABA DE CARREGAMENTO'!A4</f>
        <v>CAMPUS SANTO AUGUSTO</v>
      </c>
      <c r="B4" s="356"/>
      <c r="C4" s="356"/>
      <c r="D4" s="356"/>
      <c r="E4" s="356"/>
      <c r="F4" s="356"/>
      <c r="G4" s="356"/>
      <c r="H4" s="356"/>
      <c r="I4" s="356"/>
      <c r="J4" s="356"/>
      <c r="K4" s="356"/>
      <c r="L4" s="356"/>
      <c r="M4" s="356"/>
      <c r="N4" s="356"/>
      <c r="O4" s="356"/>
      <c r="P4" s="356"/>
      <c r="Q4" s="2"/>
      <c r="R4" s="2"/>
      <c r="S4" s="2"/>
      <c r="T4" s="2"/>
      <c r="U4" s="2"/>
      <c r="V4" s="2"/>
      <c r="W4" s="2"/>
      <c r="X4" s="2"/>
      <c r="Y4" s="2"/>
      <c r="Z4" s="2"/>
    </row>
    <row r="5" spans="1:26" ht="14.25" customHeight="1" x14ac:dyDescent="0.2">
      <c r="A5" s="397" t="s">
        <v>478</v>
      </c>
      <c r="B5" s="397"/>
      <c r="C5" s="397"/>
      <c r="D5" s="397"/>
      <c r="E5" s="397"/>
      <c r="F5" s="397"/>
      <c r="G5" s="397"/>
      <c r="H5" s="397"/>
      <c r="I5" s="397"/>
      <c r="J5" s="397"/>
      <c r="K5" s="397"/>
      <c r="L5" s="397"/>
      <c r="M5" s="397"/>
      <c r="N5" s="397"/>
      <c r="O5" s="397"/>
      <c r="P5" s="397"/>
      <c r="Q5" s="2"/>
      <c r="R5" s="2"/>
      <c r="S5" s="2"/>
      <c r="T5" s="2"/>
      <c r="U5" s="2"/>
      <c r="V5" s="2"/>
      <c r="W5" s="2"/>
      <c r="X5" s="2"/>
      <c r="Y5" s="2"/>
      <c r="Z5" s="2"/>
    </row>
    <row r="6" spans="1:26" ht="15" x14ac:dyDescent="0.2">
      <c r="A6" s="20"/>
      <c r="B6" s="20"/>
      <c r="C6" s="20"/>
      <c r="D6" s="20"/>
      <c r="E6" s="20"/>
      <c r="F6" s="20"/>
      <c r="G6" s="20"/>
      <c r="H6" s="20"/>
      <c r="I6" s="20"/>
      <c r="J6" s="20"/>
      <c r="K6" s="20"/>
      <c r="L6" s="20"/>
      <c r="M6" s="20"/>
      <c r="N6" s="20"/>
      <c r="O6" s="20"/>
      <c r="P6" s="20"/>
      <c r="Q6" s="134"/>
      <c r="R6" s="134"/>
      <c r="S6" s="134"/>
      <c r="T6" s="134"/>
      <c r="U6" s="134"/>
      <c r="V6" s="134"/>
      <c r="W6" s="134"/>
      <c r="X6" s="134"/>
      <c r="Y6" s="134"/>
      <c r="Z6" s="134"/>
    </row>
    <row r="7" spans="1:26" ht="125.25" customHeight="1" x14ac:dyDescent="0.2">
      <c r="A7" s="323" t="s">
        <v>23</v>
      </c>
      <c r="B7" s="135" t="s">
        <v>24</v>
      </c>
      <c r="C7" s="135" t="s">
        <v>884</v>
      </c>
      <c r="D7" s="135" t="s">
        <v>479</v>
      </c>
      <c r="E7" s="135" t="s">
        <v>480</v>
      </c>
      <c r="F7" s="135" t="s">
        <v>481</v>
      </c>
      <c r="G7" s="135" t="s">
        <v>482</v>
      </c>
      <c r="H7" s="135" t="s">
        <v>483</v>
      </c>
      <c r="I7" s="398" t="s">
        <v>484</v>
      </c>
      <c r="J7" s="398"/>
      <c r="K7" s="398"/>
      <c r="L7" s="398"/>
      <c r="M7" s="398"/>
      <c r="N7" s="398"/>
      <c r="O7" s="398"/>
      <c r="P7" s="398"/>
      <c r="Q7" s="2"/>
      <c r="R7" s="2"/>
      <c r="S7" s="2"/>
      <c r="T7" s="2"/>
      <c r="U7" s="2"/>
      <c r="V7" s="2"/>
      <c r="W7" s="2"/>
      <c r="X7" s="2"/>
      <c r="Y7" s="2"/>
      <c r="Z7" s="2"/>
    </row>
    <row r="8" spans="1:26" ht="51" customHeight="1" x14ac:dyDescent="0.2">
      <c r="A8" s="399" t="s">
        <v>26</v>
      </c>
      <c r="B8" s="136" t="s">
        <v>27</v>
      </c>
      <c r="C8" s="137">
        <f>'1. SA ABA DE CARREGAMENTO'!$C$22</f>
        <v>1200</v>
      </c>
      <c r="D8" s="138">
        <f>'3. SA Área'!AG276</f>
        <v>782.90909090909088</v>
      </c>
      <c r="E8" s="139">
        <f t="shared" ref="E8:E25" si="0">D8/C8</f>
        <v>0.65242424242424235</v>
      </c>
      <c r="F8" s="48">
        <f t="shared" ref="F8:F26" si="1">TRUNC(E8,0)</f>
        <v>0</v>
      </c>
      <c r="G8" s="139">
        <f t="shared" ref="G8:G26" si="2">E8-F8</f>
        <v>0.65242424242424235</v>
      </c>
      <c r="H8" s="139">
        <f t="shared" ref="H8:H26" si="3">G8*$C$28*60</f>
        <v>313.16363636363633</v>
      </c>
      <c r="I8" s="140">
        <f t="shared" ref="I8:I26" si="4">F8</f>
        <v>0</v>
      </c>
      <c r="J8" s="141" t="s">
        <v>485</v>
      </c>
      <c r="K8" s="140">
        <f t="shared" ref="K8:K24" si="5">$C$32</f>
        <v>0</v>
      </c>
      <c r="L8" s="141" t="s">
        <v>486</v>
      </c>
      <c r="M8" s="140">
        <v>1</v>
      </c>
      <c r="N8" s="141" t="s">
        <v>487</v>
      </c>
      <c r="O8" s="142">
        <f t="shared" ref="O8:O26" si="6">H8</f>
        <v>313.16363636363633</v>
      </c>
      <c r="P8" s="141" t="s">
        <v>488</v>
      </c>
      <c r="R8" s="143"/>
    </row>
    <row r="9" spans="1:26" ht="40.5" customHeight="1" x14ac:dyDescent="0.2">
      <c r="A9" s="399"/>
      <c r="B9" s="136" t="s">
        <v>28</v>
      </c>
      <c r="C9" s="137">
        <f>'1. SA ABA DE CARREGAMENTO'!$C$23</f>
        <v>1200</v>
      </c>
      <c r="D9" s="138">
        <f>'3. SA Área'!AH276</f>
        <v>8067.0091272727259</v>
      </c>
      <c r="E9" s="139">
        <f t="shared" si="0"/>
        <v>6.7225076060606046</v>
      </c>
      <c r="F9" s="48">
        <f t="shared" si="1"/>
        <v>6</v>
      </c>
      <c r="G9" s="139">
        <f t="shared" si="2"/>
        <v>0.7225076060606046</v>
      </c>
      <c r="H9" s="139">
        <f t="shared" si="3"/>
        <v>346.80365090909021</v>
      </c>
      <c r="I9" s="140">
        <f t="shared" si="4"/>
        <v>6</v>
      </c>
      <c r="J9" s="141" t="s">
        <v>485</v>
      </c>
      <c r="K9" s="140">
        <f t="shared" si="5"/>
        <v>0</v>
      </c>
      <c r="L9" s="141" t="s">
        <v>486</v>
      </c>
      <c r="M9" s="140">
        <v>1</v>
      </c>
      <c r="N9" s="141" t="s">
        <v>487</v>
      </c>
      <c r="O9" s="142">
        <f t="shared" si="6"/>
        <v>346.80365090909021</v>
      </c>
      <c r="P9" s="141" t="s">
        <v>488</v>
      </c>
    </row>
    <row r="10" spans="1:26" ht="38.25" customHeight="1" x14ac:dyDescent="0.2">
      <c r="A10" s="399"/>
      <c r="B10" s="136" t="s">
        <v>29</v>
      </c>
      <c r="C10" s="137">
        <f>'1. SA ABA DE CARREGAMENTO'!$C$24</f>
        <v>450</v>
      </c>
      <c r="D10" s="138">
        <f>'3. SA Área'!AI276</f>
        <v>2805.9702272727268</v>
      </c>
      <c r="E10" s="139">
        <f t="shared" si="0"/>
        <v>6.2354893939393925</v>
      </c>
      <c r="F10" s="48">
        <f t="shared" si="1"/>
        <v>6</v>
      </c>
      <c r="G10" s="139">
        <f t="shared" si="2"/>
        <v>0.2354893939393925</v>
      </c>
      <c r="H10" s="139">
        <f t="shared" si="3"/>
        <v>113.0349090909084</v>
      </c>
      <c r="I10" s="140">
        <f t="shared" si="4"/>
        <v>6</v>
      </c>
      <c r="J10" s="141" t="s">
        <v>485</v>
      </c>
      <c r="K10" s="140">
        <f t="shared" si="5"/>
        <v>0</v>
      </c>
      <c r="L10" s="141" t="s">
        <v>486</v>
      </c>
      <c r="M10" s="140">
        <v>1</v>
      </c>
      <c r="N10" s="141" t="s">
        <v>487</v>
      </c>
      <c r="O10" s="142">
        <f t="shared" si="6"/>
        <v>113.0349090909084</v>
      </c>
      <c r="P10" s="141" t="s">
        <v>488</v>
      </c>
    </row>
    <row r="11" spans="1:26" ht="38.25" customHeight="1" x14ac:dyDescent="0.2">
      <c r="A11" s="399"/>
      <c r="B11" s="136" t="s">
        <v>30</v>
      </c>
      <c r="C11" s="137">
        <f>'1. SA ABA DE CARREGAMENTO'!$C$25</f>
        <v>2500</v>
      </c>
      <c r="D11" s="138">
        <f>'3. SA Área'!AJ276</f>
        <v>93.613372727272747</v>
      </c>
      <c r="E11" s="139">
        <f t="shared" si="0"/>
        <v>3.7445349090909096E-2</v>
      </c>
      <c r="F11" s="48">
        <f t="shared" si="1"/>
        <v>0</v>
      </c>
      <c r="G11" s="139">
        <f t="shared" si="2"/>
        <v>3.7445349090909096E-2</v>
      </c>
      <c r="H11" s="139">
        <f t="shared" si="3"/>
        <v>17.973767563636365</v>
      </c>
      <c r="I11" s="140">
        <f t="shared" si="4"/>
        <v>0</v>
      </c>
      <c r="J11" s="141" t="s">
        <v>485</v>
      </c>
      <c r="K11" s="140">
        <f t="shared" si="5"/>
        <v>0</v>
      </c>
      <c r="L11" s="141" t="s">
        <v>486</v>
      </c>
      <c r="M11" s="140">
        <v>1</v>
      </c>
      <c r="N11" s="141" t="s">
        <v>487</v>
      </c>
      <c r="O11" s="142">
        <f t="shared" si="6"/>
        <v>17.973767563636365</v>
      </c>
      <c r="P11" s="141" t="s">
        <v>488</v>
      </c>
    </row>
    <row r="12" spans="1:26" ht="38.25" customHeight="1" x14ac:dyDescent="0.2">
      <c r="A12" s="399"/>
      <c r="B12" s="136" t="s">
        <v>31</v>
      </c>
      <c r="C12" s="137">
        <f>'1. SA ABA DE CARREGAMENTO'!$C$26</f>
        <v>1800</v>
      </c>
      <c r="D12" s="138">
        <f>'3. SA Área'!AK276</f>
        <v>6.2292954545454542</v>
      </c>
      <c r="E12" s="139">
        <f t="shared" si="0"/>
        <v>3.4607196969696969E-3</v>
      </c>
      <c r="F12" s="48">
        <f t="shared" si="1"/>
        <v>0</v>
      </c>
      <c r="G12" s="139">
        <f t="shared" si="2"/>
        <v>3.4607196969696969E-3</v>
      </c>
      <c r="H12" s="141">
        <f t="shared" si="3"/>
        <v>1.6611454545454545</v>
      </c>
      <c r="I12" s="140">
        <f t="shared" si="4"/>
        <v>0</v>
      </c>
      <c r="J12" s="141" t="s">
        <v>485</v>
      </c>
      <c r="K12" s="140">
        <f t="shared" si="5"/>
        <v>0</v>
      </c>
      <c r="L12" s="141" t="s">
        <v>486</v>
      </c>
      <c r="M12" s="140">
        <v>1</v>
      </c>
      <c r="N12" s="141" t="s">
        <v>487</v>
      </c>
      <c r="O12" s="140">
        <f t="shared" si="6"/>
        <v>1.6611454545454545</v>
      </c>
      <c r="P12" s="141" t="s">
        <v>488</v>
      </c>
    </row>
    <row r="13" spans="1:26" ht="38.25" customHeight="1" x14ac:dyDescent="0.2">
      <c r="A13" s="399"/>
      <c r="B13" s="136" t="s">
        <v>489</v>
      </c>
      <c r="C13" s="137">
        <f>'1. SA ABA DE CARREGAMENTO'!$C$27</f>
        <v>1500</v>
      </c>
      <c r="D13" s="138">
        <f>'3. SA Área'!AN276</f>
        <v>3871.5101045454553</v>
      </c>
      <c r="E13" s="139">
        <f t="shared" si="0"/>
        <v>2.5810067363636371</v>
      </c>
      <c r="F13" s="48">
        <f t="shared" si="1"/>
        <v>2</v>
      </c>
      <c r="G13" s="139">
        <f t="shared" si="2"/>
        <v>0.58100673636363709</v>
      </c>
      <c r="H13" s="139">
        <f t="shared" si="3"/>
        <v>278.8832334545458</v>
      </c>
      <c r="I13" s="140">
        <f t="shared" si="4"/>
        <v>2</v>
      </c>
      <c r="J13" s="141" t="s">
        <v>485</v>
      </c>
      <c r="K13" s="140">
        <f t="shared" si="5"/>
        <v>0</v>
      </c>
      <c r="L13" s="141" t="s">
        <v>486</v>
      </c>
      <c r="M13" s="140">
        <v>1</v>
      </c>
      <c r="N13" s="141" t="s">
        <v>487</v>
      </c>
      <c r="O13" s="142">
        <f t="shared" si="6"/>
        <v>278.8832334545458</v>
      </c>
      <c r="P13" s="141" t="s">
        <v>488</v>
      </c>
    </row>
    <row r="14" spans="1:26" ht="54" customHeight="1" x14ac:dyDescent="0.2">
      <c r="A14" s="399"/>
      <c r="B14" s="136" t="s">
        <v>33</v>
      </c>
      <c r="C14" s="137">
        <v>1200</v>
      </c>
      <c r="D14" s="138">
        <f>'3. SA Área'!AG120+'3. SA Área'!AG121</f>
        <v>0</v>
      </c>
      <c r="E14" s="139">
        <f t="shared" si="0"/>
        <v>0</v>
      </c>
      <c r="F14" s="48">
        <f t="shared" si="1"/>
        <v>0</v>
      </c>
      <c r="G14" s="139">
        <f t="shared" si="2"/>
        <v>0</v>
      </c>
      <c r="H14" s="141">
        <f t="shared" si="3"/>
        <v>0</v>
      </c>
      <c r="I14" s="140">
        <f t="shared" si="4"/>
        <v>0</v>
      </c>
      <c r="J14" s="141" t="s">
        <v>485</v>
      </c>
      <c r="K14" s="140">
        <f t="shared" si="5"/>
        <v>0</v>
      </c>
      <c r="L14" s="141" t="s">
        <v>486</v>
      </c>
      <c r="M14" s="140">
        <v>1</v>
      </c>
      <c r="N14" s="141" t="s">
        <v>487</v>
      </c>
      <c r="O14" s="140">
        <f t="shared" si="6"/>
        <v>0</v>
      </c>
      <c r="P14" s="141" t="s">
        <v>488</v>
      </c>
    </row>
    <row r="15" spans="1:26" ht="38.25" hidden="1" customHeight="1" x14ac:dyDescent="0.2">
      <c r="A15" s="399"/>
      <c r="B15" s="136" t="s">
        <v>253</v>
      </c>
      <c r="C15" s="137">
        <f>'1. SA ABA DE CARREGAMENTO'!C29</f>
        <v>800</v>
      </c>
      <c r="D15" s="138">
        <f>'3. SA Área'!AL276</f>
        <v>0</v>
      </c>
      <c r="E15" s="139">
        <f t="shared" si="0"/>
        <v>0</v>
      </c>
      <c r="F15" s="48">
        <f t="shared" si="1"/>
        <v>0</v>
      </c>
      <c r="G15" s="139">
        <f t="shared" si="2"/>
        <v>0</v>
      </c>
      <c r="H15" s="139">
        <f t="shared" si="3"/>
        <v>0</v>
      </c>
      <c r="I15" s="140">
        <f t="shared" si="4"/>
        <v>0</v>
      </c>
      <c r="J15" s="141" t="s">
        <v>485</v>
      </c>
      <c r="K15" s="140">
        <f t="shared" si="5"/>
        <v>0</v>
      </c>
      <c r="L15" s="141" t="s">
        <v>486</v>
      </c>
      <c r="M15" s="140">
        <v>1</v>
      </c>
      <c r="N15" s="141" t="s">
        <v>487</v>
      </c>
      <c r="O15" s="142">
        <f t="shared" si="6"/>
        <v>0</v>
      </c>
      <c r="P15" s="141" t="s">
        <v>488</v>
      </c>
    </row>
    <row r="16" spans="1:26" ht="38.25" hidden="1" customHeight="1" x14ac:dyDescent="0.2">
      <c r="A16" s="399"/>
      <c r="B16" s="136" t="s">
        <v>35</v>
      </c>
      <c r="C16" s="137">
        <f>'1. SA ABA DE CARREGAMENTO'!C30</f>
        <v>450</v>
      </c>
      <c r="D16" s="138">
        <f>'3. SA Área'!AM276</f>
        <v>0</v>
      </c>
      <c r="E16" s="139">
        <f t="shared" si="0"/>
        <v>0</v>
      </c>
      <c r="F16" s="48">
        <f t="shared" si="1"/>
        <v>0</v>
      </c>
      <c r="G16" s="139">
        <f t="shared" si="2"/>
        <v>0</v>
      </c>
      <c r="H16" s="139">
        <f t="shared" si="3"/>
        <v>0</v>
      </c>
      <c r="I16" s="140">
        <f t="shared" si="4"/>
        <v>0</v>
      </c>
      <c r="J16" s="141" t="s">
        <v>485</v>
      </c>
      <c r="K16" s="140">
        <f t="shared" si="5"/>
        <v>0</v>
      </c>
      <c r="L16" s="141" t="s">
        <v>486</v>
      </c>
      <c r="M16" s="140">
        <v>1</v>
      </c>
      <c r="N16" s="141" t="s">
        <v>487</v>
      </c>
      <c r="O16" s="142">
        <f t="shared" si="6"/>
        <v>0</v>
      </c>
      <c r="P16" s="141" t="s">
        <v>488</v>
      </c>
    </row>
    <row r="17" spans="1:18" ht="38.25" customHeight="1" x14ac:dyDescent="0.2">
      <c r="A17" s="400" t="s">
        <v>36</v>
      </c>
      <c r="B17" s="144" t="s">
        <v>37</v>
      </c>
      <c r="C17" s="137">
        <f>'1. SA ABA DE CARREGAMENTO'!$C$31</f>
        <v>2700</v>
      </c>
      <c r="D17" s="145">
        <f>'3. SA Área'!AO276</f>
        <v>477.54882272727275</v>
      </c>
      <c r="E17" s="146">
        <f t="shared" si="0"/>
        <v>0.17686993434343434</v>
      </c>
      <c r="F17" s="147">
        <f t="shared" si="1"/>
        <v>0</v>
      </c>
      <c r="G17" s="146">
        <f t="shared" si="2"/>
        <v>0.17686993434343434</v>
      </c>
      <c r="H17" s="146">
        <f t="shared" si="3"/>
        <v>84.897568484848478</v>
      </c>
      <c r="I17" s="140">
        <f t="shared" si="4"/>
        <v>0</v>
      </c>
      <c r="J17" s="148" t="s">
        <v>485</v>
      </c>
      <c r="K17" s="140">
        <f t="shared" si="5"/>
        <v>0</v>
      </c>
      <c r="L17" s="148" t="s">
        <v>486</v>
      </c>
      <c r="M17" s="140">
        <v>1</v>
      </c>
      <c r="N17" s="148" t="s">
        <v>487</v>
      </c>
      <c r="O17" s="142">
        <f t="shared" si="6"/>
        <v>84.897568484848478</v>
      </c>
      <c r="P17" s="148" t="s">
        <v>488</v>
      </c>
    </row>
    <row r="18" spans="1:18" ht="38.25" customHeight="1" x14ac:dyDescent="0.2">
      <c r="A18" s="400"/>
      <c r="B18" s="144" t="s">
        <v>256</v>
      </c>
      <c r="C18" s="137">
        <f>'1. SA ABA DE CARREGAMENTO'!C32</f>
        <v>800</v>
      </c>
      <c r="D18" s="145">
        <f>'3. SA Área'!AP276</f>
        <v>0</v>
      </c>
      <c r="E18" s="146">
        <f t="shared" si="0"/>
        <v>0</v>
      </c>
      <c r="F18" s="147">
        <f t="shared" si="1"/>
        <v>0</v>
      </c>
      <c r="G18" s="146">
        <f t="shared" si="2"/>
        <v>0</v>
      </c>
      <c r="H18" s="146">
        <f t="shared" si="3"/>
        <v>0</v>
      </c>
      <c r="I18" s="140">
        <f t="shared" si="4"/>
        <v>0</v>
      </c>
      <c r="J18" s="148" t="s">
        <v>485</v>
      </c>
      <c r="K18" s="140">
        <f t="shared" si="5"/>
        <v>0</v>
      </c>
      <c r="L18" s="148" t="s">
        <v>486</v>
      </c>
      <c r="M18" s="140">
        <v>1</v>
      </c>
      <c r="N18" s="148" t="s">
        <v>487</v>
      </c>
      <c r="O18" s="142">
        <f t="shared" si="6"/>
        <v>0</v>
      </c>
      <c r="P18" s="148" t="s">
        <v>488</v>
      </c>
    </row>
    <row r="19" spans="1:18" ht="38.25" customHeight="1" x14ac:dyDescent="0.2">
      <c r="A19" s="400"/>
      <c r="B19" s="144" t="s">
        <v>257</v>
      </c>
      <c r="C19" s="137">
        <f>'1. SA ABA DE CARREGAMENTO'!C33</f>
        <v>450</v>
      </c>
      <c r="D19" s="145">
        <f>'3. SA Área'!AQ276</f>
        <v>0</v>
      </c>
      <c r="E19" s="146">
        <f t="shared" si="0"/>
        <v>0</v>
      </c>
      <c r="F19" s="147">
        <f t="shared" si="1"/>
        <v>0</v>
      </c>
      <c r="G19" s="146">
        <f t="shared" si="2"/>
        <v>0</v>
      </c>
      <c r="H19" s="148">
        <f t="shared" si="3"/>
        <v>0</v>
      </c>
      <c r="I19" s="140">
        <f t="shared" si="4"/>
        <v>0</v>
      </c>
      <c r="J19" s="148" t="s">
        <v>485</v>
      </c>
      <c r="K19" s="140">
        <f t="shared" si="5"/>
        <v>0</v>
      </c>
      <c r="L19" s="148" t="s">
        <v>486</v>
      </c>
      <c r="M19" s="140">
        <v>1</v>
      </c>
      <c r="N19" s="148" t="s">
        <v>487</v>
      </c>
      <c r="O19" s="140">
        <f t="shared" si="6"/>
        <v>0</v>
      </c>
      <c r="P19" s="148" t="s">
        <v>488</v>
      </c>
    </row>
    <row r="20" spans="1:18" ht="38.25" customHeight="1" x14ac:dyDescent="0.2">
      <c r="A20" s="400"/>
      <c r="B20" s="144" t="s">
        <v>40</v>
      </c>
      <c r="C20" s="137">
        <f>'1. SA ABA DE CARREGAMENTO'!$C$34</f>
        <v>9000</v>
      </c>
      <c r="D20" s="145">
        <f>'3. SA Área'!AR276</f>
        <v>0.64669545454545463</v>
      </c>
      <c r="E20" s="146">
        <f t="shared" si="0"/>
        <v>7.1855050505050509E-5</v>
      </c>
      <c r="F20" s="147">
        <f t="shared" si="1"/>
        <v>0</v>
      </c>
      <c r="G20" s="146">
        <f t="shared" si="2"/>
        <v>7.1855050505050509E-5</v>
      </c>
      <c r="H20" s="146">
        <f t="shared" si="3"/>
        <v>3.4490424242424246E-2</v>
      </c>
      <c r="I20" s="140">
        <f t="shared" si="4"/>
        <v>0</v>
      </c>
      <c r="J20" s="148" t="s">
        <v>485</v>
      </c>
      <c r="K20" s="140">
        <f t="shared" si="5"/>
        <v>0</v>
      </c>
      <c r="L20" s="148" t="s">
        <v>486</v>
      </c>
      <c r="M20" s="140">
        <v>1</v>
      </c>
      <c r="N20" s="148" t="s">
        <v>487</v>
      </c>
      <c r="O20" s="142">
        <f t="shared" si="6"/>
        <v>3.4490424242424246E-2</v>
      </c>
      <c r="P20" s="148" t="s">
        <v>488</v>
      </c>
    </row>
    <row r="21" spans="1:18" ht="38.25" customHeight="1" x14ac:dyDescent="0.2">
      <c r="A21" s="400"/>
      <c r="B21" s="144" t="s">
        <v>41</v>
      </c>
      <c r="C21" s="137">
        <v>4000</v>
      </c>
      <c r="D21" s="145">
        <f>'3. SA Área'!AS276</f>
        <v>0</v>
      </c>
      <c r="E21" s="146">
        <f t="shared" si="0"/>
        <v>0</v>
      </c>
      <c r="F21" s="147">
        <f t="shared" si="1"/>
        <v>0</v>
      </c>
      <c r="G21" s="146">
        <f t="shared" si="2"/>
        <v>0</v>
      </c>
      <c r="H21" s="149">
        <f t="shared" si="3"/>
        <v>0</v>
      </c>
      <c r="I21" s="140">
        <f t="shared" si="4"/>
        <v>0</v>
      </c>
      <c r="J21" s="148" t="s">
        <v>485</v>
      </c>
      <c r="K21" s="140">
        <f t="shared" si="5"/>
        <v>0</v>
      </c>
      <c r="L21" s="148" t="s">
        <v>486</v>
      </c>
      <c r="M21" s="140">
        <v>1</v>
      </c>
      <c r="N21" s="148" t="s">
        <v>487</v>
      </c>
      <c r="O21" s="150">
        <f t="shared" si="6"/>
        <v>0</v>
      </c>
      <c r="P21" s="148" t="s">
        <v>488</v>
      </c>
    </row>
    <row r="22" spans="1:18" ht="38.25" customHeight="1" x14ac:dyDescent="0.2">
      <c r="A22" s="400"/>
      <c r="B22" s="144" t="s">
        <v>42</v>
      </c>
      <c r="C22" s="137">
        <v>2000</v>
      </c>
      <c r="D22" s="145">
        <f>'3. SA Área'!AT276</f>
        <v>0</v>
      </c>
      <c r="E22" s="146">
        <f t="shared" si="0"/>
        <v>0</v>
      </c>
      <c r="F22" s="147">
        <f t="shared" si="1"/>
        <v>0</v>
      </c>
      <c r="G22" s="146">
        <f t="shared" si="2"/>
        <v>0</v>
      </c>
      <c r="H22" s="149">
        <f t="shared" si="3"/>
        <v>0</v>
      </c>
      <c r="I22" s="140">
        <f t="shared" si="4"/>
        <v>0</v>
      </c>
      <c r="J22" s="148" t="s">
        <v>485</v>
      </c>
      <c r="K22" s="140">
        <f t="shared" si="5"/>
        <v>0</v>
      </c>
      <c r="L22" s="148" t="s">
        <v>486</v>
      </c>
      <c r="M22" s="140">
        <v>1</v>
      </c>
      <c r="N22" s="148" t="s">
        <v>487</v>
      </c>
      <c r="O22" s="150">
        <f t="shared" si="6"/>
        <v>0</v>
      </c>
      <c r="P22" s="148" t="s">
        <v>488</v>
      </c>
    </row>
    <row r="23" spans="1:18" ht="38.25" customHeight="1" x14ac:dyDescent="0.2">
      <c r="A23" s="400"/>
      <c r="B23" s="144" t="s">
        <v>43</v>
      </c>
      <c r="C23" s="137">
        <v>2500</v>
      </c>
      <c r="D23" s="145">
        <f>'3. SA Área'!AU276</f>
        <v>0</v>
      </c>
      <c r="E23" s="146">
        <f t="shared" si="0"/>
        <v>0</v>
      </c>
      <c r="F23" s="147">
        <f t="shared" si="1"/>
        <v>0</v>
      </c>
      <c r="G23" s="146">
        <f t="shared" si="2"/>
        <v>0</v>
      </c>
      <c r="H23" s="149">
        <f t="shared" si="3"/>
        <v>0</v>
      </c>
      <c r="I23" s="140">
        <f t="shared" si="4"/>
        <v>0</v>
      </c>
      <c r="J23" s="148" t="s">
        <v>485</v>
      </c>
      <c r="K23" s="140">
        <f t="shared" si="5"/>
        <v>0</v>
      </c>
      <c r="L23" s="148" t="s">
        <v>486</v>
      </c>
      <c r="M23" s="140">
        <v>1</v>
      </c>
      <c r="N23" s="148" t="s">
        <v>487</v>
      </c>
      <c r="O23" s="150">
        <f t="shared" si="6"/>
        <v>0</v>
      </c>
      <c r="P23" s="148" t="s">
        <v>488</v>
      </c>
    </row>
    <row r="24" spans="1:18" ht="38.25" customHeight="1" x14ac:dyDescent="0.2">
      <c r="A24" s="400"/>
      <c r="B24" s="144" t="s">
        <v>44</v>
      </c>
      <c r="C24" s="137">
        <v>1</v>
      </c>
      <c r="D24" s="145">
        <f>'3. SA Área'!AV276</f>
        <v>0</v>
      </c>
      <c r="E24" s="146">
        <f t="shared" si="0"/>
        <v>0</v>
      </c>
      <c r="F24" s="147">
        <f t="shared" si="1"/>
        <v>0</v>
      </c>
      <c r="G24" s="146">
        <f t="shared" si="2"/>
        <v>0</v>
      </c>
      <c r="H24" s="146">
        <f t="shared" si="3"/>
        <v>0</v>
      </c>
      <c r="I24" s="140">
        <f t="shared" si="4"/>
        <v>0</v>
      </c>
      <c r="J24" s="148" t="s">
        <v>485</v>
      </c>
      <c r="K24" s="140">
        <f t="shared" si="5"/>
        <v>0</v>
      </c>
      <c r="L24" s="148" t="s">
        <v>486</v>
      </c>
      <c r="M24" s="140">
        <v>1</v>
      </c>
      <c r="N24" s="148" t="s">
        <v>487</v>
      </c>
      <c r="O24" s="142">
        <f t="shared" si="6"/>
        <v>0</v>
      </c>
      <c r="P24" s="148" t="s">
        <v>488</v>
      </c>
    </row>
    <row r="25" spans="1:18" ht="38.25" customHeight="1" x14ac:dyDescent="0.2">
      <c r="A25" s="324" t="s">
        <v>55</v>
      </c>
      <c r="B25" s="152" t="s">
        <v>56</v>
      </c>
      <c r="C25" s="153">
        <f>'1. SA ABA DE CARREGAMENTO'!$C$46</f>
        <v>450</v>
      </c>
      <c r="D25" s="154">
        <f>'3. SA Área'!BA276</f>
        <v>80.28</v>
      </c>
      <c r="E25" s="155">
        <f t="shared" si="0"/>
        <v>0.1784</v>
      </c>
      <c r="F25" s="151">
        <f t="shared" si="1"/>
        <v>0</v>
      </c>
      <c r="G25" s="155">
        <f t="shared" si="2"/>
        <v>0.1784</v>
      </c>
      <c r="H25" s="155">
        <f t="shared" si="3"/>
        <v>85.632000000000005</v>
      </c>
      <c r="I25" s="156">
        <f t="shared" si="4"/>
        <v>0</v>
      </c>
      <c r="J25" s="157" t="s">
        <v>485</v>
      </c>
      <c r="K25" s="156">
        <f>$C$28</f>
        <v>8</v>
      </c>
      <c r="L25" s="157" t="s">
        <v>486</v>
      </c>
      <c r="M25" s="156">
        <v>1</v>
      </c>
      <c r="N25" s="157" t="s">
        <v>487</v>
      </c>
      <c r="O25" s="158">
        <f t="shared" si="6"/>
        <v>85.632000000000005</v>
      </c>
      <c r="P25" s="157" t="s">
        <v>488</v>
      </c>
    </row>
    <row r="26" spans="1:18" ht="52.5" customHeight="1" x14ac:dyDescent="0.2">
      <c r="A26" s="401" t="s">
        <v>490</v>
      </c>
      <c r="B26" s="401"/>
      <c r="C26" s="401"/>
      <c r="D26" s="159">
        <f>SUM(D8:D25)</f>
        <v>16185.716736363634</v>
      </c>
      <c r="E26" s="160">
        <f>SUM(E8:E25)</f>
        <v>16.587675836969691</v>
      </c>
      <c r="F26" s="135">
        <f t="shared" si="1"/>
        <v>16</v>
      </c>
      <c r="G26" s="160">
        <f t="shared" si="2"/>
        <v>0.58767583696969083</v>
      </c>
      <c r="H26" s="161">
        <f t="shared" si="3"/>
        <v>282.0844017454516</v>
      </c>
      <c r="I26" s="162">
        <f t="shared" si="4"/>
        <v>16</v>
      </c>
      <c r="J26" s="161" t="s">
        <v>485</v>
      </c>
      <c r="K26" s="163">
        <f>$C$28</f>
        <v>8</v>
      </c>
      <c r="L26" s="161" t="s">
        <v>486</v>
      </c>
      <c r="M26" s="164">
        <v>1</v>
      </c>
      <c r="N26" s="161" t="s">
        <v>487</v>
      </c>
      <c r="O26" s="162">
        <f t="shared" si="6"/>
        <v>282.0844017454516</v>
      </c>
      <c r="P26" s="161" t="s">
        <v>488</v>
      </c>
      <c r="Q26" s="165"/>
      <c r="R26" s="165"/>
    </row>
    <row r="27" spans="1:18" ht="15.75" customHeight="1" x14ac:dyDescent="0.2">
      <c r="D27" s="166"/>
      <c r="E27" s="2"/>
      <c r="F27" s="42"/>
      <c r="G27" s="2"/>
      <c r="H27" s="2"/>
      <c r="J27" s="2"/>
      <c r="K27" s="2"/>
      <c r="L27" s="2"/>
      <c r="M27" s="2"/>
      <c r="N27" s="2"/>
      <c r="P27" s="2"/>
    </row>
    <row r="28" spans="1:18" ht="20.25" customHeight="1" x14ac:dyDescent="0.2">
      <c r="A28" s="402" t="s">
        <v>491</v>
      </c>
      <c r="B28" s="402"/>
      <c r="C28" s="167">
        <v>8</v>
      </c>
      <c r="D28" s="168" t="s">
        <v>492</v>
      </c>
      <c r="E28" s="403" t="s">
        <v>493</v>
      </c>
      <c r="F28" s="403"/>
      <c r="G28" s="403"/>
      <c r="H28" s="403"/>
      <c r="I28" s="403"/>
      <c r="J28" s="403"/>
      <c r="K28" s="403"/>
      <c r="L28" s="404">
        <f>F26+G26</f>
        <v>16.587675836969691</v>
      </c>
      <c r="M28" s="404"/>
      <c r="N28" s="404"/>
      <c r="O28" s="404"/>
      <c r="P28" s="404"/>
    </row>
    <row r="29" spans="1:18" ht="18.75" customHeight="1" x14ac:dyDescent="0.2">
      <c r="A29" s="398" t="s">
        <v>494</v>
      </c>
      <c r="B29" s="398"/>
      <c r="C29" s="398"/>
      <c r="D29" s="398"/>
      <c r="E29" s="398"/>
      <c r="F29" s="398"/>
      <c r="G29" s="398"/>
      <c r="H29" s="398"/>
      <c r="I29" s="398"/>
      <c r="J29" s="398"/>
      <c r="K29" s="398"/>
      <c r="L29" s="398"/>
      <c r="M29" s="398"/>
      <c r="N29" s="398"/>
      <c r="O29" s="398"/>
      <c r="P29" s="398"/>
    </row>
    <row r="30" spans="1:18" ht="18.75" customHeight="1" x14ac:dyDescent="0.2">
      <c r="A30" s="407" t="s">
        <v>495</v>
      </c>
      <c r="B30" s="407"/>
      <c r="C30" s="407"/>
      <c r="D30" s="407"/>
      <c r="E30" s="407"/>
      <c r="F30" s="407"/>
      <c r="G30" s="407"/>
      <c r="H30" s="407"/>
      <c r="I30" s="407"/>
      <c r="J30" s="407"/>
      <c r="K30" s="407"/>
      <c r="L30" s="407"/>
      <c r="M30" s="407"/>
      <c r="N30" s="407"/>
      <c r="O30" s="407"/>
      <c r="P30" s="407"/>
    </row>
    <row r="31" spans="1:18" ht="35.25" customHeight="1" x14ac:dyDescent="0.2">
      <c r="A31" s="408" t="s">
        <v>496</v>
      </c>
      <c r="B31" s="408"/>
      <c r="C31" s="408"/>
      <c r="D31" s="408"/>
      <c r="E31" s="408"/>
      <c r="F31" s="408"/>
      <c r="G31" s="408"/>
      <c r="H31" s="408"/>
      <c r="I31" s="408"/>
      <c r="J31" s="408"/>
      <c r="K31" s="408"/>
      <c r="L31" s="408"/>
      <c r="M31" s="408"/>
      <c r="N31" s="408"/>
      <c r="O31" s="408"/>
      <c r="P31" s="408"/>
    </row>
    <row r="32" spans="1:18" ht="18.75" customHeight="1" x14ac:dyDescent="0.2">
      <c r="A32" s="409"/>
      <c r="B32" s="410"/>
      <c r="C32" s="410"/>
      <c r="D32" s="410"/>
      <c r="E32" s="410"/>
      <c r="F32" s="410"/>
      <c r="G32" s="410"/>
      <c r="H32" s="410"/>
      <c r="I32" s="410"/>
      <c r="J32" s="410"/>
      <c r="K32" s="410"/>
      <c r="L32" s="410"/>
      <c r="M32" s="410"/>
      <c r="N32" s="410"/>
      <c r="O32" s="410"/>
      <c r="P32" s="411"/>
    </row>
    <row r="33" spans="1:16" ht="36" customHeight="1" x14ac:dyDescent="0.2">
      <c r="A33" s="412" t="s">
        <v>497</v>
      </c>
      <c r="B33" s="412"/>
      <c r="C33" s="412"/>
      <c r="D33" s="412"/>
      <c r="E33" s="412"/>
      <c r="F33" s="412"/>
      <c r="G33" s="412"/>
      <c r="H33" s="412"/>
      <c r="I33" s="412"/>
      <c r="J33" s="412"/>
      <c r="K33" s="412"/>
      <c r="L33" s="412"/>
      <c r="M33" s="412"/>
      <c r="N33" s="412"/>
      <c r="O33" s="412"/>
      <c r="P33" s="412"/>
    </row>
    <row r="34" spans="1:16" ht="18.75" customHeight="1" x14ac:dyDescent="0.2">
      <c r="A34" s="405" t="s">
        <v>498</v>
      </c>
      <c r="B34" s="405"/>
      <c r="C34" s="405"/>
      <c r="D34" s="405"/>
      <c r="E34" s="405"/>
      <c r="F34" s="405"/>
      <c r="G34" s="405"/>
      <c r="H34" s="405"/>
      <c r="I34" s="405"/>
      <c r="J34" s="405"/>
      <c r="K34" s="405"/>
      <c r="L34" s="405"/>
      <c r="M34" s="405"/>
      <c r="N34" s="405"/>
      <c r="O34" s="405"/>
      <c r="P34" s="405"/>
    </row>
    <row r="35" spans="1:16" ht="18.75" customHeight="1" x14ac:dyDescent="0.2">
      <c r="A35" s="406" t="s">
        <v>499</v>
      </c>
      <c r="B35" s="406"/>
      <c r="C35" s="406"/>
      <c r="D35" s="406"/>
      <c r="E35" s="406"/>
      <c r="F35" s="406"/>
      <c r="G35" s="406"/>
      <c r="H35" s="406"/>
      <c r="I35" s="406"/>
      <c r="J35" s="406"/>
      <c r="K35" s="406"/>
      <c r="L35" s="406"/>
      <c r="M35" s="406"/>
      <c r="N35" s="406"/>
      <c r="O35" s="406"/>
      <c r="P35" s="169"/>
    </row>
    <row r="36" spans="1:16" ht="12.75" customHeight="1" x14ac:dyDescent="0.2">
      <c r="E36" s="2"/>
      <c r="G36" s="2"/>
      <c r="H36" s="2"/>
    </row>
    <row r="37" spans="1:16" ht="12.75" customHeight="1" x14ac:dyDescent="0.2">
      <c r="E37" s="2"/>
      <c r="G37" s="2"/>
      <c r="H37" s="2"/>
    </row>
    <row r="38" spans="1:16" ht="12.75" customHeight="1" x14ac:dyDescent="0.2">
      <c r="E38" s="2"/>
      <c r="G38" s="2"/>
      <c r="H38" s="2"/>
    </row>
    <row r="39" spans="1:16" ht="12.75" customHeight="1" x14ac:dyDescent="0.2">
      <c r="E39" s="2"/>
      <c r="G39" s="2"/>
      <c r="H39" s="2"/>
    </row>
    <row r="40" spans="1:16" ht="12.75" customHeight="1" x14ac:dyDescent="0.2">
      <c r="E40" s="2"/>
      <c r="G40" s="2"/>
      <c r="H40" s="2"/>
    </row>
    <row r="41" spans="1:16" ht="12.75" customHeight="1" x14ac:dyDescent="0.2">
      <c r="E41" s="2"/>
      <c r="G41" s="2"/>
      <c r="H41" s="2"/>
    </row>
    <row r="42" spans="1:16" ht="12.75" customHeight="1" x14ac:dyDescent="0.2">
      <c r="E42" s="2"/>
      <c r="G42" s="2"/>
      <c r="H42" s="2"/>
    </row>
    <row r="43" spans="1:16" ht="12.75" customHeight="1" x14ac:dyDescent="0.2">
      <c r="E43" s="2"/>
      <c r="G43" s="2"/>
      <c r="H43" s="2"/>
    </row>
    <row r="44" spans="1:16" ht="12.75" customHeight="1" x14ac:dyDescent="0.2">
      <c r="E44" s="2"/>
      <c r="G44" s="2"/>
      <c r="H44" s="2"/>
    </row>
    <row r="45" spans="1:16" ht="12.75" customHeight="1" x14ac:dyDescent="0.2">
      <c r="E45" s="2"/>
      <c r="G45" s="2"/>
      <c r="H45" s="2"/>
    </row>
    <row r="46" spans="1:16" ht="12.75" customHeight="1" x14ac:dyDescent="0.2">
      <c r="E46" s="2"/>
      <c r="G46" s="2"/>
      <c r="H46" s="2"/>
    </row>
    <row r="47" spans="1:16" ht="12.75" customHeight="1" x14ac:dyDescent="0.2">
      <c r="E47" s="2"/>
      <c r="G47" s="2"/>
      <c r="H47" s="2"/>
    </row>
    <row r="48" spans="1:16" ht="12.75" customHeight="1" x14ac:dyDescent="0.2">
      <c r="E48" s="2"/>
      <c r="G48" s="2"/>
      <c r="H48" s="2"/>
    </row>
    <row r="49" spans="5:8" ht="12.75" customHeight="1" x14ac:dyDescent="0.2">
      <c r="E49" s="2"/>
      <c r="G49" s="2"/>
      <c r="H49" s="2"/>
    </row>
    <row r="50" spans="5:8" ht="12.75" customHeight="1" x14ac:dyDescent="0.2">
      <c r="E50" s="2"/>
      <c r="G50" s="2"/>
      <c r="H50" s="2"/>
    </row>
    <row r="51" spans="5:8" ht="12.75" customHeight="1" x14ac:dyDescent="0.2">
      <c r="E51" s="2"/>
      <c r="G51" s="2"/>
      <c r="H51" s="2"/>
    </row>
    <row r="52" spans="5:8" ht="12.75" customHeight="1" x14ac:dyDescent="0.2">
      <c r="E52" s="2"/>
      <c r="G52" s="2"/>
      <c r="H52" s="2"/>
    </row>
    <row r="53" spans="5:8" ht="12.75" customHeight="1" x14ac:dyDescent="0.2">
      <c r="E53" s="2"/>
      <c r="G53" s="2"/>
      <c r="H53" s="2"/>
    </row>
    <row r="54" spans="5:8" ht="12.75" customHeight="1" x14ac:dyDescent="0.2">
      <c r="E54" s="2"/>
      <c r="G54" s="2"/>
      <c r="H54" s="2"/>
    </row>
    <row r="55" spans="5:8" ht="12.75" customHeight="1" x14ac:dyDescent="0.2">
      <c r="E55" s="2"/>
      <c r="G55" s="2"/>
      <c r="H55" s="2"/>
    </row>
    <row r="56" spans="5:8" ht="12.75" customHeight="1" x14ac:dyDescent="0.2">
      <c r="E56" s="2"/>
      <c r="G56" s="2"/>
      <c r="H56" s="2"/>
    </row>
    <row r="57" spans="5:8" ht="12.75" customHeight="1" x14ac:dyDescent="0.2">
      <c r="E57" s="2"/>
      <c r="G57" s="2"/>
      <c r="H57" s="2"/>
    </row>
    <row r="58" spans="5:8" ht="12.75" customHeight="1" x14ac:dyDescent="0.2">
      <c r="E58" s="2"/>
      <c r="G58" s="2"/>
      <c r="H58" s="2"/>
    </row>
    <row r="59" spans="5:8" ht="12.75" customHeight="1" x14ac:dyDescent="0.2">
      <c r="E59" s="2"/>
      <c r="G59" s="2"/>
      <c r="H59" s="2"/>
    </row>
    <row r="60" spans="5:8" ht="12.75" customHeight="1" x14ac:dyDescent="0.2">
      <c r="E60" s="2"/>
      <c r="G60" s="2"/>
      <c r="H60" s="2"/>
    </row>
    <row r="61" spans="5:8" ht="12.75" customHeight="1" x14ac:dyDescent="0.2">
      <c r="E61" s="2"/>
      <c r="G61" s="2"/>
      <c r="H61" s="2"/>
    </row>
    <row r="62" spans="5:8" ht="12.75" customHeight="1" x14ac:dyDescent="0.2">
      <c r="E62" s="2"/>
      <c r="G62" s="2"/>
      <c r="H62" s="2"/>
    </row>
    <row r="63" spans="5:8" ht="12.75" customHeight="1" x14ac:dyDescent="0.2">
      <c r="E63" s="2"/>
      <c r="G63" s="2"/>
      <c r="H63" s="2"/>
    </row>
    <row r="64" spans="5:8" ht="12.75" customHeight="1" x14ac:dyDescent="0.2">
      <c r="E64" s="2"/>
      <c r="G64" s="2"/>
      <c r="H64" s="2"/>
    </row>
    <row r="65" spans="5:8" ht="12.75" customHeight="1" x14ac:dyDescent="0.2">
      <c r="E65" s="2"/>
      <c r="G65" s="2"/>
      <c r="H65" s="2"/>
    </row>
    <row r="66" spans="5:8" ht="12.75" customHeight="1" x14ac:dyDescent="0.2">
      <c r="E66" s="2"/>
      <c r="G66" s="2"/>
      <c r="H66" s="2"/>
    </row>
    <row r="67" spans="5:8" ht="12.75" customHeight="1" x14ac:dyDescent="0.2">
      <c r="E67" s="2"/>
      <c r="G67" s="2"/>
      <c r="H67" s="2"/>
    </row>
    <row r="68" spans="5:8" ht="12.75" customHeight="1" x14ac:dyDescent="0.2">
      <c r="E68" s="2"/>
      <c r="G68" s="2"/>
      <c r="H68" s="2"/>
    </row>
    <row r="69" spans="5:8" ht="12.75" customHeight="1" x14ac:dyDescent="0.2">
      <c r="E69" s="2"/>
      <c r="G69" s="2"/>
      <c r="H69" s="2"/>
    </row>
    <row r="70" spans="5:8" ht="12.75" customHeight="1" x14ac:dyDescent="0.2">
      <c r="E70" s="2"/>
      <c r="G70" s="2"/>
      <c r="H70" s="2"/>
    </row>
    <row r="71" spans="5:8" ht="12.75" customHeight="1" x14ac:dyDescent="0.2">
      <c r="E71" s="2"/>
      <c r="G71" s="2"/>
      <c r="H71" s="2"/>
    </row>
    <row r="72" spans="5:8" ht="12.75" customHeight="1" x14ac:dyDescent="0.2">
      <c r="E72" s="2"/>
      <c r="G72" s="2"/>
      <c r="H72" s="2"/>
    </row>
    <row r="73" spans="5:8" ht="12.75" customHeight="1" x14ac:dyDescent="0.2">
      <c r="E73" s="2"/>
      <c r="G73" s="2"/>
      <c r="H73" s="2"/>
    </row>
    <row r="74" spans="5:8" ht="12.75" customHeight="1" x14ac:dyDescent="0.2">
      <c r="E74" s="2"/>
      <c r="G74" s="2"/>
      <c r="H74" s="2"/>
    </row>
    <row r="75" spans="5:8" ht="12.75" customHeight="1" x14ac:dyDescent="0.2">
      <c r="E75" s="2"/>
      <c r="G75" s="2"/>
      <c r="H75" s="2"/>
    </row>
    <row r="76" spans="5:8" ht="12.75" customHeight="1" x14ac:dyDescent="0.2">
      <c r="E76" s="2"/>
      <c r="G76" s="2"/>
      <c r="H76" s="2"/>
    </row>
    <row r="77" spans="5:8" ht="12.75" customHeight="1" x14ac:dyDescent="0.2">
      <c r="E77" s="2"/>
      <c r="G77" s="2"/>
      <c r="H77" s="2"/>
    </row>
    <row r="78" spans="5:8" ht="12.75" customHeight="1" x14ac:dyDescent="0.2">
      <c r="E78" s="2"/>
      <c r="G78" s="2"/>
      <c r="H78" s="2"/>
    </row>
    <row r="79" spans="5:8" ht="12.75" customHeight="1" x14ac:dyDescent="0.2">
      <c r="E79" s="2"/>
      <c r="G79" s="2"/>
      <c r="H79" s="2"/>
    </row>
    <row r="80" spans="5:8" ht="12.75" customHeight="1" x14ac:dyDescent="0.2">
      <c r="E80" s="2"/>
      <c r="G80" s="2"/>
      <c r="H80" s="2"/>
    </row>
    <row r="81" spans="5:8" ht="12.75" customHeight="1" x14ac:dyDescent="0.2">
      <c r="E81" s="2"/>
      <c r="G81" s="2"/>
      <c r="H81" s="2"/>
    </row>
    <row r="82" spans="5:8" ht="12.75" customHeight="1" x14ac:dyDescent="0.2">
      <c r="E82" s="2"/>
      <c r="G82" s="2"/>
      <c r="H82" s="2"/>
    </row>
    <row r="83" spans="5:8" ht="12.75" customHeight="1" x14ac:dyDescent="0.2">
      <c r="E83" s="2"/>
      <c r="G83" s="2"/>
      <c r="H83" s="2"/>
    </row>
    <row r="84" spans="5:8" ht="12.75" customHeight="1" x14ac:dyDescent="0.2">
      <c r="E84" s="2"/>
      <c r="G84" s="2"/>
      <c r="H84" s="2"/>
    </row>
    <row r="85" spans="5:8" ht="12.75" customHeight="1" x14ac:dyDescent="0.2">
      <c r="E85" s="2"/>
      <c r="G85" s="2"/>
      <c r="H85" s="2"/>
    </row>
    <row r="86" spans="5:8" ht="12.75" customHeight="1" x14ac:dyDescent="0.2">
      <c r="E86" s="2"/>
      <c r="G86" s="2"/>
      <c r="H86" s="2"/>
    </row>
    <row r="87" spans="5:8" ht="12.75" customHeight="1" x14ac:dyDescent="0.2">
      <c r="E87" s="2"/>
      <c r="G87" s="2"/>
      <c r="H87" s="2"/>
    </row>
    <row r="88" spans="5:8" ht="12.75" customHeight="1" x14ac:dyDescent="0.2">
      <c r="E88" s="2"/>
      <c r="G88" s="2"/>
      <c r="H88" s="2"/>
    </row>
    <row r="89" spans="5:8" ht="12.75" customHeight="1" x14ac:dyDescent="0.2">
      <c r="E89" s="2"/>
      <c r="G89" s="2"/>
      <c r="H89" s="2"/>
    </row>
    <row r="90" spans="5:8" ht="12.75" customHeight="1" x14ac:dyDescent="0.2">
      <c r="E90" s="2"/>
      <c r="G90" s="2"/>
      <c r="H90" s="2"/>
    </row>
    <row r="91" spans="5:8" ht="12.75" customHeight="1" x14ac:dyDescent="0.2">
      <c r="E91" s="2"/>
      <c r="G91" s="2"/>
      <c r="H91" s="2"/>
    </row>
    <row r="92" spans="5:8" ht="12.75" customHeight="1" x14ac:dyDescent="0.2">
      <c r="E92" s="2"/>
      <c r="G92" s="2"/>
      <c r="H92" s="2"/>
    </row>
    <row r="93" spans="5:8" ht="12.75" customHeight="1" x14ac:dyDescent="0.2">
      <c r="E93" s="2"/>
      <c r="G93" s="2"/>
      <c r="H93" s="2"/>
    </row>
    <row r="94" spans="5:8" ht="12.75" customHeight="1" x14ac:dyDescent="0.2">
      <c r="E94" s="2"/>
      <c r="G94" s="2"/>
      <c r="H94" s="2"/>
    </row>
    <row r="95" spans="5:8" ht="12.75" customHeight="1" x14ac:dyDescent="0.2">
      <c r="E95" s="2"/>
      <c r="G95" s="2"/>
      <c r="H95" s="2"/>
    </row>
    <row r="96" spans="5:8" ht="12.75" customHeight="1" x14ac:dyDescent="0.2">
      <c r="E96" s="2"/>
      <c r="G96" s="2"/>
      <c r="H96" s="2"/>
    </row>
    <row r="97" spans="5:8" ht="12.75" customHeight="1" x14ac:dyDescent="0.2">
      <c r="E97" s="2"/>
      <c r="G97" s="2"/>
      <c r="H97" s="2"/>
    </row>
    <row r="98" spans="5:8" ht="12.75" customHeight="1" x14ac:dyDescent="0.2">
      <c r="E98" s="2"/>
      <c r="G98" s="2"/>
      <c r="H98" s="2"/>
    </row>
    <row r="99" spans="5:8" ht="12.75" customHeight="1" x14ac:dyDescent="0.2">
      <c r="E99" s="2"/>
      <c r="G99" s="2"/>
      <c r="H99" s="2"/>
    </row>
    <row r="100" spans="5:8" ht="12.75" customHeight="1" x14ac:dyDescent="0.2">
      <c r="E100" s="2"/>
      <c r="G100" s="2"/>
      <c r="H100" s="2"/>
    </row>
    <row r="101" spans="5:8" ht="12.75" customHeight="1" x14ac:dyDescent="0.2">
      <c r="E101" s="2"/>
      <c r="G101" s="2"/>
      <c r="H101" s="2"/>
    </row>
    <row r="102" spans="5:8" ht="12.75" customHeight="1" x14ac:dyDescent="0.2">
      <c r="E102" s="2"/>
      <c r="G102" s="2"/>
      <c r="H102" s="2"/>
    </row>
    <row r="103" spans="5:8" ht="12.75" customHeight="1" x14ac:dyDescent="0.2">
      <c r="E103" s="2"/>
      <c r="G103" s="2"/>
      <c r="H103" s="2"/>
    </row>
    <row r="104" spans="5:8" ht="12.75" customHeight="1" x14ac:dyDescent="0.2">
      <c r="E104" s="2"/>
      <c r="G104" s="2"/>
      <c r="H104" s="2"/>
    </row>
    <row r="105" spans="5:8" ht="12.75" customHeight="1" x14ac:dyDescent="0.2">
      <c r="E105" s="2"/>
      <c r="G105" s="2"/>
      <c r="H105" s="2"/>
    </row>
    <row r="106" spans="5:8" ht="12.75" customHeight="1" x14ac:dyDescent="0.2">
      <c r="E106" s="2"/>
      <c r="G106" s="2"/>
      <c r="H106" s="2"/>
    </row>
    <row r="107" spans="5:8" ht="12.75" customHeight="1" x14ac:dyDescent="0.2">
      <c r="E107" s="2"/>
      <c r="G107" s="2"/>
      <c r="H107" s="2"/>
    </row>
    <row r="108" spans="5:8" ht="12.75" customHeight="1" x14ac:dyDescent="0.2">
      <c r="E108" s="2"/>
      <c r="G108" s="2"/>
      <c r="H108" s="2"/>
    </row>
    <row r="109" spans="5:8" ht="12.75" customHeight="1" x14ac:dyDescent="0.2">
      <c r="E109" s="2"/>
      <c r="G109" s="2"/>
      <c r="H109" s="2"/>
    </row>
    <row r="110" spans="5:8" ht="12.75" customHeight="1" x14ac:dyDescent="0.2">
      <c r="E110" s="2"/>
      <c r="G110" s="2"/>
      <c r="H110" s="2"/>
    </row>
    <row r="111" spans="5:8" ht="12.75" customHeight="1" x14ac:dyDescent="0.2">
      <c r="E111" s="2"/>
      <c r="G111" s="2"/>
      <c r="H111" s="2"/>
    </row>
    <row r="112" spans="5:8" ht="12.75" customHeight="1" x14ac:dyDescent="0.2">
      <c r="E112" s="2"/>
      <c r="G112" s="2"/>
      <c r="H112" s="2"/>
    </row>
    <row r="113" spans="5:8" ht="12.75" customHeight="1" x14ac:dyDescent="0.2">
      <c r="E113" s="2"/>
      <c r="G113" s="2"/>
      <c r="H113" s="2"/>
    </row>
    <row r="114" spans="5:8" ht="12.75" customHeight="1" x14ac:dyDescent="0.2">
      <c r="E114" s="2"/>
      <c r="G114" s="2"/>
      <c r="H114" s="2"/>
    </row>
    <row r="115" spans="5:8" ht="12.75" customHeight="1" x14ac:dyDescent="0.2">
      <c r="E115" s="2"/>
      <c r="G115" s="2"/>
      <c r="H115" s="2"/>
    </row>
    <row r="116" spans="5:8" ht="12.75" customHeight="1" x14ac:dyDescent="0.2">
      <c r="E116" s="2"/>
      <c r="G116" s="2"/>
      <c r="H116" s="2"/>
    </row>
    <row r="117" spans="5:8" ht="12.75" customHeight="1" x14ac:dyDescent="0.2">
      <c r="E117" s="2"/>
      <c r="G117" s="2"/>
      <c r="H117" s="2"/>
    </row>
    <row r="118" spans="5:8" ht="12.75" customHeight="1" x14ac:dyDescent="0.2">
      <c r="E118" s="2"/>
      <c r="G118" s="2"/>
      <c r="H118" s="2"/>
    </row>
    <row r="119" spans="5:8" ht="12.75" customHeight="1" x14ac:dyDescent="0.2">
      <c r="E119" s="2"/>
      <c r="G119" s="2"/>
      <c r="H119" s="2"/>
    </row>
    <row r="120" spans="5:8" ht="12.75" customHeight="1" x14ac:dyDescent="0.2">
      <c r="E120" s="2"/>
      <c r="G120" s="2"/>
      <c r="H120" s="2"/>
    </row>
    <row r="121" spans="5:8" ht="12.75" customHeight="1" x14ac:dyDescent="0.2">
      <c r="E121" s="2"/>
      <c r="G121" s="2"/>
      <c r="H121" s="2"/>
    </row>
    <row r="122" spans="5:8" ht="12.75" customHeight="1" x14ac:dyDescent="0.2">
      <c r="E122" s="2"/>
      <c r="G122" s="2"/>
      <c r="H122" s="2"/>
    </row>
    <row r="123" spans="5:8" ht="12.75" customHeight="1" x14ac:dyDescent="0.2">
      <c r="E123" s="2"/>
      <c r="G123" s="2"/>
      <c r="H123" s="2"/>
    </row>
    <row r="124" spans="5:8" ht="12.75" customHeight="1" x14ac:dyDescent="0.2">
      <c r="E124" s="2"/>
      <c r="G124" s="2"/>
      <c r="H124" s="2"/>
    </row>
    <row r="125" spans="5:8" ht="12.75" customHeight="1" x14ac:dyDescent="0.2">
      <c r="E125" s="2"/>
      <c r="G125" s="2"/>
      <c r="H125" s="2"/>
    </row>
    <row r="126" spans="5:8" ht="12.75" customHeight="1" x14ac:dyDescent="0.2">
      <c r="E126" s="2"/>
      <c r="G126" s="2"/>
      <c r="H126" s="2"/>
    </row>
    <row r="127" spans="5:8" ht="12.75" customHeight="1" x14ac:dyDescent="0.2">
      <c r="E127" s="2"/>
      <c r="G127" s="2"/>
      <c r="H127" s="2"/>
    </row>
    <row r="128" spans="5:8" ht="12.75" customHeight="1" x14ac:dyDescent="0.2">
      <c r="E128" s="2"/>
      <c r="G128" s="2"/>
      <c r="H128" s="2"/>
    </row>
    <row r="129" spans="5:8" ht="12.75" customHeight="1" x14ac:dyDescent="0.2">
      <c r="E129" s="2"/>
      <c r="G129" s="2"/>
      <c r="H129" s="2"/>
    </row>
    <row r="130" spans="5:8" ht="12.75" customHeight="1" x14ac:dyDescent="0.2">
      <c r="E130" s="2"/>
      <c r="G130" s="2"/>
      <c r="H130" s="2"/>
    </row>
    <row r="131" spans="5:8" ht="12.75" customHeight="1" x14ac:dyDescent="0.2">
      <c r="E131" s="2"/>
      <c r="G131" s="2"/>
      <c r="H131" s="2"/>
    </row>
    <row r="132" spans="5:8" ht="12.75" customHeight="1" x14ac:dyDescent="0.2">
      <c r="E132" s="2"/>
      <c r="G132" s="2"/>
      <c r="H132" s="2"/>
    </row>
    <row r="133" spans="5:8" ht="12.75" customHeight="1" x14ac:dyDescent="0.2">
      <c r="E133" s="2"/>
      <c r="G133" s="2"/>
      <c r="H133" s="2"/>
    </row>
    <row r="134" spans="5:8" ht="12.75" customHeight="1" x14ac:dyDescent="0.2">
      <c r="E134" s="2"/>
      <c r="G134" s="2"/>
      <c r="H134" s="2"/>
    </row>
    <row r="135" spans="5:8" ht="12.75" customHeight="1" x14ac:dyDescent="0.2">
      <c r="E135" s="2"/>
      <c r="G135" s="2"/>
      <c r="H135" s="2"/>
    </row>
    <row r="136" spans="5:8" ht="12.75" customHeight="1" x14ac:dyDescent="0.2">
      <c r="E136" s="2"/>
      <c r="G136" s="2"/>
      <c r="H136" s="2"/>
    </row>
    <row r="137" spans="5:8" ht="12.75" customHeight="1" x14ac:dyDescent="0.2">
      <c r="E137" s="2"/>
      <c r="G137" s="2"/>
      <c r="H137" s="2"/>
    </row>
    <row r="138" spans="5:8" ht="12.75" customHeight="1" x14ac:dyDescent="0.2">
      <c r="E138" s="2"/>
      <c r="G138" s="2"/>
      <c r="H138" s="2"/>
    </row>
    <row r="139" spans="5:8" ht="12.75" customHeight="1" x14ac:dyDescent="0.2">
      <c r="E139" s="2"/>
      <c r="G139" s="2"/>
      <c r="H139" s="2"/>
    </row>
    <row r="140" spans="5:8" ht="12.75" customHeight="1" x14ac:dyDescent="0.2">
      <c r="E140" s="2"/>
      <c r="G140" s="2"/>
      <c r="H140" s="2"/>
    </row>
    <row r="141" spans="5:8" ht="12.75" customHeight="1" x14ac:dyDescent="0.2">
      <c r="E141" s="2"/>
      <c r="G141" s="2"/>
      <c r="H141" s="2"/>
    </row>
    <row r="142" spans="5:8" ht="12.75" customHeight="1" x14ac:dyDescent="0.2">
      <c r="E142" s="2"/>
      <c r="G142" s="2"/>
      <c r="H142" s="2"/>
    </row>
    <row r="143" spans="5:8" ht="12.75" customHeight="1" x14ac:dyDescent="0.2">
      <c r="E143" s="2"/>
      <c r="G143" s="2"/>
      <c r="H143" s="2"/>
    </row>
    <row r="144" spans="5:8" ht="12.75" customHeight="1" x14ac:dyDescent="0.2">
      <c r="E144" s="2"/>
      <c r="G144" s="2"/>
      <c r="H144" s="2"/>
    </row>
    <row r="145" spans="5:8" ht="12.75" customHeight="1" x14ac:dyDescent="0.2">
      <c r="E145" s="2"/>
      <c r="G145" s="2"/>
      <c r="H145" s="2"/>
    </row>
    <row r="146" spans="5:8" ht="12.75" customHeight="1" x14ac:dyDescent="0.2">
      <c r="E146" s="2"/>
      <c r="G146" s="2"/>
      <c r="H146" s="2"/>
    </row>
    <row r="147" spans="5:8" ht="12.75" customHeight="1" x14ac:dyDescent="0.2">
      <c r="E147" s="2"/>
      <c r="G147" s="2"/>
      <c r="H147" s="2"/>
    </row>
    <row r="148" spans="5:8" ht="12.75" customHeight="1" x14ac:dyDescent="0.2">
      <c r="E148" s="2"/>
      <c r="G148" s="2"/>
      <c r="H148" s="2"/>
    </row>
    <row r="149" spans="5:8" ht="12.75" customHeight="1" x14ac:dyDescent="0.2">
      <c r="E149" s="2"/>
      <c r="G149" s="2"/>
      <c r="H149" s="2"/>
    </row>
    <row r="150" spans="5:8" ht="12.75" customHeight="1" x14ac:dyDescent="0.2">
      <c r="E150" s="2"/>
      <c r="G150" s="2"/>
      <c r="H150" s="2"/>
    </row>
    <row r="151" spans="5:8" ht="12.75" customHeight="1" x14ac:dyDescent="0.2">
      <c r="E151" s="2"/>
      <c r="G151" s="2"/>
      <c r="H151" s="2"/>
    </row>
    <row r="152" spans="5:8" ht="12.75" customHeight="1" x14ac:dyDescent="0.2">
      <c r="E152" s="2"/>
      <c r="G152" s="2"/>
      <c r="H152" s="2"/>
    </row>
    <row r="153" spans="5:8" ht="12.75" customHeight="1" x14ac:dyDescent="0.2">
      <c r="E153" s="2"/>
      <c r="G153" s="2"/>
      <c r="H153" s="2"/>
    </row>
    <row r="154" spans="5:8" ht="12.75" customHeight="1" x14ac:dyDescent="0.2">
      <c r="E154" s="2"/>
      <c r="G154" s="2"/>
      <c r="H154" s="2"/>
    </row>
    <row r="155" spans="5:8" ht="12.75" customHeight="1" x14ac:dyDescent="0.2">
      <c r="E155" s="2"/>
      <c r="G155" s="2"/>
      <c r="H155" s="2"/>
    </row>
    <row r="156" spans="5:8" ht="12.75" customHeight="1" x14ac:dyDescent="0.2">
      <c r="E156" s="2"/>
      <c r="G156" s="2"/>
      <c r="H156" s="2"/>
    </row>
    <row r="157" spans="5:8" ht="12.75" customHeight="1" x14ac:dyDescent="0.2">
      <c r="E157" s="2"/>
      <c r="G157" s="2"/>
      <c r="H157" s="2"/>
    </row>
    <row r="158" spans="5:8" ht="12.75" customHeight="1" x14ac:dyDescent="0.2">
      <c r="E158" s="2"/>
      <c r="G158" s="2"/>
      <c r="H158" s="2"/>
    </row>
    <row r="159" spans="5:8" ht="12.75" customHeight="1" x14ac:dyDescent="0.2">
      <c r="E159" s="2"/>
      <c r="G159" s="2"/>
      <c r="H159" s="2"/>
    </row>
    <row r="160" spans="5:8" ht="12.75" customHeight="1" x14ac:dyDescent="0.2">
      <c r="E160" s="2"/>
      <c r="G160" s="2"/>
      <c r="H160" s="2"/>
    </row>
    <row r="161" spans="5:8" ht="12.75" customHeight="1" x14ac:dyDescent="0.2">
      <c r="E161" s="2"/>
      <c r="G161" s="2"/>
      <c r="H161" s="2"/>
    </row>
    <row r="162" spans="5:8" ht="12.75" customHeight="1" x14ac:dyDescent="0.2">
      <c r="E162" s="2"/>
      <c r="G162" s="2"/>
      <c r="H162" s="2"/>
    </row>
    <row r="163" spans="5:8" ht="12.75" customHeight="1" x14ac:dyDescent="0.2">
      <c r="E163" s="2"/>
      <c r="G163" s="2"/>
      <c r="H163" s="2"/>
    </row>
    <row r="164" spans="5:8" ht="12.75" customHeight="1" x14ac:dyDescent="0.2">
      <c r="E164" s="2"/>
      <c r="G164" s="2"/>
      <c r="H164" s="2"/>
    </row>
    <row r="165" spans="5:8" ht="12.75" customHeight="1" x14ac:dyDescent="0.2">
      <c r="E165" s="2"/>
      <c r="G165" s="2"/>
      <c r="H165" s="2"/>
    </row>
    <row r="166" spans="5:8" ht="12.75" customHeight="1" x14ac:dyDescent="0.2">
      <c r="E166" s="2"/>
      <c r="G166" s="2"/>
      <c r="H166" s="2"/>
    </row>
    <row r="167" spans="5:8" ht="12.75" customHeight="1" x14ac:dyDescent="0.2">
      <c r="E167" s="2"/>
      <c r="G167" s="2"/>
      <c r="H167" s="2"/>
    </row>
    <row r="168" spans="5:8" ht="12.75" customHeight="1" x14ac:dyDescent="0.2">
      <c r="E168" s="2"/>
      <c r="G168" s="2"/>
      <c r="H168" s="2"/>
    </row>
    <row r="169" spans="5:8" ht="12.75" customHeight="1" x14ac:dyDescent="0.2">
      <c r="E169" s="2"/>
      <c r="G169" s="2"/>
      <c r="H169" s="2"/>
    </row>
    <row r="170" spans="5:8" ht="12.75" customHeight="1" x14ac:dyDescent="0.2">
      <c r="E170" s="2"/>
      <c r="G170" s="2"/>
      <c r="H170" s="2"/>
    </row>
    <row r="171" spans="5:8" ht="12.75" customHeight="1" x14ac:dyDescent="0.2">
      <c r="E171" s="2"/>
      <c r="G171" s="2"/>
      <c r="H171" s="2"/>
    </row>
    <row r="172" spans="5:8" ht="12.75" customHeight="1" x14ac:dyDescent="0.2">
      <c r="E172" s="2"/>
      <c r="G172" s="2"/>
      <c r="H172" s="2"/>
    </row>
    <row r="173" spans="5:8" ht="12.75" customHeight="1" x14ac:dyDescent="0.2">
      <c r="E173" s="2"/>
      <c r="G173" s="2"/>
      <c r="H173" s="2"/>
    </row>
    <row r="174" spans="5:8" ht="12.75" customHeight="1" x14ac:dyDescent="0.2">
      <c r="E174" s="2"/>
      <c r="G174" s="2"/>
      <c r="H174" s="2"/>
    </row>
    <row r="175" spans="5:8" ht="12.75" customHeight="1" x14ac:dyDescent="0.2">
      <c r="E175" s="2"/>
      <c r="G175" s="2"/>
      <c r="H175" s="2"/>
    </row>
    <row r="176" spans="5:8" ht="12.75" customHeight="1" x14ac:dyDescent="0.2">
      <c r="E176" s="2"/>
      <c r="G176" s="2"/>
      <c r="H176" s="2"/>
    </row>
    <row r="177" spans="5:8" ht="12.75" customHeight="1" x14ac:dyDescent="0.2">
      <c r="E177" s="2"/>
      <c r="G177" s="2"/>
      <c r="H177" s="2"/>
    </row>
    <row r="178" spans="5:8" ht="12.75" customHeight="1" x14ac:dyDescent="0.2">
      <c r="E178" s="2"/>
      <c r="G178" s="2"/>
      <c r="H178" s="2"/>
    </row>
    <row r="179" spans="5:8" ht="12.75" customHeight="1" x14ac:dyDescent="0.2">
      <c r="E179" s="2"/>
      <c r="G179" s="2"/>
      <c r="H179" s="2"/>
    </row>
    <row r="180" spans="5:8" ht="12.75" customHeight="1" x14ac:dyDescent="0.2">
      <c r="E180" s="2"/>
      <c r="G180" s="2"/>
      <c r="H180" s="2"/>
    </row>
    <row r="181" spans="5:8" ht="12.75" customHeight="1" x14ac:dyDescent="0.2">
      <c r="E181" s="2"/>
      <c r="G181" s="2"/>
      <c r="H181" s="2"/>
    </row>
    <row r="182" spans="5:8" ht="12.75" customHeight="1" x14ac:dyDescent="0.2">
      <c r="E182" s="2"/>
      <c r="G182" s="2"/>
      <c r="H182" s="2"/>
    </row>
    <row r="183" spans="5:8" ht="12.75" customHeight="1" x14ac:dyDescent="0.2">
      <c r="E183" s="2"/>
      <c r="G183" s="2"/>
      <c r="H183" s="2"/>
    </row>
    <row r="184" spans="5:8" ht="12.75" customHeight="1" x14ac:dyDescent="0.2">
      <c r="E184" s="2"/>
      <c r="G184" s="2"/>
      <c r="H184" s="2"/>
    </row>
    <row r="185" spans="5:8" ht="12.75" customHeight="1" x14ac:dyDescent="0.2">
      <c r="E185" s="2"/>
      <c r="G185" s="2"/>
      <c r="H185" s="2"/>
    </row>
    <row r="186" spans="5:8" ht="12.75" customHeight="1" x14ac:dyDescent="0.2">
      <c r="E186" s="2"/>
      <c r="G186" s="2"/>
      <c r="H186" s="2"/>
    </row>
    <row r="187" spans="5:8" ht="12.75" customHeight="1" x14ac:dyDescent="0.2">
      <c r="E187" s="2"/>
      <c r="G187" s="2"/>
      <c r="H187" s="2"/>
    </row>
    <row r="188" spans="5:8" ht="12.75" customHeight="1" x14ac:dyDescent="0.2">
      <c r="E188" s="2"/>
      <c r="G188" s="2"/>
      <c r="H188" s="2"/>
    </row>
    <row r="189" spans="5:8" ht="12.75" customHeight="1" x14ac:dyDescent="0.2">
      <c r="E189" s="2"/>
      <c r="G189" s="2"/>
      <c r="H189" s="2"/>
    </row>
    <row r="190" spans="5:8" ht="12.75" customHeight="1" x14ac:dyDescent="0.2">
      <c r="E190" s="2"/>
      <c r="G190" s="2"/>
      <c r="H190" s="2"/>
    </row>
    <row r="191" spans="5:8" ht="12.75" customHeight="1" x14ac:dyDescent="0.2">
      <c r="E191" s="2"/>
      <c r="G191" s="2"/>
      <c r="H191" s="2"/>
    </row>
    <row r="192" spans="5:8" ht="12.75" customHeight="1" x14ac:dyDescent="0.2">
      <c r="E192" s="2"/>
      <c r="G192" s="2"/>
      <c r="H192" s="2"/>
    </row>
    <row r="193" spans="5:8" ht="12.75" customHeight="1" x14ac:dyDescent="0.2">
      <c r="E193" s="2"/>
      <c r="G193" s="2"/>
      <c r="H193" s="2"/>
    </row>
    <row r="194" spans="5:8" ht="12.75" customHeight="1" x14ac:dyDescent="0.2">
      <c r="E194" s="2"/>
      <c r="G194" s="2"/>
      <c r="H194" s="2"/>
    </row>
    <row r="195" spans="5:8" ht="12.75" customHeight="1" x14ac:dyDescent="0.2">
      <c r="E195" s="2"/>
      <c r="G195" s="2"/>
      <c r="H195" s="2"/>
    </row>
    <row r="196" spans="5:8" ht="12.75" customHeight="1" x14ac:dyDescent="0.2">
      <c r="E196" s="2"/>
      <c r="G196" s="2"/>
      <c r="H196" s="2"/>
    </row>
    <row r="197" spans="5:8" ht="12.75" customHeight="1" x14ac:dyDescent="0.2">
      <c r="E197" s="2"/>
      <c r="G197" s="2"/>
      <c r="H197" s="2"/>
    </row>
    <row r="198" spans="5:8" ht="12.75" customHeight="1" x14ac:dyDescent="0.2">
      <c r="E198" s="2"/>
      <c r="G198" s="2"/>
      <c r="H198" s="2"/>
    </row>
    <row r="199" spans="5:8" ht="12.75" customHeight="1" x14ac:dyDescent="0.2">
      <c r="E199" s="2"/>
      <c r="G199" s="2"/>
      <c r="H199" s="2"/>
    </row>
    <row r="200" spans="5:8" ht="12.75" customHeight="1" x14ac:dyDescent="0.2">
      <c r="E200" s="2"/>
      <c r="G200" s="2"/>
      <c r="H200" s="2"/>
    </row>
    <row r="201" spans="5:8" ht="12.75" customHeight="1" x14ac:dyDescent="0.2">
      <c r="E201" s="2"/>
      <c r="G201" s="2"/>
      <c r="H201" s="2"/>
    </row>
    <row r="202" spans="5:8" ht="12.75" customHeight="1" x14ac:dyDescent="0.2">
      <c r="E202" s="2"/>
      <c r="G202" s="2"/>
      <c r="H202" s="2"/>
    </row>
    <row r="203" spans="5:8" ht="12.75" customHeight="1" x14ac:dyDescent="0.2">
      <c r="E203" s="2"/>
      <c r="G203" s="2"/>
      <c r="H203" s="2"/>
    </row>
    <row r="204" spans="5:8" ht="12.75" customHeight="1" x14ac:dyDescent="0.2">
      <c r="E204" s="2"/>
      <c r="G204" s="2"/>
      <c r="H204" s="2"/>
    </row>
    <row r="205" spans="5:8" ht="12.75" customHeight="1" x14ac:dyDescent="0.2">
      <c r="E205" s="2"/>
      <c r="G205" s="2"/>
      <c r="H205" s="2"/>
    </row>
    <row r="206" spans="5:8" ht="12.75" customHeight="1" x14ac:dyDescent="0.2">
      <c r="E206" s="2"/>
      <c r="G206" s="2"/>
      <c r="H206" s="2"/>
    </row>
    <row r="207" spans="5:8" ht="12.75" customHeight="1" x14ac:dyDescent="0.2">
      <c r="E207" s="2"/>
      <c r="G207" s="2"/>
      <c r="H207" s="2"/>
    </row>
    <row r="208" spans="5:8" ht="12.75" customHeight="1" x14ac:dyDescent="0.2">
      <c r="E208" s="2"/>
      <c r="G208" s="2"/>
      <c r="H208" s="2"/>
    </row>
    <row r="209" spans="5:8" ht="12.75" customHeight="1" x14ac:dyDescent="0.2">
      <c r="E209" s="2"/>
      <c r="G209" s="2"/>
      <c r="H209" s="2"/>
    </row>
    <row r="210" spans="5:8" ht="12.75" customHeight="1" x14ac:dyDescent="0.2">
      <c r="E210" s="2"/>
      <c r="G210" s="2"/>
      <c r="H210" s="2"/>
    </row>
    <row r="211" spans="5:8" ht="12.75" customHeight="1" x14ac:dyDescent="0.2">
      <c r="E211" s="2"/>
      <c r="G211" s="2"/>
      <c r="H211" s="2"/>
    </row>
    <row r="212" spans="5:8" ht="12.75" customHeight="1" x14ac:dyDescent="0.2">
      <c r="E212" s="2"/>
      <c r="G212" s="2"/>
      <c r="H212" s="2"/>
    </row>
    <row r="213" spans="5:8" ht="12.75" customHeight="1" x14ac:dyDescent="0.2">
      <c r="E213" s="2"/>
      <c r="G213" s="2"/>
      <c r="H213" s="2"/>
    </row>
    <row r="214" spans="5:8" ht="12.75" customHeight="1" x14ac:dyDescent="0.2">
      <c r="E214" s="2"/>
      <c r="G214" s="2"/>
      <c r="H214" s="2"/>
    </row>
    <row r="215" spans="5:8" ht="12.75" customHeight="1" x14ac:dyDescent="0.2">
      <c r="E215" s="2"/>
      <c r="G215" s="2"/>
      <c r="H215" s="2"/>
    </row>
    <row r="216" spans="5:8" ht="12.75" customHeight="1" x14ac:dyDescent="0.2">
      <c r="E216" s="2"/>
      <c r="G216" s="2"/>
      <c r="H216" s="2"/>
    </row>
    <row r="217" spans="5:8" ht="12.75" customHeight="1" x14ac:dyDescent="0.2">
      <c r="E217" s="2"/>
      <c r="G217" s="2"/>
      <c r="H217" s="2"/>
    </row>
    <row r="218" spans="5:8" ht="12.75" customHeight="1" x14ac:dyDescent="0.2">
      <c r="E218" s="2"/>
      <c r="G218" s="2"/>
      <c r="H218" s="2"/>
    </row>
    <row r="219" spans="5:8" ht="12.75" customHeight="1" x14ac:dyDescent="0.2">
      <c r="E219" s="2"/>
      <c r="G219" s="2"/>
      <c r="H219" s="2"/>
    </row>
    <row r="220" spans="5:8" ht="12.75" customHeight="1" x14ac:dyDescent="0.2">
      <c r="E220" s="2"/>
      <c r="G220" s="2"/>
      <c r="H220" s="2"/>
    </row>
    <row r="221" spans="5:8" ht="12.75" customHeight="1" x14ac:dyDescent="0.2">
      <c r="E221" s="2"/>
      <c r="G221" s="2"/>
      <c r="H221" s="2"/>
    </row>
    <row r="222" spans="5:8" ht="12.75" customHeight="1" x14ac:dyDescent="0.2">
      <c r="E222" s="2"/>
      <c r="G222" s="2"/>
      <c r="H222" s="2"/>
    </row>
    <row r="223" spans="5:8" ht="12.75" customHeight="1" x14ac:dyDescent="0.2">
      <c r="E223" s="2"/>
      <c r="G223" s="2"/>
      <c r="H223" s="2"/>
    </row>
    <row r="224" spans="5:8" ht="12.75" customHeight="1" x14ac:dyDescent="0.2">
      <c r="E224" s="2"/>
      <c r="G224" s="2"/>
      <c r="H224" s="2"/>
    </row>
    <row r="225" spans="5:8" ht="12.75" customHeight="1" x14ac:dyDescent="0.2">
      <c r="E225" s="2"/>
      <c r="G225" s="2"/>
      <c r="H225" s="2"/>
    </row>
    <row r="226" spans="5:8" ht="12.75" customHeight="1" x14ac:dyDescent="0.2">
      <c r="E226" s="2"/>
      <c r="G226" s="2"/>
      <c r="H226" s="2"/>
    </row>
    <row r="227" spans="5:8" ht="12.75" customHeight="1" x14ac:dyDescent="0.2">
      <c r="E227" s="2"/>
      <c r="G227" s="2"/>
      <c r="H227" s="2"/>
    </row>
    <row r="228" spans="5:8" ht="12.75" customHeight="1" x14ac:dyDescent="0.2">
      <c r="E228" s="2"/>
      <c r="G228" s="2"/>
      <c r="H228" s="2"/>
    </row>
    <row r="229" spans="5:8" ht="12.75" customHeight="1" x14ac:dyDescent="0.2">
      <c r="E229" s="2"/>
      <c r="G229" s="2"/>
      <c r="H229" s="2"/>
    </row>
    <row r="230" spans="5:8" ht="12.75" customHeight="1" x14ac:dyDescent="0.2">
      <c r="E230" s="2"/>
      <c r="G230" s="2"/>
      <c r="H230" s="2"/>
    </row>
    <row r="231" spans="5:8" ht="12.75" customHeight="1" x14ac:dyDescent="0.2">
      <c r="E231" s="2"/>
      <c r="G231" s="2"/>
      <c r="H231" s="2"/>
    </row>
    <row r="232" spans="5:8" ht="12.75" customHeight="1" x14ac:dyDescent="0.2">
      <c r="E232" s="2"/>
      <c r="G232" s="2"/>
      <c r="H232" s="2"/>
    </row>
    <row r="233" spans="5:8" ht="12.75" customHeight="1" x14ac:dyDescent="0.2">
      <c r="E233" s="2"/>
      <c r="G233" s="2"/>
      <c r="H233" s="2"/>
    </row>
    <row r="234" spans="5:8" ht="12.75" customHeight="1" x14ac:dyDescent="0.2">
      <c r="E234" s="2"/>
      <c r="G234" s="2"/>
      <c r="H234" s="2"/>
    </row>
    <row r="235" spans="5:8" ht="12.75" customHeight="1" x14ac:dyDescent="0.2">
      <c r="E235" s="2"/>
      <c r="G235" s="2"/>
      <c r="H235" s="2"/>
    </row>
    <row r="236" spans="5:8" ht="12.75" customHeight="1" x14ac:dyDescent="0.2">
      <c r="E236" s="2"/>
      <c r="G236" s="2"/>
      <c r="H236" s="2"/>
    </row>
    <row r="237" spans="5:8" ht="12.75" customHeight="1" x14ac:dyDescent="0.2">
      <c r="E237" s="2"/>
      <c r="G237" s="2"/>
      <c r="H237" s="2"/>
    </row>
    <row r="238" spans="5:8" ht="12.75" customHeight="1" x14ac:dyDescent="0.2">
      <c r="E238" s="2"/>
      <c r="G238" s="2"/>
      <c r="H238" s="2"/>
    </row>
    <row r="239" spans="5:8" ht="12.75" customHeight="1" x14ac:dyDescent="0.2">
      <c r="E239" s="2"/>
      <c r="G239" s="2"/>
      <c r="H239" s="2"/>
    </row>
    <row r="240" spans="5:8" ht="12.75" customHeight="1" x14ac:dyDescent="0.2">
      <c r="E240" s="2"/>
      <c r="G240" s="2"/>
      <c r="H240" s="2"/>
    </row>
    <row r="241" spans="5:8" ht="12.75" customHeight="1" x14ac:dyDescent="0.2">
      <c r="E241" s="2"/>
      <c r="G241" s="2"/>
      <c r="H241" s="2"/>
    </row>
    <row r="242" spans="5:8" ht="12.75" customHeight="1" x14ac:dyDescent="0.2">
      <c r="E242" s="2"/>
      <c r="G242" s="2"/>
      <c r="H242" s="2"/>
    </row>
    <row r="243" spans="5:8" ht="12.75" customHeight="1" x14ac:dyDescent="0.2">
      <c r="E243" s="2"/>
      <c r="G243" s="2"/>
      <c r="H243" s="2"/>
    </row>
    <row r="244" spans="5:8" ht="12.75" customHeight="1" x14ac:dyDescent="0.2">
      <c r="E244" s="2"/>
      <c r="G244" s="2"/>
      <c r="H244" s="2"/>
    </row>
    <row r="245" spans="5:8" ht="12.75" customHeight="1" x14ac:dyDescent="0.2">
      <c r="E245" s="2"/>
      <c r="G245" s="2"/>
      <c r="H245" s="2"/>
    </row>
    <row r="246" spans="5:8" ht="12.75" customHeight="1" x14ac:dyDescent="0.2">
      <c r="E246" s="2"/>
      <c r="G246" s="2"/>
      <c r="H246" s="2"/>
    </row>
    <row r="247" spans="5:8" ht="12.75" customHeight="1" x14ac:dyDescent="0.2">
      <c r="E247" s="2"/>
      <c r="G247" s="2"/>
      <c r="H247" s="2"/>
    </row>
    <row r="248" spans="5:8" ht="12.75" customHeight="1" x14ac:dyDescent="0.2">
      <c r="E248" s="2"/>
      <c r="G248" s="2"/>
      <c r="H248" s="2"/>
    </row>
    <row r="249" spans="5:8" ht="12.75" customHeight="1" x14ac:dyDescent="0.2">
      <c r="E249" s="2"/>
      <c r="G249" s="2"/>
      <c r="H249" s="2"/>
    </row>
    <row r="250" spans="5:8" ht="12.75" customHeight="1" x14ac:dyDescent="0.2">
      <c r="E250" s="2"/>
      <c r="G250" s="2"/>
      <c r="H250" s="2"/>
    </row>
    <row r="251" spans="5:8" ht="12.75" customHeight="1" x14ac:dyDescent="0.2">
      <c r="E251" s="2"/>
      <c r="G251" s="2"/>
      <c r="H251" s="2"/>
    </row>
    <row r="252" spans="5:8" ht="12.75" customHeight="1" x14ac:dyDescent="0.2">
      <c r="E252" s="2"/>
      <c r="G252" s="2"/>
      <c r="H252" s="2"/>
    </row>
    <row r="253" spans="5:8" ht="12.75" customHeight="1" x14ac:dyDescent="0.2">
      <c r="E253" s="2"/>
      <c r="G253" s="2"/>
      <c r="H253" s="2"/>
    </row>
    <row r="254" spans="5:8" ht="12.75" customHeight="1" x14ac:dyDescent="0.2">
      <c r="E254" s="2"/>
      <c r="G254" s="2"/>
      <c r="H254" s="2"/>
    </row>
    <row r="255" spans="5:8" ht="12.75" customHeight="1" x14ac:dyDescent="0.2">
      <c r="E255" s="2"/>
      <c r="G255" s="2"/>
      <c r="H255" s="2"/>
    </row>
    <row r="256" spans="5:8" ht="12.75" customHeight="1" x14ac:dyDescent="0.2">
      <c r="E256" s="2"/>
      <c r="G256" s="2"/>
      <c r="H256" s="2"/>
    </row>
    <row r="257" spans="5:8" ht="12.75" customHeight="1" x14ac:dyDescent="0.2">
      <c r="E257" s="2"/>
      <c r="G257" s="2"/>
      <c r="H257" s="2"/>
    </row>
    <row r="258" spans="5:8" ht="12.75" customHeight="1" x14ac:dyDescent="0.2">
      <c r="E258" s="2"/>
      <c r="G258" s="2"/>
      <c r="H258" s="2"/>
    </row>
    <row r="259" spans="5:8" ht="12.75" customHeight="1" x14ac:dyDescent="0.2">
      <c r="E259" s="2"/>
      <c r="G259" s="2"/>
      <c r="H259" s="2"/>
    </row>
    <row r="260" spans="5:8" ht="12.75" customHeight="1" x14ac:dyDescent="0.2">
      <c r="E260" s="2"/>
      <c r="G260" s="2"/>
      <c r="H260" s="2"/>
    </row>
    <row r="261" spans="5:8" ht="12.75" customHeight="1" x14ac:dyDescent="0.2">
      <c r="E261" s="2"/>
      <c r="G261" s="2"/>
      <c r="H261" s="2"/>
    </row>
    <row r="262" spans="5:8" ht="12.75" customHeight="1" x14ac:dyDescent="0.2">
      <c r="E262" s="2"/>
      <c r="G262" s="2"/>
      <c r="H262" s="2"/>
    </row>
    <row r="263" spans="5:8" ht="12.75" customHeight="1" x14ac:dyDescent="0.2">
      <c r="E263" s="2"/>
      <c r="G263" s="2"/>
      <c r="H263" s="2"/>
    </row>
    <row r="264" spans="5:8" ht="12.75" customHeight="1" x14ac:dyDescent="0.2">
      <c r="E264" s="2"/>
      <c r="G264" s="2"/>
      <c r="H264" s="2"/>
    </row>
    <row r="265" spans="5:8" ht="12.75" customHeight="1" x14ac:dyDescent="0.2">
      <c r="E265" s="2"/>
      <c r="G265" s="2"/>
      <c r="H265" s="2"/>
    </row>
    <row r="266" spans="5:8" ht="12.75" customHeight="1" x14ac:dyDescent="0.2">
      <c r="E266" s="2"/>
      <c r="G266" s="2"/>
      <c r="H266" s="2"/>
    </row>
    <row r="267" spans="5:8" ht="12.75" customHeight="1" x14ac:dyDescent="0.2">
      <c r="E267" s="2"/>
      <c r="G267" s="2"/>
      <c r="H267" s="2"/>
    </row>
    <row r="268" spans="5:8" ht="12.75" customHeight="1" x14ac:dyDescent="0.2">
      <c r="E268" s="2"/>
      <c r="G268" s="2"/>
      <c r="H268" s="2"/>
    </row>
    <row r="269" spans="5:8" ht="12.75" customHeight="1" x14ac:dyDescent="0.2">
      <c r="E269" s="2"/>
      <c r="G269" s="2"/>
      <c r="H269" s="2"/>
    </row>
    <row r="270" spans="5:8" ht="12.75" customHeight="1" x14ac:dyDescent="0.2">
      <c r="E270" s="2"/>
      <c r="G270" s="2"/>
      <c r="H270" s="2"/>
    </row>
    <row r="271" spans="5:8" ht="12.75" customHeight="1" x14ac:dyDescent="0.2">
      <c r="E271" s="2"/>
      <c r="G271" s="2"/>
      <c r="H271" s="2"/>
    </row>
    <row r="272" spans="5:8" ht="12.75" customHeight="1" x14ac:dyDescent="0.2">
      <c r="E272" s="2"/>
      <c r="G272" s="2"/>
      <c r="H272" s="2"/>
    </row>
    <row r="273" spans="5:8" ht="12.75" customHeight="1" x14ac:dyDescent="0.2">
      <c r="E273" s="2"/>
      <c r="G273" s="2"/>
      <c r="H273" s="2"/>
    </row>
    <row r="274" spans="5:8" ht="12.75" customHeight="1" x14ac:dyDescent="0.2">
      <c r="E274" s="2"/>
      <c r="G274" s="2"/>
      <c r="H274" s="2"/>
    </row>
    <row r="275" spans="5:8" ht="12.75" customHeight="1" x14ac:dyDescent="0.2">
      <c r="E275" s="2"/>
      <c r="G275" s="2"/>
      <c r="H275" s="2"/>
    </row>
    <row r="276" spans="5:8" ht="12.75" customHeight="1" x14ac:dyDescent="0.2">
      <c r="E276" s="2"/>
      <c r="G276" s="2"/>
      <c r="H276" s="2"/>
    </row>
    <row r="277" spans="5:8" ht="12.75" customHeight="1" x14ac:dyDescent="0.2">
      <c r="E277" s="2"/>
      <c r="G277" s="2"/>
      <c r="H277" s="2"/>
    </row>
    <row r="278" spans="5:8" ht="12.75" customHeight="1" x14ac:dyDescent="0.2">
      <c r="E278" s="2"/>
      <c r="G278" s="2"/>
      <c r="H278" s="2"/>
    </row>
    <row r="279" spans="5:8" ht="12.75" customHeight="1" x14ac:dyDescent="0.2">
      <c r="E279" s="2"/>
      <c r="G279" s="2"/>
      <c r="H279" s="2"/>
    </row>
    <row r="280" spans="5:8" ht="12.75" customHeight="1" x14ac:dyDescent="0.2">
      <c r="E280" s="2"/>
      <c r="G280" s="2"/>
      <c r="H280" s="2"/>
    </row>
    <row r="281" spans="5:8" ht="12.75" customHeight="1" x14ac:dyDescent="0.2">
      <c r="E281" s="2"/>
      <c r="G281" s="2"/>
      <c r="H281" s="2"/>
    </row>
    <row r="282" spans="5:8" ht="12.75" customHeight="1" x14ac:dyDescent="0.2">
      <c r="E282" s="2"/>
      <c r="G282" s="2"/>
      <c r="H282" s="2"/>
    </row>
    <row r="283" spans="5:8" ht="12.75" customHeight="1" x14ac:dyDescent="0.2">
      <c r="E283" s="2"/>
      <c r="G283" s="2"/>
      <c r="H283" s="2"/>
    </row>
    <row r="284" spans="5:8" ht="12.75" customHeight="1" x14ac:dyDescent="0.2">
      <c r="E284" s="2"/>
      <c r="G284" s="2"/>
      <c r="H284" s="2"/>
    </row>
    <row r="285" spans="5:8" ht="12.75" customHeight="1" x14ac:dyDescent="0.2">
      <c r="E285" s="2"/>
      <c r="G285" s="2"/>
      <c r="H285" s="2"/>
    </row>
    <row r="286" spans="5:8" ht="12.75" customHeight="1" x14ac:dyDescent="0.2">
      <c r="E286" s="2"/>
      <c r="G286" s="2"/>
      <c r="H286" s="2"/>
    </row>
    <row r="287" spans="5:8" ht="12.75" customHeight="1" x14ac:dyDescent="0.2">
      <c r="E287" s="2"/>
      <c r="G287" s="2"/>
      <c r="H287" s="2"/>
    </row>
    <row r="288" spans="5:8" ht="12.75" customHeight="1" x14ac:dyDescent="0.2">
      <c r="E288" s="2"/>
      <c r="G288" s="2"/>
      <c r="H288" s="2"/>
    </row>
    <row r="289" spans="5:8" ht="12.75" customHeight="1" x14ac:dyDescent="0.2">
      <c r="E289" s="2"/>
      <c r="G289" s="2"/>
      <c r="H289" s="2"/>
    </row>
    <row r="290" spans="5:8" ht="12.75" customHeight="1" x14ac:dyDescent="0.2">
      <c r="E290" s="2"/>
      <c r="G290" s="2"/>
      <c r="H290" s="2"/>
    </row>
    <row r="291" spans="5:8" ht="12.75" customHeight="1" x14ac:dyDescent="0.2">
      <c r="E291" s="2"/>
      <c r="G291" s="2"/>
      <c r="H291" s="2"/>
    </row>
    <row r="292" spans="5:8" ht="12.75" customHeight="1" x14ac:dyDescent="0.2">
      <c r="E292" s="2"/>
      <c r="G292" s="2"/>
      <c r="H292" s="2"/>
    </row>
    <row r="293" spans="5:8" ht="12.75" customHeight="1" x14ac:dyDescent="0.2">
      <c r="E293" s="2"/>
      <c r="G293" s="2"/>
      <c r="H293" s="2"/>
    </row>
    <row r="294" spans="5:8" ht="12.75" customHeight="1" x14ac:dyDescent="0.2">
      <c r="E294" s="2"/>
      <c r="G294" s="2"/>
      <c r="H294" s="2"/>
    </row>
    <row r="295" spans="5:8" ht="12.75" customHeight="1" x14ac:dyDescent="0.2">
      <c r="E295" s="2"/>
      <c r="G295" s="2"/>
      <c r="H295" s="2"/>
    </row>
    <row r="296" spans="5:8" ht="12.75" customHeight="1" x14ac:dyDescent="0.2">
      <c r="E296" s="2"/>
      <c r="G296" s="2"/>
      <c r="H296" s="2"/>
    </row>
    <row r="297" spans="5:8" ht="12.75" customHeight="1" x14ac:dyDescent="0.2">
      <c r="E297" s="2"/>
      <c r="G297" s="2"/>
      <c r="H297" s="2"/>
    </row>
    <row r="298" spans="5:8" ht="12.75" customHeight="1" x14ac:dyDescent="0.2">
      <c r="E298" s="2"/>
      <c r="G298" s="2"/>
      <c r="H298" s="2"/>
    </row>
    <row r="299" spans="5:8" ht="12.75" customHeight="1" x14ac:dyDescent="0.2">
      <c r="E299" s="2"/>
      <c r="G299" s="2"/>
      <c r="H299" s="2"/>
    </row>
    <row r="300" spans="5:8" ht="12.75" customHeight="1" x14ac:dyDescent="0.2">
      <c r="E300" s="2"/>
      <c r="G300" s="2"/>
      <c r="H300" s="2"/>
    </row>
    <row r="301" spans="5:8" ht="12.75" customHeight="1" x14ac:dyDescent="0.2">
      <c r="E301" s="2"/>
      <c r="G301" s="2"/>
      <c r="H301" s="2"/>
    </row>
    <row r="302" spans="5:8" ht="12.75" customHeight="1" x14ac:dyDescent="0.2">
      <c r="E302" s="2"/>
      <c r="G302" s="2"/>
      <c r="H302" s="2"/>
    </row>
    <row r="303" spans="5:8" ht="12.75" customHeight="1" x14ac:dyDescent="0.2">
      <c r="E303" s="2"/>
      <c r="G303" s="2"/>
      <c r="H303" s="2"/>
    </row>
    <row r="304" spans="5:8" ht="12.75" customHeight="1" x14ac:dyDescent="0.2">
      <c r="E304" s="2"/>
      <c r="G304" s="2"/>
      <c r="H304" s="2"/>
    </row>
    <row r="305" spans="5:8" ht="12.75" customHeight="1" x14ac:dyDescent="0.2">
      <c r="E305" s="2"/>
      <c r="G305" s="2"/>
      <c r="H305" s="2"/>
    </row>
    <row r="306" spans="5:8" ht="12.75" customHeight="1" x14ac:dyDescent="0.2">
      <c r="E306" s="2"/>
      <c r="G306" s="2"/>
      <c r="H306" s="2"/>
    </row>
    <row r="307" spans="5:8" ht="12.75" customHeight="1" x14ac:dyDescent="0.2">
      <c r="E307" s="2"/>
      <c r="G307" s="2"/>
      <c r="H307" s="2"/>
    </row>
    <row r="308" spans="5:8" ht="12.75" customHeight="1" x14ac:dyDescent="0.2">
      <c r="E308" s="2"/>
      <c r="G308" s="2"/>
      <c r="H308" s="2"/>
    </row>
    <row r="309" spans="5:8" ht="12.75" customHeight="1" x14ac:dyDescent="0.2">
      <c r="E309" s="2"/>
      <c r="G309" s="2"/>
      <c r="H309" s="2"/>
    </row>
    <row r="310" spans="5:8" ht="12.75" customHeight="1" x14ac:dyDescent="0.2">
      <c r="E310" s="2"/>
      <c r="G310" s="2"/>
      <c r="H310" s="2"/>
    </row>
    <row r="311" spans="5:8" ht="12.75" customHeight="1" x14ac:dyDescent="0.2">
      <c r="E311" s="2"/>
      <c r="G311" s="2"/>
      <c r="H311" s="2"/>
    </row>
    <row r="312" spans="5:8" ht="12.75" customHeight="1" x14ac:dyDescent="0.2">
      <c r="E312" s="2"/>
      <c r="G312" s="2"/>
      <c r="H312" s="2"/>
    </row>
    <row r="313" spans="5:8" ht="12.75" customHeight="1" x14ac:dyDescent="0.2">
      <c r="E313" s="2"/>
      <c r="G313" s="2"/>
      <c r="H313" s="2"/>
    </row>
    <row r="314" spans="5:8" ht="12.75" customHeight="1" x14ac:dyDescent="0.2">
      <c r="E314" s="2"/>
      <c r="G314" s="2"/>
      <c r="H314" s="2"/>
    </row>
    <row r="315" spans="5:8" ht="12.75" customHeight="1" x14ac:dyDescent="0.2">
      <c r="E315" s="2"/>
      <c r="G315" s="2"/>
      <c r="H315" s="2"/>
    </row>
    <row r="316" spans="5:8" ht="12.75" customHeight="1" x14ac:dyDescent="0.2">
      <c r="E316" s="2"/>
      <c r="G316" s="2"/>
      <c r="H316" s="2"/>
    </row>
    <row r="317" spans="5:8" ht="12.75" customHeight="1" x14ac:dyDescent="0.2">
      <c r="E317" s="2"/>
      <c r="G317" s="2"/>
      <c r="H317" s="2"/>
    </row>
    <row r="318" spans="5:8" ht="12.75" customHeight="1" x14ac:dyDescent="0.2">
      <c r="E318" s="2"/>
      <c r="G318" s="2"/>
      <c r="H318" s="2"/>
    </row>
    <row r="319" spans="5:8" ht="12.75" customHeight="1" x14ac:dyDescent="0.2">
      <c r="E319" s="2"/>
      <c r="G319" s="2"/>
      <c r="H319" s="2"/>
    </row>
    <row r="320" spans="5:8" ht="12.75" customHeight="1" x14ac:dyDescent="0.2">
      <c r="E320" s="2"/>
      <c r="G320" s="2"/>
      <c r="H320" s="2"/>
    </row>
    <row r="321" spans="5:8" ht="12.75" customHeight="1" x14ac:dyDescent="0.2">
      <c r="E321" s="2"/>
      <c r="G321" s="2"/>
      <c r="H321" s="2"/>
    </row>
    <row r="322" spans="5:8" ht="12.75" customHeight="1" x14ac:dyDescent="0.2">
      <c r="E322" s="2"/>
      <c r="G322" s="2"/>
      <c r="H322" s="2"/>
    </row>
    <row r="323" spans="5:8" ht="12.75" customHeight="1" x14ac:dyDescent="0.2">
      <c r="E323" s="2"/>
      <c r="G323" s="2"/>
      <c r="H323" s="2"/>
    </row>
    <row r="324" spans="5:8" ht="12.75" customHeight="1" x14ac:dyDescent="0.2">
      <c r="E324" s="2"/>
      <c r="G324" s="2"/>
      <c r="H324" s="2"/>
    </row>
    <row r="325" spans="5:8" ht="12.75" customHeight="1" x14ac:dyDescent="0.2">
      <c r="E325" s="2"/>
      <c r="G325" s="2"/>
      <c r="H325" s="2"/>
    </row>
    <row r="326" spans="5:8" ht="12.75" customHeight="1" x14ac:dyDescent="0.2">
      <c r="E326" s="2"/>
      <c r="G326" s="2"/>
      <c r="H326" s="2"/>
    </row>
    <row r="327" spans="5:8" ht="12.75" customHeight="1" x14ac:dyDescent="0.2">
      <c r="E327" s="2"/>
      <c r="G327" s="2"/>
      <c r="H327" s="2"/>
    </row>
    <row r="328" spans="5:8" ht="12.75" customHeight="1" x14ac:dyDescent="0.2">
      <c r="E328" s="2"/>
      <c r="G328" s="2"/>
      <c r="H328" s="2"/>
    </row>
    <row r="329" spans="5:8" ht="12.75" customHeight="1" x14ac:dyDescent="0.2">
      <c r="E329" s="2"/>
      <c r="G329" s="2"/>
      <c r="H329" s="2"/>
    </row>
    <row r="330" spans="5:8" ht="12.75" customHeight="1" x14ac:dyDescent="0.2">
      <c r="E330" s="2"/>
      <c r="G330" s="2"/>
      <c r="H330" s="2"/>
    </row>
    <row r="331" spans="5:8" ht="12.75" customHeight="1" x14ac:dyDescent="0.2">
      <c r="E331" s="2"/>
      <c r="G331" s="2"/>
      <c r="H331" s="2"/>
    </row>
    <row r="332" spans="5:8" ht="12.75" customHeight="1" x14ac:dyDescent="0.2">
      <c r="E332" s="2"/>
      <c r="G332" s="2"/>
      <c r="H332" s="2"/>
    </row>
    <row r="333" spans="5:8" ht="12.75" customHeight="1" x14ac:dyDescent="0.2">
      <c r="E333" s="2"/>
      <c r="G333" s="2"/>
      <c r="H333" s="2"/>
    </row>
    <row r="334" spans="5:8" ht="12.75" customHeight="1" x14ac:dyDescent="0.2">
      <c r="E334" s="2"/>
      <c r="G334" s="2"/>
      <c r="H334" s="2"/>
    </row>
    <row r="335" spans="5:8" ht="12.75" customHeight="1" x14ac:dyDescent="0.2">
      <c r="E335" s="2"/>
      <c r="G335" s="2"/>
      <c r="H335" s="2"/>
    </row>
    <row r="336" spans="5:8" ht="12.75" customHeight="1" x14ac:dyDescent="0.2">
      <c r="E336" s="2"/>
      <c r="G336" s="2"/>
      <c r="H336" s="2"/>
    </row>
    <row r="337" spans="5:8" ht="12.75" customHeight="1" x14ac:dyDescent="0.2">
      <c r="E337" s="2"/>
      <c r="G337" s="2"/>
      <c r="H337" s="2"/>
    </row>
    <row r="338" spans="5:8" ht="12.75" customHeight="1" x14ac:dyDescent="0.2">
      <c r="E338" s="2"/>
      <c r="G338" s="2"/>
      <c r="H338" s="2"/>
    </row>
    <row r="339" spans="5:8" ht="12.75" customHeight="1" x14ac:dyDescent="0.2">
      <c r="E339" s="2"/>
      <c r="G339" s="2"/>
      <c r="H339" s="2"/>
    </row>
    <row r="340" spans="5:8" ht="12.75" customHeight="1" x14ac:dyDescent="0.2">
      <c r="E340" s="2"/>
      <c r="G340" s="2"/>
      <c r="H340" s="2"/>
    </row>
    <row r="341" spans="5:8" ht="12.75" customHeight="1" x14ac:dyDescent="0.2">
      <c r="E341" s="2"/>
      <c r="G341" s="2"/>
      <c r="H341" s="2"/>
    </row>
    <row r="342" spans="5:8" ht="12.75" customHeight="1" x14ac:dyDescent="0.2">
      <c r="E342" s="2"/>
      <c r="G342" s="2"/>
      <c r="H342" s="2"/>
    </row>
    <row r="343" spans="5:8" ht="12.75" customHeight="1" x14ac:dyDescent="0.2">
      <c r="E343" s="2"/>
      <c r="G343" s="2"/>
      <c r="H343" s="2"/>
    </row>
    <row r="344" spans="5:8" ht="12.75" customHeight="1" x14ac:dyDescent="0.2">
      <c r="E344" s="2"/>
      <c r="G344" s="2"/>
      <c r="H344" s="2"/>
    </row>
    <row r="345" spans="5:8" ht="12.75" customHeight="1" x14ac:dyDescent="0.2">
      <c r="E345" s="2"/>
      <c r="G345" s="2"/>
      <c r="H345" s="2"/>
    </row>
    <row r="346" spans="5:8" ht="12.75" customHeight="1" x14ac:dyDescent="0.2">
      <c r="E346" s="2"/>
      <c r="G346" s="2"/>
      <c r="H346" s="2"/>
    </row>
    <row r="347" spans="5:8" ht="12.75" customHeight="1" x14ac:dyDescent="0.2">
      <c r="E347" s="2"/>
      <c r="G347" s="2"/>
      <c r="H347" s="2"/>
    </row>
    <row r="348" spans="5:8" ht="12.75" customHeight="1" x14ac:dyDescent="0.2">
      <c r="E348" s="2"/>
      <c r="G348" s="2"/>
      <c r="H348" s="2"/>
    </row>
    <row r="349" spans="5:8" ht="12.75" customHeight="1" x14ac:dyDescent="0.2">
      <c r="E349" s="2"/>
      <c r="G349" s="2"/>
      <c r="H349" s="2"/>
    </row>
    <row r="350" spans="5:8" ht="12.75" customHeight="1" x14ac:dyDescent="0.2">
      <c r="E350" s="2"/>
      <c r="G350" s="2"/>
      <c r="H350" s="2"/>
    </row>
    <row r="351" spans="5:8" ht="12.75" customHeight="1" x14ac:dyDescent="0.2">
      <c r="E351" s="2"/>
      <c r="G351" s="2"/>
      <c r="H351" s="2"/>
    </row>
    <row r="352" spans="5:8" ht="12.75" customHeight="1" x14ac:dyDescent="0.2">
      <c r="E352" s="2"/>
      <c r="G352" s="2"/>
      <c r="H352" s="2"/>
    </row>
    <row r="353" spans="5:8" ht="12.75" customHeight="1" x14ac:dyDescent="0.2">
      <c r="E353" s="2"/>
      <c r="G353" s="2"/>
      <c r="H353" s="2"/>
    </row>
    <row r="354" spans="5:8" ht="12.75" customHeight="1" x14ac:dyDescent="0.2">
      <c r="E354" s="2"/>
      <c r="G354" s="2"/>
      <c r="H354" s="2"/>
    </row>
    <row r="355" spans="5:8" ht="12.75" customHeight="1" x14ac:dyDescent="0.2">
      <c r="E355" s="2"/>
      <c r="G355" s="2"/>
      <c r="H355" s="2"/>
    </row>
    <row r="356" spans="5:8" ht="12.75" customHeight="1" x14ac:dyDescent="0.2">
      <c r="E356" s="2"/>
      <c r="G356" s="2"/>
      <c r="H356" s="2"/>
    </row>
    <row r="357" spans="5:8" ht="12.75" customHeight="1" x14ac:dyDescent="0.2">
      <c r="E357" s="2"/>
      <c r="G357" s="2"/>
      <c r="H357" s="2"/>
    </row>
    <row r="358" spans="5:8" ht="12.75" customHeight="1" x14ac:dyDescent="0.2">
      <c r="E358" s="2"/>
      <c r="G358" s="2"/>
      <c r="H358" s="2"/>
    </row>
    <row r="359" spans="5:8" ht="12.75" customHeight="1" x14ac:dyDescent="0.2">
      <c r="E359" s="2"/>
      <c r="G359" s="2"/>
      <c r="H359" s="2"/>
    </row>
    <row r="360" spans="5:8" ht="12.75" customHeight="1" x14ac:dyDescent="0.2">
      <c r="E360" s="2"/>
      <c r="G360" s="2"/>
      <c r="H360" s="2"/>
    </row>
    <row r="361" spans="5:8" ht="12.75" customHeight="1" x14ac:dyDescent="0.2">
      <c r="E361" s="2"/>
      <c r="G361" s="2"/>
      <c r="H361" s="2"/>
    </row>
    <row r="362" spans="5:8" ht="12.75" customHeight="1" x14ac:dyDescent="0.2">
      <c r="E362" s="2"/>
      <c r="G362" s="2"/>
      <c r="H362" s="2"/>
    </row>
    <row r="363" spans="5:8" ht="12.75" customHeight="1" x14ac:dyDescent="0.2">
      <c r="E363" s="2"/>
      <c r="G363" s="2"/>
      <c r="H363" s="2"/>
    </row>
    <row r="364" spans="5:8" ht="12.75" customHeight="1" x14ac:dyDescent="0.2">
      <c r="E364" s="2"/>
      <c r="G364" s="2"/>
      <c r="H364" s="2"/>
    </row>
    <row r="365" spans="5:8" ht="12.75" customHeight="1" x14ac:dyDescent="0.2">
      <c r="E365" s="2"/>
      <c r="G365" s="2"/>
      <c r="H365" s="2"/>
    </row>
    <row r="366" spans="5:8" ht="12.75" customHeight="1" x14ac:dyDescent="0.2">
      <c r="E366" s="2"/>
      <c r="G366" s="2"/>
      <c r="H366" s="2"/>
    </row>
    <row r="367" spans="5:8" ht="12.75" customHeight="1" x14ac:dyDescent="0.2">
      <c r="E367" s="2"/>
      <c r="G367" s="2"/>
      <c r="H367" s="2"/>
    </row>
    <row r="368" spans="5:8" ht="12.75" customHeight="1" x14ac:dyDescent="0.2">
      <c r="E368" s="2"/>
      <c r="G368" s="2"/>
      <c r="H368" s="2"/>
    </row>
    <row r="369" spans="5:8" ht="12.75" customHeight="1" x14ac:dyDescent="0.2">
      <c r="E369" s="2"/>
      <c r="G369" s="2"/>
      <c r="H369" s="2"/>
    </row>
    <row r="370" spans="5:8" ht="12.75" customHeight="1" x14ac:dyDescent="0.2">
      <c r="E370" s="2"/>
      <c r="G370" s="2"/>
      <c r="H370" s="2"/>
    </row>
    <row r="371" spans="5:8" ht="12.75" customHeight="1" x14ac:dyDescent="0.2">
      <c r="E371" s="2"/>
      <c r="G371" s="2"/>
      <c r="H371" s="2"/>
    </row>
    <row r="372" spans="5:8" ht="12.75" customHeight="1" x14ac:dyDescent="0.2">
      <c r="E372" s="2"/>
      <c r="G372" s="2"/>
      <c r="H372" s="2"/>
    </row>
    <row r="373" spans="5:8" ht="12.75" customHeight="1" x14ac:dyDescent="0.2">
      <c r="E373" s="2"/>
      <c r="G373" s="2"/>
      <c r="H373" s="2"/>
    </row>
    <row r="374" spans="5:8" ht="12.75" customHeight="1" x14ac:dyDescent="0.2">
      <c r="E374" s="2"/>
      <c r="G374" s="2"/>
      <c r="H374" s="2"/>
    </row>
    <row r="375" spans="5:8" ht="12.75" customHeight="1" x14ac:dyDescent="0.2">
      <c r="E375" s="2"/>
      <c r="G375" s="2"/>
      <c r="H375" s="2"/>
    </row>
    <row r="376" spans="5:8" ht="12.75" customHeight="1" x14ac:dyDescent="0.2">
      <c r="E376" s="2"/>
      <c r="G376" s="2"/>
      <c r="H376" s="2"/>
    </row>
    <row r="377" spans="5:8" ht="12.75" customHeight="1" x14ac:dyDescent="0.2">
      <c r="E377" s="2"/>
      <c r="G377" s="2"/>
      <c r="H377" s="2"/>
    </row>
    <row r="378" spans="5:8" ht="12.75" customHeight="1" x14ac:dyDescent="0.2">
      <c r="E378" s="2"/>
      <c r="G378" s="2"/>
      <c r="H378" s="2"/>
    </row>
    <row r="379" spans="5:8" ht="12.75" customHeight="1" x14ac:dyDescent="0.2">
      <c r="E379" s="2"/>
      <c r="G379" s="2"/>
      <c r="H379" s="2"/>
    </row>
    <row r="380" spans="5:8" ht="12.75" customHeight="1" x14ac:dyDescent="0.2">
      <c r="E380" s="2"/>
      <c r="G380" s="2"/>
      <c r="H380" s="2"/>
    </row>
    <row r="381" spans="5:8" ht="12.75" customHeight="1" x14ac:dyDescent="0.2">
      <c r="E381" s="2"/>
      <c r="G381" s="2"/>
      <c r="H381" s="2"/>
    </row>
    <row r="382" spans="5:8" ht="12.75" customHeight="1" x14ac:dyDescent="0.2">
      <c r="E382" s="2"/>
      <c r="G382" s="2"/>
      <c r="H382" s="2"/>
    </row>
    <row r="383" spans="5:8" ht="12.75" customHeight="1" x14ac:dyDescent="0.2">
      <c r="E383" s="2"/>
      <c r="G383" s="2"/>
      <c r="H383" s="2"/>
    </row>
    <row r="384" spans="5:8" ht="12.75" customHeight="1" x14ac:dyDescent="0.2">
      <c r="E384" s="2"/>
      <c r="G384" s="2"/>
      <c r="H384" s="2"/>
    </row>
    <row r="385" spans="5:8" ht="12.75" customHeight="1" x14ac:dyDescent="0.2">
      <c r="E385" s="2"/>
      <c r="G385" s="2"/>
      <c r="H385" s="2"/>
    </row>
    <row r="386" spans="5:8" ht="12.75" customHeight="1" x14ac:dyDescent="0.2">
      <c r="E386" s="2"/>
      <c r="G386" s="2"/>
      <c r="H386" s="2"/>
    </row>
    <row r="387" spans="5:8" ht="12.75" customHeight="1" x14ac:dyDescent="0.2">
      <c r="E387" s="2"/>
      <c r="G387" s="2"/>
      <c r="H387" s="2"/>
    </row>
    <row r="388" spans="5:8" ht="12.75" customHeight="1" x14ac:dyDescent="0.2">
      <c r="E388" s="2"/>
      <c r="G388" s="2"/>
      <c r="H388" s="2"/>
    </row>
    <row r="389" spans="5:8" ht="12.75" customHeight="1" x14ac:dyDescent="0.2">
      <c r="E389" s="2"/>
      <c r="G389" s="2"/>
      <c r="H389" s="2"/>
    </row>
    <row r="390" spans="5:8" ht="12.75" customHeight="1" x14ac:dyDescent="0.2">
      <c r="E390" s="2"/>
      <c r="G390" s="2"/>
      <c r="H390" s="2"/>
    </row>
    <row r="391" spans="5:8" ht="12.75" customHeight="1" x14ac:dyDescent="0.2">
      <c r="E391" s="2"/>
      <c r="G391" s="2"/>
      <c r="H391" s="2"/>
    </row>
    <row r="392" spans="5:8" ht="12.75" customHeight="1" x14ac:dyDescent="0.2">
      <c r="E392" s="2"/>
      <c r="G392" s="2"/>
      <c r="H392" s="2"/>
    </row>
    <row r="393" spans="5:8" ht="12.75" customHeight="1" x14ac:dyDescent="0.2">
      <c r="E393" s="2"/>
      <c r="G393" s="2"/>
      <c r="H393" s="2"/>
    </row>
    <row r="394" spans="5:8" ht="12.75" customHeight="1" x14ac:dyDescent="0.2">
      <c r="E394" s="2"/>
      <c r="G394" s="2"/>
      <c r="H394" s="2"/>
    </row>
    <row r="395" spans="5:8" ht="12.75" customHeight="1" x14ac:dyDescent="0.2">
      <c r="E395" s="2"/>
      <c r="G395" s="2"/>
      <c r="H395" s="2"/>
    </row>
    <row r="396" spans="5:8" ht="12.75" customHeight="1" x14ac:dyDescent="0.2">
      <c r="E396" s="2"/>
      <c r="G396" s="2"/>
      <c r="H396" s="2"/>
    </row>
    <row r="397" spans="5:8" ht="12.75" customHeight="1" x14ac:dyDescent="0.2">
      <c r="E397" s="2"/>
      <c r="G397" s="2"/>
      <c r="H397" s="2"/>
    </row>
    <row r="398" spans="5:8" ht="12.75" customHeight="1" x14ac:dyDescent="0.2">
      <c r="E398" s="2"/>
      <c r="G398" s="2"/>
      <c r="H398" s="2"/>
    </row>
    <row r="399" spans="5:8" ht="12.75" customHeight="1" x14ac:dyDescent="0.2">
      <c r="E399" s="2"/>
      <c r="G399" s="2"/>
      <c r="H399" s="2"/>
    </row>
    <row r="400" spans="5:8" ht="12.75" customHeight="1" x14ac:dyDescent="0.2">
      <c r="E400" s="2"/>
      <c r="G400" s="2"/>
      <c r="H400" s="2"/>
    </row>
    <row r="401" spans="5:8" ht="12.75" customHeight="1" x14ac:dyDescent="0.2">
      <c r="E401" s="2"/>
      <c r="G401" s="2"/>
      <c r="H401" s="2"/>
    </row>
    <row r="402" spans="5:8" ht="12.75" customHeight="1" x14ac:dyDescent="0.2">
      <c r="E402" s="2"/>
      <c r="G402" s="2"/>
      <c r="H402" s="2"/>
    </row>
    <row r="403" spans="5:8" ht="12.75" customHeight="1" x14ac:dyDescent="0.2">
      <c r="E403" s="2"/>
      <c r="G403" s="2"/>
      <c r="H403" s="2"/>
    </row>
    <row r="404" spans="5:8" ht="12.75" customHeight="1" x14ac:dyDescent="0.2">
      <c r="E404" s="2"/>
      <c r="G404" s="2"/>
      <c r="H404" s="2"/>
    </row>
    <row r="405" spans="5:8" ht="12.75" customHeight="1" x14ac:dyDescent="0.2">
      <c r="E405" s="2"/>
      <c r="G405" s="2"/>
      <c r="H405" s="2"/>
    </row>
    <row r="406" spans="5:8" ht="12.75" customHeight="1" x14ac:dyDescent="0.2">
      <c r="E406" s="2"/>
      <c r="G406" s="2"/>
      <c r="H406" s="2"/>
    </row>
    <row r="407" spans="5:8" ht="12.75" customHeight="1" x14ac:dyDescent="0.2">
      <c r="E407" s="2"/>
      <c r="G407" s="2"/>
      <c r="H407" s="2"/>
    </row>
    <row r="408" spans="5:8" ht="12.75" customHeight="1" x14ac:dyDescent="0.2">
      <c r="E408" s="2"/>
      <c r="G408" s="2"/>
      <c r="H408" s="2"/>
    </row>
    <row r="409" spans="5:8" ht="12.75" customHeight="1" x14ac:dyDescent="0.2">
      <c r="E409" s="2"/>
      <c r="G409" s="2"/>
      <c r="H409" s="2"/>
    </row>
    <row r="410" spans="5:8" ht="12.75" customHeight="1" x14ac:dyDescent="0.2">
      <c r="E410" s="2"/>
      <c r="G410" s="2"/>
      <c r="H410" s="2"/>
    </row>
    <row r="411" spans="5:8" ht="12.75" customHeight="1" x14ac:dyDescent="0.2">
      <c r="E411" s="2"/>
      <c r="G411" s="2"/>
      <c r="H411" s="2"/>
    </row>
    <row r="412" spans="5:8" ht="12.75" customHeight="1" x14ac:dyDescent="0.2">
      <c r="E412" s="2"/>
      <c r="G412" s="2"/>
      <c r="H412" s="2"/>
    </row>
    <row r="413" spans="5:8" ht="12.75" customHeight="1" x14ac:dyDescent="0.2">
      <c r="E413" s="2"/>
      <c r="G413" s="2"/>
      <c r="H413" s="2"/>
    </row>
    <row r="414" spans="5:8" ht="12.75" customHeight="1" x14ac:dyDescent="0.2">
      <c r="E414" s="2"/>
      <c r="G414" s="2"/>
      <c r="H414" s="2"/>
    </row>
    <row r="415" spans="5:8" ht="12.75" customHeight="1" x14ac:dyDescent="0.2">
      <c r="E415" s="2"/>
      <c r="G415" s="2"/>
      <c r="H415" s="2"/>
    </row>
    <row r="416" spans="5:8" ht="12.75" customHeight="1" x14ac:dyDescent="0.2">
      <c r="E416" s="2"/>
      <c r="G416" s="2"/>
      <c r="H416" s="2"/>
    </row>
    <row r="417" spans="5:8" ht="12.75" customHeight="1" x14ac:dyDescent="0.2">
      <c r="E417" s="2"/>
      <c r="G417" s="2"/>
      <c r="H417" s="2"/>
    </row>
    <row r="418" spans="5:8" ht="12.75" customHeight="1" x14ac:dyDescent="0.2">
      <c r="E418" s="2"/>
      <c r="G418" s="2"/>
      <c r="H418" s="2"/>
    </row>
    <row r="419" spans="5:8" ht="12.75" customHeight="1" x14ac:dyDescent="0.2">
      <c r="E419" s="2"/>
      <c r="G419" s="2"/>
      <c r="H419" s="2"/>
    </row>
    <row r="420" spans="5:8" ht="12.75" customHeight="1" x14ac:dyDescent="0.2">
      <c r="E420" s="2"/>
      <c r="G420" s="2"/>
      <c r="H420" s="2"/>
    </row>
    <row r="421" spans="5:8" ht="12.75" customHeight="1" x14ac:dyDescent="0.2">
      <c r="E421" s="2"/>
      <c r="G421" s="2"/>
      <c r="H421" s="2"/>
    </row>
    <row r="422" spans="5:8" ht="12.75" customHeight="1" x14ac:dyDescent="0.2">
      <c r="E422" s="2"/>
      <c r="G422" s="2"/>
      <c r="H422" s="2"/>
    </row>
    <row r="423" spans="5:8" ht="12.75" customHeight="1" x14ac:dyDescent="0.2">
      <c r="E423" s="2"/>
      <c r="G423" s="2"/>
      <c r="H423" s="2"/>
    </row>
    <row r="424" spans="5:8" ht="12.75" customHeight="1" x14ac:dyDescent="0.2">
      <c r="E424" s="2"/>
      <c r="G424" s="2"/>
      <c r="H424" s="2"/>
    </row>
    <row r="425" spans="5:8" ht="12.75" customHeight="1" x14ac:dyDescent="0.2">
      <c r="E425" s="2"/>
      <c r="G425" s="2"/>
      <c r="H425" s="2"/>
    </row>
    <row r="426" spans="5:8" ht="12.75" customHeight="1" x14ac:dyDescent="0.2">
      <c r="E426" s="2"/>
      <c r="G426" s="2"/>
      <c r="H426" s="2"/>
    </row>
    <row r="427" spans="5:8" ht="12.75" customHeight="1" x14ac:dyDescent="0.2">
      <c r="E427" s="2"/>
      <c r="G427" s="2"/>
      <c r="H427" s="2"/>
    </row>
    <row r="428" spans="5:8" ht="12.75" customHeight="1" x14ac:dyDescent="0.2">
      <c r="E428" s="2"/>
      <c r="G428" s="2"/>
      <c r="H428" s="2"/>
    </row>
    <row r="429" spans="5:8" ht="12.75" customHeight="1" x14ac:dyDescent="0.2">
      <c r="E429" s="2"/>
      <c r="G429" s="2"/>
      <c r="H429" s="2"/>
    </row>
    <row r="430" spans="5:8" ht="12.75" customHeight="1" x14ac:dyDescent="0.2">
      <c r="E430" s="2"/>
      <c r="G430" s="2"/>
      <c r="H430" s="2"/>
    </row>
    <row r="431" spans="5:8" ht="12.75" customHeight="1" x14ac:dyDescent="0.2">
      <c r="E431" s="2"/>
      <c r="G431" s="2"/>
      <c r="H431" s="2"/>
    </row>
    <row r="432" spans="5:8" ht="12.75" customHeight="1" x14ac:dyDescent="0.2">
      <c r="E432" s="2"/>
      <c r="G432" s="2"/>
      <c r="H432" s="2"/>
    </row>
    <row r="433" spans="5:8" ht="12.75" customHeight="1" x14ac:dyDescent="0.2">
      <c r="E433" s="2"/>
      <c r="G433" s="2"/>
      <c r="H433" s="2"/>
    </row>
    <row r="434" spans="5:8" ht="12.75" customHeight="1" x14ac:dyDescent="0.2">
      <c r="E434" s="2"/>
      <c r="G434" s="2"/>
      <c r="H434" s="2"/>
    </row>
    <row r="435" spans="5:8" ht="12.75" customHeight="1" x14ac:dyDescent="0.2">
      <c r="E435" s="2"/>
      <c r="G435" s="2"/>
      <c r="H435" s="2"/>
    </row>
    <row r="436" spans="5:8" ht="12.75" customHeight="1" x14ac:dyDescent="0.2">
      <c r="E436" s="2"/>
      <c r="G436" s="2"/>
      <c r="H436" s="2"/>
    </row>
    <row r="437" spans="5:8" ht="12.75" customHeight="1" x14ac:dyDescent="0.2">
      <c r="E437" s="2"/>
      <c r="G437" s="2"/>
      <c r="H437" s="2"/>
    </row>
    <row r="438" spans="5:8" ht="12.75" customHeight="1" x14ac:dyDescent="0.2">
      <c r="E438" s="2"/>
      <c r="G438" s="2"/>
      <c r="H438" s="2"/>
    </row>
    <row r="439" spans="5:8" ht="12.75" customHeight="1" x14ac:dyDescent="0.2">
      <c r="E439" s="2"/>
      <c r="G439" s="2"/>
      <c r="H439" s="2"/>
    </row>
    <row r="440" spans="5:8" ht="12.75" customHeight="1" x14ac:dyDescent="0.2">
      <c r="E440" s="2"/>
      <c r="G440" s="2"/>
      <c r="H440" s="2"/>
    </row>
    <row r="441" spans="5:8" ht="12.75" customHeight="1" x14ac:dyDescent="0.2">
      <c r="E441" s="2"/>
      <c r="G441" s="2"/>
      <c r="H441" s="2"/>
    </row>
    <row r="442" spans="5:8" ht="12.75" customHeight="1" x14ac:dyDescent="0.2">
      <c r="E442" s="2"/>
      <c r="G442" s="2"/>
      <c r="H442" s="2"/>
    </row>
    <row r="443" spans="5:8" ht="12.75" customHeight="1" x14ac:dyDescent="0.2">
      <c r="E443" s="2"/>
      <c r="G443" s="2"/>
      <c r="H443" s="2"/>
    </row>
    <row r="444" spans="5:8" ht="12.75" customHeight="1" x14ac:dyDescent="0.2">
      <c r="E444" s="2"/>
      <c r="G444" s="2"/>
      <c r="H444" s="2"/>
    </row>
    <row r="445" spans="5:8" ht="12.75" customHeight="1" x14ac:dyDescent="0.2">
      <c r="E445" s="2"/>
      <c r="G445" s="2"/>
      <c r="H445" s="2"/>
    </row>
    <row r="446" spans="5:8" ht="12.75" customHeight="1" x14ac:dyDescent="0.2">
      <c r="E446" s="2"/>
      <c r="G446" s="2"/>
      <c r="H446" s="2"/>
    </row>
    <row r="447" spans="5:8" ht="12.75" customHeight="1" x14ac:dyDescent="0.2">
      <c r="E447" s="2"/>
      <c r="G447" s="2"/>
      <c r="H447" s="2"/>
    </row>
    <row r="448" spans="5:8" ht="12.75" customHeight="1" x14ac:dyDescent="0.2">
      <c r="E448" s="2"/>
      <c r="G448" s="2"/>
      <c r="H448" s="2"/>
    </row>
    <row r="449" spans="5:8" ht="12.75" customHeight="1" x14ac:dyDescent="0.2">
      <c r="E449" s="2"/>
      <c r="G449" s="2"/>
      <c r="H449" s="2"/>
    </row>
    <row r="450" spans="5:8" ht="12.75" customHeight="1" x14ac:dyDescent="0.2">
      <c r="E450" s="2"/>
      <c r="G450" s="2"/>
      <c r="H450" s="2"/>
    </row>
    <row r="451" spans="5:8" ht="12.75" customHeight="1" x14ac:dyDescent="0.2">
      <c r="E451" s="2"/>
      <c r="G451" s="2"/>
      <c r="H451" s="2"/>
    </row>
    <row r="452" spans="5:8" ht="12.75" customHeight="1" x14ac:dyDescent="0.2">
      <c r="E452" s="2"/>
      <c r="G452" s="2"/>
      <c r="H452" s="2"/>
    </row>
    <row r="453" spans="5:8" ht="12.75" customHeight="1" x14ac:dyDescent="0.2">
      <c r="E453" s="2"/>
      <c r="G453" s="2"/>
      <c r="H453" s="2"/>
    </row>
    <row r="454" spans="5:8" ht="12.75" customHeight="1" x14ac:dyDescent="0.2">
      <c r="E454" s="2"/>
      <c r="G454" s="2"/>
      <c r="H454" s="2"/>
    </row>
    <row r="455" spans="5:8" ht="12.75" customHeight="1" x14ac:dyDescent="0.2">
      <c r="E455" s="2"/>
      <c r="G455" s="2"/>
      <c r="H455" s="2"/>
    </row>
    <row r="456" spans="5:8" ht="12.75" customHeight="1" x14ac:dyDescent="0.2">
      <c r="E456" s="2"/>
      <c r="G456" s="2"/>
      <c r="H456" s="2"/>
    </row>
    <row r="457" spans="5:8" ht="12.75" customHeight="1" x14ac:dyDescent="0.2">
      <c r="E457" s="2"/>
      <c r="G457" s="2"/>
      <c r="H457" s="2"/>
    </row>
    <row r="458" spans="5:8" ht="12.75" customHeight="1" x14ac:dyDescent="0.2">
      <c r="E458" s="2"/>
      <c r="G458" s="2"/>
      <c r="H458" s="2"/>
    </row>
    <row r="459" spans="5:8" ht="12.75" customHeight="1" x14ac:dyDescent="0.2">
      <c r="E459" s="2"/>
      <c r="G459" s="2"/>
      <c r="H459" s="2"/>
    </row>
    <row r="460" spans="5:8" ht="12.75" customHeight="1" x14ac:dyDescent="0.2">
      <c r="E460" s="2"/>
      <c r="G460" s="2"/>
      <c r="H460" s="2"/>
    </row>
    <row r="461" spans="5:8" ht="12.75" customHeight="1" x14ac:dyDescent="0.2">
      <c r="E461" s="2"/>
      <c r="G461" s="2"/>
      <c r="H461" s="2"/>
    </row>
    <row r="462" spans="5:8" ht="12.75" customHeight="1" x14ac:dyDescent="0.2">
      <c r="E462" s="2"/>
      <c r="G462" s="2"/>
      <c r="H462" s="2"/>
    </row>
    <row r="463" spans="5:8" ht="12.75" customHeight="1" x14ac:dyDescent="0.2">
      <c r="E463" s="2"/>
      <c r="G463" s="2"/>
      <c r="H463" s="2"/>
    </row>
    <row r="464" spans="5:8" ht="12.75" customHeight="1" x14ac:dyDescent="0.2">
      <c r="E464" s="2"/>
      <c r="G464" s="2"/>
      <c r="H464" s="2"/>
    </row>
    <row r="465" spans="5:8" ht="12.75" customHeight="1" x14ac:dyDescent="0.2">
      <c r="E465" s="2"/>
      <c r="G465" s="2"/>
      <c r="H465" s="2"/>
    </row>
    <row r="466" spans="5:8" ht="12.75" customHeight="1" x14ac:dyDescent="0.2">
      <c r="E466" s="2"/>
      <c r="G466" s="2"/>
      <c r="H466" s="2"/>
    </row>
    <row r="467" spans="5:8" ht="12.75" customHeight="1" x14ac:dyDescent="0.2">
      <c r="E467" s="2"/>
      <c r="G467" s="2"/>
      <c r="H467" s="2"/>
    </row>
    <row r="468" spans="5:8" ht="12.75" customHeight="1" x14ac:dyDescent="0.2">
      <c r="E468" s="2"/>
      <c r="G468" s="2"/>
      <c r="H468" s="2"/>
    </row>
    <row r="469" spans="5:8" ht="12.75" customHeight="1" x14ac:dyDescent="0.2">
      <c r="E469" s="2"/>
      <c r="G469" s="2"/>
      <c r="H469" s="2"/>
    </row>
    <row r="470" spans="5:8" ht="12.75" customHeight="1" x14ac:dyDescent="0.2">
      <c r="E470" s="2"/>
      <c r="G470" s="2"/>
      <c r="H470" s="2"/>
    </row>
    <row r="471" spans="5:8" ht="12.75" customHeight="1" x14ac:dyDescent="0.2">
      <c r="E471" s="2"/>
      <c r="G471" s="2"/>
      <c r="H471" s="2"/>
    </row>
    <row r="472" spans="5:8" ht="12.75" customHeight="1" x14ac:dyDescent="0.2">
      <c r="E472" s="2"/>
      <c r="G472" s="2"/>
      <c r="H472" s="2"/>
    </row>
    <row r="473" spans="5:8" ht="12.75" customHeight="1" x14ac:dyDescent="0.2">
      <c r="E473" s="2"/>
      <c r="G473" s="2"/>
      <c r="H473" s="2"/>
    </row>
    <row r="474" spans="5:8" ht="12.75" customHeight="1" x14ac:dyDescent="0.2">
      <c r="E474" s="2"/>
      <c r="G474" s="2"/>
      <c r="H474" s="2"/>
    </row>
    <row r="475" spans="5:8" ht="12.75" customHeight="1" x14ac:dyDescent="0.2">
      <c r="E475" s="2"/>
      <c r="G475" s="2"/>
      <c r="H475" s="2"/>
    </row>
    <row r="476" spans="5:8" ht="12.75" customHeight="1" x14ac:dyDescent="0.2">
      <c r="E476" s="2"/>
      <c r="G476" s="2"/>
      <c r="H476" s="2"/>
    </row>
    <row r="477" spans="5:8" ht="12.75" customHeight="1" x14ac:dyDescent="0.2">
      <c r="E477" s="2"/>
      <c r="G477" s="2"/>
      <c r="H477" s="2"/>
    </row>
    <row r="478" spans="5:8" ht="12.75" customHeight="1" x14ac:dyDescent="0.2">
      <c r="E478" s="2"/>
      <c r="G478" s="2"/>
      <c r="H478" s="2"/>
    </row>
    <row r="479" spans="5:8" ht="12.75" customHeight="1" x14ac:dyDescent="0.2">
      <c r="E479" s="2"/>
      <c r="G479" s="2"/>
      <c r="H479" s="2"/>
    </row>
    <row r="480" spans="5:8" ht="12.75" customHeight="1" x14ac:dyDescent="0.2">
      <c r="E480" s="2"/>
      <c r="G480" s="2"/>
      <c r="H480" s="2"/>
    </row>
    <row r="481" spans="5:8" ht="12.75" customHeight="1" x14ac:dyDescent="0.2">
      <c r="E481" s="2"/>
      <c r="G481" s="2"/>
      <c r="H481" s="2"/>
    </row>
    <row r="482" spans="5:8" ht="12.75" customHeight="1" x14ac:dyDescent="0.2">
      <c r="E482" s="2"/>
      <c r="G482" s="2"/>
      <c r="H482" s="2"/>
    </row>
    <row r="483" spans="5:8" ht="12.75" customHeight="1" x14ac:dyDescent="0.2">
      <c r="E483" s="2"/>
      <c r="G483" s="2"/>
      <c r="H483" s="2"/>
    </row>
    <row r="484" spans="5:8" ht="12.75" customHeight="1" x14ac:dyDescent="0.2">
      <c r="E484" s="2"/>
      <c r="G484" s="2"/>
      <c r="H484" s="2"/>
    </row>
    <row r="485" spans="5:8" ht="12.75" customHeight="1" x14ac:dyDescent="0.2">
      <c r="E485" s="2"/>
      <c r="G485" s="2"/>
      <c r="H485" s="2"/>
    </row>
    <row r="486" spans="5:8" ht="12.75" customHeight="1" x14ac:dyDescent="0.2">
      <c r="E486" s="2"/>
      <c r="G486" s="2"/>
      <c r="H486" s="2"/>
    </row>
    <row r="487" spans="5:8" ht="12.75" customHeight="1" x14ac:dyDescent="0.2">
      <c r="E487" s="2"/>
      <c r="G487" s="2"/>
      <c r="H487" s="2"/>
    </row>
    <row r="488" spans="5:8" ht="12.75" customHeight="1" x14ac:dyDescent="0.2">
      <c r="E488" s="2"/>
      <c r="G488" s="2"/>
      <c r="H488" s="2"/>
    </row>
    <row r="489" spans="5:8" ht="12.75" customHeight="1" x14ac:dyDescent="0.2">
      <c r="E489" s="2"/>
      <c r="G489" s="2"/>
      <c r="H489" s="2"/>
    </row>
    <row r="490" spans="5:8" ht="12.75" customHeight="1" x14ac:dyDescent="0.2">
      <c r="E490" s="2"/>
      <c r="G490" s="2"/>
      <c r="H490" s="2"/>
    </row>
    <row r="491" spans="5:8" ht="12.75" customHeight="1" x14ac:dyDescent="0.2">
      <c r="E491" s="2"/>
      <c r="G491" s="2"/>
      <c r="H491" s="2"/>
    </row>
    <row r="492" spans="5:8" ht="12.75" customHeight="1" x14ac:dyDescent="0.2">
      <c r="E492" s="2"/>
      <c r="G492" s="2"/>
      <c r="H492" s="2"/>
    </row>
    <row r="493" spans="5:8" ht="12.75" customHeight="1" x14ac:dyDescent="0.2">
      <c r="E493" s="2"/>
      <c r="G493" s="2"/>
      <c r="H493" s="2"/>
    </row>
    <row r="494" spans="5:8" ht="12.75" customHeight="1" x14ac:dyDescent="0.2">
      <c r="E494" s="2"/>
      <c r="G494" s="2"/>
      <c r="H494" s="2"/>
    </row>
    <row r="495" spans="5:8" ht="12.75" customHeight="1" x14ac:dyDescent="0.2">
      <c r="E495" s="2"/>
      <c r="G495" s="2"/>
      <c r="H495" s="2"/>
    </row>
    <row r="496" spans="5:8" ht="12.75" customHeight="1" x14ac:dyDescent="0.2">
      <c r="E496" s="2"/>
      <c r="G496" s="2"/>
      <c r="H496" s="2"/>
    </row>
    <row r="497" spans="5:8" ht="12.75" customHeight="1" x14ac:dyDescent="0.2">
      <c r="E497" s="2"/>
      <c r="G497" s="2"/>
      <c r="H497" s="2"/>
    </row>
    <row r="498" spans="5:8" ht="12.75" customHeight="1" x14ac:dyDescent="0.2">
      <c r="E498" s="2"/>
      <c r="G498" s="2"/>
      <c r="H498" s="2"/>
    </row>
    <row r="499" spans="5:8" ht="12.75" customHeight="1" x14ac:dyDescent="0.2">
      <c r="E499" s="2"/>
      <c r="G499" s="2"/>
      <c r="H499" s="2"/>
    </row>
    <row r="500" spans="5:8" ht="12.75" customHeight="1" x14ac:dyDescent="0.2">
      <c r="E500" s="2"/>
      <c r="G500" s="2"/>
      <c r="H500" s="2"/>
    </row>
    <row r="501" spans="5:8" ht="12.75" customHeight="1" x14ac:dyDescent="0.2">
      <c r="E501" s="2"/>
      <c r="G501" s="2"/>
      <c r="H501" s="2"/>
    </row>
    <row r="502" spans="5:8" ht="12.75" customHeight="1" x14ac:dyDescent="0.2">
      <c r="E502" s="2"/>
      <c r="G502" s="2"/>
      <c r="H502" s="2"/>
    </row>
    <row r="503" spans="5:8" ht="12.75" customHeight="1" x14ac:dyDescent="0.2">
      <c r="E503" s="2"/>
      <c r="G503" s="2"/>
      <c r="H503" s="2"/>
    </row>
    <row r="504" spans="5:8" ht="12.75" customHeight="1" x14ac:dyDescent="0.2">
      <c r="E504" s="2"/>
      <c r="G504" s="2"/>
      <c r="H504" s="2"/>
    </row>
    <row r="505" spans="5:8" ht="12.75" customHeight="1" x14ac:dyDescent="0.2">
      <c r="E505" s="2"/>
      <c r="G505" s="2"/>
      <c r="H505" s="2"/>
    </row>
    <row r="506" spans="5:8" ht="12.75" customHeight="1" x14ac:dyDescent="0.2">
      <c r="E506" s="2"/>
      <c r="G506" s="2"/>
      <c r="H506" s="2"/>
    </row>
    <row r="507" spans="5:8" ht="12.75" customHeight="1" x14ac:dyDescent="0.2">
      <c r="E507" s="2"/>
      <c r="G507" s="2"/>
      <c r="H507" s="2"/>
    </row>
    <row r="508" spans="5:8" ht="12.75" customHeight="1" x14ac:dyDescent="0.2">
      <c r="E508" s="2"/>
      <c r="G508" s="2"/>
      <c r="H508" s="2"/>
    </row>
    <row r="509" spans="5:8" ht="12.75" customHeight="1" x14ac:dyDescent="0.2">
      <c r="E509" s="2"/>
      <c r="G509" s="2"/>
      <c r="H509" s="2"/>
    </row>
    <row r="510" spans="5:8" ht="12.75" customHeight="1" x14ac:dyDescent="0.2">
      <c r="E510" s="2"/>
      <c r="G510" s="2"/>
      <c r="H510" s="2"/>
    </row>
    <row r="511" spans="5:8" ht="12.75" customHeight="1" x14ac:dyDescent="0.2">
      <c r="E511" s="2"/>
      <c r="G511" s="2"/>
      <c r="H511" s="2"/>
    </row>
    <row r="512" spans="5:8" ht="12.75" customHeight="1" x14ac:dyDescent="0.2">
      <c r="E512" s="2"/>
      <c r="G512" s="2"/>
      <c r="H512" s="2"/>
    </row>
    <row r="513" spans="5:8" ht="12.75" customHeight="1" x14ac:dyDescent="0.2">
      <c r="E513" s="2"/>
      <c r="G513" s="2"/>
      <c r="H513" s="2"/>
    </row>
    <row r="514" spans="5:8" ht="12.75" customHeight="1" x14ac:dyDescent="0.2">
      <c r="E514" s="2"/>
      <c r="G514" s="2"/>
      <c r="H514" s="2"/>
    </row>
    <row r="515" spans="5:8" ht="12.75" customHeight="1" x14ac:dyDescent="0.2">
      <c r="E515" s="2"/>
      <c r="G515" s="2"/>
      <c r="H515" s="2"/>
    </row>
    <row r="516" spans="5:8" ht="12.75" customHeight="1" x14ac:dyDescent="0.2">
      <c r="E516" s="2"/>
      <c r="G516" s="2"/>
      <c r="H516" s="2"/>
    </row>
    <row r="517" spans="5:8" ht="12.75" customHeight="1" x14ac:dyDescent="0.2">
      <c r="E517" s="2"/>
      <c r="G517" s="2"/>
      <c r="H517" s="2"/>
    </row>
    <row r="518" spans="5:8" ht="12.75" customHeight="1" x14ac:dyDescent="0.2">
      <c r="E518" s="2"/>
      <c r="G518" s="2"/>
      <c r="H518" s="2"/>
    </row>
    <row r="519" spans="5:8" ht="12.75" customHeight="1" x14ac:dyDescent="0.2">
      <c r="E519" s="2"/>
      <c r="G519" s="2"/>
      <c r="H519" s="2"/>
    </row>
    <row r="520" spans="5:8" ht="12.75" customHeight="1" x14ac:dyDescent="0.2">
      <c r="E520" s="2"/>
      <c r="G520" s="2"/>
      <c r="H520" s="2"/>
    </row>
    <row r="521" spans="5:8" ht="12.75" customHeight="1" x14ac:dyDescent="0.2">
      <c r="E521" s="2"/>
      <c r="G521" s="2"/>
      <c r="H521" s="2"/>
    </row>
    <row r="522" spans="5:8" ht="12.75" customHeight="1" x14ac:dyDescent="0.2">
      <c r="E522" s="2"/>
      <c r="G522" s="2"/>
      <c r="H522" s="2"/>
    </row>
    <row r="523" spans="5:8" ht="12.75" customHeight="1" x14ac:dyDescent="0.2">
      <c r="E523" s="2"/>
      <c r="G523" s="2"/>
      <c r="H523" s="2"/>
    </row>
    <row r="524" spans="5:8" ht="12.75" customHeight="1" x14ac:dyDescent="0.2">
      <c r="E524" s="2"/>
      <c r="G524" s="2"/>
      <c r="H524" s="2"/>
    </row>
    <row r="525" spans="5:8" ht="12.75" customHeight="1" x14ac:dyDescent="0.2">
      <c r="E525" s="2"/>
      <c r="G525" s="2"/>
      <c r="H525" s="2"/>
    </row>
    <row r="526" spans="5:8" ht="12.75" customHeight="1" x14ac:dyDescent="0.2">
      <c r="E526" s="2"/>
      <c r="G526" s="2"/>
      <c r="H526" s="2"/>
    </row>
    <row r="527" spans="5:8" ht="12.75" customHeight="1" x14ac:dyDescent="0.2">
      <c r="E527" s="2"/>
      <c r="G527" s="2"/>
      <c r="H527" s="2"/>
    </row>
    <row r="528" spans="5:8" ht="12.75" customHeight="1" x14ac:dyDescent="0.2">
      <c r="E528" s="2"/>
      <c r="G528" s="2"/>
      <c r="H528" s="2"/>
    </row>
    <row r="529" spans="5:8" ht="12.75" customHeight="1" x14ac:dyDescent="0.2">
      <c r="E529" s="2"/>
      <c r="G529" s="2"/>
      <c r="H529" s="2"/>
    </row>
    <row r="530" spans="5:8" ht="12.75" customHeight="1" x14ac:dyDescent="0.2">
      <c r="E530" s="2"/>
      <c r="G530" s="2"/>
      <c r="H530" s="2"/>
    </row>
    <row r="531" spans="5:8" ht="12.75" customHeight="1" x14ac:dyDescent="0.2">
      <c r="E531" s="2"/>
      <c r="G531" s="2"/>
      <c r="H531" s="2"/>
    </row>
    <row r="532" spans="5:8" ht="12.75" customHeight="1" x14ac:dyDescent="0.2">
      <c r="E532" s="2"/>
      <c r="G532" s="2"/>
      <c r="H532" s="2"/>
    </row>
    <row r="533" spans="5:8" ht="12.75" customHeight="1" x14ac:dyDescent="0.2">
      <c r="E533" s="2"/>
      <c r="G533" s="2"/>
      <c r="H533" s="2"/>
    </row>
    <row r="534" spans="5:8" ht="12.75" customHeight="1" x14ac:dyDescent="0.2">
      <c r="E534" s="2"/>
      <c r="G534" s="2"/>
      <c r="H534" s="2"/>
    </row>
    <row r="535" spans="5:8" ht="12.75" customHeight="1" x14ac:dyDescent="0.2">
      <c r="E535" s="2"/>
      <c r="G535" s="2"/>
      <c r="H535" s="2"/>
    </row>
    <row r="536" spans="5:8" ht="12.75" customHeight="1" x14ac:dyDescent="0.2">
      <c r="E536" s="2"/>
      <c r="G536" s="2"/>
      <c r="H536" s="2"/>
    </row>
    <row r="537" spans="5:8" ht="12.75" customHeight="1" x14ac:dyDescent="0.2">
      <c r="E537" s="2"/>
      <c r="G537" s="2"/>
      <c r="H537" s="2"/>
    </row>
    <row r="538" spans="5:8" ht="12.75" customHeight="1" x14ac:dyDescent="0.2">
      <c r="E538" s="2"/>
      <c r="G538" s="2"/>
      <c r="H538" s="2"/>
    </row>
    <row r="539" spans="5:8" ht="12.75" customHeight="1" x14ac:dyDescent="0.2">
      <c r="E539" s="2"/>
      <c r="G539" s="2"/>
      <c r="H539" s="2"/>
    </row>
    <row r="540" spans="5:8" ht="12.75" customHeight="1" x14ac:dyDescent="0.2">
      <c r="E540" s="2"/>
      <c r="G540" s="2"/>
      <c r="H540" s="2"/>
    </row>
    <row r="541" spans="5:8" ht="12.75" customHeight="1" x14ac:dyDescent="0.2">
      <c r="E541" s="2"/>
      <c r="G541" s="2"/>
      <c r="H541" s="2"/>
    </row>
    <row r="542" spans="5:8" ht="12.75" customHeight="1" x14ac:dyDescent="0.2">
      <c r="E542" s="2"/>
      <c r="G542" s="2"/>
      <c r="H542" s="2"/>
    </row>
    <row r="543" spans="5:8" ht="12.75" customHeight="1" x14ac:dyDescent="0.2">
      <c r="E543" s="2"/>
      <c r="G543" s="2"/>
      <c r="H543" s="2"/>
    </row>
    <row r="544" spans="5:8" ht="12.75" customHeight="1" x14ac:dyDescent="0.2">
      <c r="E544" s="2"/>
      <c r="G544" s="2"/>
      <c r="H544" s="2"/>
    </row>
    <row r="545" spans="5:8" ht="12.75" customHeight="1" x14ac:dyDescent="0.2">
      <c r="E545" s="2"/>
      <c r="G545" s="2"/>
      <c r="H545" s="2"/>
    </row>
    <row r="546" spans="5:8" ht="12.75" customHeight="1" x14ac:dyDescent="0.2">
      <c r="E546" s="2"/>
      <c r="G546" s="2"/>
      <c r="H546" s="2"/>
    </row>
    <row r="547" spans="5:8" ht="12.75" customHeight="1" x14ac:dyDescent="0.2">
      <c r="E547" s="2"/>
      <c r="G547" s="2"/>
      <c r="H547" s="2"/>
    </row>
    <row r="548" spans="5:8" ht="12.75" customHeight="1" x14ac:dyDescent="0.2">
      <c r="E548" s="2"/>
      <c r="G548" s="2"/>
      <c r="H548" s="2"/>
    </row>
    <row r="549" spans="5:8" ht="12.75" customHeight="1" x14ac:dyDescent="0.2">
      <c r="E549" s="2"/>
      <c r="G549" s="2"/>
      <c r="H549" s="2"/>
    </row>
    <row r="550" spans="5:8" ht="12.75" customHeight="1" x14ac:dyDescent="0.2">
      <c r="E550" s="2"/>
      <c r="G550" s="2"/>
      <c r="H550" s="2"/>
    </row>
    <row r="551" spans="5:8" ht="12.75" customHeight="1" x14ac:dyDescent="0.2">
      <c r="E551" s="2"/>
      <c r="G551" s="2"/>
      <c r="H551" s="2"/>
    </row>
    <row r="552" spans="5:8" ht="12.75" customHeight="1" x14ac:dyDescent="0.2">
      <c r="E552" s="2"/>
      <c r="G552" s="2"/>
      <c r="H552" s="2"/>
    </row>
    <row r="553" spans="5:8" ht="12.75" customHeight="1" x14ac:dyDescent="0.2">
      <c r="E553" s="2"/>
      <c r="G553" s="2"/>
      <c r="H553" s="2"/>
    </row>
    <row r="554" spans="5:8" ht="12.75" customHeight="1" x14ac:dyDescent="0.2">
      <c r="E554" s="2"/>
      <c r="G554" s="2"/>
      <c r="H554" s="2"/>
    </row>
    <row r="555" spans="5:8" ht="12.75" customHeight="1" x14ac:dyDescent="0.2">
      <c r="E555" s="2"/>
      <c r="G555" s="2"/>
      <c r="H555" s="2"/>
    </row>
    <row r="556" spans="5:8" ht="12.75" customHeight="1" x14ac:dyDescent="0.2">
      <c r="E556" s="2"/>
      <c r="G556" s="2"/>
      <c r="H556" s="2"/>
    </row>
    <row r="557" spans="5:8" ht="12.75" customHeight="1" x14ac:dyDescent="0.2">
      <c r="E557" s="2"/>
      <c r="G557" s="2"/>
      <c r="H557" s="2"/>
    </row>
    <row r="558" spans="5:8" ht="12.75" customHeight="1" x14ac:dyDescent="0.2">
      <c r="E558" s="2"/>
      <c r="G558" s="2"/>
      <c r="H558" s="2"/>
    </row>
    <row r="559" spans="5:8" ht="12.75" customHeight="1" x14ac:dyDescent="0.2">
      <c r="E559" s="2"/>
      <c r="G559" s="2"/>
      <c r="H559" s="2"/>
    </row>
    <row r="560" spans="5:8" ht="12.75" customHeight="1" x14ac:dyDescent="0.2">
      <c r="E560" s="2"/>
      <c r="G560" s="2"/>
      <c r="H560" s="2"/>
    </row>
    <row r="561" spans="5:8" ht="12.75" customHeight="1" x14ac:dyDescent="0.2">
      <c r="E561" s="2"/>
      <c r="G561" s="2"/>
      <c r="H561" s="2"/>
    </row>
    <row r="562" spans="5:8" ht="12.75" customHeight="1" x14ac:dyDescent="0.2">
      <c r="E562" s="2"/>
      <c r="G562" s="2"/>
      <c r="H562" s="2"/>
    </row>
    <row r="563" spans="5:8" ht="12.75" customHeight="1" x14ac:dyDescent="0.2">
      <c r="E563" s="2"/>
      <c r="G563" s="2"/>
      <c r="H563" s="2"/>
    </row>
    <row r="564" spans="5:8" ht="12.75" customHeight="1" x14ac:dyDescent="0.2">
      <c r="E564" s="2"/>
      <c r="G564" s="2"/>
      <c r="H564" s="2"/>
    </row>
    <row r="565" spans="5:8" ht="12.75" customHeight="1" x14ac:dyDescent="0.2">
      <c r="E565" s="2"/>
      <c r="G565" s="2"/>
      <c r="H565" s="2"/>
    </row>
    <row r="566" spans="5:8" ht="12.75" customHeight="1" x14ac:dyDescent="0.2">
      <c r="E566" s="2"/>
      <c r="G566" s="2"/>
      <c r="H566" s="2"/>
    </row>
    <row r="567" spans="5:8" ht="12.75" customHeight="1" x14ac:dyDescent="0.2">
      <c r="E567" s="2"/>
      <c r="G567" s="2"/>
      <c r="H567" s="2"/>
    </row>
    <row r="568" spans="5:8" ht="12.75" customHeight="1" x14ac:dyDescent="0.2">
      <c r="E568" s="2"/>
      <c r="G568" s="2"/>
      <c r="H568" s="2"/>
    </row>
    <row r="569" spans="5:8" ht="12.75" customHeight="1" x14ac:dyDescent="0.2">
      <c r="E569" s="2"/>
      <c r="G569" s="2"/>
      <c r="H569" s="2"/>
    </row>
    <row r="570" spans="5:8" ht="12.75" customHeight="1" x14ac:dyDescent="0.2">
      <c r="E570" s="2"/>
      <c r="G570" s="2"/>
      <c r="H570" s="2"/>
    </row>
    <row r="571" spans="5:8" ht="12.75" customHeight="1" x14ac:dyDescent="0.2">
      <c r="E571" s="2"/>
      <c r="G571" s="2"/>
      <c r="H571" s="2"/>
    </row>
    <row r="572" spans="5:8" ht="12.75" customHeight="1" x14ac:dyDescent="0.2">
      <c r="E572" s="2"/>
      <c r="G572" s="2"/>
      <c r="H572" s="2"/>
    </row>
    <row r="573" spans="5:8" ht="12.75" customHeight="1" x14ac:dyDescent="0.2">
      <c r="E573" s="2"/>
      <c r="G573" s="2"/>
      <c r="H573" s="2"/>
    </row>
    <row r="574" spans="5:8" ht="12.75" customHeight="1" x14ac:dyDescent="0.2">
      <c r="E574" s="2"/>
      <c r="G574" s="2"/>
      <c r="H574" s="2"/>
    </row>
    <row r="575" spans="5:8" ht="12.75" customHeight="1" x14ac:dyDescent="0.2">
      <c r="E575" s="2"/>
      <c r="G575" s="2"/>
      <c r="H575" s="2"/>
    </row>
    <row r="576" spans="5:8" ht="12.75" customHeight="1" x14ac:dyDescent="0.2">
      <c r="E576" s="2"/>
      <c r="G576" s="2"/>
      <c r="H576" s="2"/>
    </row>
    <row r="577" spans="5:8" ht="12.75" customHeight="1" x14ac:dyDescent="0.2">
      <c r="E577" s="2"/>
      <c r="G577" s="2"/>
      <c r="H577" s="2"/>
    </row>
    <row r="578" spans="5:8" ht="12.75" customHeight="1" x14ac:dyDescent="0.2">
      <c r="E578" s="2"/>
      <c r="G578" s="2"/>
      <c r="H578" s="2"/>
    </row>
    <row r="579" spans="5:8" ht="12.75" customHeight="1" x14ac:dyDescent="0.2">
      <c r="E579" s="2"/>
      <c r="G579" s="2"/>
      <c r="H579" s="2"/>
    </row>
    <row r="580" spans="5:8" ht="12.75" customHeight="1" x14ac:dyDescent="0.2">
      <c r="E580" s="2"/>
      <c r="G580" s="2"/>
      <c r="H580" s="2"/>
    </row>
    <row r="581" spans="5:8" ht="12.75" customHeight="1" x14ac:dyDescent="0.2">
      <c r="E581" s="2"/>
      <c r="G581" s="2"/>
      <c r="H581" s="2"/>
    </row>
    <row r="582" spans="5:8" ht="12.75" customHeight="1" x14ac:dyDescent="0.2">
      <c r="E582" s="2"/>
      <c r="G582" s="2"/>
      <c r="H582" s="2"/>
    </row>
    <row r="583" spans="5:8" ht="12.75" customHeight="1" x14ac:dyDescent="0.2">
      <c r="E583" s="2"/>
      <c r="G583" s="2"/>
      <c r="H583" s="2"/>
    </row>
    <row r="584" spans="5:8" ht="12.75" customHeight="1" x14ac:dyDescent="0.2">
      <c r="E584" s="2"/>
      <c r="G584" s="2"/>
      <c r="H584" s="2"/>
    </row>
    <row r="585" spans="5:8" ht="12.75" customHeight="1" x14ac:dyDescent="0.2">
      <c r="E585" s="2"/>
      <c r="G585" s="2"/>
      <c r="H585" s="2"/>
    </row>
    <row r="586" spans="5:8" ht="12.75" customHeight="1" x14ac:dyDescent="0.2">
      <c r="E586" s="2"/>
      <c r="G586" s="2"/>
      <c r="H586" s="2"/>
    </row>
    <row r="587" spans="5:8" ht="12.75" customHeight="1" x14ac:dyDescent="0.2">
      <c r="E587" s="2"/>
      <c r="G587" s="2"/>
      <c r="H587" s="2"/>
    </row>
    <row r="588" spans="5:8" ht="12.75" customHeight="1" x14ac:dyDescent="0.2">
      <c r="E588" s="2"/>
      <c r="G588" s="2"/>
      <c r="H588" s="2"/>
    </row>
    <row r="589" spans="5:8" ht="12.75" customHeight="1" x14ac:dyDescent="0.2">
      <c r="E589" s="2"/>
      <c r="G589" s="2"/>
      <c r="H589" s="2"/>
    </row>
    <row r="590" spans="5:8" ht="12.75" customHeight="1" x14ac:dyDescent="0.2">
      <c r="E590" s="2"/>
      <c r="G590" s="2"/>
      <c r="H590" s="2"/>
    </row>
    <row r="591" spans="5:8" ht="12.75" customHeight="1" x14ac:dyDescent="0.2">
      <c r="E591" s="2"/>
      <c r="G591" s="2"/>
      <c r="H591" s="2"/>
    </row>
    <row r="592" spans="5:8" ht="12.75" customHeight="1" x14ac:dyDescent="0.2">
      <c r="E592" s="2"/>
      <c r="G592" s="2"/>
      <c r="H592" s="2"/>
    </row>
    <row r="593" spans="5:8" ht="12.75" customHeight="1" x14ac:dyDescent="0.2">
      <c r="E593" s="2"/>
      <c r="G593" s="2"/>
      <c r="H593" s="2"/>
    </row>
    <row r="594" spans="5:8" ht="12.75" customHeight="1" x14ac:dyDescent="0.2">
      <c r="E594" s="2"/>
      <c r="G594" s="2"/>
      <c r="H594" s="2"/>
    </row>
    <row r="595" spans="5:8" ht="12.75" customHeight="1" x14ac:dyDescent="0.2">
      <c r="E595" s="2"/>
      <c r="G595" s="2"/>
      <c r="H595" s="2"/>
    </row>
    <row r="596" spans="5:8" ht="12.75" customHeight="1" x14ac:dyDescent="0.2">
      <c r="E596" s="2"/>
      <c r="G596" s="2"/>
      <c r="H596" s="2"/>
    </row>
    <row r="597" spans="5:8" ht="12.75" customHeight="1" x14ac:dyDescent="0.2">
      <c r="E597" s="2"/>
      <c r="G597" s="2"/>
      <c r="H597" s="2"/>
    </row>
    <row r="598" spans="5:8" ht="12.75" customHeight="1" x14ac:dyDescent="0.2">
      <c r="E598" s="2"/>
      <c r="G598" s="2"/>
      <c r="H598" s="2"/>
    </row>
    <row r="599" spans="5:8" ht="12.75" customHeight="1" x14ac:dyDescent="0.2">
      <c r="E599" s="2"/>
      <c r="G599" s="2"/>
      <c r="H599" s="2"/>
    </row>
    <row r="600" spans="5:8" ht="12.75" customHeight="1" x14ac:dyDescent="0.2">
      <c r="E600" s="2"/>
      <c r="G600" s="2"/>
      <c r="H600" s="2"/>
    </row>
    <row r="601" spans="5:8" ht="12.75" customHeight="1" x14ac:dyDescent="0.2">
      <c r="E601" s="2"/>
      <c r="G601" s="2"/>
      <c r="H601" s="2"/>
    </row>
    <row r="602" spans="5:8" ht="12.75" customHeight="1" x14ac:dyDescent="0.2">
      <c r="E602" s="2"/>
      <c r="G602" s="2"/>
      <c r="H602" s="2"/>
    </row>
    <row r="603" spans="5:8" ht="12.75" customHeight="1" x14ac:dyDescent="0.2">
      <c r="E603" s="2"/>
      <c r="G603" s="2"/>
      <c r="H603" s="2"/>
    </row>
    <row r="604" spans="5:8" ht="12.75" customHeight="1" x14ac:dyDescent="0.2">
      <c r="E604" s="2"/>
      <c r="G604" s="2"/>
      <c r="H604" s="2"/>
    </row>
    <row r="605" spans="5:8" ht="12.75" customHeight="1" x14ac:dyDescent="0.2">
      <c r="E605" s="2"/>
      <c r="G605" s="2"/>
      <c r="H605" s="2"/>
    </row>
    <row r="606" spans="5:8" ht="12.75" customHeight="1" x14ac:dyDescent="0.2">
      <c r="E606" s="2"/>
      <c r="G606" s="2"/>
      <c r="H606" s="2"/>
    </row>
    <row r="607" spans="5:8" ht="12.75" customHeight="1" x14ac:dyDescent="0.2">
      <c r="E607" s="2"/>
      <c r="G607" s="2"/>
      <c r="H607" s="2"/>
    </row>
    <row r="608" spans="5:8" ht="12.75" customHeight="1" x14ac:dyDescent="0.2">
      <c r="E608" s="2"/>
      <c r="G608" s="2"/>
      <c r="H608" s="2"/>
    </row>
    <row r="609" spans="5:8" ht="12.75" customHeight="1" x14ac:dyDescent="0.2">
      <c r="E609" s="2"/>
      <c r="G609" s="2"/>
      <c r="H609" s="2"/>
    </row>
    <row r="610" spans="5:8" ht="12.75" customHeight="1" x14ac:dyDescent="0.2">
      <c r="E610" s="2"/>
      <c r="G610" s="2"/>
      <c r="H610" s="2"/>
    </row>
    <row r="611" spans="5:8" ht="12.75" customHeight="1" x14ac:dyDescent="0.2">
      <c r="E611" s="2"/>
      <c r="G611" s="2"/>
      <c r="H611" s="2"/>
    </row>
    <row r="612" spans="5:8" ht="12.75" customHeight="1" x14ac:dyDescent="0.2">
      <c r="E612" s="2"/>
      <c r="G612" s="2"/>
      <c r="H612" s="2"/>
    </row>
    <row r="613" spans="5:8" ht="12.75" customHeight="1" x14ac:dyDescent="0.2">
      <c r="E613" s="2"/>
      <c r="G613" s="2"/>
      <c r="H613" s="2"/>
    </row>
    <row r="614" spans="5:8" ht="12.75" customHeight="1" x14ac:dyDescent="0.2">
      <c r="E614" s="2"/>
      <c r="G614" s="2"/>
      <c r="H614" s="2"/>
    </row>
    <row r="615" spans="5:8" ht="12.75" customHeight="1" x14ac:dyDescent="0.2">
      <c r="E615" s="2"/>
      <c r="G615" s="2"/>
      <c r="H615" s="2"/>
    </row>
    <row r="616" spans="5:8" ht="12.75" customHeight="1" x14ac:dyDescent="0.2">
      <c r="E616" s="2"/>
      <c r="G616" s="2"/>
      <c r="H616" s="2"/>
    </row>
    <row r="617" spans="5:8" ht="12.75" customHeight="1" x14ac:dyDescent="0.2">
      <c r="E617" s="2"/>
      <c r="G617" s="2"/>
      <c r="H617" s="2"/>
    </row>
    <row r="618" spans="5:8" ht="12.75" customHeight="1" x14ac:dyDescent="0.2">
      <c r="E618" s="2"/>
      <c r="G618" s="2"/>
      <c r="H618" s="2"/>
    </row>
    <row r="619" spans="5:8" ht="12.75" customHeight="1" x14ac:dyDescent="0.2">
      <c r="E619" s="2"/>
      <c r="G619" s="2"/>
      <c r="H619" s="2"/>
    </row>
    <row r="620" spans="5:8" ht="12.75" customHeight="1" x14ac:dyDescent="0.2">
      <c r="E620" s="2"/>
      <c r="G620" s="2"/>
      <c r="H620" s="2"/>
    </row>
    <row r="621" spans="5:8" ht="12.75" customHeight="1" x14ac:dyDescent="0.2">
      <c r="E621" s="2"/>
      <c r="G621" s="2"/>
      <c r="H621" s="2"/>
    </row>
    <row r="622" spans="5:8" ht="12.75" customHeight="1" x14ac:dyDescent="0.2">
      <c r="E622" s="2"/>
      <c r="G622" s="2"/>
      <c r="H622" s="2"/>
    </row>
    <row r="623" spans="5:8" ht="12.75" customHeight="1" x14ac:dyDescent="0.2">
      <c r="E623" s="2"/>
      <c r="G623" s="2"/>
      <c r="H623" s="2"/>
    </row>
    <row r="624" spans="5:8" ht="12.75" customHeight="1" x14ac:dyDescent="0.2">
      <c r="E624" s="2"/>
      <c r="G624" s="2"/>
      <c r="H624" s="2"/>
    </row>
    <row r="625" spans="5:8" ht="12.75" customHeight="1" x14ac:dyDescent="0.2">
      <c r="E625" s="2"/>
      <c r="G625" s="2"/>
      <c r="H625" s="2"/>
    </row>
    <row r="626" spans="5:8" ht="12.75" customHeight="1" x14ac:dyDescent="0.2">
      <c r="E626" s="2"/>
      <c r="G626" s="2"/>
      <c r="H626" s="2"/>
    </row>
    <row r="627" spans="5:8" ht="12.75" customHeight="1" x14ac:dyDescent="0.2">
      <c r="E627" s="2"/>
      <c r="G627" s="2"/>
      <c r="H627" s="2"/>
    </row>
    <row r="628" spans="5:8" ht="12.75" customHeight="1" x14ac:dyDescent="0.2">
      <c r="E628" s="2"/>
      <c r="G628" s="2"/>
      <c r="H628" s="2"/>
    </row>
    <row r="629" spans="5:8" ht="12.75" customHeight="1" x14ac:dyDescent="0.2">
      <c r="E629" s="2"/>
      <c r="G629" s="2"/>
      <c r="H629" s="2"/>
    </row>
    <row r="630" spans="5:8" ht="12.75" customHeight="1" x14ac:dyDescent="0.2">
      <c r="E630" s="2"/>
      <c r="G630" s="2"/>
      <c r="H630" s="2"/>
    </row>
    <row r="631" spans="5:8" ht="12.75" customHeight="1" x14ac:dyDescent="0.2">
      <c r="E631" s="2"/>
      <c r="G631" s="2"/>
      <c r="H631" s="2"/>
    </row>
    <row r="632" spans="5:8" ht="12.75" customHeight="1" x14ac:dyDescent="0.2">
      <c r="E632" s="2"/>
      <c r="G632" s="2"/>
      <c r="H632" s="2"/>
    </row>
    <row r="633" spans="5:8" ht="12.75" customHeight="1" x14ac:dyDescent="0.2">
      <c r="E633" s="2"/>
      <c r="G633" s="2"/>
      <c r="H633" s="2"/>
    </row>
    <row r="634" spans="5:8" ht="12.75" customHeight="1" x14ac:dyDescent="0.2">
      <c r="E634" s="2"/>
      <c r="G634" s="2"/>
      <c r="H634" s="2"/>
    </row>
    <row r="635" spans="5:8" ht="12.75" customHeight="1" x14ac:dyDescent="0.2">
      <c r="E635" s="2"/>
      <c r="G635" s="2"/>
      <c r="H635" s="2"/>
    </row>
    <row r="636" spans="5:8" ht="12.75" customHeight="1" x14ac:dyDescent="0.2">
      <c r="E636" s="2"/>
      <c r="G636" s="2"/>
      <c r="H636" s="2"/>
    </row>
    <row r="637" spans="5:8" ht="12.75" customHeight="1" x14ac:dyDescent="0.2">
      <c r="E637" s="2"/>
      <c r="G637" s="2"/>
      <c r="H637" s="2"/>
    </row>
    <row r="638" spans="5:8" ht="12.75" customHeight="1" x14ac:dyDescent="0.2">
      <c r="E638" s="2"/>
      <c r="G638" s="2"/>
      <c r="H638" s="2"/>
    </row>
    <row r="639" spans="5:8" ht="12.75" customHeight="1" x14ac:dyDescent="0.2">
      <c r="E639" s="2"/>
      <c r="G639" s="2"/>
      <c r="H639" s="2"/>
    </row>
    <row r="640" spans="5:8" ht="12.75" customHeight="1" x14ac:dyDescent="0.2">
      <c r="E640" s="2"/>
      <c r="G640" s="2"/>
      <c r="H640" s="2"/>
    </row>
    <row r="641" spans="5:8" ht="12.75" customHeight="1" x14ac:dyDescent="0.2">
      <c r="E641" s="2"/>
      <c r="G641" s="2"/>
      <c r="H641" s="2"/>
    </row>
    <row r="642" spans="5:8" ht="12.75" customHeight="1" x14ac:dyDescent="0.2">
      <c r="E642" s="2"/>
      <c r="G642" s="2"/>
      <c r="H642" s="2"/>
    </row>
    <row r="643" spans="5:8" ht="12.75" customHeight="1" x14ac:dyDescent="0.2">
      <c r="E643" s="2"/>
      <c r="G643" s="2"/>
      <c r="H643" s="2"/>
    </row>
    <row r="644" spans="5:8" ht="12.75" customHeight="1" x14ac:dyDescent="0.2">
      <c r="E644" s="2"/>
      <c r="G644" s="2"/>
      <c r="H644" s="2"/>
    </row>
    <row r="645" spans="5:8" ht="12.75" customHeight="1" x14ac:dyDescent="0.2">
      <c r="E645" s="2"/>
      <c r="G645" s="2"/>
      <c r="H645" s="2"/>
    </row>
    <row r="646" spans="5:8" ht="12.75" customHeight="1" x14ac:dyDescent="0.2">
      <c r="E646" s="2"/>
      <c r="G646" s="2"/>
      <c r="H646" s="2"/>
    </row>
    <row r="647" spans="5:8" ht="12.75" customHeight="1" x14ac:dyDescent="0.2">
      <c r="E647" s="2"/>
      <c r="G647" s="2"/>
      <c r="H647" s="2"/>
    </row>
    <row r="648" spans="5:8" ht="12.75" customHeight="1" x14ac:dyDescent="0.2">
      <c r="E648" s="2"/>
      <c r="G648" s="2"/>
      <c r="H648" s="2"/>
    </row>
    <row r="649" spans="5:8" ht="12.75" customHeight="1" x14ac:dyDescent="0.2">
      <c r="E649" s="2"/>
      <c r="G649" s="2"/>
      <c r="H649" s="2"/>
    </row>
    <row r="650" spans="5:8" ht="12.75" customHeight="1" x14ac:dyDescent="0.2">
      <c r="E650" s="2"/>
      <c r="G650" s="2"/>
      <c r="H650" s="2"/>
    </row>
    <row r="651" spans="5:8" ht="12.75" customHeight="1" x14ac:dyDescent="0.2">
      <c r="E651" s="2"/>
      <c r="G651" s="2"/>
      <c r="H651" s="2"/>
    </row>
    <row r="652" spans="5:8" ht="12.75" customHeight="1" x14ac:dyDescent="0.2">
      <c r="E652" s="2"/>
      <c r="G652" s="2"/>
      <c r="H652" s="2"/>
    </row>
    <row r="653" spans="5:8" ht="12.75" customHeight="1" x14ac:dyDescent="0.2">
      <c r="E653" s="2"/>
      <c r="G653" s="2"/>
      <c r="H653" s="2"/>
    </row>
    <row r="654" spans="5:8" ht="12.75" customHeight="1" x14ac:dyDescent="0.2">
      <c r="E654" s="2"/>
      <c r="G654" s="2"/>
      <c r="H654" s="2"/>
    </row>
    <row r="655" spans="5:8" ht="12.75" customHeight="1" x14ac:dyDescent="0.2">
      <c r="E655" s="2"/>
      <c r="G655" s="2"/>
      <c r="H655" s="2"/>
    </row>
    <row r="656" spans="5:8" ht="12.75" customHeight="1" x14ac:dyDescent="0.2">
      <c r="E656" s="2"/>
      <c r="G656" s="2"/>
      <c r="H656" s="2"/>
    </row>
    <row r="657" spans="5:8" ht="12.75" customHeight="1" x14ac:dyDescent="0.2">
      <c r="E657" s="2"/>
      <c r="G657" s="2"/>
      <c r="H657" s="2"/>
    </row>
    <row r="658" spans="5:8" ht="12.75" customHeight="1" x14ac:dyDescent="0.2">
      <c r="E658" s="2"/>
      <c r="G658" s="2"/>
      <c r="H658" s="2"/>
    </row>
    <row r="659" spans="5:8" ht="12.75" customHeight="1" x14ac:dyDescent="0.2">
      <c r="E659" s="2"/>
      <c r="G659" s="2"/>
      <c r="H659" s="2"/>
    </row>
    <row r="660" spans="5:8" ht="12.75" customHeight="1" x14ac:dyDescent="0.2">
      <c r="E660" s="2"/>
      <c r="G660" s="2"/>
      <c r="H660" s="2"/>
    </row>
    <row r="661" spans="5:8" ht="12.75" customHeight="1" x14ac:dyDescent="0.2">
      <c r="E661" s="2"/>
      <c r="G661" s="2"/>
      <c r="H661" s="2"/>
    </row>
    <row r="662" spans="5:8" ht="12.75" customHeight="1" x14ac:dyDescent="0.2">
      <c r="E662" s="2"/>
      <c r="G662" s="2"/>
      <c r="H662" s="2"/>
    </row>
    <row r="663" spans="5:8" ht="12.75" customHeight="1" x14ac:dyDescent="0.2">
      <c r="E663" s="2"/>
      <c r="G663" s="2"/>
      <c r="H663" s="2"/>
    </row>
    <row r="664" spans="5:8" ht="12.75" customHeight="1" x14ac:dyDescent="0.2">
      <c r="E664" s="2"/>
      <c r="G664" s="2"/>
      <c r="H664" s="2"/>
    </row>
    <row r="665" spans="5:8" ht="12.75" customHeight="1" x14ac:dyDescent="0.2">
      <c r="E665" s="2"/>
      <c r="G665" s="2"/>
      <c r="H665" s="2"/>
    </row>
    <row r="666" spans="5:8" ht="12.75" customHeight="1" x14ac:dyDescent="0.2">
      <c r="E666" s="2"/>
      <c r="G666" s="2"/>
      <c r="H666" s="2"/>
    </row>
    <row r="667" spans="5:8" ht="12.75" customHeight="1" x14ac:dyDescent="0.2">
      <c r="E667" s="2"/>
      <c r="G667" s="2"/>
      <c r="H667" s="2"/>
    </row>
    <row r="668" spans="5:8" ht="12.75" customHeight="1" x14ac:dyDescent="0.2">
      <c r="E668" s="2"/>
      <c r="G668" s="2"/>
      <c r="H668" s="2"/>
    </row>
    <row r="669" spans="5:8" ht="12.75" customHeight="1" x14ac:dyDescent="0.2">
      <c r="E669" s="2"/>
      <c r="G669" s="2"/>
      <c r="H669" s="2"/>
    </row>
    <row r="670" spans="5:8" ht="12.75" customHeight="1" x14ac:dyDescent="0.2">
      <c r="E670" s="2"/>
      <c r="G670" s="2"/>
      <c r="H670" s="2"/>
    </row>
    <row r="671" spans="5:8" ht="12.75" customHeight="1" x14ac:dyDescent="0.2">
      <c r="E671" s="2"/>
      <c r="G671" s="2"/>
      <c r="H671" s="2"/>
    </row>
    <row r="672" spans="5:8" ht="12.75" customHeight="1" x14ac:dyDescent="0.2">
      <c r="E672" s="2"/>
      <c r="G672" s="2"/>
      <c r="H672" s="2"/>
    </row>
    <row r="673" spans="5:8" ht="12.75" customHeight="1" x14ac:dyDescent="0.2">
      <c r="E673" s="2"/>
      <c r="G673" s="2"/>
      <c r="H673" s="2"/>
    </row>
    <row r="674" spans="5:8" ht="12.75" customHeight="1" x14ac:dyDescent="0.2">
      <c r="E674" s="2"/>
      <c r="G674" s="2"/>
      <c r="H674" s="2"/>
    </row>
    <row r="675" spans="5:8" ht="12.75" customHeight="1" x14ac:dyDescent="0.2">
      <c r="E675" s="2"/>
      <c r="G675" s="2"/>
      <c r="H675" s="2"/>
    </row>
    <row r="676" spans="5:8" ht="12.75" customHeight="1" x14ac:dyDescent="0.2">
      <c r="E676" s="2"/>
      <c r="G676" s="2"/>
      <c r="H676" s="2"/>
    </row>
    <row r="677" spans="5:8" ht="12.75" customHeight="1" x14ac:dyDescent="0.2">
      <c r="E677" s="2"/>
      <c r="G677" s="2"/>
      <c r="H677" s="2"/>
    </row>
    <row r="678" spans="5:8" ht="12.75" customHeight="1" x14ac:dyDescent="0.2">
      <c r="E678" s="2"/>
      <c r="G678" s="2"/>
      <c r="H678" s="2"/>
    </row>
    <row r="679" spans="5:8" ht="12.75" customHeight="1" x14ac:dyDescent="0.2">
      <c r="E679" s="2"/>
      <c r="G679" s="2"/>
      <c r="H679" s="2"/>
    </row>
    <row r="680" spans="5:8" ht="12.75" customHeight="1" x14ac:dyDescent="0.2">
      <c r="E680" s="2"/>
      <c r="G680" s="2"/>
      <c r="H680" s="2"/>
    </row>
    <row r="681" spans="5:8" ht="12.75" customHeight="1" x14ac:dyDescent="0.2">
      <c r="E681" s="2"/>
      <c r="G681" s="2"/>
      <c r="H681" s="2"/>
    </row>
    <row r="682" spans="5:8" ht="12.75" customHeight="1" x14ac:dyDescent="0.2">
      <c r="E682" s="2"/>
      <c r="G682" s="2"/>
      <c r="H682" s="2"/>
    </row>
    <row r="683" spans="5:8" ht="12.75" customHeight="1" x14ac:dyDescent="0.2">
      <c r="E683" s="2"/>
      <c r="G683" s="2"/>
      <c r="H683" s="2"/>
    </row>
    <row r="684" spans="5:8" ht="12.75" customHeight="1" x14ac:dyDescent="0.2">
      <c r="E684" s="2"/>
      <c r="G684" s="2"/>
      <c r="H684" s="2"/>
    </row>
    <row r="685" spans="5:8" ht="12.75" customHeight="1" x14ac:dyDescent="0.2">
      <c r="E685" s="2"/>
      <c r="G685" s="2"/>
      <c r="H685" s="2"/>
    </row>
    <row r="686" spans="5:8" ht="12.75" customHeight="1" x14ac:dyDescent="0.2">
      <c r="E686" s="2"/>
      <c r="G686" s="2"/>
      <c r="H686" s="2"/>
    </row>
    <row r="687" spans="5:8" ht="12.75" customHeight="1" x14ac:dyDescent="0.2">
      <c r="E687" s="2"/>
      <c r="G687" s="2"/>
      <c r="H687" s="2"/>
    </row>
    <row r="688" spans="5:8" ht="12.75" customHeight="1" x14ac:dyDescent="0.2">
      <c r="E688" s="2"/>
      <c r="G688" s="2"/>
      <c r="H688" s="2"/>
    </row>
    <row r="689" spans="5:8" ht="12.75" customHeight="1" x14ac:dyDescent="0.2">
      <c r="E689" s="2"/>
      <c r="G689" s="2"/>
      <c r="H689" s="2"/>
    </row>
    <row r="690" spans="5:8" ht="12.75" customHeight="1" x14ac:dyDescent="0.2">
      <c r="E690" s="2"/>
      <c r="G690" s="2"/>
      <c r="H690" s="2"/>
    </row>
    <row r="691" spans="5:8" ht="12.75" customHeight="1" x14ac:dyDescent="0.2">
      <c r="E691" s="2"/>
      <c r="G691" s="2"/>
      <c r="H691" s="2"/>
    </row>
    <row r="692" spans="5:8" ht="12.75" customHeight="1" x14ac:dyDescent="0.2">
      <c r="E692" s="2"/>
      <c r="G692" s="2"/>
      <c r="H692" s="2"/>
    </row>
    <row r="693" spans="5:8" ht="12.75" customHeight="1" x14ac:dyDescent="0.2">
      <c r="E693" s="2"/>
      <c r="G693" s="2"/>
      <c r="H693" s="2"/>
    </row>
    <row r="694" spans="5:8" ht="12.75" customHeight="1" x14ac:dyDescent="0.2">
      <c r="E694" s="2"/>
      <c r="G694" s="2"/>
      <c r="H694" s="2"/>
    </row>
    <row r="695" spans="5:8" ht="12.75" customHeight="1" x14ac:dyDescent="0.2">
      <c r="E695" s="2"/>
      <c r="G695" s="2"/>
      <c r="H695" s="2"/>
    </row>
    <row r="696" spans="5:8" ht="12.75" customHeight="1" x14ac:dyDescent="0.2">
      <c r="E696" s="2"/>
      <c r="G696" s="2"/>
      <c r="H696" s="2"/>
    </row>
    <row r="697" spans="5:8" ht="12.75" customHeight="1" x14ac:dyDescent="0.2">
      <c r="E697" s="2"/>
      <c r="G697" s="2"/>
      <c r="H697" s="2"/>
    </row>
    <row r="698" spans="5:8" ht="12.75" customHeight="1" x14ac:dyDescent="0.2">
      <c r="E698" s="2"/>
      <c r="G698" s="2"/>
      <c r="H698" s="2"/>
    </row>
    <row r="699" spans="5:8" ht="12.75" customHeight="1" x14ac:dyDescent="0.2">
      <c r="E699" s="2"/>
      <c r="G699" s="2"/>
      <c r="H699" s="2"/>
    </row>
    <row r="700" spans="5:8" ht="12.75" customHeight="1" x14ac:dyDescent="0.2">
      <c r="E700" s="2"/>
      <c r="G700" s="2"/>
      <c r="H700" s="2"/>
    </row>
    <row r="701" spans="5:8" ht="12.75" customHeight="1" x14ac:dyDescent="0.2">
      <c r="E701" s="2"/>
      <c r="G701" s="2"/>
      <c r="H701" s="2"/>
    </row>
    <row r="702" spans="5:8" ht="12.75" customHeight="1" x14ac:dyDescent="0.2">
      <c r="E702" s="2"/>
      <c r="G702" s="2"/>
      <c r="H702" s="2"/>
    </row>
    <row r="703" spans="5:8" ht="12.75" customHeight="1" x14ac:dyDescent="0.2">
      <c r="E703" s="2"/>
      <c r="G703" s="2"/>
      <c r="H703" s="2"/>
    </row>
    <row r="704" spans="5:8" ht="12.75" customHeight="1" x14ac:dyDescent="0.2">
      <c r="E704" s="2"/>
      <c r="G704" s="2"/>
      <c r="H704" s="2"/>
    </row>
    <row r="705" spans="5:8" ht="12.75" customHeight="1" x14ac:dyDescent="0.2">
      <c r="E705" s="2"/>
      <c r="G705" s="2"/>
      <c r="H705" s="2"/>
    </row>
    <row r="706" spans="5:8" ht="12.75" customHeight="1" x14ac:dyDescent="0.2">
      <c r="E706" s="2"/>
      <c r="G706" s="2"/>
      <c r="H706" s="2"/>
    </row>
    <row r="707" spans="5:8" ht="12.75" customHeight="1" x14ac:dyDescent="0.2">
      <c r="E707" s="2"/>
      <c r="G707" s="2"/>
      <c r="H707" s="2"/>
    </row>
    <row r="708" spans="5:8" ht="12.75" customHeight="1" x14ac:dyDescent="0.2">
      <c r="E708" s="2"/>
      <c r="G708" s="2"/>
      <c r="H708" s="2"/>
    </row>
    <row r="709" spans="5:8" ht="12.75" customHeight="1" x14ac:dyDescent="0.2">
      <c r="E709" s="2"/>
      <c r="G709" s="2"/>
      <c r="H709" s="2"/>
    </row>
    <row r="710" spans="5:8" ht="12.75" customHeight="1" x14ac:dyDescent="0.2">
      <c r="E710" s="2"/>
      <c r="G710" s="2"/>
      <c r="H710" s="2"/>
    </row>
    <row r="711" spans="5:8" ht="12.75" customHeight="1" x14ac:dyDescent="0.2">
      <c r="E711" s="2"/>
      <c r="G711" s="2"/>
      <c r="H711" s="2"/>
    </row>
    <row r="712" spans="5:8" ht="12.75" customHeight="1" x14ac:dyDescent="0.2">
      <c r="E712" s="2"/>
      <c r="G712" s="2"/>
      <c r="H712" s="2"/>
    </row>
    <row r="713" spans="5:8" ht="12.75" customHeight="1" x14ac:dyDescent="0.2">
      <c r="E713" s="2"/>
      <c r="G713" s="2"/>
      <c r="H713" s="2"/>
    </row>
    <row r="714" spans="5:8" ht="12.75" customHeight="1" x14ac:dyDescent="0.2">
      <c r="E714" s="2"/>
      <c r="G714" s="2"/>
      <c r="H714" s="2"/>
    </row>
    <row r="715" spans="5:8" ht="12.75" customHeight="1" x14ac:dyDescent="0.2">
      <c r="E715" s="2"/>
      <c r="G715" s="2"/>
      <c r="H715" s="2"/>
    </row>
    <row r="716" spans="5:8" ht="12.75" customHeight="1" x14ac:dyDescent="0.2">
      <c r="E716" s="2"/>
      <c r="G716" s="2"/>
      <c r="H716" s="2"/>
    </row>
    <row r="717" spans="5:8" ht="12.75" customHeight="1" x14ac:dyDescent="0.2">
      <c r="E717" s="2"/>
      <c r="G717" s="2"/>
      <c r="H717" s="2"/>
    </row>
    <row r="718" spans="5:8" ht="12.75" customHeight="1" x14ac:dyDescent="0.2">
      <c r="E718" s="2"/>
      <c r="G718" s="2"/>
      <c r="H718" s="2"/>
    </row>
    <row r="719" spans="5:8" ht="12.75" customHeight="1" x14ac:dyDescent="0.2">
      <c r="E719" s="2"/>
      <c r="G719" s="2"/>
      <c r="H719" s="2"/>
    </row>
    <row r="720" spans="5:8" ht="12.75" customHeight="1" x14ac:dyDescent="0.2">
      <c r="E720" s="2"/>
      <c r="G720" s="2"/>
      <c r="H720" s="2"/>
    </row>
    <row r="721" spans="5:8" ht="12.75" customHeight="1" x14ac:dyDescent="0.2">
      <c r="E721" s="2"/>
      <c r="G721" s="2"/>
      <c r="H721" s="2"/>
    </row>
    <row r="722" spans="5:8" ht="12.75" customHeight="1" x14ac:dyDescent="0.2">
      <c r="E722" s="2"/>
      <c r="G722" s="2"/>
      <c r="H722" s="2"/>
    </row>
    <row r="723" spans="5:8" ht="12.75" customHeight="1" x14ac:dyDescent="0.2">
      <c r="E723" s="2"/>
      <c r="G723" s="2"/>
      <c r="H723" s="2"/>
    </row>
    <row r="724" spans="5:8" ht="12.75" customHeight="1" x14ac:dyDescent="0.2">
      <c r="E724" s="2"/>
      <c r="G724" s="2"/>
      <c r="H724" s="2"/>
    </row>
    <row r="725" spans="5:8" ht="12.75" customHeight="1" x14ac:dyDescent="0.2">
      <c r="E725" s="2"/>
      <c r="G725" s="2"/>
      <c r="H725" s="2"/>
    </row>
    <row r="726" spans="5:8" ht="12.75" customHeight="1" x14ac:dyDescent="0.2">
      <c r="E726" s="2"/>
      <c r="G726" s="2"/>
      <c r="H726" s="2"/>
    </row>
    <row r="727" spans="5:8" ht="12.75" customHeight="1" x14ac:dyDescent="0.2">
      <c r="E727" s="2"/>
      <c r="G727" s="2"/>
      <c r="H727" s="2"/>
    </row>
    <row r="728" spans="5:8" ht="12.75" customHeight="1" x14ac:dyDescent="0.2">
      <c r="E728" s="2"/>
      <c r="G728" s="2"/>
      <c r="H728" s="2"/>
    </row>
    <row r="729" spans="5:8" ht="12.75" customHeight="1" x14ac:dyDescent="0.2">
      <c r="E729" s="2"/>
      <c r="G729" s="2"/>
      <c r="H729" s="2"/>
    </row>
    <row r="730" spans="5:8" ht="12.75" customHeight="1" x14ac:dyDescent="0.2">
      <c r="E730" s="2"/>
      <c r="G730" s="2"/>
      <c r="H730" s="2"/>
    </row>
    <row r="731" spans="5:8" ht="12.75" customHeight="1" x14ac:dyDescent="0.2">
      <c r="E731" s="2"/>
      <c r="G731" s="2"/>
      <c r="H731" s="2"/>
    </row>
    <row r="732" spans="5:8" ht="12.75" customHeight="1" x14ac:dyDescent="0.2">
      <c r="E732" s="2"/>
      <c r="G732" s="2"/>
      <c r="H732" s="2"/>
    </row>
    <row r="733" spans="5:8" ht="12.75" customHeight="1" x14ac:dyDescent="0.2">
      <c r="E733" s="2"/>
      <c r="G733" s="2"/>
      <c r="H733" s="2"/>
    </row>
    <row r="734" spans="5:8" ht="12.75" customHeight="1" x14ac:dyDescent="0.2">
      <c r="E734" s="2"/>
      <c r="G734" s="2"/>
      <c r="H734" s="2"/>
    </row>
    <row r="735" spans="5:8" ht="12.75" customHeight="1" x14ac:dyDescent="0.2">
      <c r="E735" s="2"/>
      <c r="G735" s="2"/>
      <c r="H735" s="2"/>
    </row>
    <row r="736" spans="5:8" ht="12.75" customHeight="1" x14ac:dyDescent="0.2">
      <c r="E736" s="2"/>
      <c r="G736" s="2"/>
      <c r="H736" s="2"/>
    </row>
    <row r="737" spans="5:8" ht="12.75" customHeight="1" x14ac:dyDescent="0.2">
      <c r="E737" s="2"/>
      <c r="G737" s="2"/>
      <c r="H737" s="2"/>
    </row>
    <row r="738" spans="5:8" ht="12.75" customHeight="1" x14ac:dyDescent="0.2">
      <c r="E738" s="2"/>
      <c r="G738" s="2"/>
      <c r="H738" s="2"/>
    </row>
    <row r="739" spans="5:8" ht="12.75" customHeight="1" x14ac:dyDescent="0.2">
      <c r="E739" s="2"/>
      <c r="G739" s="2"/>
      <c r="H739" s="2"/>
    </row>
    <row r="740" spans="5:8" ht="12.75" customHeight="1" x14ac:dyDescent="0.2">
      <c r="E740" s="2"/>
      <c r="G740" s="2"/>
      <c r="H740" s="2"/>
    </row>
    <row r="741" spans="5:8" ht="12.75" customHeight="1" x14ac:dyDescent="0.2">
      <c r="E741" s="2"/>
      <c r="G741" s="2"/>
      <c r="H741" s="2"/>
    </row>
    <row r="742" spans="5:8" ht="12.75" customHeight="1" x14ac:dyDescent="0.2">
      <c r="E742" s="2"/>
      <c r="G742" s="2"/>
      <c r="H742" s="2"/>
    </row>
    <row r="743" spans="5:8" ht="12.75" customHeight="1" x14ac:dyDescent="0.2">
      <c r="E743" s="2"/>
      <c r="G743" s="2"/>
      <c r="H743" s="2"/>
    </row>
    <row r="744" spans="5:8" ht="12.75" customHeight="1" x14ac:dyDescent="0.2">
      <c r="E744" s="2"/>
      <c r="G744" s="2"/>
      <c r="H744" s="2"/>
    </row>
    <row r="745" spans="5:8" ht="12.75" customHeight="1" x14ac:dyDescent="0.2">
      <c r="E745" s="2"/>
      <c r="G745" s="2"/>
      <c r="H745" s="2"/>
    </row>
    <row r="746" spans="5:8" ht="12.75" customHeight="1" x14ac:dyDescent="0.2">
      <c r="E746" s="2"/>
      <c r="G746" s="2"/>
      <c r="H746" s="2"/>
    </row>
    <row r="747" spans="5:8" ht="12.75" customHeight="1" x14ac:dyDescent="0.2">
      <c r="E747" s="2"/>
      <c r="G747" s="2"/>
      <c r="H747" s="2"/>
    </row>
    <row r="748" spans="5:8" ht="12.75" customHeight="1" x14ac:dyDescent="0.2">
      <c r="E748" s="2"/>
      <c r="G748" s="2"/>
      <c r="H748" s="2"/>
    </row>
    <row r="749" spans="5:8" ht="12.75" customHeight="1" x14ac:dyDescent="0.2">
      <c r="E749" s="2"/>
      <c r="G749" s="2"/>
      <c r="H749" s="2"/>
    </row>
    <row r="750" spans="5:8" ht="12.75" customHeight="1" x14ac:dyDescent="0.2">
      <c r="E750" s="2"/>
      <c r="G750" s="2"/>
      <c r="H750" s="2"/>
    </row>
    <row r="751" spans="5:8" ht="12.75" customHeight="1" x14ac:dyDescent="0.2">
      <c r="E751" s="2"/>
      <c r="G751" s="2"/>
      <c r="H751" s="2"/>
    </row>
    <row r="752" spans="5:8" ht="12.75" customHeight="1" x14ac:dyDescent="0.2">
      <c r="E752" s="2"/>
      <c r="G752" s="2"/>
      <c r="H752" s="2"/>
    </row>
    <row r="753" spans="5:8" ht="12.75" customHeight="1" x14ac:dyDescent="0.2">
      <c r="E753" s="2"/>
      <c r="G753" s="2"/>
      <c r="H753" s="2"/>
    </row>
    <row r="754" spans="5:8" ht="12.75" customHeight="1" x14ac:dyDescent="0.2">
      <c r="E754" s="2"/>
      <c r="G754" s="2"/>
      <c r="H754" s="2"/>
    </row>
    <row r="755" spans="5:8" ht="12.75" customHeight="1" x14ac:dyDescent="0.2">
      <c r="E755" s="2"/>
      <c r="G755" s="2"/>
      <c r="H755" s="2"/>
    </row>
    <row r="756" spans="5:8" ht="12.75" customHeight="1" x14ac:dyDescent="0.2">
      <c r="E756" s="2"/>
      <c r="G756" s="2"/>
      <c r="H756" s="2"/>
    </row>
    <row r="757" spans="5:8" ht="12.75" customHeight="1" x14ac:dyDescent="0.2">
      <c r="E757" s="2"/>
      <c r="G757" s="2"/>
      <c r="H757" s="2"/>
    </row>
    <row r="758" spans="5:8" ht="12.75" customHeight="1" x14ac:dyDescent="0.2">
      <c r="E758" s="2"/>
      <c r="G758" s="2"/>
      <c r="H758" s="2"/>
    </row>
    <row r="759" spans="5:8" ht="12.75" customHeight="1" x14ac:dyDescent="0.2">
      <c r="E759" s="2"/>
      <c r="G759" s="2"/>
      <c r="H759" s="2"/>
    </row>
    <row r="760" spans="5:8" ht="12.75" customHeight="1" x14ac:dyDescent="0.2">
      <c r="E760" s="2"/>
      <c r="G760" s="2"/>
      <c r="H760" s="2"/>
    </row>
    <row r="761" spans="5:8" ht="12.75" customHeight="1" x14ac:dyDescent="0.2">
      <c r="E761" s="2"/>
      <c r="G761" s="2"/>
      <c r="H761" s="2"/>
    </row>
    <row r="762" spans="5:8" ht="12.75" customHeight="1" x14ac:dyDescent="0.2">
      <c r="E762" s="2"/>
      <c r="G762" s="2"/>
      <c r="H762" s="2"/>
    </row>
    <row r="763" spans="5:8" ht="12.75" customHeight="1" x14ac:dyDescent="0.2">
      <c r="E763" s="2"/>
      <c r="G763" s="2"/>
      <c r="H763" s="2"/>
    </row>
    <row r="764" spans="5:8" ht="12.75" customHeight="1" x14ac:dyDescent="0.2">
      <c r="E764" s="2"/>
      <c r="G764" s="2"/>
      <c r="H764" s="2"/>
    </row>
    <row r="765" spans="5:8" ht="12.75" customHeight="1" x14ac:dyDescent="0.2">
      <c r="E765" s="2"/>
      <c r="G765" s="2"/>
      <c r="H765" s="2"/>
    </row>
    <row r="766" spans="5:8" ht="12.75" customHeight="1" x14ac:dyDescent="0.2">
      <c r="E766" s="2"/>
      <c r="G766" s="2"/>
      <c r="H766" s="2"/>
    </row>
    <row r="767" spans="5:8" ht="12.75" customHeight="1" x14ac:dyDescent="0.2">
      <c r="E767" s="2"/>
      <c r="G767" s="2"/>
      <c r="H767" s="2"/>
    </row>
    <row r="768" spans="5:8" ht="12.75" customHeight="1" x14ac:dyDescent="0.2">
      <c r="E768" s="2"/>
      <c r="G768" s="2"/>
      <c r="H768" s="2"/>
    </row>
    <row r="769" spans="5:8" ht="12.75" customHeight="1" x14ac:dyDescent="0.2">
      <c r="E769" s="2"/>
      <c r="G769" s="2"/>
      <c r="H769" s="2"/>
    </row>
    <row r="770" spans="5:8" ht="12.75" customHeight="1" x14ac:dyDescent="0.2">
      <c r="E770" s="2"/>
      <c r="G770" s="2"/>
      <c r="H770" s="2"/>
    </row>
    <row r="771" spans="5:8" ht="12.75" customHeight="1" x14ac:dyDescent="0.2">
      <c r="E771" s="2"/>
      <c r="G771" s="2"/>
      <c r="H771" s="2"/>
    </row>
    <row r="772" spans="5:8" ht="12.75" customHeight="1" x14ac:dyDescent="0.2">
      <c r="E772" s="2"/>
      <c r="G772" s="2"/>
      <c r="H772" s="2"/>
    </row>
    <row r="773" spans="5:8" ht="12.75" customHeight="1" x14ac:dyDescent="0.2">
      <c r="E773" s="2"/>
      <c r="G773" s="2"/>
      <c r="H773" s="2"/>
    </row>
    <row r="774" spans="5:8" ht="12.75" customHeight="1" x14ac:dyDescent="0.2">
      <c r="E774" s="2"/>
      <c r="G774" s="2"/>
      <c r="H774" s="2"/>
    </row>
    <row r="775" spans="5:8" ht="12.75" customHeight="1" x14ac:dyDescent="0.2">
      <c r="E775" s="2"/>
      <c r="G775" s="2"/>
      <c r="H775" s="2"/>
    </row>
    <row r="776" spans="5:8" ht="12.75" customHeight="1" x14ac:dyDescent="0.2">
      <c r="E776" s="2"/>
      <c r="G776" s="2"/>
      <c r="H776" s="2"/>
    </row>
    <row r="777" spans="5:8" ht="12.75" customHeight="1" x14ac:dyDescent="0.2">
      <c r="E777" s="2"/>
      <c r="G777" s="2"/>
      <c r="H777" s="2"/>
    </row>
    <row r="778" spans="5:8" ht="12.75" customHeight="1" x14ac:dyDescent="0.2">
      <c r="E778" s="2"/>
      <c r="G778" s="2"/>
      <c r="H778" s="2"/>
    </row>
    <row r="779" spans="5:8" ht="12.75" customHeight="1" x14ac:dyDescent="0.2">
      <c r="E779" s="2"/>
      <c r="G779" s="2"/>
      <c r="H779" s="2"/>
    </row>
    <row r="780" spans="5:8" ht="12.75" customHeight="1" x14ac:dyDescent="0.2">
      <c r="E780" s="2"/>
      <c r="G780" s="2"/>
      <c r="H780" s="2"/>
    </row>
    <row r="781" spans="5:8" ht="12.75" customHeight="1" x14ac:dyDescent="0.2">
      <c r="E781" s="2"/>
      <c r="G781" s="2"/>
      <c r="H781" s="2"/>
    </row>
    <row r="782" spans="5:8" ht="12.75" customHeight="1" x14ac:dyDescent="0.2">
      <c r="E782" s="2"/>
      <c r="G782" s="2"/>
      <c r="H782" s="2"/>
    </row>
    <row r="783" spans="5:8" ht="12.75" customHeight="1" x14ac:dyDescent="0.2">
      <c r="E783" s="2"/>
      <c r="G783" s="2"/>
      <c r="H783" s="2"/>
    </row>
    <row r="784" spans="5:8" ht="12.75" customHeight="1" x14ac:dyDescent="0.2">
      <c r="E784" s="2"/>
      <c r="G784" s="2"/>
      <c r="H784" s="2"/>
    </row>
    <row r="785" spans="5:8" ht="12.75" customHeight="1" x14ac:dyDescent="0.2">
      <c r="E785" s="2"/>
      <c r="G785" s="2"/>
      <c r="H785" s="2"/>
    </row>
    <row r="786" spans="5:8" ht="12.75" customHeight="1" x14ac:dyDescent="0.2">
      <c r="E786" s="2"/>
      <c r="G786" s="2"/>
      <c r="H786" s="2"/>
    </row>
    <row r="787" spans="5:8" ht="12.75" customHeight="1" x14ac:dyDescent="0.2">
      <c r="E787" s="2"/>
      <c r="G787" s="2"/>
      <c r="H787" s="2"/>
    </row>
    <row r="788" spans="5:8" ht="12.75" customHeight="1" x14ac:dyDescent="0.2">
      <c r="E788" s="2"/>
      <c r="G788" s="2"/>
      <c r="H788" s="2"/>
    </row>
    <row r="789" spans="5:8" ht="12.75" customHeight="1" x14ac:dyDescent="0.2">
      <c r="E789" s="2"/>
      <c r="G789" s="2"/>
      <c r="H789" s="2"/>
    </row>
    <row r="790" spans="5:8" ht="12.75" customHeight="1" x14ac:dyDescent="0.2">
      <c r="E790" s="2"/>
      <c r="G790" s="2"/>
      <c r="H790" s="2"/>
    </row>
    <row r="791" spans="5:8" ht="12.75" customHeight="1" x14ac:dyDescent="0.2">
      <c r="E791" s="2"/>
      <c r="G791" s="2"/>
      <c r="H791" s="2"/>
    </row>
    <row r="792" spans="5:8" ht="12.75" customHeight="1" x14ac:dyDescent="0.2">
      <c r="E792" s="2"/>
      <c r="G792" s="2"/>
      <c r="H792" s="2"/>
    </row>
    <row r="793" spans="5:8" ht="12.75" customHeight="1" x14ac:dyDescent="0.2">
      <c r="E793" s="2"/>
      <c r="G793" s="2"/>
      <c r="H793" s="2"/>
    </row>
    <row r="794" spans="5:8" ht="12.75" customHeight="1" x14ac:dyDescent="0.2">
      <c r="E794" s="2"/>
      <c r="G794" s="2"/>
      <c r="H794" s="2"/>
    </row>
    <row r="795" spans="5:8" ht="12.75" customHeight="1" x14ac:dyDescent="0.2">
      <c r="E795" s="2"/>
      <c r="G795" s="2"/>
      <c r="H795" s="2"/>
    </row>
    <row r="796" spans="5:8" ht="12.75" customHeight="1" x14ac:dyDescent="0.2">
      <c r="E796" s="2"/>
      <c r="G796" s="2"/>
      <c r="H796" s="2"/>
    </row>
    <row r="797" spans="5:8" ht="12.75" customHeight="1" x14ac:dyDescent="0.2">
      <c r="E797" s="2"/>
      <c r="G797" s="2"/>
      <c r="H797" s="2"/>
    </row>
    <row r="798" spans="5:8" ht="12.75" customHeight="1" x14ac:dyDescent="0.2">
      <c r="E798" s="2"/>
      <c r="G798" s="2"/>
      <c r="H798" s="2"/>
    </row>
    <row r="799" spans="5:8" ht="12.75" customHeight="1" x14ac:dyDescent="0.2">
      <c r="E799" s="2"/>
      <c r="G799" s="2"/>
      <c r="H799" s="2"/>
    </row>
    <row r="800" spans="5:8" ht="12.75" customHeight="1" x14ac:dyDescent="0.2">
      <c r="E800" s="2"/>
      <c r="G800" s="2"/>
      <c r="H800" s="2"/>
    </row>
    <row r="801" spans="5:8" ht="12.75" customHeight="1" x14ac:dyDescent="0.2">
      <c r="E801" s="2"/>
      <c r="G801" s="2"/>
      <c r="H801" s="2"/>
    </row>
    <row r="802" spans="5:8" ht="12.75" customHeight="1" x14ac:dyDescent="0.2">
      <c r="E802" s="2"/>
      <c r="G802" s="2"/>
      <c r="H802" s="2"/>
    </row>
    <row r="803" spans="5:8" ht="12.75" customHeight="1" x14ac:dyDescent="0.2">
      <c r="E803" s="2"/>
      <c r="G803" s="2"/>
      <c r="H803" s="2"/>
    </row>
    <row r="804" spans="5:8" ht="12.75" customHeight="1" x14ac:dyDescent="0.2">
      <c r="E804" s="2"/>
      <c r="G804" s="2"/>
      <c r="H804" s="2"/>
    </row>
    <row r="805" spans="5:8" ht="12.75" customHeight="1" x14ac:dyDescent="0.2">
      <c r="E805" s="2"/>
      <c r="G805" s="2"/>
      <c r="H805" s="2"/>
    </row>
    <row r="806" spans="5:8" ht="12.75" customHeight="1" x14ac:dyDescent="0.2">
      <c r="E806" s="2"/>
      <c r="G806" s="2"/>
      <c r="H806" s="2"/>
    </row>
    <row r="807" spans="5:8" ht="12.75" customHeight="1" x14ac:dyDescent="0.2">
      <c r="E807" s="2"/>
      <c r="G807" s="2"/>
      <c r="H807" s="2"/>
    </row>
    <row r="808" spans="5:8" ht="12.75" customHeight="1" x14ac:dyDescent="0.2">
      <c r="E808" s="2"/>
      <c r="G808" s="2"/>
      <c r="H808" s="2"/>
    </row>
    <row r="809" spans="5:8" ht="12.75" customHeight="1" x14ac:dyDescent="0.2">
      <c r="E809" s="2"/>
      <c r="G809" s="2"/>
      <c r="H809" s="2"/>
    </row>
    <row r="810" spans="5:8" ht="12.75" customHeight="1" x14ac:dyDescent="0.2">
      <c r="E810" s="2"/>
      <c r="G810" s="2"/>
      <c r="H810" s="2"/>
    </row>
    <row r="811" spans="5:8" ht="12.75" customHeight="1" x14ac:dyDescent="0.2">
      <c r="E811" s="2"/>
      <c r="G811" s="2"/>
      <c r="H811" s="2"/>
    </row>
    <row r="812" spans="5:8" ht="12.75" customHeight="1" x14ac:dyDescent="0.2">
      <c r="E812" s="2"/>
      <c r="G812" s="2"/>
      <c r="H812" s="2"/>
    </row>
    <row r="813" spans="5:8" ht="12.75" customHeight="1" x14ac:dyDescent="0.2">
      <c r="E813" s="2"/>
      <c r="G813" s="2"/>
      <c r="H813" s="2"/>
    </row>
    <row r="814" spans="5:8" ht="12.75" customHeight="1" x14ac:dyDescent="0.2">
      <c r="E814" s="2"/>
      <c r="G814" s="2"/>
      <c r="H814" s="2"/>
    </row>
    <row r="815" spans="5:8" ht="12.75" customHeight="1" x14ac:dyDescent="0.2">
      <c r="E815" s="2"/>
      <c r="G815" s="2"/>
      <c r="H815" s="2"/>
    </row>
    <row r="816" spans="5:8" ht="12.75" customHeight="1" x14ac:dyDescent="0.2">
      <c r="E816" s="2"/>
      <c r="G816" s="2"/>
      <c r="H816" s="2"/>
    </row>
    <row r="817" spans="5:8" ht="12.75" customHeight="1" x14ac:dyDescent="0.2">
      <c r="E817" s="2"/>
      <c r="G817" s="2"/>
      <c r="H817" s="2"/>
    </row>
    <row r="818" spans="5:8" ht="12.75" customHeight="1" x14ac:dyDescent="0.2">
      <c r="E818" s="2"/>
      <c r="G818" s="2"/>
      <c r="H818" s="2"/>
    </row>
    <row r="819" spans="5:8" ht="12.75" customHeight="1" x14ac:dyDescent="0.2">
      <c r="E819" s="2"/>
      <c r="G819" s="2"/>
      <c r="H819" s="2"/>
    </row>
    <row r="820" spans="5:8" ht="12.75" customHeight="1" x14ac:dyDescent="0.2">
      <c r="E820" s="2"/>
      <c r="G820" s="2"/>
      <c r="H820" s="2"/>
    </row>
    <row r="821" spans="5:8" ht="12.75" customHeight="1" x14ac:dyDescent="0.2">
      <c r="E821" s="2"/>
      <c r="G821" s="2"/>
      <c r="H821" s="2"/>
    </row>
    <row r="822" spans="5:8" ht="12.75" customHeight="1" x14ac:dyDescent="0.2">
      <c r="E822" s="2"/>
      <c r="G822" s="2"/>
      <c r="H822" s="2"/>
    </row>
    <row r="823" spans="5:8" ht="12.75" customHeight="1" x14ac:dyDescent="0.2">
      <c r="E823" s="2"/>
      <c r="G823" s="2"/>
      <c r="H823" s="2"/>
    </row>
    <row r="824" spans="5:8" ht="12.75" customHeight="1" x14ac:dyDescent="0.2">
      <c r="E824" s="2"/>
      <c r="G824" s="2"/>
      <c r="H824" s="2"/>
    </row>
    <row r="825" spans="5:8" ht="12.75" customHeight="1" x14ac:dyDescent="0.2">
      <c r="E825" s="2"/>
      <c r="G825" s="2"/>
      <c r="H825" s="2"/>
    </row>
    <row r="826" spans="5:8" ht="12.75" customHeight="1" x14ac:dyDescent="0.2">
      <c r="E826" s="2"/>
      <c r="G826" s="2"/>
      <c r="H826" s="2"/>
    </row>
    <row r="827" spans="5:8" ht="12.75" customHeight="1" x14ac:dyDescent="0.2">
      <c r="E827" s="2"/>
      <c r="G827" s="2"/>
      <c r="H827" s="2"/>
    </row>
    <row r="828" spans="5:8" ht="12.75" customHeight="1" x14ac:dyDescent="0.2">
      <c r="E828" s="2"/>
      <c r="G828" s="2"/>
      <c r="H828" s="2"/>
    </row>
    <row r="829" spans="5:8" ht="12.75" customHeight="1" x14ac:dyDescent="0.2">
      <c r="E829" s="2"/>
      <c r="G829" s="2"/>
      <c r="H829" s="2"/>
    </row>
    <row r="830" spans="5:8" ht="12.75" customHeight="1" x14ac:dyDescent="0.2">
      <c r="E830" s="2"/>
      <c r="G830" s="2"/>
      <c r="H830" s="2"/>
    </row>
    <row r="831" spans="5:8" ht="12.75" customHeight="1" x14ac:dyDescent="0.2">
      <c r="E831" s="2"/>
      <c r="G831" s="2"/>
      <c r="H831" s="2"/>
    </row>
    <row r="832" spans="5:8" ht="12.75" customHeight="1" x14ac:dyDescent="0.2">
      <c r="E832" s="2"/>
      <c r="G832" s="2"/>
      <c r="H832" s="2"/>
    </row>
    <row r="833" spans="5:8" ht="12.75" customHeight="1" x14ac:dyDescent="0.2">
      <c r="E833" s="2"/>
      <c r="G833" s="2"/>
      <c r="H833" s="2"/>
    </row>
    <row r="834" spans="5:8" ht="12.75" customHeight="1" x14ac:dyDescent="0.2">
      <c r="E834" s="2"/>
      <c r="G834" s="2"/>
      <c r="H834" s="2"/>
    </row>
    <row r="835" spans="5:8" ht="12.75" customHeight="1" x14ac:dyDescent="0.2">
      <c r="E835" s="2"/>
      <c r="G835" s="2"/>
      <c r="H835" s="2"/>
    </row>
    <row r="836" spans="5:8" ht="12.75" customHeight="1" x14ac:dyDescent="0.2">
      <c r="E836" s="2"/>
      <c r="G836" s="2"/>
      <c r="H836" s="2"/>
    </row>
    <row r="837" spans="5:8" ht="12.75" customHeight="1" x14ac:dyDescent="0.2">
      <c r="E837" s="2"/>
      <c r="G837" s="2"/>
      <c r="H837" s="2"/>
    </row>
    <row r="838" spans="5:8" ht="12.75" customHeight="1" x14ac:dyDescent="0.2">
      <c r="E838" s="2"/>
      <c r="G838" s="2"/>
      <c r="H838" s="2"/>
    </row>
    <row r="839" spans="5:8" ht="12.75" customHeight="1" x14ac:dyDescent="0.2">
      <c r="E839" s="2"/>
      <c r="G839" s="2"/>
      <c r="H839" s="2"/>
    </row>
    <row r="840" spans="5:8" ht="12.75" customHeight="1" x14ac:dyDescent="0.2">
      <c r="E840" s="2"/>
      <c r="G840" s="2"/>
      <c r="H840" s="2"/>
    </row>
    <row r="841" spans="5:8" ht="12.75" customHeight="1" x14ac:dyDescent="0.2">
      <c r="E841" s="2"/>
      <c r="G841" s="2"/>
      <c r="H841" s="2"/>
    </row>
    <row r="842" spans="5:8" ht="12.75" customHeight="1" x14ac:dyDescent="0.2">
      <c r="E842" s="2"/>
      <c r="G842" s="2"/>
      <c r="H842" s="2"/>
    </row>
    <row r="843" spans="5:8" ht="12.75" customHeight="1" x14ac:dyDescent="0.2">
      <c r="E843" s="2"/>
      <c r="G843" s="2"/>
      <c r="H843" s="2"/>
    </row>
    <row r="844" spans="5:8" ht="12.75" customHeight="1" x14ac:dyDescent="0.2">
      <c r="E844" s="2"/>
      <c r="G844" s="2"/>
      <c r="H844" s="2"/>
    </row>
    <row r="845" spans="5:8" ht="12.75" customHeight="1" x14ac:dyDescent="0.2">
      <c r="E845" s="2"/>
      <c r="G845" s="2"/>
      <c r="H845" s="2"/>
    </row>
    <row r="846" spans="5:8" ht="12.75" customHeight="1" x14ac:dyDescent="0.2">
      <c r="E846" s="2"/>
      <c r="G846" s="2"/>
      <c r="H846" s="2"/>
    </row>
    <row r="847" spans="5:8" ht="12.75" customHeight="1" x14ac:dyDescent="0.2">
      <c r="E847" s="2"/>
      <c r="G847" s="2"/>
      <c r="H847" s="2"/>
    </row>
    <row r="848" spans="5:8" ht="12.75" customHeight="1" x14ac:dyDescent="0.2">
      <c r="E848" s="2"/>
      <c r="G848" s="2"/>
      <c r="H848" s="2"/>
    </row>
    <row r="849" spans="5:8" ht="12.75" customHeight="1" x14ac:dyDescent="0.2">
      <c r="E849" s="2"/>
      <c r="G849" s="2"/>
      <c r="H849" s="2"/>
    </row>
    <row r="850" spans="5:8" ht="12.75" customHeight="1" x14ac:dyDescent="0.2">
      <c r="E850" s="2"/>
      <c r="G850" s="2"/>
      <c r="H850" s="2"/>
    </row>
    <row r="851" spans="5:8" ht="12.75" customHeight="1" x14ac:dyDescent="0.2">
      <c r="E851" s="2"/>
      <c r="G851" s="2"/>
      <c r="H851" s="2"/>
    </row>
    <row r="852" spans="5:8" ht="12.75" customHeight="1" x14ac:dyDescent="0.2">
      <c r="E852" s="2"/>
      <c r="G852" s="2"/>
      <c r="H852" s="2"/>
    </row>
    <row r="853" spans="5:8" ht="12.75" customHeight="1" x14ac:dyDescent="0.2">
      <c r="E853" s="2"/>
      <c r="G853" s="2"/>
      <c r="H853" s="2"/>
    </row>
    <row r="854" spans="5:8" ht="12.75" customHeight="1" x14ac:dyDescent="0.2">
      <c r="E854" s="2"/>
      <c r="G854" s="2"/>
      <c r="H854" s="2"/>
    </row>
    <row r="855" spans="5:8" ht="12.75" customHeight="1" x14ac:dyDescent="0.2">
      <c r="E855" s="2"/>
      <c r="G855" s="2"/>
      <c r="H855" s="2"/>
    </row>
    <row r="856" spans="5:8" ht="12.75" customHeight="1" x14ac:dyDescent="0.2">
      <c r="E856" s="2"/>
      <c r="G856" s="2"/>
      <c r="H856" s="2"/>
    </row>
    <row r="857" spans="5:8" ht="12.75" customHeight="1" x14ac:dyDescent="0.2">
      <c r="E857" s="2"/>
      <c r="G857" s="2"/>
      <c r="H857" s="2"/>
    </row>
    <row r="858" spans="5:8" ht="12.75" customHeight="1" x14ac:dyDescent="0.2">
      <c r="E858" s="2"/>
      <c r="G858" s="2"/>
      <c r="H858" s="2"/>
    </row>
    <row r="859" spans="5:8" ht="12.75" customHeight="1" x14ac:dyDescent="0.2">
      <c r="E859" s="2"/>
      <c r="G859" s="2"/>
      <c r="H859" s="2"/>
    </row>
    <row r="860" spans="5:8" ht="12.75" customHeight="1" x14ac:dyDescent="0.2">
      <c r="E860" s="2"/>
      <c r="G860" s="2"/>
      <c r="H860" s="2"/>
    </row>
    <row r="861" spans="5:8" ht="12.75" customHeight="1" x14ac:dyDescent="0.2">
      <c r="E861" s="2"/>
      <c r="G861" s="2"/>
      <c r="H861" s="2"/>
    </row>
    <row r="862" spans="5:8" ht="12.75" customHeight="1" x14ac:dyDescent="0.2">
      <c r="E862" s="2"/>
      <c r="G862" s="2"/>
      <c r="H862" s="2"/>
    </row>
    <row r="863" spans="5:8" ht="12.75" customHeight="1" x14ac:dyDescent="0.2">
      <c r="E863" s="2"/>
      <c r="G863" s="2"/>
      <c r="H863" s="2"/>
    </row>
    <row r="864" spans="5:8" ht="12.75" customHeight="1" x14ac:dyDescent="0.2">
      <c r="E864" s="2"/>
      <c r="G864" s="2"/>
      <c r="H864" s="2"/>
    </row>
    <row r="865" spans="5:8" ht="12.75" customHeight="1" x14ac:dyDescent="0.2">
      <c r="E865" s="2"/>
      <c r="G865" s="2"/>
      <c r="H865" s="2"/>
    </row>
    <row r="866" spans="5:8" ht="12.75" customHeight="1" x14ac:dyDescent="0.2">
      <c r="E866" s="2"/>
      <c r="G866" s="2"/>
      <c r="H866" s="2"/>
    </row>
    <row r="867" spans="5:8" ht="12.75" customHeight="1" x14ac:dyDescent="0.2">
      <c r="E867" s="2"/>
      <c r="G867" s="2"/>
      <c r="H867" s="2"/>
    </row>
    <row r="868" spans="5:8" ht="12.75" customHeight="1" x14ac:dyDescent="0.2">
      <c r="E868" s="2"/>
      <c r="G868" s="2"/>
      <c r="H868" s="2"/>
    </row>
    <row r="869" spans="5:8" ht="12.75" customHeight="1" x14ac:dyDescent="0.2">
      <c r="E869" s="2"/>
      <c r="G869" s="2"/>
      <c r="H869" s="2"/>
    </row>
    <row r="870" spans="5:8" ht="12.75" customHeight="1" x14ac:dyDescent="0.2">
      <c r="E870" s="2"/>
      <c r="G870" s="2"/>
      <c r="H870" s="2"/>
    </row>
    <row r="871" spans="5:8" ht="12.75" customHeight="1" x14ac:dyDescent="0.2">
      <c r="E871" s="2"/>
      <c r="G871" s="2"/>
      <c r="H871" s="2"/>
    </row>
    <row r="872" spans="5:8" ht="12.75" customHeight="1" x14ac:dyDescent="0.2">
      <c r="E872" s="2"/>
      <c r="G872" s="2"/>
      <c r="H872" s="2"/>
    </row>
    <row r="873" spans="5:8" ht="12.75" customHeight="1" x14ac:dyDescent="0.2">
      <c r="E873" s="2"/>
      <c r="G873" s="2"/>
      <c r="H873" s="2"/>
    </row>
    <row r="874" spans="5:8" ht="12.75" customHeight="1" x14ac:dyDescent="0.2">
      <c r="E874" s="2"/>
      <c r="G874" s="2"/>
      <c r="H874" s="2"/>
    </row>
    <row r="875" spans="5:8" ht="12.75" customHeight="1" x14ac:dyDescent="0.2">
      <c r="E875" s="2"/>
      <c r="G875" s="2"/>
      <c r="H875" s="2"/>
    </row>
    <row r="876" spans="5:8" ht="12.75" customHeight="1" x14ac:dyDescent="0.2">
      <c r="E876" s="2"/>
      <c r="G876" s="2"/>
      <c r="H876" s="2"/>
    </row>
    <row r="877" spans="5:8" ht="12.75" customHeight="1" x14ac:dyDescent="0.2">
      <c r="E877" s="2"/>
      <c r="G877" s="2"/>
      <c r="H877" s="2"/>
    </row>
    <row r="878" spans="5:8" ht="12.75" customHeight="1" x14ac:dyDescent="0.2">
      <c r="E878" s="2"/>
      <c r="G878" s="2"/>
      <c r="H878" s="2"/>
    </row>
    <row r="879" spans="5:8" ht="12.75" customHeight="1" x14ac:dyDescent="0.2">
      <c r="E879" s="2"/>
      <c r="G879" s="2"/>
      <c r="H879" s="2"/>
    </row>
    <row r="880" spans="5:8" ht="12.75" customHeight="1" x14ac:dyDescent="0.2">
      <c r="E880" s="2"/>
      <c r="G880" s="2"/>
      <c r="H880" s="2"/>
    </row>
    <row r="881" spans="5:8" ht="12.75" customHeight="1" x14ac:dyDescent="0.2">
      <c r="E881" s="2"/>
      <c r="G881" s="2"/>
      <c r="H881" s="2"/>
    </row>
    <row r="882" spans="5:8" ht="12.75" customHeight="1" x14ac:dyDescent="0.2">
      <c r="E882" s="2"/>
      <c r="G882" s="2"/>
      <c r="H882" s="2"/>
    </row>
    <row r="883" spans="5:8" ht="12.75" customHeight="1" x14ac:dyDescent="0.2">
      <c r="E883" s="2"/>
      <c r="G883" s="2"/>
      <c r="H883" s="2"/>
    </row>
    <row r="884" spans="5:8" ht="12.75" customHeight="1" x14ac:dyDescent="0.2">
      <c r="E884" s="2"/>
      <c r="G884" s="2"/>
      <c r="H884" s="2"/>
    </row>
    <row r="885" spans="5:8" ht="12.75" customHeight="1" x14ac:dyDescent="0.2">
      <c r="E885" s="2"/>
      <c r="G885" s="2"/>
      <c r="H885" s="2"/>
    </row>
    <row r="886" spans="5:8" ht="12.75" customHeight="1" x14ac:dyDescent="0.2">
      <c r="E886" s="2"/>
      <c r="G886" s="2"/>
      <c r="H886" s="2"/>
    </row>
    <row r="887" spans="5:8" ht="12.75" customHeight="1" x14ac:dyDescent="0.2">
      <c r="E887" s="2"/>
      <c r="G887" s="2"/>
      <c r="H887" s="2"/>
    </row>
    <row r="888" spans="5:8" ht="12.75" customHeight="1" x14ac:dyDescent="0.2">
      <c r="E888" s="2"/>
      <c r="G888" s="2"/>
      <c r="H888" s="2"/>
    </row>
    <row r="889" spans="5:8" ht="12.75" customHeight="1" x14ac:dyDescent="0.2">
      <c r="E889" s="2"/>
      <c r="G889" s="2"/>
      <c r="H889" s="2"/>
    </row>
    <row r="890" spans="5:8" ht="12.75" customHeight="1" x14ac:dyDescent="0.2">
      <c r="E890" s="2"/>
      <c r="G890" s="2"/>
      <c r="H890" s="2"/>
    </row>
    <row r="891" spans="5:8" ht="12.75" customHeight="1" x14ac:dyDescent="0.2">
      <c r="E891" s="2"/>
      <c r="G891" s="2"/>
      <c r="H891" s="2"/>
    </row>
    <row r="892" spans="5:8" ht="12.75" customHeight="1" x14ac:dyDescent="0.2">
      <c r="E892" s="2"/>
      <c r="G892" s="2"/>
      <c r="H892" s="2"/>
    </row>
    <row r="893" spans="5:8" ht="12.75" customHeight="1" x14ac:dyDescent="0.2">
      <c r="E893" s="2"/>
      <c r="G893" s="2"/>
      <c r="H893" s="2"/>
    </row>
    <row r="894" spans="5:8" ht="12.75" customHeight="1" x14ac:dyDescent="0.2">
      <c r="E894" s="2"/>
      <c r="G894" s="2"/>
      <c r="H894" s="2"/>
    </row>
    <row r="895" spans="5:8" ht="12.75" customHeight="1" x14ac:dyDescent="0.2">
      <c r="E895" s="2"/>
      <c r="G895" s="2"/>
      <c r="H895" s="2"/>
    </row>
    <row r="896" spans="5:8" ht="12.75" customHeight="1" x14ac:dyDescent="0.2">
      <c r="E896" s="2"/>
      <c r="G896" s="2"/>
      <c r="H896" s="2"/>
    </row>
    <row r="897" spans="5:8" ht="12.75" customHeight="1" x14ac:dyDescent="0.2">
      <c r="E897" s="2"/>
      <c r="G897" s="2"/>
      <c r="H897" s="2"/>
    </row>
    <row r="898" spans="5:8" ht="12.75" customHeight="1" x14ac:dyDescent="0.2">
      <c r="E898" s="2"/>
      <c r="G898" s="2"/>
      <c r="H898" s="2"/>
    </row>
    <row r="899" spans="5:8" ht="12.75" customHeight="1" x14ac:dyDescent="0.2">
      <c r="E899" s="2"/>
      <c r="G899" s="2"/>
      <c r="H899" s="2"/>
    </row>
    <row r="900" spans="5:8" ht="12.75" customHeight="1" x14ac:dyDescent="0.2">
      <c r="E900" s="2"/>
      <c r="G900" s="2"/>
      <c r="H900" s="2"/>
    </row>
    <row r="901" spans="5:8" ht="12.75" customHeight="1" x14ac:dyDescent="0.2">
      <c r="E901" s="2"/>
      <c r="G901" s="2"/>
      <c r="H901" s="2"/>
    </row>
    <row r="902" spans="5:8" ht="12.75" customHeight="1" x14ac:dyDescent="0.2">
      <c r="E902" s="2"/>
      <c r="G902" s="2"/>
      <c r="H902" s="2"/>
    </row>
    <row r="903" spans="5:8" ht="12.75" customHeight="1" x14ac:dyDescent="0.2">
      <c r="E903" s="2"/>
      <c r="G903" s="2"/>
      <c r="H903" s="2"/>
    </row>
    <row r="904" spans="5:8" ht="12.75" customHeight="1" x14ac:dyDescent="0.2">
      <c r="E904" s="2"/>
      <c r="G904" s="2"/>
      <c r="H904" s="2"/>
    </row>
    <row r="905" spans="5:8" ht="12.75" customHeight="1" x14ac:dyDescent="0.2">
      <c r="E905" s="2"/>
      <c r="G905" s="2"/>
      <c r="H905" s="2"/>
    </row>
    <row r="906" spans="5:8" ht="12.75" customHeight="1" x14ac:dyDescent="0.2">
      <c r="E906" s="2"/>
      <c r="G906" s="2"/>
      <c r="H906" s="2"/>
    </row>
    <row r="907" spans="5:8" ht="12.75" customHeight="1" x14ac:dyDescent="0.2">
      <c r="E907" s="2"/>
      <c r="G907" s="2"/>
      <c r="H907" s="2"/>
    </row>
    <row r="908" spans="5:8" ht="12.75" customHeight="1" x14ac:dyDescent="0.2">
      <c r="E908" s="2"/>
      <c r="G908" s="2"/>
      <c r="H908" s="2"/>
    </row>
    <row r="909" spans="5:8" ht="12.75" customHeight="1" x14ac:dyDescent="0.2">
      <c r="E909" s="2"/>
      <c r="G909" s="2"/>
      <c r="H909" s="2"/>
    </row>
    <row r="910" spans="5:8" ht="12.75" customHeight="1" x14ac:dyDescent="0.2">
      <c r="E910" s="2"/>
      <c r="G910" s="2"/>
      <c r="H910" s="2"/>
    </row>
    <row r="911" spans="5:8" ht="12.75" customHeight="1" x14ac:dyDescent="0.2">
      <c r="E911" s="2"/>
      <c r="G911" s="2"/>
      <c r="H911" s="2"/>
    </row>
    <row r="912" spans="5:8" ht="12.75" customHeight="1" x14ac:dyDescent="0.2">
      <c r="E912" s="2"/>
      <c r="G912" s="2"/>
      <c r="H912" s="2"/>
    </row>
    <row r="913" spans="5:8" ht="12.75" customHeight="1" x14ac:dyDescent="0.2">
      <c r="E913" s="2"/>
      <c r="G913" s="2"/>
      <c r="H913" s="2"/>
    </row>
    <row r="914" spans="5:8" ht="12.75" customHeight="1" x14ac:dyDescent="0.2">
      <c r="E914" s="2"/>
      <c r="G914" s="2"/>
      <c r="H914" s="2"/>
    </row>
    <row r="915" spans="5:8" ht="12.75" customHeight="1" x14ac:dyDescent="0.2">
      <c r="E915" s="2"/>
      <c r="G915" s="2"/>
      <c r="H915" s="2"/>
    </row>
    <row r="916" spans="5:8" ht="12.75" customHeight="1" x14ac:dyDescent="0.2">
      <c r="E916" s="2"/>
      <c r="G916" s="2"/>
      <c r="H916" s="2"/>
    </row>
    <row r="917" spans="5:8" ht="12.75" customHeight="1" x14ac:dyDescent="0.2">
      <c r="E917" s="2"/>
      <c r="G917" s="2"/>
      <c r="H917" s="2"/>
    </row>
    <row r="918" spans="5:8" ht="12.75" customHeight="1" x14ac:dyDescent="0.2">
      <c r="E918" s="2"/>
      <c r="G918" s="2"/>
      <c r="H918" s="2"/>
    </row>
    <row r="919" spans="5:8" ht="12.75" customHeight="1" x14ac:dyDescent="0.2">
      <c r="E919" s="2"/>
      <c r="G919" s="2"/>
      <c r="H919" s="2"/>
    </row>
    <row r="920" spans="5:8" ht="12.75" customHeight="1" x14ac:dyDescent="0.2">
      <c r="E920" s="2"/>
      <c r="G920" s="2"/>
      <c r="H920" s="2"/>
    </row>
    <row r="921" spans="5:8" ht="12.75" customHeight="1" x14ac:dyDescent="0.2">
      <c r="E921" s="2"/>
      <c r="G921" s="2"/>
      <c r="H921" s="2"/>
    </row>
    <row r="922" spans="5:8" ht="12.75" customHeight="1" x14ac:dyDescent="0.2">
      <c r="E922" s="2"/>
      <c r="G922" s="2"/>
      <c r="H922" s="2"/>
    </row>
    <row r="923" spans="5:8" ht="12.75" customHeight="1" x14ac:dyDescent="0.2">
      <c r="E923" s="2"/>
      <c r="G923" s="2"/>
      <c r="H923" s="2"/>
    </row>
    <row r="924" spans="5:8" ht="12.75" customHeight="1" x14ac:dyDescent="0.2">
      <c r="E924" s="2"/>
      <c r="G924" s="2"/>
      <c r="H924" s="2"/>
    </row>
    <row r="925" spans="5:8" ht="12.75" customHeight="1" x14ac:dyDescent="0.2">
      <c r="E925" s="2"/>
      <c r="G925" s="2"/>
      <c r="H925" s="2"/>
    </row>
    <row r="926" spans="5:8" ht="12.75" customHeight="1" x14ac:dyDescent="0.2">
      <c r="E926" s="2"/>
      <c r="G926" s="2"/>
      <c r="H926" s="2"/>
    </row>
    <row r="927" spans="5:8" ht="12.75" customHeight="1" x14ac:dyDescent="0.2">
      <c r="E927" s="2"/>
      <c r="G927" s="2"/>
      <c r="H927" s="2"/>
    </row>
    <row r="928" spans="5:8" ht="12.75" customHeight="1" x14ac:dyDescent="0.2">
      <c r="E928" s="2"/>
      <c r="G928" s="2"/>
      <c r="H928" s="2"/>
    </row>
    <row r="929" spans="5:8" ht="12.75" customHeight="1" x14ac:dyDescent="0.2">
      <c r="E929" s="2"/>
      <c r="G929" s="2"/>
      <c r="H929" s="2"/>
    </row>
    <row r="930" spans="5:8" ht="12.75" customHeight="1" x14ac:dyDescent="0.2">
      <c r="E930" s="2"/>
      <c r="G930" s="2"/>
      <c r="H930" s="2"/>
    </row>
    <row r="931" spans="5:8" ht="12.75" customHeight="1" x14ac:dyDescent="0.2">
      <c r="E931" s="2"/>
      <c r="G931" s="2"/>
      <c r="H931" s="2"/>
    </row>
    <row r="932" spans="5:8" ht="12.75" customHeight="1" x14ac:dyDescent="0.2">
      <c r="E932" s="2"/>
      <c r="G932" s="2"/>
      <c r="H932" s="2"/>
    </row>
    <row r="933" spans="5:8" ht="12.75" customHeight="1" x14ac:dyDescent="0.2">
      <c r="E933" s="2"/>
      <c r="G933" s="2"/>
      <c r="H933" s="2"/>
    </row>
    <row r="934" spans="5:8" ht="12.75" customHeight="1" x14ac:dyDescent="0.2">
      <c r="E934" s="2"/>
      <c r="G934" s="2"/>
      <c r="H934" s="2"/>
    </row>
    <row r="935" spans="5:8" ht="12.75" customHeight="1" x14ac:dyDescent="0.2">
      <c r="E935" s="2"/>
      <c r="G935" s="2"/>
      <c r="H935" s="2"/>
    </row>
    <row r="936" spans="5:8" ht="12.75" customHeight="1" x14ac:dyDescent="0.2">
      <c r="E936" s="2"/>
      <c r="G936" s="2"/>
      <c r="H936" s="2"/>
    </row>
    <row r="937" spans="5:8" ht="12.75" customHeight="1" x14ac:dyDescent="0.2">
      <c r="E937" s="2"/>
      <c r="G937" s="2"/>
      <c r="H937" s="2"/>
    </row>
    <row r="938" spans="5:8" ht="12.75" customHeight="1" x14ac:dyDescent="0.2">
      <c r="E938" s="2"/>
      <c r="G938" s="2"/>
      <c r="H938" s="2"/>
    </row>
    <row r="939" spans="5:8" ht="12.75" customHeight="1" x14ac:dyDescent="0.2">
      <c r="E939" s="2"/>
      <c r="G939" s="2"/>
      <c r="H939" s="2"/>
    </row>
    <row r="940" spans="5:8" ht="12.75" customHeight="1" x14ac:dyDescent="0.2">
      <c r="E940" s="2"/>
      <c r="G940" s="2"/>
      <c r="H940" s="2"/>
    </row>
    <row r="941" spans="5:8" ht="12.75" customHeight="1" x14ac:dyDescent="0.2">
      <c r="E941" s="2"/>
      <c r="G941" s="2"/>
      <c r="H941" s="2"/>
    </row>
    <row r="942" spans="5:8" ht="12.75" customHeight="1" x14ac:dyDescent="0.2">
      <c r="E942" s="2"/>
      <c r="G942" s="2"/>
      <c r="H942" s="2"/>
    </row>
    <row r="943" spans="5:8" ht="12.75" customHeight="1" x14ac:dyDescent="0.2">
      <c r="E943" s="2"/>
      <c r="G943" s="2"/>
      <c r="H943" s="2"/>
    </row>
    <row r="944" spans="5:8" ht="12.75" customHeight="1" x14ac:dyDescent="0.2">
      <c r="E944" s="2"/>
      <c r="G944" s="2"/>
      <c r="H944" s="2"/>
    </row>
    <row r="945" spans="5:8" ht="12.75" customHeight="1" x14ac:dyDescent="0.2">
      <c r="E945" s="2"/>
      <c r="G945" s="2"/>
      <c r="H945" s="2"/>
    </row>
    <row r="946" spans="5:8" ht="12.75" customHeight="1" x14ac:dyDescent="0.2">
      <c r="E946" s="2"/>
      <c r="G946" s="2"/>
      <c r="H946" s="2"/>
    </row>
    <row r="947" spans="5:8" ht="12.75" customHeight="1" x14ac:dyDescent="0.2">
      <c r="E947" s="2"/>
      <c r="G947" s="2"/>
      <c r="H947" s="2"/>
    </row>
    <row r="948" spans="5:8" ht="12.75" customHeight="1" x14ac:dyDescent="0.2">
      <c r="E948" s="2"/>
      <c r="G948" s="2"/>
      <c r="H948" s="2"/>
    </row>
    <row r="949" spans="5:8" ht="12.75" customHeight="1" x14ac:dyDescent="0.2">
      <c r="E949" s="2"/>
      <c r="G949" s="2"/>
      <c r="H949" s="2"/>
    </row>
    <row r="950" spans="5:8" ht="12.75" customHeight="1" x14ac:dyDescent="0.2">
      <c r="E950" s="2"/>
      <c r="G950" s="2"/>
      <c r="H950" s="2"/>
    </row>
    <row r="951" spans="5:8" ht="12.75" customHeight="1" x14ac:dyDescent="0.2">
      <c r="E951" s="2"/>
      <c r="G951" s="2"/>
      <c r="H951" s="2"/>
    </row>
    <row r="952" spans="5:8" ht="12.75" customHeight="1" x14ac:dyDescent="0.2">
      <c r="E952" s="2"/>
      <c r="G952" s="2"/>
      <c r="H952" s="2"/>
    </row>
    <row r="953" spans="5:8" ht="12.75" customHeight="1" x14ac:dyDescent="0.2">
      <c r="E953" s="2"/>
      <c r="G953" s="2"/>
      <c r="H953" s="2"/>
    </row>
    <row r="954" spans="5:8" ht="12.75" customHeight="1" x14ac:dyDescent="0.2">
      <c r="E954" s="2"/>
      <c r="G954" s="2"/>
      <c r="H954" s="2"/>
    </row>
    <row r="955" spans="5:8" ht="12.75" customHeight="1" x14ac:dyDescent="0.2">
      <c r="E955" s="2"/>
      <c r="G955" s="2"/>
      <c r="H955" s="2"/>
    </row>
    <row r="956" spans="5:8" ht="12.75" customHeight="1" x14ac:dyDescent="0.2">
      <c r="E956" s="2"/>
      <c r="G956" s="2"/>
      <c r="H956" s="2"/>
    </row>
    <row r="957" spans="5:8" ht="12.75" customHeight="1" x14ac:dyDescent="0.2">
      <c r="E957" s="2"/>
      <c r="G957" s="2"/>
      <c r="H957" s="2"/>
    </row>
    <row r="958" spans="5:8" ht="12.75" customHeight="1" x14ac:dyDescent="0.2">
      <c r="E958" s="2"/>
      <c r="G958" s="2"/>
      <c r="H958" s="2"/>
    </row>
    <row r="959" spans="5:8" ht="12.75" customHeight="1" x14ac:dyDescent="0.2">
      <c r="E959" s="2"/>
      <c r="G959" s="2"/>
      <c r="H959" s="2"/>
    </row>
    <row r="960" spans="5:8" ht="12.75" customHeight="1" x14ac:dyDescent="0.2">
      <c r="E960" s="2"/>
      <c r="G960" s="2"/>
      <c r="H960" s="2"/>
    </row>
    <row r="961" spans="5:8" ht="12.75" customHeight="1" x14ac:dyDescent="0.2">
      <c r="E961" s="2"/>
      <c r="G961" s="2"/>
      <c r="H961" s="2"/>
    </row>
    <row r="962" spans="5:8" ht="12.75" customHeight="1" x14ac:dyDescent="0.2">
      <c r="E962" s="2"/>
      <c r="G962" s="2"/>
      <c r="H962" s="2"/>
    </row>
    <row r="963" spans="5:8" ht="12.75" customHeight="1" x14ac:dyDescent="0.2">
      <c r="E963" s="2"/>
      <c r="G963" s="2"/>
      <c r="H963" s="2"/>
    </row>
    <row r="964" spans="5:8" ht="12.75" customHeight="1" x14ac:dyDescent="0.2">
      <c r="E964" s="2"/>
      <c r="G964" s="2"/>
      <c r="H964" s="2"/>
    </row>
    <row r="965" spans="5:8" ht="12.75" customHeight="1" x14ac:dyDescent="0.2">
      <c r="E965" s="2"/>
      <c r="G965" s="2"/>
      <c r="H965" s="2"/>
    </row>
    <row r="966" spans="5:8" ht="12.75" customHeight="1" x14ac:dyDescent="0.2">
      <c r="E966" s="2"/>
      <c r="G966" s="2"/>
      <c r="H966" s="2"/>
    </row>
    <row r="967" spans="5:8" ht="12.75" customHeight="1" x14ac:dyDescent="0.2">
      <c r="E967" s="2"/>
      <c r="G967" s="2"/>
      <c r="H967" s="2"/>
    </row>
    <row r="968" spans="5:8" ht="12.75" customHeight="1" x14ac:dyDescent="0.2">
      <c r="E968" s="2"/>
      <c r="G968" s="2"/>
      <c r="H968" s="2"/>
    </row>
    <row r="969" spans="5:8" ht="12.75" customHeight="1" x14ac:dyDescent="0.2">
      <c r="E969" s="2"/>
      <c r="G969" s="2"/>
      <c r="H969" s="2"/>
    </row>
    <row r="970" spans="5:8" ht="12.75" customHeight="1" x14ac:dyDescent="0.2">
      <c r="E970" s="2"/>
      <c r="G970" s="2"/>
      <c r="H970" s="2"/>
    </row>
    <row r="971" spans="5:8" ht="12.75" customHeight="1" x14ac:dyDescent="0.2">
      <c r="E971" s="2"/>
      <c r="G971" s="2"/>
      <c r="H971" s="2"/>
    </row>
    <row r="972" spans="5:8" ht="12.75" customHeight="1" x14ac:dyDescent="0.2">
      <c r="E972" s="2"/>
      <c r="G972" s="2"/>
      <c r="H972" s="2"/>
    </row>
    <row r="973" spans="5:8" ht="12.75" customHeight="1" x14ac:dyDescent="0.2">
      <c r="E973" s="2"/>
      <c r="G973" s="2"/>
      <c r="H973" s="2"/>
    </row>
    <row r="974" spans="5:8" ht="12.75" customHeight="1" x14ac:dyDescent="0.2">
      <c r="E974" s="2"/>
      <c r="G974" s="2"/>
      <c r="H974" s="2"/>
    </row>
    <row r="975" spans="5:8" ht="12.75" customHeight="1" x14ac:dyDescent="0.2">
      <c r="E975" s="2"/>
      <c r="G975" s="2"/>
      <c r="H975" s="2"/>
    </row>
    <row r="976" spans="5:8" ht="12.75" customHeight="1" x14ac:dyDescent="0.2">
      <c r="E976" s="2"/>
      <c r="G976" s="2"/>
      <c r="H976" s="2"/>
    </row>
    <row r="977" spans="5:8" ht="12.75" customHeight="1" x14ac:dyDescent="0.2">
      <c r="E977" s="2"/>
      <c r="G977" s="2"/>
      <c r="H977" s="2"/>
    </row>
    <row r="978" spans="5:8" ht="12.75" customHeight="1" x14ac:dyDescent="0.2">
      <c r="E978" s="2"/>
      <c r="G978" s="2"/>
      <c r="H978" s="2"/>
    </row>
    <row r="979" spans="5:8" ht="12.75" customHeight="1" x14ac:dyDescent="0.2">
      <c r="E979" s="2"/>
      <c r="G979" s="2"/>
      <c r="H979" s="2"/>
    </row>
    <row r="980" spans="5:8" ht="12.75" customHeight="1" x14ac:dyDescent="0.2">
      <c r="E980" s="2"/>
      <c r="G980" s="2"/>
      <c r="H980" s="2"/>
    </row>
    <row r="981" spans="5:8" ht="12.75" customHeight="1" x14ac:dyDescent="0.2">
      <c r="E981" s="2"/>
      <c r="G981" s="2"/>
      <c r="H981" s="2"/>
    </row>
    <row r="982" spans="5:8" ht="12.75" customHeight="1" x14ac:dyDescent="0.2">
      <c r="E982" s="2"/>
      <c r="G982" s="2"/>
      <c r="H982" s="2"/>
    </row>
    <row r="983" spans="5:8" ht="12.75" customHeight="1" x14ac:dyDescent="0.2">
      <c r="E983" s="2"/>
      <c r="G983" s="2"/>
      <c r="H983" s="2"/>
    </row>
    <row r="984" spans="5:8" ht="12.75" customHeight="1" x14ac:dyDescent="0.2">
      <c r="E984" s="2"/>
      <c r="G984" s="2"/>
      <c r="H984" s="2"/>
    </row>
    <row r="985" spans="5:8" ht="12.75" customHeight="1" x14ac:dyDescent="0.2">
      <c r="E985" s="2"/>
      <c r="G985" s="2"/>
      <c r="H985" s="2"/>
    </row>
    <row r="986" spans="5:8" ht="12.75" customHeight="1" x14ac:dyDescent="0.2">
      <c r="E986" s="2"/>
      <c r="G986" s="2"/>
      <c r="H986" s="2"/>
    </row>
    <row r="987" spans="5:8" ht="12.75" customHeight="1" x14ac:dyDescent="0.2">
      <c r="E987" s="2"/>
      <c r="G987" s="2"/>
      <c r="H987" s="2"/>
    </row>
    <row r="988" spans="5:8" ht="12.75" customHeight="1" x14ac:dyDescent="0.2">
      <c r="E988" s="2"/>
      <c r="G988" s="2"/>
      <c r="H988" s="2"/>
    </row>
    <row r="989" spans="5:8" ht="12.75" customHeight="1" x14ac:dyDescent="0.2">
      <c r="E989" s="2"/>
      <c r="G989" s="2"/>
      <c r="H989" s="2"/>
    </row>
    <row r="990" spans="5:8" ht="12.75" customHeight="1" x14ac:dyDescent="0.2">
      <c r="E990" s="2"/>
      <c r="G990" s="2"/>
      <c r="H990" s="2"/>
    </row>
    <row r="991" spans="5:8" ht="12.75" customHeight="1" x14ac:dyDescent="0.2">
      <c r="E991" s="2"/>
      <c r="G991" s="2"/>
      <c r="H991" s="2"/>
    </row>
    <row r="992" spans="5:8" ht="12.75" customHeight="1" x14ac:dyDescent="0.2">
      <c r="E992" s="2"/>
      <c r="G992" s="2"/>
      <c r="H992" s="2"/>
    </row>
    <row r="993" spans="5:8" ht="12.75" customHeight="1" x14ac:dyDescent="0.2">
      <c r="E993" s="2"/>
      <c r="G993" s="2"/>
      <c r="H993" s="2"/>
    </row>
    <row r="994" spans="5:8" ht="12.75" customHeight="1" x14ac:dyDescent="0.2">
      <c r="E994" s="2"/>
      <c r="G994" s="2"/>
      <c r="H994" s="2"/>
    </row>
    <row r="995" spans="5:8" ht="12.75" customHeight="1" x14ac:dyDescent="0.2">
      <c r="E995" s="2"/>
      <c r="G995" s="2"/>
      <c r="H995" s="2"/>
    </row>
    <row r="996" spans="5:8" ht="12.75" customHeight="1" x14ac:dyDescent="0.2">
      <c r="E996" s="2"/>
      <c r="G996" s="2"/>
      <c r="H996" s="2"/>
    </row>
    <row r="997" spans="5:8" ht="12.75" customHeight="1" x14ac:dyDescent="0.2">
      <c r="E997" s="2"/>
      <c r="G997" s="2"/>
      <c r="H997" s="2"/>
    </row>
    <row r="998" spans="5:8" ht="12.75" customHeight="1" x14ac:dyDescent="0.2">
      <c r="E998" s="2"/>
      <c r="G998" s="2"/>
      <c r="H998" s="2"/>
    </row>
    <row r="999" spans="5:8" ht="12.75" customHeight="1" x14ac:dyDescent="0.2">
      <c r="E999" s="2"/>
      <c r="G999" s="2"/>
      <c r="H999" s="2"/>
    </row>
    <row r="1000" spans="5:8" ht="12.75" customHeight="1" x14ac:dyDescent="0.2">
      <c r="E1000" s="2"/>
      <c r="G1000" s="2"/>
      <c r="H1000" s="2"/>
    </row>
    <row r="1001" spans="5:8" ht="12.75" customHeight="1" x14ac:dyDescent="0.2">
      <c r="E1001" s="2"/>
      <c r="G1001" s="2"/>
      <c r="H1001" s="2"/>
    </row>
    <row r="1002" spans="5:8" ht="12.75" customHeight="1" x14ac:dyDescent="0.2">
      <c r="E1002" s="2"/>
      <c r="G1002" s="2"/>
      <c r="H1002" s="2"/>
    </row>
    <row r="1003" spans="5:8" ht="12.75" customHeight="1" x14ac:dyDescent="0.2">
      <c r="E1003" s="2"/>
      <c r="G1003" s="2"/>
      <c r="H1003" s="2"/>
    </row>
    <row r="1004" spans="5:8" ht="12.75" customHeight="1" x14ac:dyDescent="0.2">
      <c r="E1004" s="2"/>
      <c r="G1004" s="2"/>
      <c r="H1004" s="2"/>
    </row>
    <row r="1005" spans="5:8" ht="12.75" customHeight="1" x14ac:dyDescent="0.2">
      <c r="E1005" s="2"/>
      <c r="G1005" s="2"/>
      <c r="H1005" s="2"/>
    </row>
    <row r="1006" spans="5:8" ht="12.75" customHeight="1" x14ac:dyDescent="0.2">
      <c r="E1006" s="2"/>
      <c r="G1006" s="2"/>
      <c r="H1006" s="2"/>
    </row>
  </sheetData>
  <mergeCells count="19">
    <mergeCell ref="A34:P34"/>
    <mergeCell ref="A35:O35"/>
    <mergeCell ref="A29:P29"/>
    <mergeCell ref="A30:P30"/>
    <mergeCell ref="A31:P31"/>
    <mergeCell ref="A32:P32"/>
    <mergeCell ref="A33:P33"/>
    <mergeCell ref="I7:P7"/>
    <mergeCell ref="A8:A16"/>
    <mergeCell ref="A17:A24"/>
    <mergeCell ref="A26:C26"/>
    <mergeCell ref="A28:B28"/>
    <mergeCell ref="E28:K28"/>
    <mergeCell ref="L28:P28"/>
    <mergeCell ref="A1:P1"/>
    <mergeCell ref="A2:P2"/>
    <mergeCell ref="A3:P3"/>
    <mergeCell ref="A4:P4"/>
    <mergeCell ref="A5:P5"/>
  </mergeCells>
  <printOptions horizontalCentered="1"/>
  <pageMargins left="0" right="0" top="0" bottom="0" header="0" footer="0.51181102362204722"/>
  <pageSetup paperSize="9" scale="49" firstPageNumber="0" pageOrder="overThenDown" orientation="landscape" r:id="rId1"/>
  <headerFooter>
    <oddHeader>&amp;R&amp;P de &amp;N</oddHeader>
    <oddFooter>&amp;L&amp;F - &amp;A&amp;CPágina &amp;P de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CCFF"/>
  </sheetPr>
  <dimension ref="A1:AMJ1007"/>
  <sheetViews>
    <sheetView showGridLines="0" view="pageBreakPreview" zoomScale="60" zoomScaleNormal="100" workbookViewId="0">
      <selection activeCell="J7" sqref="J7"/>
    </sheetView>
  </sheetViews>
  <sheetFormatPr defaultColWidth="14.42578125" defaultRowHeight="14.25" x14ac:dyDescent="0.2"/>
  <cols>
    <col min="1" max="1" width="18.85546875" style="1" customWidth="1"/>
    <col min="2" max="2" width="19.140625" style="1" customWidth="1"/>
    <col min="3" max="3" width="14.28515625" style="1" customWidth="1"/>
    <col min="4" max="5" width="15.140625" style="1" customWidth="1"/>
    <col min="6" max="6" width="14.140625" style="1" customWidth="1"/>
    <col min="7" max="7" width="13.42578125" style="1" customWidth="1"/>
    <col min="8" max="8" width="14.28515625" style="1" customWidth="1"/>
    <col min="9" max="9" width="8" style="1" customWidth="1"/>
    <col min="10" max="10" width="12.140625" style="1" customWidth="1"/>
    <col min="11" max="11" width="8" style="1" customWidth="1"/>
    <col min="12" max="12" width="8.85546875" style="1" customWidth="1"/>
    <col min="13" max="13" width="8" style="1" customWidth="1"/>
    <col min="14" max="14" width="11.28515625" style="1" customWidth="1"/>
    <col min="15" max="15" width="21.85546875" style="1" customWidth="1"/>
    <col min="16" max="26" width="8" style="1" customWidth="1"/>
    <col min="27" max="1024" width="14.42578125" style="1"/>
  </cols>
  <sheetData>
    <row r="1" spans="1:16" ht="14.25" customHeight="1" x14ac:dyDescent="0.2">
      <c r="A1" s="326" t="s">
        <v>0</v>
      </c>
      <c r="B1" s="326"/>
      <c r="C1" s="326"/>
      <c r="D1" s="326"/>
      <c r="E1" s="326"/>
      <c r="F1" s="326"/>
      <c r="G1" s="326"/>
      <c r="H1" s="326"/>
      <c r="I1" s="326"/>
      <c r="J1" s="326"/>
      <c r="K1" s="326"/>
      <c r="L1" s="326"/>
      <c r="M1" s="326"/>
      <c r="N1" s="326"/>
      <c r="O1" s="326"/>
      <c r="P1" s="326"/>
    </row>
    <row r="2" spans="1:16" ht="14.25" customHeight="1" x14ac:dyDescent="0.2">
      <c r="A2" s="326" t="s">
        <v>1</v>
      </c>
      <c r="B2" s="326"/>
      <c r="C2" s="326"/>
      <c r="D2" s="326"/>
      <c r="E2" s="326"/>
      <c r="F2" s="326"/>
      <c r="G2" s="326"/>
      <c r="H2" s="326"/>
      <c r="I2" s="326"/>
      <c r="J2" s="326"/>
      <c r="K2" s="326"/>
      <c r="L2" s="326"/>
      <c r="M2" s="326"/>
      <c r="N2" s="326"/>
      <c r="O2" s="326"/>
      <c r="P2" s="326"/>
    </row>
    <row r="3" spans="1:16" ht="14.25" customHeight="1" x14ac:dyDescent="0.2">
      <c r="A3" s="326" t="s">
        <v>2</v>
      </c>
      <c r="B3" s="326"/>
      <c r="C3" s="326"/>
      <c r="D3" s="326"/>
      <c r="E3" s="326"/>
      <c r="F3" s="326"/>
      <c r="G3" s="326"/>
      <c r="H3" s="326"/>
      <c r="I3" s="326"/>
      <c r="J3" s="326"/>
      <c r="K3" s="326"/>
      <c r="L3" s="326"/>
      <c r="M3" s="326"/>
      <c r="N3" s="326"/>
      <c r="O3" s="326"/>
      <c r="P3" s="326"/>
    </row>
    <row r="4" spans="1:16" ht="15" x14ac:dyDescent="0.2">
      <c r="A4" s="356" t="str">
        <f>'1. SA ABA DE CARREGAMENTO'!A4</f>
        <v>CAMPUS SANTO AUGUSTO</v>
      </c>
      <c r="B4" s="356"/>
      <c r="C4" s="356"/>
      <c r="D4" s="356"/>
      <c r="E4" s="356"/>
      <c r="F4" s="356"/>
      <c r="G4" s="356"/>
      <c r="H4" s="356"/>
      <c r="I4" s="356"/>
      <c r="J4" s="356"/>
      <c r="K4" s="356"/>
      <c r="L4" s="356"/>
      <c r="M4" s="356"/>
      <c r="N4" s="356"/>
      <c r="O4" s="356"/>
      <c r="P4" s="356"/>
    </row>
    <row r="5" spans="1:16" ht="14.25" customHeight="1" x14ac:dyDescent="0.2">
      <c r="A5" s="397" t="s">
        <v>478</v>
      </c>
      <c r="B5" s="397"/>
      <c r="C5" s="397"/>
      <c r="D5" s="397"/>
      <c r="E5" s="397"/>
      <c r="F5" s="397"/>
      <c r="G5" s="397"/>
      <c r="H5" s="397"/>
      <c r="I5" s="397"/>
      <c r="J5" s="397"/>
      <c r="K5" s="397"/>
      <c r="L5" s="397"/>
      <c r="M5" s="397"/>
      <c r="N5" s="397"/>
      <c r="O5" s="397"/>
      <c r="P5" s="397"/>
    </row>
    <row r="6" spans="1:16" ht="15" x14ac:dyDescent="0.2">
      <c r="A6" s="20"/>
      <c r="B6" s="20"/>
      <c r="C6" s="20"/>
      <c r="D6" s="20"/>
      <c r="E6" s="20"/>
      <c r="F6" s="20"/>
      <c r="G6" s="20"/>
      <c r="H6" s="20"/>
      <c r="I6" s="20"/>
      <c r="J6" s="20"/>
      <c r="K6" s="20"/>
      <c r="L6" s="20"/>
      <c r="M6" s="20"/>
      <c r="N6" s="20"/>
      <c r="O6" s="20"/>
      <c r="P6" s="20"/>
    </row>
    <row r="7" spans="1:16" ht="140.25" customHeight="1" x14ac:dyDescent="0.2">
      <c r="A7" s="170" t="s">
        <v>23</v>
      </c>
      <c r="B7" s="170" t="s">
        <v>24</v>
      </c>
      <c r="C7" s="170" t="s">
        <v>500</v>
      </c>
      <c r="D7" s="170" t="s">
        <v>501</v>
      </c>
      <c r="E7" s="170" t="s">
        <v>480</v>
      </c>
      <c r="F7" s="170" t="s">
        <v>481</v>
      </c>
      <c r="G7" s="170" t="s">
        <v>482</v>
      </c>
      <c r="H7" s="170" t="s">
        <v>483</v>
      </c>
      <c r="I7" s="413" t="s">
        <v>484</v>
      </c>
      <c r="J7" s="413"/>
      <c r="K7" s="413"/>
      <c r="L7" s="413"/>
      <c r="M7" s="413"/>
      <c r="N7" s="413"/>
      <c r="O7" s="413"/>
      <c r="P7" s="413"/>
    </row>
    <row r="8" spans="1:16" ht="51" customHeight="1" x14ac:dyDescent="0.2">
      <c r="A8" s="368" t="s">
        <v>249</v>
      </c>
      <c r="B8" s="48" t="s">
        <v>502</v>
      </c>
      <c r="C8" s="137">
        <f>'1. SA ABA DE CARREGAMENTO'!$C$39</f>
        <v>300</v>
      </c>
      <c r="D8" s="171">
        <f>'3. SA Área'!BB276</f>
        <v>1528.7100000000003</v>
      </c>
      <c r="E8" s="172">
        <f>D8/C8</f>
        <v>5.0957000000000008</v>
      </c>
      <c r="F8" s="170">
        <f>TRUNC(E8,0)</f>
        <v>5</v>
      </c>
      <c r="G8" s="172">
        <f>E8-F8</f>
        <v>9.5700000000000784E-2</v>
      </c>
      <c r="H8" s="172">
        <f>G8*$C$13*60</f>
        <v>45.936000000000377</v>
      </c>
      <c r="I8" s="140">
        <f>F8</f>
        <v>5</v>
      </c>
      <c r="J8" s="173" t="s">
        <v>485</v>
      </c>
      <c r="K8" s="140">
        <v>8</v>
      </c>
      <c r="L8" s="173" t="s">
        <v>486</v>
      </c>
      <c r="M8" s="140">
        <v>1</v>
      </c>
      <c r="N8" s="173" t="s">
        <v>487</v>
      </c>
      <c r="O8" s="142">
        <f>H8</f>
        <v>45.936000000000377</v>
      </c>
      <c r="P8" s="173" t="s">
        <v>488</v>
      </c>
    </row>
    <row r="9" spans="1:16" ht="51" customHeight="1" x14ac:dyDescent="0.2">
      <c r="A9" s="368"/>
      <c r="B9" s="48" t="s">
        <v>253</v>
      </c>
      <c r="C9" s="137">
        <f>'1. SA ABA DE CARREGAMENTO'!C40</f>
        <v>800</v>
      </c>
      <c r="D9" s="171">
        <f>'3. SA Área'!BC276</f>
        <v>211.55592727272727</v>
      </c>
      <c r="E9" s="172">
        <f>D9/C9</f>
        <v>0.26444490909090912</v>
      </c>
      <c r="F9" s="170">
        <f>TRUNC(E9,0)</f>
        <v>0</v>
      </c>
      <c r="G9" s="172">
        <f>E9-F9</f>
        <v>0.26444490909090912</v>
      </c>
      <c r="H9" s="172">
        <f>G9*$C$13*60</f>
        <v>126.93355636363637</v>
      </c>
      <c r="I9" s="140">
        <f>F9</f>
        <v>0</v>
      </c>
      <c r="J9" s="173" t="s">
        <v>485</v>
      </c>
      <c r="K9" s="140">
        <v>8</v>
      </c>
      <c r="L9" s="173" t="s">
        <v>486</v>
      </c>
      <c r="M9" s="140">
        <v>1</v>
      </c>
      <c r="N9" s="173" t="s">
        <v>487</v>
      </c>
      <c r="O9" s="142">
        <f>H9</f>
        <v>126.93355636363637</v>
      </c>
      <c r="P9" s="173" t="s">
        <v>488</v>
      </c>
    </row>
    <row r="10" spans="1:16" ht="51" customHeight="1" x14ac:dyDescent="0.2">
      <c r="A10" s="368"/>
      <c r="B10" s="48" t="s">
        <v>35</v>
      </c>
      <c r="C10" s="137">
        <f>'1. SA ABA DE CARREGAMENTO'!C41</f>
        <v>450</v>
      </c>
      <c r="D10" s="171">
        <f>'3. SA Área'!BD276</f>
        <v>75.861599999999996</v>
      </c>
      <c r="E10" s="172">
        <f>D10/C10</f>
        <v>0.16858133333333333</v>
      </c>
      <c r="F10" s="170">
        <f>TRUNC(E10,0)</f>
        <v>0</v>
      </c>
      <c r="G10" s="172">
        <f>E10-F10</f>
        <v>0.16858133333333333</v>
      </c>
      <c r="H10" s="173">
        <f>G10*$C$13*60</f>
        <v>80.919039999999995</v>
      </c>
      <c r="I10" s="140">
        <f>F10</f>
        <v>0</v>
      </c>
      <c r="J10" s="173" t="s">
        <v>485</v>
      </c>
      <c r="K10" s="140">
        <v>8</v>
      </c>
      <c r="L10" s="173" t="s">
        <v>486</v>
      </c>
      <c r="M10" s="140">
        <v>1</v>
      </c>
      <c r="N10" s="173" t="s">
        <v>487</v>
      </c>
      <c r="O10" s="140">
        <f>H10</f>
        <v>80.919039999999995</v>
      </c>
      <c r="P10" s="173" t="s">
        <v>488</v>
      </c>
    </row>
    <row r="11" spans="1:16" ht="51" customHeight="1" x14ac:dyDescent="0.2">
      <c r="A11" s="414" t="s">
        <v>503</v>
      </c>
      <c r="B11" s="414"/>
      <c r="C11" s="414"/>
      <c r="D11" s="174">
        <f>SUM(D8:D10)</f>
        <v>1816.1275272727275</v>
      </c>
      <c r="E11" s="175">
        <f>SUM(E8:E10)</f>
        <v>5.5287262424242432</v>
      </c>
      <c r="F11" s="170">
        <f>SUM(F8:F10)</f>
        <v>5</v>
      </c>
      <c r="G11" s="175">
        <f>SUM(G8:G10)</f>
        <v>0.52872624242424326</v>
      </c>
      <c r="H11" s="173">
        <f>G11*$C$13*60</f>
        <v>253.78859636363677</v>
      </c>
      <c r="I11" s="173">
        <f>SUM(I8:I10)</f>
        <v>5</v>
      </c>
      <c r="J11" s="176" t="s">
        <v>485</v>
      </c>
      <c r="K11" s="176">
        <f>$C$13</f>
        <v>8</v>
      </c>
      <c r="L11" s="176" t="s">
        <v>486</v>
      </c>
      <c r="M11" s="177">
        <v>1</v>
      </c>
      <c r="N11" s="176" t="s">
        <v>487</v>
      </c>
      <c r="O11" s="177">
        <f>H11</f>
        <v>253.78859636363677</v>
      </c>
      <c r="P11" s="176" t="s">
        <v>488</v>
      </c>
    </row>
    <row r="12" spans="1:16" ht="15.75" customHeight="1" x14ac:dyDescent="0.2">
      <c r="D12" s="166"/>
      <c r="E12" s="2"/>
      <c r="F12" s="42"/>
      <c r="G12" s="2"/>
      <c r="H12" s="2"/>
      <c r="J12" s="2"/>
      <c r="K12" s="2"/>
      <c r="L12" s="2"/>
      <c r="M12" s="2"/>
      <c r="N12" s="2"/>
      <c r="P12" s="2"/>
    </row>
    <row r="13" spans="1:16" ht="43.5" customHeight="1" x14ac:dyDescent="0.2">
      <c r="A13" s="413" t="s">
        <v>491</v>
      </c>
      <c r="B13" s="413"/>
      <c r="C13" s="178">
        <v>8</v>
      </c>
      <c r="D13" s="170" t="s">
        <v>492</v>
      </c>
      <c r="E13" s="413" t="s">
        <v>493</v>
      </c>
      <c r="F13" s="413"/>
      <c r="G13" s="413"/>
      <c r="H13" s="413"/>
      <c r="I13" s="413"/>
      <c r="J13" s="413"/>
      <c r="K13" s="413"/>
      <c r="L13" s="415">
        <f>F11+G11</f>
        <v>5.5287262424242432</v>
      </c>
      <c r="M13" s="415"/>
      <c r="N13" s="415"/>
      <c r="O13" s="415"/>
      <c r="P13" s="415"/>
    </row>
    <row r="14" spans="1:16" ht="18" customHeight="1" x14ac:dyDescent="0.2">
      <c r="A14" s="413" t="s">
        <v>494</v>
      </c>
      <c r="B14" s="413"/>
      <c r="C14" s="413"/>
      <c r="D14" s="413"/>
      <c r="E14" s="413"/>
      <c r="F14" s="413"/>
      <c r="G14" s="413"/>
      <c r="H14" s="413"/>
      <c r="I14" s="413"/>
      <c r="J14" s="413"/>
      <c r="K14" s="413"/>
      <c r="L14" s="413"/>
      <c r="M14" s="413"/>
      <c r="N14" s="413"/>
      <c r="O14" s="413"/>
      <c r="P14" s="413"/>
    </row>
    <row r="15" spans="1:16" ht="18" customHeight="1" x14ac:dyDescent="0.2">
      <c r="A15" s="407" t="s">
        <v>495</v>
      </c>
      <c r="B15" s="407"/>
      <c r="C15" s="407"/>
      <c r="D15" s="407"/>
      <c r="E15" s="407"/>
      <c r="F15" s="407"/>
      <c r="G15" s="407"/>
      <c r="H15" s="407"/>
      <c r="I15" s="407"/>
      <c r="J15" s="407"/>
      <c r="K15" s="407"/>
      <c r="L15" s="407"/>
      <c r="M15" s="407"/>
      <c r="N15" s="407"/>
      <c r="O15" s="407"/>
      <c r="P15" s="407"/>
    </row>
    <row r="16" spans="1:16" ht="40.5" customHeight="1" x14ac:dyDescent="0.2">
      <c r="A16" s="408" t="s">
        <v>496</v>
      </c>
      <c r="B16" s="408"/>
      <c r="C16" s="408"/>
      <c r="D16" s="408"/>
      <c r="E16" s="408"/>
      <c r="F16" s="408"/>
      <c r="G16" s="408"/>
      <c r="H16" s="408"/>
      <c r="I16" s="408"/>
      <c r="J16" s="408"/>
      <c r="K16" s="408"/>
      <c r="L16" s="408"/>
      <c r="M16" s="408"/>
      <c r="N16" s="408"/>
      <c r="O16" s="408"/>
      <c r="P16" s="408"/>
    </row>
    <row r="17" spans="1:16" ht="18" customHeight="1" x14ac:dyDescent="0.2">
      <c r="A17" s="416"/>
      <c r="B17" s="416"/>
      <c r="C17" s="416"/>
      <c r="D17" s="416"/>
      <c r="E17" s="416"/>
      <c r="F17" s="416"/>
      <c r="G17" s="416"/>
      <c r="H17" s="416"/>
      <c r="I17" s="416"/>
      <c r="J17" s="416"/>
      <c r="K17" s="416"/>
      <c r="L17" s="416"/>
      <c r="M17" s="416"/>
      <c r="N17" s="416"/>
      <c r="O17" s="416"/>
      <c r="P17" s="416"/>
    </row>
    <row r="18" spans="1:16" ht="33.75" customHeight="1" x14ac:dyDescent="0.2">
      <c r="A18" s="417"/>
      <c r="B18" s="417"/>
      <c r="C18" s="417"/>
      <c r="D18" s="417"/>
      <c r="E18" s="417"/>
      <c r="F18" s="417"/>
      <c r="G18" s="417"/>
      <c r="H18" s="417"/>
      <c r="I18" s="417"/>
      <c r="J18" s="417"/>
      <c r="K18" s="417"/>
      <c r="L18" s="417"/>
      <c r="M18" s="417"/>
      <c r="N18" s="417"/>
      <c r="O18" s="417"/>
      <c r="P18" s="417"/>
    </row>
    <row r="19" spans="1:16" ht="12.75" customHeight="1" x14ac:dyDescent="0.2"/>
    <row r="20" spans="1:16" ht="12.75" customHeight="1" x14ac:dyDescent="0.2"/>
    <row r="21" spans="1:16" ht="12.75" customHeight="1" x14ac:dyDescent="0.2"/>
    <row r="22" spans="1:16" ht="12.75" customHeight="1" x14ac:dyDescent="0.2"/>
    <row r="23" spans="1:16" ht="12.75" customHeight="1" x14ac:dyDescent="0.2"/>
    <row r="24" spans="1:16" ht="12.75" customHeight="1" x14ac:dyDescent="0.2"/>
    <row r="25" spans="1:16" ht="12.75" customHeight="1" x14ac:dyDescent="0.2"/>
    <row r="26" spans="1:16" ht="12.75" customHeight="1" x14ac:dyDescent="0.2"/>
    <row r="27" spans="1:16" ht="12.75" customHeight="1" x14ac:dyDescent="0.2"/>
    <row r="28" spans="1:16" ht="12.75" customHeight="1" x14ac:dyDescent="0.2"/>
    <row r="29" spans="1:16" ht="12.75" customHeight="1" x14ac:dyDescent="0.2"/>
    <row r="30" spans="1:16" ht="12.75" customHeight="1" x14ac:dyDescent="0.2"/>
    <row r="31" spans="1:16" ht="12.75" customHeight="1" x14ac:dyDescent="0.2"/>
    <row r="32" spans="1:16"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row r="1001" ht="12.75" customHeight="1" x14ac:dyDescent="0.2"/>
    <row r="1002" ht="12.75" customHeight="1" x14ac:dyDescent="0.2"/>
    <row r="1003" ht="12.75" customHeight="1" x14ac:dyDescent="0.2"/>
    <row r="1004" ht="12.75" customHeight="1" x14ac:dyDescent="0.2"/>
    <row r="1005" ht="12.75" customHeight="1" x14ac:dyDescent="0.2"/>
    <row r="1006" ht="12.75" customHeight="1" x14ac:dyDescent="0.2"/>
    <row r="1007" ht="12.75" customHeight="1" x14ac:dyDescent="0.2"/>
  </sheetData>
  <mergeCells count="16">
    <mergeCell ref="A14:P14"/>
    <mergeCell ref="A15:P15"/>
    <mergeCell ref="A16:P16"/>
    <mergeCell ref="A17:P17"/>
    <mergeCell ref="A18:P18"/>
    <mergeCell ref="I7:P7"/>
    <mergeCell ref="A8:A10"/>
    <mergeCell ref="A11:C11"/>
    <mergeCell ref="A13:B13"/>
    <mergeCell ref="E13:K13"/>
    <mergeCell ref="L13:P13"/>
    <mergeCell ref="A1:P1"/>
    <mergeCell ref="A2:P2"/>
    <mergeCell ref="A3:P3"/>
    <mergeCell ref="A4:P4"/>
    <mergeCell ref="A5:P5"/>
  </mergeCells>
  <printOptions horizontalCentered="1"/>
  <pageMargins left="0" right="0" top="0.39370078740157483" bottom="0" header="0" footer="0.51181102362204722"/>
  <pageSetup paperSize="9" scale="65" firstPageNumber="0" pageOrder="overThenDown" orientation="landscape" r:id="rId1"/>
  <headerFooter>
    <oddHeader>&amp;R&amp;P de &amp;N</oddHeader>
    <oddFooter>&amp;L&amp;F - &amp;A&amp;CPágina &amp;P de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CCFF"/>
  </sheetPr>
  <dimension ref="A1:AMJ1005"/>
  <sheetViews>
    <sheetView showGridLines="0" zoomScaleNormal="100" workbookViewId="0">
      <selection activeCell="J7" sqref="J7"/>
    </sheetView>
  </sheetViews>
  <sheetFormatPr defaultColWidth="14.42578125" defaultRowHeight="14.25" x14ac:dyDescent="0.2"/>
  <cols>
    <col min="1" max="2" width="17" style="1" customWidth="1"/>
    <col min="3" max="3" width="15.85546875" style="1" customWidth="1"/>
    <col min="4" max="5" width="17.42578125" style="1" customWidth="1"/>
    <col min="6" max="6" width="16.5703125" style="1" customWidth="1"/>
    <col min="7" max="7" width="15.28515625" style="1" customWidth="1"/>
    <col min="8" max="8" width="17.140625" style="1" customWidth="1"/>
    <col min="9" max="9" width="8" style="1" customWidth="1"/>
    <col min="10" max="10" width="15.42578125" style="1" customWidth="1"/>
    <col min="11" max="11" width="8" style="1" customWidth="1"/>
    <col min="12" max="12" width="9.7109375" style="1" customWidth="1"/>
    <col min="13" max="13" width="8" style="1" customWidth="1"/>
    <col min="14" max="14" width="14.28515625" style="1" customWidth="1"/>
    <col min="15" max="15" width="15.85546875" style="1" customWidth="1"/>
    <col min="16" max="16" width="11.7109375" style="1" customWidth="1"/>
    <col min="17" max="26" width="8" style="1" customWidth="1"/>
    <col min="27" max="1024" width="14.42578125" style="1"/>
  </cols>
  <sheetData>
    <row r="1" spans="1:19" ht="14.25" customHeight="1" x14ac:dyDescent="0.2">
      <c r="A1" s="326" t="s">
        <v>0</v>
      </c>
      <c r="B1" s="326"/>
      <c r="C1" s="326"/>
      <c r="D1" s="326"/>
      <c r="E1" s="326"/>
      <c r="F1" s="326"/>
      <c r="G1" s="326"/>
      <c r="H1" s="326"/>
      <c r="I1" s="326"/>
      <c r="J1" s="326"/>
      <c r="K1" s="326"/>
      <c r="L1" s="326"/>
      <c r="M1" s="326"/>
      <c r="N1" s="326"/>
      <c r="O1" s="326"/>
      <c r="P1" s="326"/>
    </row>
    <row r="2" spans="1:19" ht="14.25" customHeight="1" x14ac:dyDescent="0.2">
      <c r="A2" s="326" t="s">
        <v>1</v>
      </c>
      <c r="B2" s="326"/>
      <c r="C2" s="326"/>
      <c r="D2" s="326"/>
      <c r="E2" s="326"/>
      <c r="F2" s="326"/>
      <c r="G2" s="326"/>
      <c r="H2" s="326"/>
      <c r="I2" s="326"/>
      <c r="J2" s="326"/>
      <c r="K2" s="326"/>
      <c r="L2" s="326"/>
      <c r="M2" s="326"/>
      <c r="N2" s="326"/>
      <c r="O2" s="326"/>
      <c r="P2" s="326"/>
    </row>
    <row r="3" spans="1:19" ht="14.25" customHeight="1" x14ac:dyDescent="0.2">
      <c r="A3" s="326" t="s">
        <v>2</v>
      </c>
      <c r="B3" s="326"/>
      <c r="C3" s="326"/>
      <c r="D3" s="326"/>
      <c r="E3" s="326"/>
      <c r="F3" s="326"/>
      <c r="G3" s="326"/>
      <c r="H3" s="326"/>
      <c r="I3" s="326"/>
      <c r="J3" s="326"/>
      <c r="K3" s="326"/>
      <c r="L3" s="326"/>
      <c r="M3" s="326"/>
      <c r="N3" s="326"/>
      <c r="O3" s="326"/>
      <c r="P3" s="326"/>
    </row>
    <row r="4" spans="1:19" ht="15" x14ac:dyDescent="0.2">
      <c r="A4" s="356" t="str">
        <f>'1. SA ABA DE CARREGAMENTO'!A4</f>
        <v>CAMPUS SANTO AUGUSTO</v>
      </c>
      <c r="B4" s="356"/>
      <c r="C4" s="356"/>
      <c r="D4" s="356"/>
      <c r="E4" s="356"/>
      <c r="F4" s="356"/>
      <c r="G4" s="356"/>
      <c r="H4" s="356"/>
      <c r="I4" s="356"/>
      <c r="J4" s="356"/>
      <c r="K4" s="356"/>
      <c r="L4" s="356"/>
      <c r="M4" s="356"/>
      <c r="N4" s="356"/>
      <c r="O4" s="356"/>
      <c r="P4" s="356"/>
    </row>
    <row r="5" spans="1:19" ht="14.25" customHeight="1" x14ac:dyDescent="0.2">
      <c r="A5" s="397" t="s">
        <v>478</v>
      </c>
      <c r="B5" s="397"/>
      <c r="C5" s="397"/>
      <c r="D5" s="397"/>
      <c r="E5" s="397"/>
      <c r="F5" s="397"/>
      <c r="G5" s="397"/>
      <c r="H5" s="397"/>
      <c r="I5" s="397"/>
      <c r="J5" s="397"/>
      <c r="K5" s="397"/>
      <c r="L5" s="397"/>
      <c r="M5" s="397"/>
      <c r="N5" s="397"/>
      <c r="O5" s="397"/>
      <c r="P5" s="397"/>
    </row>
    <row r="6" spans="1:19" ht="15" x14ac:dyDescent="0.2">
      <c r="A6" s="20"/>
      <c r="B6" s="20"/>
      <c r="C6" s="20"/>
      <c r="D6" s="20"/>
      <c r="E6" s="20"/>
      <c r="F6" s="20"/>
      <c r="G6" s="20"/>
      <c r="H6" s="20"/>
      <c r="I6" s="20"/>
      <c r="J6" s="20"/>
      <c r="K6" s="20"/>
      <c r="L6" s="20"/>
      <c r="M6" s="20"/>
      <c r="N6" s="20"/>
      <c r="O6" s="20"/>
      <c r="P6" s="20"/>
    </row>
    <row r="7" spans="1:19" ht="140.25" customHeight="1" x14ac:dyDescent="0.2">
      <c r="A7" s="321" t="s">
        <v>23</v>
      </c>
      <c r="B7" s="170" t="s">
        <v>24</v>
      </c>
      <c r="C7" s="170" t="s">
        <v>883</v>
      </c>
      <c r="D7" s="170" t="s">
        <v>501</v>
      </c>
      <c r="E7" s="170" t="s">
        <v>480</v>
      </c>
      <c r="F7" s="170" t="s">
        <v>481</v>
      </c>
      <c r="G7" s="170" t="s">
        <v>482</v>
      </c>
      <c r="H7" s="170" t="s">
        <v>483</v>
      </c>
      <c r="I7" s="413" t="s">
        <v>484</v>
      </c>
      <c r="J7" s="413"/>
      <c r="K7" s="413"/>
      <c r="L7" s="413"/>
      <c r="M7" s="413"/>
      <c r="N7" s="413"/>
      <c r="O7" s="413"/>
      <c r="P7" s="413"/>
      <c r="Q7" s="2"/>
      <c r="R7" s="2"/>
      <c r="S7" s="2"/>
    </row>
    <row r="8" spans="1:19" ht="51" customHeight="1" x14ac:dyDescent="0.2">
      <c r="A8" s="418" t="s">
        <v>504</v>
      </c>
      <c r="B8" s="179" t="s">
        <v>505</v>
      </c>
      <c r="C8" s="137">
        <f>'1. SA ABA DE CARREGAMENTO'!$C$42</f>
        <v>160</v>
      </c>
      <c r="D8" s="174">
        <f>'3. SA Área'!AW276</f>
        <v>3.8041363636363639</v>
      </c>
      <c r="E8" s="172">
        <f>D8/C8</f>
        <v>2.3775852272727275E-2</v>
      </c>
      <c r="F8" s="170">
        <f>TRUNC(E8,0)</f>
        <v>0</v>
      </c>
      <c r="G8" s="172">
        <f>E8-F8</f>
        <v>2.3775852272727275E-2</v>
      </c>
      <c r="H8" s="172">
        <f>G8*$C$14*60</f>
        <v>11.412409090909092</v>
      </c>
      <c r="I8" s="140">
        <f>F8</f>
        <v>0</v>
      </c>
      <c r="J8" s="173" t="s">
        <v>485</v>
      </c>
      <c r="K8" s="140">
        <v>8</v>
      </c>
      <c r="L8" s="173" t="s">
        <v>486</v>
      </c>
      <c r="M8" s="140">
        <v>1</v>
      </c>
      <c r="N8" s="173" t="s">
        <v>487</v>
      </c>
      <c r="O8" s="142">
        <f>H8</f>
        <v>11.412409090909092</v>
      </c>
      <c r="P8" s="173" t="s">
        <v>488</v>
      </c>
    </row>
    <row r="9" spans="1:19" ht="51" customHeight="1" x14ac:dyDescent="0.2">
      <c r="A9" s="418"/>
      <c r="B9" s="179" t="s">
        <v>506</v>
      </c>
      <c r="C9" s="137">
        <f>'1. SA ABA DE CARREGAMENTO'!$C$43</f>
        <v>380</v>
      </c>
      <c r="D9" s="174">
        <f>'3. SA Área'!AX276</f>
        <v>9.5592545454545466</v>
      </c>
      <c r="E9" s="172">
        <f>D9/C9</f>
        <v>2.5155933014354068E-2</v>
      </c>
      <c r="F9" s="170">
        <f>TRUNC(E9,0)</f>
        <v>0</v>
      </c>
      <c r="G9" s="172">
        <f>E9-F9</f>
        <v>2.5155933014354068E-2</v>
      </c>
      <c r="H9" s="172">
        <f>G9*$C$14*60</f>
        <v>12.074847846889952</v>
      </c>
      <c r="I9" s="140">
        <f>F9</f>
        <v>0</v>
      </c>
      <c r="J9" s="173" t="s">
        <v>485</v>
      </c>
      <c r="K9" s="140">
        <v>8</v>
      </c>
      <c r="L9" s="173" t="s">
        <v>486</v>
      </c>
      <c r="M9" s="140">
        <v>1</v>
      </c>
      <c r="N9" s="173" t="s">
        <v>487</v>
      </c>
      <c r="O9" s="142">
        <f>H9</f>
        <v>12.074847846889952</v>
      </c>
      <c r="P9" s="173" t="s">
        <v>488</v>
      </c>
    </row>
    <row r="10" spans="1:19" ht="51" customHeight="1" x14ac:dyDescent="0.2">
      <c r="A10" s="418"/>
      <c r="B10" s="180" t="s">
        <v>52</v>
      </c>
      <c r="C10" s="181">
        <f>'1. SA ABA DE CARREGAMENTO'!$C$44</f>
        <v>380</v>
      </c>
      <c r="D10" s="182">
        <f>'3. SA Área'!AY276</f>
        <v>567.45922727272739</v>
      </c>
      <c r="E10" s="183">
        <f>D10/C10</f>
        <v>1.4933137559808616</v>
      </c>
      <c r="F10" s="184">
        <f>TRUNC(E10,0)</f>
        <v>1</v>
      </c>
      <c r="G10" s="183">
        <f>E10-F10</f>
        <v>0.49331375598086158</v>
      </c>
      <c r="H10" s="183">
        <f>G10*$C$14*60</f>
        <v>236.79060287081356</v>
      </c>
      <c r="I10" s="185">
        <f>F10</f>
        <v>1</v>
      </c>
      <c r="J10" s="186" t="s">
        <v>485</v>
      </c>
      <c r="K10" s="185">
        <v>8</v>
      </c>
      <c r="L10" s="186" t="s">
        <v>486</v>
      </c>
      <c r="M10" s="185">
        <v>1</v>
      </c>
      <c r="N10" s="186" t="s">
        <v>487</v>
      </c>
      <c r="O10" s="187">
        <f>H10</f>
        <v>236.79060287081356</v>
      </c>
      <c r="P10" s="186" t="s">
        <v>488</v>
      </c>
    </row>
    <row r="11" spans="1:19" ht="51" customHeight="1" x14ac:dyDescent="0.2">
      <c r="A11" s="322" t="s">
        <v>53</v>
      </c>
      <c r="B11" s="144" t="s">
        <v>54</v>
      </c>
      <c r="C11" s="188">
        <v>160</v>
      </c>
      <c r="D11" s="145">
        <f>'3. SA Área'!AZ276</f>
        <v>0</v>
      </c>
      <c r="E11" s="146">
        <f>D11/C11</f>
        <v>0</v>
      </c>
      <c r="F11" s="147">
        <f>TRUNC(E11,0)</f>
        <v>0</v>
      </c>
      <c r="G11" s="146">
        <f>E11-F11</f>
        <v>0</v>
      </c>
      <c r="H11" s="146">
        <f>G11*$C$14*60</f>
        <v>0</v>
      </c>
      <c r="I11" s="140">
        <f>F11</f>
        <v>0</v>
      </c>
      <c r="J11" s="148" t="s">
        <v>485</v>
      </c>
      <c r="K11" s="140">
        <v>8</v>
      </c>
      <c r="L11" s="148" t="s">
        <v>486</v>
      </c>
      <c r="M11" s="140">
        <v>1</v>
      </c>
      <c r="N11" s="148" t="s">
        <v>487</v>
      </c>
      <c r="O11" s="142">
        <f>H11</f>
        <v>0</v>
      </c>
      <c r="P11" s="148" t="s">
        <v>488</v>
      </c>
    </row>
    <row r="12" spans="1:19" ht="51" customHeight="1" x14ac:dyDescent="0.2">
      <c r="A12" s="413" t="s">
        <v>507</v>
      </c>
      <c r="B12" s="413"/>
      <c r="C12" s="413"/>
      <c r="D12" s="189">
        <f>SUM(D8:D11)</f>
        <v>580.82261818181826</v>
      </c>
      <c r="E12" s="172">
        <f>SUM(E8:E11)</f>
        <v>1.542245541267943</v>
      </c>
      <c r="F12" s="170">
        <f>TRUNC(E12,0)</f>
        <v>1</v>
      </c>
      <c r="G12" s="172">
        <f>E12-F12</f>
        <v>0.542245541267943</v>
      </c>
      <c r="H12" s="173">
        <f>G12*$C$14*60</f>
        <v>260.27785980861262</v>
      </c>
      <c r="I12" s="170">
        <f>F12</f>
        <v>1</v>
      </c>
      <c r="J12" s="173" t="s">
        <v>485</v>
      </c>
      <c r="K12" s="173">
        <f>$C$14</f>
        <v>8</v>
      </c>
      <c r="L12" s="173" t="s">
        <v>486</v>
      </c>
      <c r="M12" s="170">
        <v>1</v>
      </c>
      <c r="N12" s="173" t="s">
        <v>487</v>
      </c>
      <c r="O12" s="170">
        <f>H12</f>
        <v>260.27785980861262</v>
      </c>
      <c r="P12" s="173" t="s">
        <v>488</v>
      </c>
      <c r="Q12" s="165"/>
      <c r="R12" s="165"/>
    </row>
    <row r="13" spans="1:19" ht="15.75" customHeight="1" x14ac:dyDescent="0.2">
      <c r="D13" s="166"/>
      <c r="E13" s="2"/>
      <c r="F13" s="42"/>
      <c r="G13" s="2"/>
      <c r="H13" s="2"/>
      <c r="J13" s="2"/>
      <c r="K13" s="2"/>
      <c r="L13" s="2"/>
      <c r="M13" s="2"/>
      <c r="N13" s="2"/>
      <c r="P13" s="2"/>
    </row>
    <row r="14" spans="1:19" ht="19.5" customHeight="1" x14ac:dyDescent="0.2">
      <c r="A14" s="419" t="s">
        <v>491</v>
      </c>
      <c r="B14" s="419"/>
      <c r="C14" s="178">
        <v>8</v>
      </c>
      <c r="D14" s="190" t="s">
        <v>492</v>
      </c>
      <c r="E14" s="419" t="s">
        <v>493</v>
      </c>
      <c r="F14" s="419"/>
      <c r="G14" s="419"/>
      <c r="H14" s="419"/>
      <c r="I14" s="419"/>
      <c r="J14" s="419"/>
      <c r="K14" s="419"/>
      <c r="L14" s="415">
        <f>F12+G12</f>
        <v>1.542245541267943</v>
      </c>
      <c r="M14" s="415"/>
      <c r="N14" s="415"/>
      <c r="O14" s="415"/>
      <c r="P14" s="415"/>
    </row>
    <row r="15" spans="1:19" ht="18" customHeight="1" x14ac:dyDescent="0.2">
      <c r="A15" s="413" t="s">
        <v>494</v>
      </c>
      <c r="B15" s="413"/>
      <c r="C15" s="413"/>
      <c r="D15" s="413"/>
      <c r="E15" s="413"/>
      <c r="F15" s="413"/>
      <c r="G15" s="413"/>
      <c r="H15" s="413"/>
      <c r="I15" s="413"/>
      <c r="J15" s="413"/>
      <c r="K15" s="413"/>
      <c r="L15" s="413"/>
      <c r="M15" s="413"/>
      <c r="N15" s="413"/>
      <c r="O15" s="413"/>
      <c r="P15" s="413"/>
    </row>
    <row r="16" spans="1:19" ht="18" customHeight="1" x14ac:dyDescent="0.2">
      <c r="A16" s="407" t="s">
        <v>495</v>
      </c>
      <c r="B16" s="407"/>
      <c r="C16" s="407"/>
      <c r="D16" s="407"/>
      <c r="E16" s="407"/>
      <c r="F16" s="407"/>
      <c r="G16" s="407"/>
      <c r="H16" s="407"/>
      <c r="I16" s="407"/>
      <c r="J16" s="407"/>
      <c r="K16" s="407"/>
      <c r="L16" s="407"/>
      <c r="M16" s="407"/>
      <c r="N16" s="407"/>
      <c r="O16" s="407"/>
      <c r="P16" s="407"/>
    </row>
    <row r="17" spans="1:19" ht="57" customHeight="1" x14ac:dyDescent="0.2">
      <c r="A17" s="408" t="s">
        <v>496</v>
      </c>
      <c r="B17" s="408"/>
      <c r="C17" s="408"/>
      <c r="D17" s="408"/>
      <c r="E17" s="408"/>
      <c r="F17" s="408"/>
      <c r="G17" s="408"/>
      <c r="H17" s="408"/>
      <c r="I17" s="408"/>
      <c r="J17" s="408"/>
      <c r="K17" s="408"/>
      <c r="L17" s="408"/>
      <c r="M17" s="408"/>
      <c r="N17" s="408"/>
      <c r="O17" s="408"/>
      <c r="P17" s="408"/>
    </row>
    <row r="18" spans="1:19" ht="40.5" customHeight="1" x14ac:dyDescent="0.2">
      <c r="A18" s="412" t="s">
        <v>508</v>
      </c>
      <c r="B18" s="412"/>
      <c r="C18" s="412"/>
      <c r="D18" s="412"/>
      <c r="E18" s="412"/>
      <c r="F18" s="412"/>
      <c r="G18" s="412"/>
      <c r="H18" s="412"/>
      <c r="I18" s="412"/>
      <c r="J18" s="412"/>
      <c r="K18" s="412"/>
      <c r="L18" s="412"/>
      <c r="M18" s="412"/>
      <c r="N18" s="412"/>
      <c r="O18" s="412"/>
      <c r="P18" s="412"/>
    </row>
    <row r="19" spans="1:19" ht="49.5" customHeight="1" x14ac:dyDescent="0.2">
      <c r="A19" s="422" t="s">
        <v>509</v>
      </c>
      <c r="B19" s="422"/>
      <c r="C19" s="422"/>
      <c r="D19" s="422"/>
      <c r="E19" s="422"/>
      <c r="F19" s="422"/>
      <c r="G19" s="422"/>
      <c r="H19" s="422"/>
      <c r="I19" s="422"/>
      <c r="J19" s="422"/>
      <c r="K19" s="422"/>
      <c r="L19" s="422"/>
      <c r="M19" s="422"/>
      <c r="N19" s="422"/>
      <c r="O19" s="422"/>
      <c r="P19" s="422"/>
    </row>
    <row r="20" spans="1:19" ht="18" customHeight="1" x14ac:dyDescent="0.2">
      <c r="E20" s="2"/>
      <c r="G20" s="2"/>
      <c r="H20" s="2"/>
    </row>
    <row r="21" spans="1:19" ht="18" customHeight="1" x14ac:dyDescent="0.2">
      <c r="E21" s="2"/>
      <c r="G21" s="2"/>
      <c r="H21" s="2"/>
    </row>
    <row r="22" spans="1:19" ht="18" customHeight="1" x14ac:dyDescent="0.2">
      <c r="A22" s="420"/>
      <c r="B22" s="420"/>
      <c r="C22" s="420"/>
      <c r="D22" s="420"/>
      <c r="E22" s="420"/>
      <c r="F22" s="420"/>
      <c r="G22" s="420"/>
      <c r="H22" s="420"/>
      <c r="I22" s="420"/>
      <c r="J22" s="420"/>
      <c r="K22" s="420"/>
      <c r="L22" s="420"/>
      <c r="M22" s="420"/>
      <c r="N22" s="420"/>
      <c r="O22" s="420"/>
      <c r="P22" s="420"/>
      <c r="Q22" s="420"/>
      <c r="R22" s="420"/>
      <c r="S22" s="420"/>
    </row>
    <row r="23" spans="1:19" ht="18" customHeight="1" x14ac:dyDescent="0.2">
      <c r="E23" s="2"/>
      <c r="G23" s="2"/>
      <c r="H23" s="2"/>
    </row>
    <row r="24" spans="1:19" ht="18" customHeight="1" x14ac:dyDescent="0.2">
      <c r="A24" s="421"/>
      <c r="B24" s="421"/>
      <c r="C24" s="421"/>
      <c r="D24" s="421"/>
      <c r="E24" s="421"/>
      <c r="F24" s="421"/>
      <c r="G24" s="421"/>
      <c r="H24" s="421"/>
      <c r="I24" s="421"/>
      <c r="J24" s="421"/>
      <c r="K24" s="421"/>
      <c r="L24" s="421"/>
      <c r="M24" s="421"/>
      <c r="N24" s="421"/>
      <c r="O24" s="421"/>
      <c r="P24" s="421"/>
      <c r="Q24" s="421"/>
      <c r="R24" s="421"/>
      <c r="S24" s="421"/>
    </row>
    <row r="25" spans="1:19" ht="18" customHeight="1" x14ac:dyDescent="0.2">
      <c r="E25" s="2"/>
      <c r="G25" s="2"/>
      <c r="H25" s="2"/>
    </row>
    <row r="26" spans="1:19" ht="18" customHeight="1" x14ac:dyDescent="0.2">
      <c r="A26" s="420"/>
      <c r="B26" s="420"/>
      <c r="C26" s="420"/>
      <c r="D26" s="420"/>
      <c r="E26" s="420"/>
      <c r="F26" s="420"/>
      <c r="G26" s="420"/>
      <c r="H26" s="420"/>
      <c r="I26" s="420"/>
      <c r="J26" s="420"/>
      <c r="K26" s="420"/>
      <c r="L26" s="420"/>
      <c r="M26" s="420"/>
      <c r="N26" s="420"/>
      <c r="O26" s="420"/>
      <c r="P26" s="420"/>
      <c r="Q26" s="420"/>
      <c r="R26" s="420"/>
      <c r="S26" s="420"/>
    </row>
    <row r="27" spans="1:19" ht="18" customHeight="1" x14ac:dyDescent="0.2">
      <c r="A27" s="420"/>
      <c r="B27" s="420"/>
      <c r="C27" s="420"/>
      <c r="D27" s="420"/>
      <c r="E27" s="420"/>
      <c r="F27" s="420"/>
      <c r="G27" s="420"/>
      <c r="H27" s="420"/>
      <c r="I27" s="420"/>
      <c r="J27" s="420"/>
      <c r="K27" s="420"/>
      <c r="L27" s="420"/>
      <c r="M27" s="420"/>
      <c r="N27" s="420"/>
      <c r="O27" s="420"/>
    </row>
    <row r="28" spans="1:19" ht="12.75" customHeight="1" x14ac:dyDescent="0.2"/>
    <row r="29" spans="1:19" ht="12.75" customHeight="1" x14ac:dyDescent="0.2"/>
    <row r="30" spans="1:19" ht="12.75" customHeight="1" x14ac:dyDescent="0.2"/>
    <row r="31" spans="1:19" ht="12.75" customHeight="1" x14ac:dyDescent="0.2"/>
    <row r="32" spans="1:19"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row r="1001" ht="12.75" customHeight="1" x14ac:dyDescent="0.2"/>
    <row r="1002" ht="12.75" customHeight="1" x14ac:dyDescent="0.2"/>
    <row r="1003" ht="12.75" customHeight="1" x14ac:dyDescent="0.2"/>
    <row r="1004" ht="12.75" customHeight="1" x14ac:dyDescent="0.2"/>
    <row r="1005" ht="12.75" customHeight="1" x14ac:dyDescent="0.2"/>
  </sheetData>
  <mergeCells count="20">
    <mergeCell ref="A22:S22"/>
    <mergeCell ref="A24:S24"/>
    <mergeCell ref="A26:S26"/>
    <mergeCell ref="A27:O27"/>
    <mergeCell ref="A15:P15"/>
    <mergeCell ref="A16:P16"/>
    <mergeCell ref="A17:P17"/>
    <mergeCell ref="A18:P18"/>
    <mergeCell ref="A19:P19"/>
    <mergeCell ref="I7:P7"/>
    <mergeCell ref="A8:A10"/>
    <mergeCell ref="A12:C12"/>
    <mergeCell ref="A14:B14"/>
    <mergeCell ref="E14:K14"/>
    <mergeCell ref="L14:P14"/>
    <mergeCell ref="A1:P1"/>
    <mergeCell ref="A2:P2"/>
    <mergeCell ref="A3:P3"/>
    <mergeCell ref="A4:P4"/>
    <mergeCell ref="A5:P5"/>
  </mergeCells>
  <printOptions horizontalCentered="1"/>
  <pageMargins left="0" right="0" top="0.39370078740157483" bottom="0" header="0" footer="0.51181102362204722"/>
  <pageSetup paperSize="9" scale="65" firstPageNumber="0" pageOrder="overThenDown" orientation="landscape" r:id="rId1"/>
  <headerFooter>
    <oddHeader>&amp;R&amp;P de &amp;N</oddHeader>
    <oddFooter>&amp;L&amp;F - &amp;A&amp;CPágina &amp;P de &amp;N</oddFooter>
  </headerFooter>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AMJ991"/>
  <sheetViews>
    <sheetView showGridLines="0" topLeftCell="A5" zoomScaleNormal="100" workbookViewId="0">
      <selection activeCell="J7" sqref="J7"/>
    </sheetView>
  </sheetViews>
  <sheetFormatPr defaultColWidth="14.42578125" defaultRowHeight="14.25" x14ac:dyDescent="0.2"/>
  <cols>
    <col min="1" max="1" width="17.28515625" style="1" customWidth="1"/>
    <col min="2" max="2" width="8" style="1" customWidth="1"/>
    <col min="3" max="3" width="17.28515625" style="1" customWidth="1"/>
    <col min="4" max="7" width="15.42578125" style="1" customWidth="1"/>
    <col min="8" max="8" width="12.28515625" style="1" customWidth="1"/>
    <col min="9" max="9" width="18.28515625" style="1" customWidth="1"/>
    <col min="10" max="10" width="18.5703125" style="1" customWidth="1"/>
    <col min="11" max="11" width="11.140625" style="1" customWidth="1"/>
    <col min="12" max="12" width="11.28515625" style="1" customWidth="1"/>
    <col min="13" max="26" width="8" style="1" customWidth="1"/>
    <col min="27" max="1024" width="14.42578125" style="1"/>
    <col min="1025" max="16384" width="14.42578125" style="295"/>
  </cols>
  <sheetData>
    <row r="1" spans="1:26" ht="15" x14ac:dyDescent="0.2">
      <c r="A1" s="326" t="s">
        <v>0</v>
      </c>
      <c r="B1" s="326"/>
      <c r="C1" s="326"/>
      <c r="D1" s="326"/>
      <c r="E1" s="326"/>
      <c r="F1" s="326"/>
      <c r="G1" s="326"/>
      <c r="H1" s="326"/>
      <c r="I1" s="326"/>
      <c r="J1" s="326"/>
    </row>
    <row r="2" spans="1:26" ht="15" x14ac:dyDescent="0.2">
      <c r="A2" s="326" t="s">
        <v>1</v>
      </c>
      <c r="B2" s="326"/>
      <c r="C2" s="326"/>
      <c r="D2" s="326"/>
      <c r="E2" s="326"/>
      <c r="F2" s="326"/>
      <c r="G2" s="326"/>
      <c r="H2" s="326"/>
      <c r="I2" s="326"/>
      <c r="J2" s="326"/>
    </row>
    <row r="3" spans="1:26" ht="15" x14ac:dyDescent="0.2">
      <c r="A3" s="326" t="s">
        <v>2</v>
      </c>
      <c r="B3" s="326"/>
      <c r="C3" s="326"/>
      <c r="D3" s="326"/>
      <c r="E3" s="326"/>
      <c r="F3" s="326"/>
      <c r="G3" s="326"/>
      <c r="H3" s="326"/>
      <c r="I3" s="326"/>
      <c r="J3" s="326"/>
    </row>
    <row r="4" spans="1:26" ht="15" x14ac:dyDescent="0.2">
      <c r="A4" s="356" t="str">
        <f>'1. SA ABA DE CARREGAMENTO'!A4</f>
        <v>CAMPUS SANTO AUGUSTO</v>
      </c>
      <c r="B4" s="356"/>
      <c r="C4" s="356"/>
      <c r="D4" s="356"/>
      <c r="E4" s="356"/>
      <c r="F4" s="356"/>
      <c r="G4" s="356"/>
      <c r="H4" s="356"/>
      <c r="I4" s="356"/>
      <c r="J4" s="356"/>
    </row>
    <row r="5" spans="1:26" ht="15" x14ac:dyDescent="0.2">
      <c r="A5" s="397" t="s">
        <v>510</v>
      </c>
      <c r="B5" s="397"/>
      <c r="C5" s="397"/>
      <c r="D5" s="397"/>
      <c r="E5" s="397"/>
      <c r="F5" s="397"/>
      <c r="G5" s="397"/>
      <c r="H5" s="397"/>
      <c r="I5" s="397"/>
      <c r="J5" s="397"/>
      <c r="K5" s="18"/>
      <c r="L5" s="18"/>
      <c r="M5" s="18"/>
      <c r="N5" s="18"/>
      <c r="O5" s="18"/>
      <c r="P5" s="18"/>
      <c r="Q5" s="18"/>
      <c r="R5" s="18"/>
      <c r="S5" s="18"/>
      <c r="T5" s="18"/>
      <c r="U5" s="18"/>
      <c r="V5" s="18"/>
      <c r="W5" s="18"/>
      <c r="X5" s="18"/>
      <c r="Y5" s="18"/>
      <c r="Z5" s="18"/>
    </row>
    <row r="6" spans="1:26" ht="9.75" customHeight="1" x14ac:dyDescent="0.2"/>
    <row r="7" spans="1:26" ht="15" x14ac:dyDescent="0.2">
      <c r="A7" s="423" t="s">
        <v>511</v>
      </c>
      <c r="B7" s="423"/>
      <c r="C7" s="423"/>
      <c r="D7" s="423"/>
      <c r="E7" s="423"/>
      <c r="F7" s="423"/>
      <c r="G7" s="423"/>
      <c r="H7" s="423"/>
      <c r="I7" s="423"/>
      <c r="J7" s="423"/>
    </row>
    <row r="8" spans="1:26" ht="9.75" customHeight="1" x14ac:dyDescent="0.2"/>
    <row r="9" spans="1:26" ht="23.25" customHeight="1" x14ac:dyDescent="0.2">
      <c r="A9" s="423" t="s">
        <v>512</v>
      </c>
      <c r="B9" s="423"/>
      <c r="C9" s="423"/>
      <c r="D9" s="424" t="s">
        <v>513</v>
      </c>
      <c r="E9" s="424"/>
      <c r="F9" s="424"/>
      <c r="G9" s="424"/>
      <c r="H9" s="424"/>
      <c r="I9" s="425" t="str">
        <f>'1. SA ABA DE CARREGAMENTO'!A4</f>
        <v>CAMPUS SANTO AUGUSTO</v>
      </c>
      <c r="J9" s="425"/>
    </row>
    <row r="10" spans="1:26" ht="23.25" customHeight="1" x14ac:dyDescent="0.2">
      <c r="A10" s="423"/>
      <c r="B10" s="423"/>
      <c r="C10" s="423"/>
      <c r="D10" s="426" t="s">
        <v>514</v>
      </c>
      <c r="E10" s="426"/>
      <c r="F10" s="426"/>
      <c r="G10" s="296">
        <f>'4. SA Cál DEMO Limpeza Geral'!D26</f>
        <v>16185.716736363634</v>
      </c>
      <c r="H10" s="297" t="s">
        <v>515</v>
      </c>
      <c r="I10" s="427" t="s">
        <v>516</v>
      </c>
      <c r="J10" s="427"/>
    </row>
    <row r="11" spans="1:26" ht="28.5" customHeight="1" x14ac:dyDescent="0.2">
      <c r="A11" s="194" t="s">
        <v>517</v>
      </c>
      <c r="B11" s="428" t="str">
        <f>'1. SA ABA DE CARREGAMENTO'!B11</f>
        <v>23243.000810/2021-41</v>
      </c>
      <c r="C11" s="428"/>
      <c r="D11" s="194" t="s">
        <v>518</v>
      </c>
      <c r="E11" s="429" t="str">
        <f>'1. SA ABA DE CARREGAMENTO'!B12</f>
        <v>33 / 2021</v>
      </c>
      <c r="F11" s="429"/>
      <c r="G11" s="194" t="s">
        <v>14</v>
      </c>
      <c r="H11" s="195">
        <f>'1. SA ABA DE CARREGAMENTO'!B13</f>
        <v>0</v>
      </c>
      <c r="I11" s="196" t="s">
        <v>15</v>
      </c>
      <c r="J11" s="197" t="str">
        <f>'1. SA ABA DE CARREGAMENTO'!B14</f>
        <v>09h (Horário de Brasília)</v>
      </c>
    </row>
    <row r="12" spans="1:26" ht="23.25" customHeight="1" x14ac:dyDescent="0.2">
      <c r="A12" s="198" t="s">
        <v>17</v>
      </c>
      <c r="B12" s="430" t="str">
        <f>'1. SA ABA DE CARREGAMENTO'!B15</f>
        <v>xxxx xxxx xxxx</v>
      </c>
      <c r="C12" s="430"/>
      <c r="D12" s="430"/>
      <c r="E12" s="430"/>
      <c r="F12" s="430"/>
      <c r="G12" s="430"/>
      <c r="H12" s="199" t="s">
        <v>519</v>
      </c>
      <c r="I12" s="431" t="str">
        <f>'1. SA ABA DE CARREGAMENTO'!B16</f>
        <v>zz.zzz.zzz/zzzz-zz</v>
      </c>
      <c r="J12" s="431"/>
    </row>
    <row r="13" spans="1:26" ht="23.25" customHeight="1" x14ac:dyDescent="0.2">
      <c r="A13" s="198" t="s">
        <v>520</v>
      </c>
      <c r="B13" s="430" t="str">
        <f>'1. SA ABA DE CARREGAMENTO'!B17</f>
        <v>Nome Completo</v>
      </c>
      <c r="C13" s="430"/>
      <c r="D13" s="430"/>
      <c r="E13" s="198" t="s">
        <v>521</v>
      </c>
      <c r="F13" s="432" t="str">
        <f>'1. SA ABA DE CARREGAMENTO'!B18</f>
        <v>yyy.yyy.yyy-yy</v>
      </c>
      <c r="G13" s="432"/>
      <c r="H13" s="198" t="s">
        <v>522</v>
      </c>
      <c r="I13" s="433" t="str">
        <f>'1. SA ABA DE CARREGAMENTO'!B19</f>
        <v>tttt tttt tttt</v>
      </c>
      <c r="J13" s="433"/>
    </row>
    <row r="14" spans="1:26" ht="15" x14ac:dyDescent="0.2">
      <c r="A14" s="434" t="str">
        <f>IF('1. SA ABA DE CARREGAMENTO'!B15="","PLANILHA CUSTOS E FORMAÇÃO DE PREÇOS DA ADMINISTRAÇÃO DO","")</f>
        <v/>
      </c>
      <c r="B14" s="434"/>
      <c r="C14" s="434"/>
      <c r="D14" s="434"/>
      <c r="E14" s="434"/>
      <c r="F14" s="434"/>
      <c r="G14" s="434"/>
      <c r="H14" s="435" t="str">
        <f>IF('1. SA ABA DE CARREGAMENTO'!B15="",'1. SA ABA DE CARREGAMENTO'!A4,"")</f>
        <v/>
      </c>
      <c r="I14" s="435"/>
      <c r="J14" s="435"/>
    </row>
    <row r="15" spans="1:26" ht="23.25" customHeight="1" x14ac:dyDescent="0.2">
      <c r="A15" s="436" t="s">
        <v>523</v>
      </c>
      <c r="B15" s="436"/>
      <c r="C15" s="436"/>
      <c r="D15" s="436"/>
      <c r="E15" s="436"/>
      <c r="F15" s="436"/>
      <c r="G15" s="436"/>
      <c r="H15" s="284">
        <f>'1. SA ABA DE CARREGAMENTO'!B51</f>
        <v>1</v>
      </c>
      <c r="I15" s="437" t="str">
        <f>IF(H15=1,"LUCRO REAL",IF(H15=2,"LUCRO PRESUMIDO",IF(H15=3,"SIMPLES-Anexo III",IF(H15=4,"SIMPLES-Anexo IV",IF(H15=5,"LUCRO REAL - PIS/COFINS Não Cumulativo","RT Inválido")))))</f>
        <v>LUCRO REAL</v>
      </c>
      <c r="J15" s="437"/>
    </row>
    <row r="16" spans="1:26" ht="15" x14ac:dyDescent="0.2">
      <c r="A16" s="285"/>
      <c r="B16" s="285"/>
      <c r="C16" s="285"/>
      <c r="D16" s="285"/>
      <c r="E16" s="285"/>
      <c r="F16" s="285"/>
      <c r="G16" s="285"/>
      <c r="H16" s="285"/>
      <c r="I16" s="285"/>
      <c r="J16" s="285"/>
      <c r="K16" s="18"/>
      <c r="L16" s="18"/>
      <c r="M16" s="18"/>
      <c r="N16" s="18"/>
      <c r="O16" s="18"/>
      <c r="P16" s="18"/>
      <c r="Q16" s="18"/>
      <c r="R16" s="18"/>
      <c r="S16" s="18"/>
      <c r="T16" s="18"/>
      <c r="U16" s="18"/>
      <c r="V16" s="18"/>
      <c r="W16" s="18"/>
      <c r="X16" s="18"/>
      <c r="Y16" s="18"/>
      <c r="Z16" s="18"/>
    </row>
    <row r="17" spans="1:26" ht="23.25" customHeight="1" x14ac:dyDescent="0.2">
      <c r="A17" s="423" t="s">
        <v>524</v>
      </c>
      <c r="B17" s="423"/>
      <c r="C17" s="423"/>
      <c r="D17" s="423"/>
      <c r="E17" s="423"/>
      <c r="F17" s="423"/>
      <c r="G17" s="423"/>
      <c r="H17" s="423"/>
      <c r="I17" s="423"/>
      <c r="J17" s="423"/>
    </row>
    <row r="18" spans="1:26" ht="23.25" customHeight="1" x14ac:dyDescent="0.2">
      <c r="A18" s="287" t="s">
        <v>525</v>
      </c>
      <c r="B18" s="438" t="s">
        <v>526</v>
      </c>
      <c r="C18" s="438"/>
      <c r="D18" s="438"/>
      <c r="E18" s="438"/>
      <c r="F18" s="438"/>
      <c r="G18" s="438"/>
      <c r="H18" s="439">
        <f ca="1">'1. SA ABA DE CARREGAMENTO'!B54</f>
        <v>44609</v>
      </c>
      <c r="I18" s="439"/>
      <c r="J18" s="439"/>
    </row>
    <row r="19" spans="1:26" ht="23.25" customHeight="1" x14ac:dyDescent="0.2">
      <c r="A19" s="287" t="s">
        <v>527</v>
      </c>
      <c r="B19" s="438" t="s">
        <v>62</v>
      </c>
      <c r="C19" s="438"/>
      <c r="D19" s="438"/>
      <c r="E19" s="438"/>
      <c r="F19" s="438"/>
      <c r="G19" s="438"/>
      <c r="H19" s="439" t="str">
        <f>'1. SA ABA DE CARREGAMENTO'!B55</f>
        <v>Santo Augusto/RS</v>
      </c>
      <c r="I19" s="439"/>
      <c r="J19" s="439"/>
    </row>
    <row r="20" spans="1:26" ht="37.5" customHeight="1" x14ac:dyDescent="0.2">
      <c r="A20" s="287" t="s">
        <v>528</v>
      </c>
      <c r="B20" s="438" t="s">
        <v>529</v>
      </c>
      <c r="C20" s="438"/>
      <c r="D20" s="438"/>
      <c r="E20" s="438"/>
      <c r="F20" s="438"/>
      <c r="G20" s="438"/>
      <c r="H20" s="439" t="str">
        <f>'1. SA ABA DE CARREGAMENTO'!B56</f>
        <v>CCT Sindasseio 2022/2022 - Registro MTE: RS005021/2021</v>
      </c>
      <c r="I20" s="439"/>
      <c r="J20" s="439"/>
    </row>
    <row r="21" spans="1:26" ht="23.25" customHeight="1" x14ac:dyDescent="0.2">
      <c r="A21" s="287" t="s">
        <v>530</v>
      </c>
      <c r="B21" s="438" t="s">
        <v>531</v>
      </c>
      <c r="C21" s="438"/>
      <c r="D21" s="438"/>
      <c r="E21" s="438"/>
      <c r="F21" s="438"/>
      <c r="G21" s="438"/>
      <c r="H21" s="440">
        <f>'1. SA ABA DE CARREGAMENTO'!B57</f>
        <v>20</v>
      </c>
      <c r="I21" s="440"/>
      <c r="J21" s="440"/>
    </row>
    <row r="22" spans="1:26" ht="9.75" customHeight="1" x14ac:dyDescent="0.2">
      <c r="A22" s="285"/>
      <c r="B22" s="285"/>
      <c r="C22" s="285"/>
      <c r="D22" s="285"/>
      <c r="E22" s="285"/>
      <c r="F22" s="285"/>
      <c r="G22" s="285"/>
      <c r="H22" s="285"/>
      <c r="I22" s="285"/>
      <c r="J22" s="285"/>
      <c r="K22" s="18"/>
      <c r="L22" s="18"/>
      <c r="M22" s="18"/>
      <c r="N22" s="18"/>
      <c r="O22" s="18"/>
      <c r="P22" s="18"/>
      <c r="Q22" s="18"/>
      <c r="R22" s="18"/>
      <c r="S22" s="18"/>
      <c r="T22" s="18"/>
      <c r="U22" s="18"/>
      <c r="V22" s="18"/>
      <c r="W22" s="18"/>
      <c r="X22" s="18"/>
      <c r="Y22" s="18"/>
      <c r="Z22" s="18"/>
    </row>
    <row r="23" spans="1:26" ht="19.5" customHeight="1" x14ac:dyDescent="0.2">
      <c r="A23" s="423" t="s">
        <v>532</v>
      </c>
      <c r="B23" s="423"/>
      <c r="C23" s="423"/>
      <c r="D23" s="423"/>
      <c r="E23" s="423"/>
      <c r="F23" s="423"/>
      <c r="G23" s="423"/>
      <c r="H23" s="423"/>
      <c r="I23" s="423"/>
      <c r="J23" s="423"/>
    </row>
    <row r="24" spans="1:26" ht="19.5" customHeight="1" x14ac:dyDescent="0.2">
      <c r="A24" s="441" t="s">
        <v>533</v>
      </c>
      <c r="B24" s="441"/>
      <c r="C24" s="441"/>
      <c r="D24" s="441"/>
      <c r="E24" s="441"/>
      <c r="F24" s="441"/>
      <c r="G24" s="441" t="s">
        <v>534</v>
      </c>
      <c r="H24" s="441"/>
      <c r="I24" s="441" t="s">
        <v>535</v>
      </c>
      <c r="J24" s="441"/>
    </row>
    <row r="25" spans="1:26" ht="19.5" customHeight="1" x14ac:dyDescent="0.2">
      <c r="A25" s="442" t="s">
        <v>536</v>
      </c>
      <c r="B25" s="442"/>
      <c r="C25" s="442"/>
      <c r="D25" s="442"/>
      <c r="E25" s="442"/>
      <c r="F25" s="442"/>
      <c r="G25" s="443" t="s">
        <v>537</v>
      </c>
      <c r="H25" s="443"/>
      <c r="I25" s="444">
        <f>'4. SA Cál DEMO Limpeza Geral'!D8</f>
        <v>782.90909090909088</v>
      </c>
      <c r="J25" s="444"/>
    </row>
    <row r="26" spans="1:26" ht="19.5" customHeight="1" x14ac:dyDescent="0.2">
      <c r="A26" s="442" t="s">
        <v>538</v>
      </c>
      <c r="B26" s="442"/>
      <c r="C26" s="442"/>
      <c r="D26" s="442"/>
      <c r="E26" s="442"/>
      <c r="F26" s="442"/>
      <c r="G26" s="443" t="s">
        <v>537</v>
      </c>
      <c r="H26" s="443"/>
      <c r="I26" s="444">
        <f>'4. SA Cál DEMO Limpeza Geral'!D9</f>
        <v>8067.0091272727259</v>
      </c>
      <c r="J26" s="444"/>
    </row>
    <row r="27" spans="1:26" ht="19.5" customHeight="1" x14ac:dyDescent="0.2">
      <c r="A27" s="442" t="s">
        <v>539</v>
      </c>
      <c r="B27" s="442"/>
      <c r="C27" s="442"/>
      <c r="D27" s="442"/>
      <c r="E27" s="442"/>
      <c r="F27" s="442"/>
      <c r="G27" s="443" t="s">
        <v>537</v>
      </c>
      <c r="H27" s="443"/>
      <c r="I27" s="444">
        <f>'4. SA Cál DEMO Limpeza Geral'!D10</f>
        <v>2805.9702272727268</v>
      </c>
      <c r="J27" s="444"/>
    </row>
    <row r="28" spans="1:26" ht="19.5" customHeight="1" x14ac:dyDescent="0.2">
      <c r="A28" s="442" t="s">
        <v>540</v>
      </c>
      <c r="B28" s="442"/>
      <c r="C28" s="442"/>
      <c r="D28" s="442"/>
      <c r="E28" s="442"/>
      <c r="F28" s="442"/>
      <c r="G28" s="443" t="s">
        <v>537</v>
      </c>
      <c r="H28" s="443"/>
      <c r="I28" s="444">
        <f>'4. SA Cál DEMO Limpeza Geral'!D11</f>
        <v>93.613372727272747</v>
      </c>
      <c r="J28" s="444"/>
    </row>
    <row r="29" spans="1:26" ht="19.5" customHeight="1" x14ac:dyDescent="0.2">
      <c r="A29" s="442" t="s">
        <v>541</v>
      </c>
      <c r="B29" s="442"/>
      <c r="C29" s="442"/>
      <c r="D29" s="442"/>
      <c r="E29" s="442"/>
      <c r="F29" s="442"/>
      <c r="G29" s="443" t="s">
        <v>537</v>
      </c>
      <c r="H29" s="443"/>
      <c r="I29" s="444">
        <f>'4. SA Cál DEMO Limpeza Geral'!D12</f>
        <v>6.2292954545454542</v>
      </c>
      <c r="J29" s="444"/>
    </row>
    <row r="30" spans="1:26" ht="19.5" customHeight="1" x14ac:dyDescent="0.2">
      <c r="A30" s="442" t="s">
        <v>542</v>
      </c>
      <c r="B30" s="442"/>
      <c r="C30" s="442"/>
      <c r="D30" s="442"/>
      <c r="E30" s="442"/>
      <c r="F30" s="442"/>
      <c r="G30" s="443" t="s">
        <v>537</v>
      </c>
      <c r="H30" s="443"/>
      <c r="I30" s="444">
        <f>'4. SA Cál DEMO Limpeza Geral'!D13</f>
        <v>3871.5101045454553</v>
      </c>
      <c r="J30" s="444"/>
    </row>
    <row r="31" spans="1:26" ht="19.5" customHeight="1" x14ac:dyDescent="0.2">
      <c r="A31" s="442" t="s">
        <v>543</v>
      </c>
      <c r="B31" s="442"/>
      <c r="C31" s="442"/>
      <c r="D31" s="442"/>
      <c r="E31" s="442"/>
      <c r="F31" s="442"/>
      <c r="G31" s="443" t="s">
        <v>537</v>
      </c>
      <c r="H31" s="443"/>
      <c r="I31" s="444">
        <f>'4. SA Cál DEMO Limpeza Geral'!D14</f>
        <v>0</v>
      </c>
      <c r="J31" s="444"/>
    </row>
    <row r="32" spans="1:26" ht="19.5" customHeight="1" x14ac:dyDescent="0.2">
      <c r="A32" s="442" t="s">
        <v>544</v>
      </c>
      <c r="B32" s="442"/>
      <c r="C32" s="442"/>
      <c r="D32" s="442"/>
      <c r="E32" s="442"/>
      <c r="F32" s="442"/>
      <c r="G32" s="443" t="s">
        <v>537</v>
      </c>
      <c r="H32" s="443"/>
      <c r="I32" s="445">
        <f>'4. SA Cál DEMO Limpeza Geral'!D15</f>
        <v>0</v>
      </c>
      <c r="J32" s="445"/>
    </row>
    <row r="33" spans="1:10" ht="19.5" customHeight="1" x14ac:dyDescent="0.2">
      <c r="A33" s="442" t="s">
        <v>545</v>
      </c>
      <c r="B33" s="442"/>
      <c r="C33" s="442"/>
      <c r="D33" s="442"/>
      <c r="E33" s="442"/>
      <c r="F33" s="442"/>
      <c r="G33" s="443" t="s">
        <v>537</v>
      </c>
      <c r="H33" s="443"/>
      <c r="I33" s="445">
        <f>'4. SA Cál DEMO Limpeza Geral'!D16</f>
        <v>0</v>
      </c>
      <c r="J33" s="445"/>
    </row>
    <row r="34" spans="1:10" ht="19.5" customHeight="1" x14ac:dyDescent="0.2">
      <c r="A34" s="446" t="s">
        <v>546</v>
      </c>
      <c r="B34" s="446"/>
      <c r="C34" s="446"/>
      <c r="D34" s="446"/>
      <c r="E34" s="446"/>
      <c r="F34" s="446"/>
      <c r="G34" s="446"/>
      <c r="H34" s="446"/>
      <c r="I34" s="447">
        <f>SUM(I25:J33)</f>
        <v>15627.241218181816</v>
      </c>
      <c r="J34" s="447"/>
    </row>
    <row r="35" spans="1:10" ht="19.5" customHeight="1" x14ac:dyDescent="0.2">
      <c r="A35" s="442" t="s">
        <v>547</v>
      </c>
      <c r="B35" s="442"/>
      <c r="C35" s="442"/>
      <c r="D35" s="442"/>
      <c r="E35" s="442"/>
      <c r="F35" s="442"/>
      <c r="G35" s="443" t="s">
        <v>537</v>
      </c>
      <c r="H35" s="443"/>
      <c r="I35" s="445">
        <f>'4. SA Cál DEMO Limpeza Geral'!D17</f>
        <v>477.54882272727275</v>
      </c>
      <c r="J35" s="445"/>
    </row>
    <row r="36" spans="1:10" ht="19.5" customHeight="1" x14ac:dyDescent="0.2">
      <c r="A36" s="442" t="s">
        <v>548</v>
      </c>
      <c r="B36" s="442"/>
      <c r="C36" s="442"/>
      <c r="D36" s="442"/>
      <c r="E36" s="442"/>
      <c r="F36" s="442"/>
      <c r="G36" s="443" t="s">
        <v>537</v>
      </c>
      <c r="H36" s="443"/>
      <c r="I36" s="445">
        <f>'4. SA Cál DEMO Limpeza Geral'!D18</f>
        <v>0</v>
      </c>
      <c r="J36" s="445"/>
    </row>
    <row r="37" spans="1:10" ht="19.5" customHeight="1" x14ac:dyDescent="0.2">
      <c r="A37" s="442" t="s">
        <v>549</v>
      </c>
      <c r="B37" s="442"/>
      <c r="C37" s="442"/>
      <c r="D37" s="442"/>
      <c r="E37" s="442"/>
      <c r="F37" s="442"/>
      <c r="G37" s="443" t="s">
        <v>537</v>
      </c>
      <c r="H37" s="443"/>
      <c r="I37" s="445">
        <f>'4. SA Cál DEMO Limpeza Geral'!D19</f>
        <v>0</v>
      </c>
      <c r="J37" s="445"/>
    </row>
    <row r="38" spans="1:10" ht="19.5" customHeight="1" x14ac:dyDescent="0.2">
      <c r="A38" s="442" t="s">
        <v>550</v>
      </c>
      <c r="B38" s="442"/>
      <c r="C38" s="442"/>
      <c r="D38" s="442"/>
      <c r="E38" s="442"/>
      <c r="F38" s="442"/>
      <c r="G38" s="443" t="s">
        <v>537</v>
      </c>
      <c r="H38" s="443"/>
      <c r="I38" s="445">
        <f>'4. SA Cál DEMO Limpeza Geral'!D20</f>
        <v>0.64669545454545463</v>
      </c>
      <c r="J38" s="445"/>
    </row>
    <row r="39" spans="1:10" ht="19.5" customHeight="1" x14ac:dyDescent="0.2">
      <c r="A39" s="442" t="s">
        <v>551</v>
      </c>
      <c r="B39" s="442"/>
      <c r="C39" s="442"/>
      <c r="D39" s="442"/>
      <c r="E39" s="442"/>
      <c r="F39" s="442"/>
      <c r="G39" s="443" t="s">
        <v>537</v>
      </c>
      <c r="H39" s="443"/>
      <c r="I39" s="445">
        <f>'4. SA Cál DEMO Limpeza Geral'!D21</f>
        <v>0</v>
      </c>
      <c r="J39" s="445"/>
    </row>
    <row r="40" spans="1:10" ht="19.5" customHeight="1" x14ac:dyDescent="0.2">
      <c r="A40" s="442" t="s">
        <v>552</v>
      </c>
      <c r="B40" s="442"/>
      <c r="C40" s="442"/>
      <c r="D40" s="442"/>
      <c r="E40" s="442"/>
      <c r="F40" s="442"/>
      <c r="G40" s="443" t="s">
        <v>537</v>
      </c>
      <c r="H40" s="443"/>
      <c r="I40" s="445">
        <f>'4. SA Cál DEMO Limpeza Geral'!D22</f>
        <v>0</v>
      </c>
      <c r="J40" s="445"/>
    </row>
    <row r="41" spans="1:10" ht="19.5" customHeight="1" x14ac:dyDescent="0.2">
      <c r="A41" s="442" t="s">
        <v>553</v>
      </c>
      <c r="B41" s="442"/>
      <c r="C41" s="442"/>
      <c r="D41" s="442"/>
      <c r="E41" s="442"/>
      <c r="F41" s="442"/>
      <c r="G41" s="443" t="s">
        <v>537</v>
      </c>
      <c r="H41" s="443"/>
      <c r="I41" s="445">
        <f>'4. SA Cál DEMO Limpeza Geral'!D23</f>
        <v>0</v>
      </c>
      <c r="J41" s="445"/>
    </row>
    <row r="42" spans="1:10" ht="19.5" customHeight="1" x14ac:dyDescent="0.2">
      <c r="A42" s="442" t="s">
        <v>554</v>
      </c>
      <c r="B42" s="442"/>
      <c r="C42" s="442"/>
      <c r="D42" s="442"/>
      <c r="E42" s="442"/>
      <c r="F42" s="442"/>
      <c r="G42" s="443" t="s">
        <v>537</v>
      </c>
      <c r="H42" s="443"/>
      <c r="I42" s="445">
        <f>'4. SA Cál DEMO Limpeza Geral'!D24</f>
        <v>0</v>
      </c>
      <c r="J42" s="445"/>
    </row>
    <row r="43" spans="1:10" ht="19.5" customHeight="1" x14ac:dyDescent="0.2">
      <c r="A43" s="446" t="s">
        <v>555</v>
      </c>
      <c r="B43" s="446"/>
      <c r="C43" s="446"/>
      <c r="D43" s="446"/>
      <c r="E43" s="446"/>
      <c r="F43" s="446"/>
      <c r="G43" s="446"/>
      <c r="H43" s="446"/>
      <c r="I43" s="447">
        <f>SUM(I35:J42)</f>
        <v>478.19551818181822</v>
      </c>
      <c r="J43" s="447"/>
    </row>
    <row r="44" spans="1:10" ht="19.5" customHeight="1" x14ac:dyDescent="0.2">
      <c r="A44" s="442" t="s">
        <v>556</v>
      </c>
      <c r="B44" s="442"/>
      <c r="C44" s="442"/>
      <c r="D44" s="442"/>
      <c r="E44" s="442"/>
      <c r="F44" s="442"/>
      <c r="G44" s="443" t="s">
        <v>537</v>
      </c>
      <c r="H44" s="443"/>
      <c r="I44" s="448">
        <f>'4. SA Cál DEMO Limpeza Geral'!D25</f>
        <v>80.28</v>
      </c>
      <c r="J44" s="448"/>
    </row>
    <row r="45" spans="1:10" ht="19.5" customHeight="1" x14ac:dyDescent="0.2">
      <c r="A45" s="446" t="s">
        <v>557</v>
      </c>
      <c r="B45" s="446"/>
      <c r="C45" s="446"/>
      <c r="D45" s="446"/>
      <c r="E45" s="446"/>
      <c r="F45" s="446"/>
      <c r="G45" s="446"/>
      <c r="H45" s="446"/>
      <c r="I45" s="447">
        <f>I44</f>
        <v>80.28</v>
      </c>
      <c r="J45" s="447"/>
    </row>
    <row r="46" spans="1:10" ht="19.5" customHeight="1" x14ac:dyDescent="0.2">
      <c r="A46" s="442" t="s">
        <v>558</v>
      </c>
      <c r="B46" s="442"/>
      <c r="C46" s="442"/>
      <c r="D46" s="442"/>
      <c r="E46" s="442"/>
      <c r="F46" s="442"/>
      <c r="G46" s="443" t="s">
        <v>537</v>
      </c>
      <c r="H46" s="443"/>
      <c r="I46" s="448">
        <v>0</v>
      </c>
      <c r="J46" s="448"/>
    </row>
    <row r="47" spans="1:10" ht="19.5" customHeight="1" x14ac:dyDescent="0.2">
      <c r="A47" s="446" t="s">
        <v>559</v>
      </c>
      <c r="B47" s="446"/>
      <c r="C47" s="446"/>
      <c r="D47" s="446"/>
      <c r="E47" s="446"/>
      <c r="F47" s="446"/>
      <c r="G47" s="446"/>
      <c r="H47" s="446"/>
      <c r="I47" s="447">
        <v>0</v>
      </c>
      <c r="J47" s="447"/>
    </row>
    <row r="48" spans="1:10" ht="19.5" customHeight="1" x14ac:dyDescent="0.2">
      <c r="A48" s="446" t="s">
        <v>560</v>
      </c>
      <c r="B48" s="446"/>
      <c r="C48" s="446"/>
      <c r="D48" s="446"/>
      <c r="E48" s="446"/>
      <c r="F48" s="446"/>
      <c r="G48" s="446"/>
      <c r="H48" s="446"/>
      <c r="I48" s="447">
        <f>I47+I45+I43+I34</f>
        <v>16185.716736363634</v>
      </c>
      <c r="J48" s="447"/>
    </row>
    <row r="49" spans="1:10" ht="9.75" customHeight="1" x14ac:dyDescent="0.2">
      <c r="A49" s="449"/>
      <c r="B49" s="449"/>
      <c r="C49" s="449"/>
      <c r="D49" s="449"/>
      <c r="E49" s="449"/>
      <c r="F49" s="449"/>
      <c r="G49" s="449"/>
      <c r="H49" s="449"/>
      <c r="I49" s="449"/>
      <c r="J49" s="449"/>
    </row>
    <row r="50" spans="1:10" ht="18.75" customHeight="1" x14ac:dyDescent="0.2">
      <c r="A50" s="423" t="s">
        <v>561</v>
      </c>
      <c r="B50" s="423"/>
      <c r="C50" s="423"/>
      <c r="D50" s="423"/>
      <c r="E50" s="423"/>
      <c r="F50" s="423"/>
      <c r="G50" s="423"/>
      <c r="H50" s="423"/>
      <c r="I50" s="423"/>
      <c r="J50" s="423"/>
    </row>
    <row r="51" spans="1:10" ht="18.75" customHeight="1" x14ac:dyDescent="0.2">
      <c r="A51" s="423" t="s">
        <v>562</v>
      </c>
      <c r="B51" s="423"/>
      <c r="C51" s="423"/>
      <c r="D51" s="423"/>
      <c r="E51" s="423"/>
      <c r="F51" s="423"/>
      <c r="G51" s="423"/>
      <c r="H51" s="423"/>
      <c r="I51" s="423"/>
      <c r="J51" s="423"/>
    </row>
    <row r="52" spans="1:10" ht="18.75" customHeight="1" x14ac:dyDescent="0.2">
      <c r="A52" s="423" t="s">
        <v>563</v>
      </c>
      <c r="B52" s="423"/>
      <c r="C52" s="423"/>
      <c r="D52" s="423"/>
      <c r="E52" s="423"/>
      <c r="F52" s="423"/>
      <c r="G52" s="423"/>
      <c r="H52" s="423"/>
      <c r="I52" s="423"/>
      <c r="J52" s="423"/>
    </row>
    <row r="53" spans="1:10" ht="18.75" customHeight="1" x14ac:dyDescent="0.2">
      <c r="A53" s="203">
        <v>1</v>
      </c>
      <c r="B53" s="450" t="s">
        <v>67</v>
      </c>
      <c r="C53" s="450"/>
      <c r="D53" s="450"/>
      <c r="E53" s="450"/>
      <c r="F53" s="450"/>
      <c r="G53" s="450"/>
      <c r="H53" s="451" t="str">
        <f>'1. SA ABA DE CARREGAMENTO'!B60</f>
        <v>Limpeza, Asseio e Conservação</v>
      </c>
      <c r="I53" s="451"/>
      <c r="J53" s="451"/>
    </row>
    <row r="54" spans="1:10" ht="18.75" customHeight="1" x14ac:dyDescent="0.2">
      <c r="A54" s="203">
        <v>2</v>
      </c>
      <c r="B54" s="450" t="s">
        <v>69</v>
      </c>
      <c r="C54" s="450"/>
      <c r="D54" s="450"/>
      <c r="E54" s="450"/>
      <c r="F54" s="450"/>
      <c r="G54" s="450"/>
      <c r="H54" s="451">
        <f>'1. SA ABA DE CARREGAMENTO'!C61</f>
        <v>5143</v>
      </c>
      <c r="I54" s="451"/>
      <c r="J54" s="451"/>
    </row>
    <row r="55" spans="1:10" ht="18.75" customHeight="1" x14ac:dyDescent="0.2">
      <c r="A55" s="203">
        <v>3</v>
      </c>
      <c r="B55" s="450" t="s">
        <v>71</v>
      </c>
      <c r="C55" s="450"/>
      <c r="D55" s="450"/>
      <c r="E55" s="450"/>
      <c r="F55" s="450"/>
      <c r="G55" s="450"/>
      <c r="H55" s="452">
        <f>'1. SA ABA DE CARREGAMENTO'!C63</f>
        <v>1314.09</v>
      </c>
      <c r="I55" s="452"/>
      <c r="J55" s="452"/>
    </row>
    <row r="56" spans="1:10" ht="18.75" customHeight="1" x14ac:dyDescent="0.2">
      <c r="A56" s="203">
        <v>4</v>
      </c>
      <c r="B56" s="450" t="s">
        <v>72</v>
      </c>
      <c r="C56" s="450"/>
      <c r="D56" s="450"/>
      <c r="E56" s="450"/>
      <c r="F56" s="450"/>
      <c r="G56" s="450"/>
      <c r="H56" s="451" t="str">
        <f>'1. SA ABA DE CARREGAMENTO'!C64</f>
        <v>Servente de Limpeza</v>
      </c>
      <c r="I56" s="451"/>
      <c r="J56" s="451"/>
    </row>
    <row r="57" spans="1:10" ht="18.75" customHeight="1" x14ac:dyDescent="0.2">
      <c r="A57" s="203">
        <v>5</v>
      </c>
      <c r="B57" s="450" t="s">
        <v>74</v>
      </c>
      <c r="C57" s="450"/>
      <c r="D57" s="450"/>
      <c r="E57" s="450"/>
      <c r="F57" s="450"/>
      <c r="G57" s="450"/>
      <c r="H57" s="453">
        <f>'1. SA ABA DE CARREGAMENTO'!C65</f>
        <v>44562</v>
      </c>
      <c r="I57" s="453"/>
      <c r="J57" s="453"/>
    </row>
    <row r="58" spans="1:10" x14ac:dyDescent="0.2">
      <c r="A58" s="204" t="s">
        <v>564</v>
      </c>
      <c r="B58" s="454" t="s">
        <v>565</v>
      </c>
      <c r="C58" s="454"/>
      <c r="D58" s="454"/>
      <c r="E58" s="454"/>
      <c r="F58" s="454"/>
      <c r="G58" s="454"/>
      <c r="H58" s="454"/>
      <c r="I58" s="454"/>
      <c r="J58" s="454"/>
    </row>
    <row r="59" spans="1:10" ht="9.75" customHeight="1" x14ac:dyDescent="0.2">
      <c r="A59" s="298"/>
      <c r="B59" s="299"/>
      <c r="C59" s="299"/>
      <c r="D59" s="299"/>
      <c r="E59" s="299"/>
      <c r="F59" s="299"/>
      <c r="G59" s="299"/>
      <c r="H59" s="299"/>
      <c r="I59" s="299"/>
      <c r="J59" s="300"/>
    </row>
    <row r="60" spans="1:10" ht="18" customHeight="1" x14ac:dyDescent="0.2">
      <c r="A60" s="423" t="s">
        <v>566</v>
      </c>
      <c r="B60" s="423"/>
      <c r="C60" s="423"/>
      <c r="D60" s="423"/>
      <c r="E60" s="423"/>
      <c r="F60" s="423"/>
      <c r="G60" s="423"/>
      <c r="H60" s="423"/>
      <c r="I60" s="423"/>
      <c r="J60" s="423"/>
    </row>
    <row r="61" spans="1:10" ht="18" customHeight="1" x14ac:dyDescent="0.2">
      <c r="A61" s="284">
        <v>1</v>
      </c>
      <c r="B61" s="423" t="s">
        <v>567</v>
      </c>
      <c r="C61" s="423"/>
      <c r="D61" s="423"/>
      <c r="E61" s="423"/>
      <c r="F61" s="423"/>
      <c r="G61" s="423"/>
      <c r="H61" s="423"/>
      <c r="I61" s="206" t="s">
        <v>568</v>
      </c>
      <c r="J61" s="284" t="s">
        <v>569</v>
      </c>
    </row>
    <row r="62" spans="1:10" ht="18" customHeight="1" x14ac:dyDescent="0.2">
      <c r="A62" s="287" t="s">
        <v>525</v>
      </c>
      <c r="B62" s="455" t="s">
        <v>570</v>
      </c>
      <c r="C62" s="455"/>
      <c r="D62" s="455"/>
      <c r="E62" s="207">
        <f>'1. SA ABA DE CARREGAMENTO'!C68</f>
        <v>44</v>
      </c>
      <c r="F62" s="208" t="s">
        <v>571</v>
      </c>
      <c r="G62" s="456" t="str">
        <f>'1. SA ABA DE CARREGAMENTO'!B62</f>
        <v>Cláusula Quarta da CCT 2022/2022</v>
      </c>
      <c r="H62" s="456"/>
      <c r="I62" s="456"/>
      <c r="J62" s="225">
        <f>H55/44*'1. SA ABA DE CARREGAMENTO'!C68</f>
        <v>1314.09</v>
      </c>
    </row>
    <row r="63" spans="1:10" ht="18" customHeight="1" x14ac:dyDescent="0.2">
      <c r="A63" s="287" t="s">
        <v>527</v>
      </c>
      <c r="B63" s="455" t="s">
        <v>572</v>
      </c>
      <c r="C63" s="455"/>
      <c r="D63" s="456" t="str">
        <f>'1. SA ABA DE CARREGAMENTO'!B69</f>
        <v>Cláusula Décima Sétima da CCT 2022/2022</v>
      </c>
      <c r="E63" s="456"/>
      <c r="F63" s="456"/>
      <c r="G63" s="456"/>
      <c r="H63" s="456"/>
      <c r="I63" s="210">
        <f>'1. SA ABA DE CARREGAMENTO'!C71</f>
        <v>0.2</v>
      </c>
      <c r="J63" s="225">
        <f>ROUND(I63*J62,2)</f>
        <v>262.82</v>
      </c>
    </row>
    <row r="64" spans="1:10" ht="18" customHeight="1" x14ac:dyDescent="0.2">
      <c r="A64" s="287" t="s">
        <v>528</v>
      </c>
      <c r="B64" s="438" t="s">
        <v>573</v>
      </c>
      <c r="C64" s="438"/>
      <c r="D64" s="438"/>
      <c r="E64" s="438"/>
      <c r="F64" s="438"/>
      <c r="G64" s="438"/>
      <c r="H64" s="438"/>
      <c r="I64" s="438"/>
      <c r="J64" s="225">
        <v>0</v>
      </c>
    </row>
    <row r="65" spans="1:11" ht="18" customHeight="1" x14ac:dyDescent="0.2">
      <c r="A65" s="457" t="s">
        <v>574</v>
      </c>
      <c r="B65" s="457"/>
      <c r="C65" s="457"/>
      <c r="D65" s="457"/>
      <c r="E65" s="457"/>
      <c r="F65" s="457"/>
      <c r="G65" s="457"/>
      <c r="H65" s="457"/>
      <c r="I65" s="457"/>
      <c r="J65" s="211">
        <f>SUM(J62:J64)</f>
        <v>1576.9099999999999</v>
      </c>
    </row>
    <row r="66" spans="1:11" ht="18" customHeight="1" x14ac:dyDescent="0.2">
      <c r="A66" s="212" t="s">
        <v>575</v>
      </c>
      <c r="B66" s="458" t="s">
        <v>576</v>
      </c>
      <c r="C66" s="458"/>
      <c r="D66" s="458"/>
      <c r="E66" s="458"/>
      <c r="F66" s="458"/>
      <c r="G66" s="458"/>
      <c r="H66" s="458"/>
      <c r="I66" s="458"/>
      <c r="J66" s="458"/>
    </row>
    <row r="67" spans="1:11" ht="18" customHeight="1" x14ac:dyDescent="0.2">
      <c r="A67" s="301"/>
      <c r="B67" s="302"/>
      <c r="C67" s="299"/>
      <c r="D67" s="299"/>
      <c r="E67" s="299"/>
      <c r="F67" s="299"/>
      <c r="G67" s="299"/>
      <c r="H67" s="299"/>
      <c r="I67" s="299"/>
      <c r="J67" s="300"/>
    </row>
    <row r="68" spans="1:11" ht="18" customHeight="1" x14ac:dyDescent="0.2">
      <c r="A68" s="423" t="s">
        <v>577</v>
      </c>
      <c r="B68" s="423"/>
      <c r="C68" s="423"/>
      <c r="D68" s="423"/>
      <c r="E68" s="423"/>
      <c r="F68" s="423"/>
      <c r="G68" s="423"/>
      <c r="H68" s="423"/>
      <c r="I68" s="423"/>
      <c r="J68" s="423"/>
    </row>
    <row r="69" spans="1:11" ht="18" customHeight="1" x14ac:dyDescent="0.2">
      <c r="A69" s="284" t="s">
        <v>578</v>
      </c>
      <c r="B69" s="423" t="s">
        <v>579</v>
      </c>
      <c r="C69" s="423"/>
      <c r="D69" s="423"/>
      <c r="E69" s="423"/>
      <c r="F69" s="423"/>
      <c r="G69" s="423"/>
      <c r="H69" s="423"/>
      <c r="I69" s="423"/>
      <c r="J69" s="284" t="s">
        <v>580</v>
      </c>
      <c r="K69" s="83"/>
    </row>
    <row r="70" spans="1:11" ht="18" customHeight="1" x14ac:dyDescent="0.2">
      <c r="A70" s="287" t="s">
        <v>525</v>
      </c>
      <c r="B70" s="438" t="s">
        <v>581</v>
      </c>
      <c r="C70" s="438"/>
      <c r="D70" s="438"/>
      <c r="E70" s="438"/>
      <c r="F70" s="438"/>
      <c r="G70" s="438"/>
      <c r="H70" s="438"/>
      <c r="I70" s="438"/>
      <c r="J70" s="289">
        <f>ROUND($J$65/12,2)</f>
        <v>131.41</v>
      </c>
    </row>
    <row r="71" spans="1:11" ht="18" customHeight="1" x14ac:dyDescent="0.2">
      <c r="A71" s="287" t="s">
        <v>527</v>
      </c>
      <c r="B71" s="459" t="s">
        <v>892</v>
      </c>
      <c r="C71" s="459"/>
      <c r="D71" s="459"/>
      <c r="E71" s="459"/>
      <c r="F71" s="459"/>
      <c r="G71" s="459"/>
      <c r="H71" s="459"/>
      <c r="I71" s="459"/>
      <c r="J71" s="289">
        <f>ROUND(J65*3.025%,2)</f>
        <v>47.7</v>
      </c>
    </row>
    <row r="72" spans="1:11" ht="18" customHeight="1" x14ac:dyDescent="0.2">
      <c r="A72" s="457" t="s">
        <v>582</v>
      </c>
      <c r="B72" s="457"/>
      <c r="C72" s="457"/>
      <c r="D72" s="457"/>
      <c r="E72" s="457"/>
      <c r="F72" s="457"/>
      <c r="G72" s="457"/>
      <c r="H72" s="457"/>
      <c r="I72" s="457"/>
      <c r="J72" s="292">
        <f>SUM(J70:J71)</f>
        <v>179.11</v>
      </c>
    </row>
    <row r="73" spans="1:11" ht="33" customHeight="1" x14ac:dyDescent="0.2">
      <c r="A73" s="212" t="s">
        <v>583</v>
      </c>
      <c r="B73" s="458" t="s">
        <v>584</v>
      </c>
      <c r="C73" s="458"/>
      <c r="D73" s="458"/>
      <c r="E73" s="458"/>
      <c r="F73" s="458"/>
      <c r="G73" s="458"/>
      <c r="H73" s="458"/>
      <c r="I73" s="458"/>
      <c r="J73" s="458"/>
    </row>
    <row r="74" spans="1:11" ht="18" customHeight="1" x14ac:dyDescent="0.2">
      <c r="A74" s="301"/>
      <c r="B74" s="302"/>
      <c r="C74" s="299"/>
      <c r="D74" s="299"/>
      <c r="E74" s="299"/>
      <c r="F74" s="299"/>
      <c r="G74" s="299"/>
      <c r="H74" s="299"/>
      <c r="I74" s="299"/>
      <c r="J74" s="300"/>
    </row>
    <row r="75" spans="1:11" ht="28.5" customHeight="1" x14ac:dyDescent="0.2">
      <c r="A75" s="284" t="s">
        <v>585</v>
      </c>
      <c r="B75" s="423" t="s">
        <v>586</v>
      </c>
      <c r="C75" s="423"/>
      <c r="D75" s="423"/>
      <c r="E75" s="423"/>
      <c r="F75" s="423"/>
      <c r="G75" s="423"/>
      <c r="H75" s="423"/>
      <c r="I75" s="423"/>
      <c r="J75" s="423"/>
    </row>
    <row r="76" spans="1:11" ht="18" customHeight="1" x14ac:dyDescent="0.2">
      <c r="A76" s="284"/>
      <c r="B76" s="423" t="s">
        <v>587</v>
      </c>
      <c r="C76" s="423"/>
      <c r="D76" s="423"/>
      <c r="E76" s="423"/>
      <c r="F76" s="423"/>
      <c r="G76" s="423"/>
      <c r="H76" s="423"/>
      <c r="I76" s="284" t="s">
        <v>568</v>
      </c>
      <c r="J76" s="284" t="s">
        <v>580</v>
      </c>
    </row>
    <row r="77" spans="1:11" ht="18" customHeight="1" x14ac:dyDescent="0.2">
      <c r="A77" s="287" t="s">
        <v>525</v>
      </c>
      <c r="B77" s="438" t="s">
        <v>84</v>
      </c>
      <c r="C77" s="438"/>
      <c r="D77" s="438"/>
      <c r="E77" s="438"/>
      <c r="F77" s="438"/>
      <c r="G77" s="438"/>
      <c r="H77" s="438"/>
      <c r="I77" s="216">
        <f>'1. SA ABA DE CARREGAMENTO'!C78</f>
        <v>0.2</v>
      </c>
      <c r="J77" s="289">
        <f>ROUND((J65+J72)*I77,2)</f>
        <v>351.2</v>
      </c>
    </row>
    <row r="78" spans="1:11" ht="18" customHeight="1" x14ac:dyDescent="0.2">
      <c r="A78" s="287" t="s">
        <v>527</v>
      </c>
      <c r="B78" s="438" t="s">
        <v>85</v>
      </c>
      <c r="C78" s="438"/>
      <c r="D78" s="438"/>
      <c r="E78" s="438"/>
      <c r="F78" s="438"/>
      <c r="G78" s="438"/>
      <c r="H78" s="438"/>
      <c r="I78" s="216">
        <f>IF($H$15=1,'1. SA ABA DE CARREGAMENTO'!C79,IF($H$15=2,'1. SA ABA DE CARREGAMENTO'!C79,0))</f>
        <v>2.5000000000000001E-2</v>
      </c>
      <c r="J78" s="289">
        <f>ROUND((J65+J72)*I78,2)</f>
        <v>43.9</v>
      </c>
    </row>
    <row r="79" spans="1:11" ht="27.75" customHeight="1" x14ac:dyDescent="0.2">
      <c r="A79" s="287" t="s">
        <v>528</v>
      </c>
      <c r="B79" s="438" t="s">
        <v>86</v>
      </c>
      <c r="C79" s="438"/>
      <c r="D79" s="438"/>
      <c r="E79" s="288" t="s">
        <v>588</v>
      </c>
      <c r="F79" s="216">
        <f>'1. SA ABA DE CARREGAMENTO'!$B$74</f>
        <v>0.03</v>
      </c>
      <c r="G79" s="288" t="s">
        <v>589</v>
      </c>
      <c r="H79" s="217">
        <f>'1. SA ABA DE CARREGAMENTO'!$B$75</f>
        <v>1</v>
      </c>
      <c r="I79" s="216">
        <f>'1. SA ABA DE CARREGAMENTO'!C80</f>
        <v>0.03</v>
      </c>
      <c r="J79" s="289">
        <f>ROUND((J65+J72)*I79,2)</f>
        <v>52.68</v>
      </c>
    </row>
    <row r="80" spans="1:11" ht="18" customHeight="1" x14ac:dyDescent="0.2">
      <c r="A80" s="287" t="s">
        <v>530</v>
      </c>
      <c r="B80" s="438" t="s">
        <v>87</v>
      </c>
      <c r="C80" s="438"/>
      <c r="D80" s="438"/>
      <c r="E80" s="438"/>
      <c r="F80" s="438"/>
      <c r="G80" s="438"/>
      <c r="H80" s="438"/>
      <c r="I80" s="216">
        <f>IF($H$15=1,'1. SA ABA DE CARREGAMENTO'!C81,IF($H$15=2,'1. SA ABA DE CARREGAMENTO'!C81,0))</f>
        <v>1.4999999999999999E-2</v>
      </c>
      <c r="J80" s="289">
        <f>ROUND((J65+J72)*I80,2)</f>
        <v>26.34</v>
      </c>
    </row>
    <row r="81" spans="1:10" ht="18" customHeight="1" x14ac:dyDescent="0.2">
      <c r="A81" s="287" t="s">
        <v>590</v>
      </c>
      <c r="B81" s="438" t="s">
        <v>88</v>
      </c>
      <c r="C81" s="438"/>
      <c r="D81" s="438"/>
      <c r="E81" s="438"/>
      <c r="F81" s="438"/>
      <c r="G81" s="438"/>
      <c r="H81" s="438"/>
      <c r="I81" s="216">
        <f>IF($H$15=1,'1. SA ABA DE CARREGAMENTO'!C82,IF($H$15=2,'1. SA ABA DE CARREGAMENTO'!C82,0))</f>
        <v>0.01</v>
      </c>
      <c r="J81" s="289">
        <f>ROUND((J65+J72)*I81,2)</f>
        <v>17.559999999999999</v>
      </c>
    </row>
    <row r="82" spans="1:10" ht="18" customHeight="1" x14ac:dyDescent="0.2">
      <c r="A82" s="287" t="s">
        <v>591</v>
      </c>
      <c r="B82" s="438" t="s">
        <v>89</v>
      </c>
      <c r="C82" s="438"/>
      <c r="D82" s="438"/>
      <c r="E82" s="438"/>
      <c r="F82" s="438"/>
      <c r="G82" s="438"/>
      <c r="H82" s="438"/>
      <c r="I82" s="216">
        <f>IF($H$15=1,'1. SA ABA DE CARREGAMENTO'!C83,IF($H$15=2,'1. SA ABA DE CARREGAMENTO'!C83,0))</f>
        <v>6.0000000000000001E-3</v>
      </c>
      <c r="J82" s="289">
        <f>ROUND((J65+J72)*I82,2)</f>
        <v>10.54</v>
      </c>
    </row>
    <row r="83" spans="1:10" ht="18" customHeight="1" x14ac:dyDescent="0.2">
      <c r="A83" s="287" t="s">
        <v>592</v>
      </c>
      <c r="B83" s="438" t="s">
        <v>90</v>
      </c>
      <c r="C83" s="438"/>
      <c r="D83" s="438"/>
      <c r="E83" s="438"/>
      <c r="F83" s="438"/>
      <c r="G83" s="438"/>
      <c r="H83" s="438"/>
      <c r="I83" s="216">
        <f>IF($H$15=1,'1. SA ABA DE CARREGAMENTO'!C84,IF($H$15=2,'1. SA ABA DE CARREGAMENTO'!C84,0))</f>
        <v>2E-3</v>
      </c>
      <c r="J83" s="289">
        <f>ROUND((J65+J72)*I83,2)</f>
        <v>3.51</v>
      </c>
    </row>
    <row r="84" spans="1:10" ht="18" customHeight="1" x14ac:dyDescent="0.2">
      <c r="A84" s="287" t="s">
        <v>593</v>
      </c>
      <c r="B84" s="438" t="s">
        <v>91</v>
      </c>
      <c r="C84" s="438"/>
      <c r="D84" s="438"/>
      <c r="E84" s="438"/>
      <c r="F84" s="438"/>
      <c r="G84" s="438"/>
      <c r="H84" s="438"/>
      <c r="I84" s="216">
        <f>'1. SA ABA DE CARREGAMENTO'!C85</f>
        <v>0.08</v>
      </c>
      <c r="J84" s="289">
        <f>ROUND((J65+J72)*I84,2)</f>
        <v>140.47999999999999</v>
      </c>
    </row>
    <row r="85" spans="1:10" ht="18" customHeight="1" x14ac:dyDescent="0.2">
      <c r="A85" s="457" t="s">
        <v>594</v>
      </c>
      <c r="B85" s="457"/>
      <c r="C85" s="457"/>
      <c r="D85" s="457"/>
      <c r="E85" s="457"/>
      <c r="F85" s="457"/>
      <c r="G85" s="457"/>
      <c r="H85" s="457"/>
      <c r="I85" s="218">
        <f>SUM(I77:I84)</f>
        <v>0.36800000000000005</v>
      </c>
      <c r="J85" s="292">
        <f>SUM(J77:J84)</f>
        <v>646.20999999999992</v>
      </c>
    </row>
    <row r="86" spans="1:10" ht="18" customHeight="1" x14ac:dyDescent="0.2">
      <c r="A86" s="212" t="s">
        <v>595</v>
      </c>
      <c r="B86" s="458" t="s">
        <v>596</v>
      </c>
      <c r="C86" s="458"/>
      <c r="D86" s="458"/>
      <c r="E86" s="458"/>
      <c r="F86" s="458"/>
      <c r="G86" s="458"/>
      <c r="H86" s="458"/>
      <c r="I86" s="458"/>
      <c r="J86" s="458"/>
    </row>
    <row r="87" spans="1:10" ht="34.5" customHeight="1" x14ac:dyDescent="0.2">
      <c r="A87" s="212" t="s">
        <v>597</v>
      </c>
      <c r="B87" s="458" t="s">
        <v>598</v>
      </c>
      <c r="C87" s="458"/>
      <c r="D87" s="458"/>
      <c r="E87" s="458"/>
      <c r="F87" s="458"/>
      <c r="G87" s="458"/>
      <c r="H87" s="458"/>
      <c r="I87" s="458"/>
      <c r="J87" s="458"/>
    </row>
    <row r="88" spans="1:10" ht="9.75" customHeight="1" x14ac:dyDescent="0.2">
      <c r="A88" s="301"/>
      <c r="B88" s="302"/>
      <c r="C88" s="299"/>
      <c r="D88" s="299"/>
      <c r="E88" s="299"/>
      <c r="F88" s="299"/>
      <c r="G88" s="299"/>
      <c r="H88" s="299"/>
      <c r="I88" s="299"/>
      <c r="J88" s="300"/>
    </row>
    <row r="89" spans="1:10" ht="19.5" customHeight="1" x14ac:dyDescent="0.2">
      <c r="A89" s="221" t="s">
        <v>599</v>
      </c>
      <c r="B89" s="423" t="s">
        <v>600</v>
      </c>
      <c r="C89" s="423"/>
      <c r="D89" s="423"/>
      <c r="E89" s="423"/>
      <c r="F89" s="423"/>
      <c r="G89" s="423"/>
      <c r="H89" s="423"/>
      <c r="I89" s="423"/>
      <c r="J89" s="423"/>
    </row>
    <row r="90" spans="1:10" ht="19.5" customHeight="1" x14ac:dyDescent="0.2">
      <c r="A90" s="284"/>
      <c r="B90" s="423" t="s">
        <v>600</v>
      </c>
      <c r="C90" s="423"/>
      <c r="D90" s="423"/>
      <c r="E90" s="423"/>
      <c r="F90" s="423"/>
      <c r="G90" s="423"/>
      <c r="H90" s="423"/>
      <c r="I90" s="423"/>
      <c r="J90" s="284" t="s">
        <v>580</v>
      </c>
    </row>
    <row r="91" spans="1:10" ht="19.5" customHeight="1" x14ac:dyDescent="0.2">
      <c r="A91" s="441" t="s">
        <v>525</v>
      </c>
      <c r="B91" s="438" t="s">
        <v>601</v>
      </c>
      <c r="C91" s="438"/>
      <c r="D91" s="438"/>
      <c r="E91" s="438"/>
      <c r="F91" s="438"/>
      <c r="G91" s="438"/>
      <c r="H91" s="438"/>
      <c r="I91" s="438"/>
      <c r="J91" s="460">
        <f>IF(ROUND((I94*I92*I93)-(J62*0.06),2)&lt;0,0,ROUND((I94*I92*I93)-(J62*0.06),2))*1+(I92*I93*21.726-0.06*J62)*0</f>
        <v>0</v>
      </c>
    </row>
    <row r="92" spans="1:10" ht="19.5" customHeight="1" x14ac:dyDescent="0.2">
      <c r="A92" s="441"/>
      <c r="B92" s="461" t="s">
        <v>602</v>
      </c>
      <c r="C92" s="461"/>
      <c r="D92" s="461"/>
      <c r="E92" s="461"/>
      <c r="F92" s="461"/>
      <c r="G92" s="461"/>
      <c r="H92" s="461"/>
      <c r="I92" s="222">
        <f>'1. SA ABA DE CARREGAMENTO'!$B$88</f>
        <v>0</v>
      </c>
      <c r="J92" s="460"/>
    </row>
    <row r="93" spans="1:10" ht="19.5" customHeight="1" x14ac:dyDescent="0.2">
      <c r="A93" s="441"/>
      <c r="B93" s="461" t="s">
        <v>603</v>
      </c>
      <c r="C93" s="461"/>
      <c r="D93" s="461"/>
      <c r="E93" s="461"/>
      <c r="F93" s="461"/>
      <c r="G93" s="461"/>
      <c r="H93" s="461"/>
      <c r="I93" s="223">
        <f>'1. SA ABA DE CARREGAMENTO'!$B$89</f>
        <v>2</v>
      </c>
      <c r="J93" s="460"/>
    </row>
    <row r="94" spans="1:10" ht="19.5" customHeight="1" x14ac:dyDescent="0.2">
      <c r="A94" s="441"/>
      <c r="B94" s="461" t="s">
        <v>604</v>
      </c>
      <c r="C94" s="461"/>
      <c r="D94" s="461"/>
      <c r="E94" s="461"/>
      <c r="F94" s="461"/>
      <c r="G94" s="461"/>
      <c r="H94" s="461"/>
      <c r="I94" s="223">
        <f>'1. SA ABA DE CARREGAMENTO'!$B$90</f>
        <v>22</v>
      </c>
      <c r="J94" s="460"/>
    </row>
    <row r="95" spans="1:10" ht="19.5" customHeight="1" x14ac:dyDescent="0.2">
      <c r="A95" s="441"/>
      <c r="B95" s="461" t="s">
        <v>605</v>
      </c>
      <c r="C95" s="461"/>
      <c r="D95" s="461"/>
      <c r="E95" s="461"/>
      <c r="F95" s="461"/>
      <c r="G95" s="461"/>
      <c r="H95" s="461"/>
      <c r="I95" s="226">
        <f>'1. SA ABA DE CARREGAMENTO'!B91</f>
        <v>0.06</v>
      </c>
      <c r="J95" s="460"/>
    </row>
    <row r="96" spans="1:10" ht="19.5" customHeight="1" x14ac:dyDescent="0.2">
      <c r="A96" s="441" t="s">
        <v>527</v>
      </c>
      <c r="B96" s="455" t="s">
        <v>606</v>
      </c>
      <c r="C96" s="455"/>
      <c r="D96" s="455"/>
      <c r="E96" s="462" t="str">
        <f>'1. SA ABA DE CARREGAMENTO'!B94</f>
        <v>Cláusula Décima Oitava da CCT 2022/2022</v>
      </c>
      <c r="F96" s="462"/>
      <c r="G96" s="462"/>
      <c r="H96" s="462"/>
      <c r="I96" s="463"/>
      <c r="J96" s="460">
        <f>ROUND((I97*I98)-((I97*I98)*I99),2)</f>
        <v>359.61</v>
      </c>
    </row>
    <row r="97" spans="1:10" ht="19.5" customHeight="1" x14ac:dyDescent="0.2">
      <c r="A97" s="441"/>
      <c r="B97" s="461" t="s">
        <v>607</v>
      </c>
      <c r="C97" s="461"/>
      <c r="D97" s="461"/>
      <c r="E97" s="461"/>
      <c r="F97" s="461"/>
      <c r="G97" s="461"/>
      <c r="H97" s="461"/>
      <c r="I97" s="225">
        <f>'1. SA ABA DE CARREGAMENTO'!B95</f>
        <v>20.18</v>
      </c>
      <c r="J97" s="460"/>
    </row>
    <row r="98" spans="1:10" ht="19.5" customHeight="1" x14ac:dyDescent="0.2">
      <c r="A98" s="441"/>
      <c r="B98" s="461" t="s">
        <v>608</v>
      </c>
      <c r="C98" s="461"/>
      <c r="D98" s="461"/>
      <c r="E98" s="461"/>
      <c r="F98" s="461"/>
      <c r="G98" s="461"/>
      <c r="H98" s="461"/>
      <c r="I98" s="223">
        <f>'1. SA ABA DE CARREGAMENTO'!B97</f>
        <v>22</v>
      </c>
      <c r="J98" s="460"/>
    </row>
    <row r="99" spans="1:10" ht="19.5" customHeight="1" x14ac:dyDescent="0.2">
      <c r="A99" s="441"/>
      <c r="B99" s="461" t="s">
        <v>609</v>
      </c>
      <c r="C99" s="461"/>
      <c r="D99" s="461"/>
      <c r="E99" s="461"/>
      <c r="F99" s="461"/>
      <c r="G99" s="461"/>
      <c r="H99" s="461"/>
      <c r="I99" s="226">
        <f>'1. SA ABA DE CARREGAMENTO'!B96</f>
        <v>0.19</v>
      </c>
      <c r="J99" s="460"/>
    </row>
    <row r="100" spans="1:10" ht="19.5" customHeight="1" x14ac:dyDescent="0.2">
      <c r="A100" s="287" t="s">
        <v>528</v>
      </c>
      <c r="B100" s="455" t="s">
        <v>610</v>
      </c>
      <c r="C100" s="455"/>
      <c r="D100" s="455"/>
      <c r="E100" s="462" t="str">
        <f>'1. SA ABA DE CARREGAMENTO'!B100</f>
        <v>Cláusula Vigésima Nona da CCT 2022/2022</v>
      </c>
      <c r="F100" s="462"/>
      <c r="G100" s="462"/>
      <c r="H100" s="462"/>
      <c r="I100" s="463"/>
      <c r="J100" s="227">
        <f>'1. SA ABA DE CARREGAMENTO'!C100</f>
        <v>17.32</v>
      </c>
    </row>
    <row r="101" spans="1:10" ht="19.5" customHeight="1" x14ac:dyDescent="0.2">
      <c r="A101" s="287" t="s">
        <v>530</v>
      </c>
      <c r="B101" s="438" t="s">
        <v>611</v>
      </c>
      <c r="C101" s="438"/>
      <c r="D101" s="438"/>
      <c r="E101" s="438"/>
      <c r="F101" s="438"/>
      <c r="G101" s="438"/>
      <c r="H101" s="438"/>
      <c r="I101" s="438"/>
      <c r="J101" s="289">
        <v>0</v>
      </c>
    </row>
    <row r="102" spans="1:10" ht="19.5" customHeight="1" x14ac:dyDescent="0.2">
      <c r="A102" s="457" t="s">
        <v>612</v>
      </c>
      <c r="B102" s="457"/>
      <c r="C102" s="457"/>
      <c r="D102" s="457"/>
      <c r="E102" s="457"/>
      <c r="F102" s="457"/>
      <c r="G102" s="457"/>
      <c r="H102" s="457"/>
      <c r="I102" s="457"/>
      <c r="J102" s="292">
        <f>SUM(J91:J100)</f>
        <v>376.93</v>
      </c>
    </row>
    <row r="103" spans="1:10" ht="19.5" customHeight="1" x14ac:dyDescent="0.2">
      <c r="A103" s="212" t="s">
        <v>613</v>
      </c>
      <c r="B103" s="458" t="s">
        <v>614</v>
      </c>
      <c r="C103" s="458"/>
      <c r="D103" s="458"/>
      <c r="E103" s="458"/>
      <c r="F103" s="458"/>
      <c r="G103" s="458"/>
      <c r="H103" s="458"/>
      <c r="I103" s="458"/>
      <c r="J103" s="458"/>
    </row>
    <row r="104" spans="1:10" ht="41.25" customHeight="1" x14ac:dyDescent="0.2">
      <c r="A104" s="212" t="s">
        <v>615</v>
      </c>
      <c r="B104" s="458" t="s">
        <v>616</v>
      </c>
      <c r="C104" s="458"/>
      <c r="D104" s="458"/>
      <c r="E104" s="458"/>
      <c r="F104" s="458"/>
      <c r="G104" s="458"/>
      <c r="H104" s="458"/>
      <c r="I104" s="458"/>
      <c r="J104" s="458"/>
    </row>
    <row r="105" spans="1:10" ht="19.5" customHeight="1" x14ac:dyDescent="0.2">
      <c r="A105" s="219"/>
      <c r="B105" s="220"/>
      <c r="C105" s="220"/>
      <c r="D105" s="220"/>
      <c r="E105" s="220"/>
      <c r="F105" s="220"/>
      <c r="G105" s="220"/>
      <c r="H105" s="220"/>
      <c r="I105" s="220"/>
      <c r="J105" s="220"/>
    </row>
    <row r="106" spans="1:10" ht="19.5" customHeight="1" x14ac:dyDescent="0.2">
      <c r="A106" s="423" t="s">
        <v>617</v>
      </c>
      <c r="B106" s="423"/>
      <c r="C106" s="423"/>
      <c r="D106" s="423"/>
      <c r="E106" s="423"/>
      <c r="F106" s="423"/>
      <c r="G106" s="423"/>
      <c r="H106" s="423"/>
      <c r="I106" s="423"/>
      <c r="J106" s="423"/>
    </row>
    <row r="107" spans="1:10" ht="19.5" customHeight="1" x14ac:dyDescent="0.2">
      <c r="A107" s="284" t="s">
        <v>618</v>
      </c>
      <c r="B107" s="423" t="s">
        <v>619</v>
      </c>
      <c r="C107" s="423"/>
      <c r="D107" s="423"/>
      <c r="E107" s="423"/>
      <c r="F107" s="423"/>
      <c r="G107" s="423"/>
      <c r="H107" s="423"/>
      <c r="I107" s="423"/>
      <c r="J107" s="284" t="s">
        <v>580</v>
      </c>
    </row>
    <row r="108" spans="1:10" ht="19.5" customHeight="1" x14ac:dyDescent="0.2">
      <c r="A108" s="287" t="s">
        <v>620</v>
      </c>
      <c r="B108" s="461" t="s">
        <v>621</v>
      </c>
      <c r="C108" s="461"/>
      <c r="D108" s="461"/>
      <c r="E108" s="461"/>
      <c r="F108" s="461"/>
      <c r="G108" s="461"/>
      <c r="H108" s="461"/>
      <c r="I108" s="461"/>
      <c r="J108" s="289">
        <f>J72</f>
        <v>179.11</v>
      </c>
    </row>
    <row r="109" spans="1:10" ht="19.5" customHeight="1" x14ac:dyDescent="0.2">
      <c r="A109" s="287" t="s">
        <v>585</v>
      </c>
      <c r="B109" s="461" t="s">
        <v>622</v>
      </c>
      <c r="C109" s="461"/>
      <c r="D109" s="461"/>
      <c r="E109" s="461"/>
      <c r="F109" s="461"/>
      <c r="G109" s="461"/>
      <c r="H109" s="461"/>
      <c r="I109" s="461"/>
      <c r="J109" s="289">
        <f>J85</f>
        <v>646.20999999999992</v>
      </c>
    </row>
    <row r="110" spans="1:10" ht="19.5" customHeight="1" x14ac:dyDescent="0.2">
      <c r="A110" s="287" t="s">
        <v>623</v>
      </c>
      <c r="B110" s="461" t="s">
        <v>624</v>
      </c>
      <c r="C110" s="461"/>
      <c r="D110" s="461"/>
      <c r="E110" s="461"/>
      <c r="F110" s="461"/>
      <c r="G110" s="461"/>
      <c r="H110" s="461"/>
      <c r="I110" s="461"/>
      <c r="J110" s="289">
        <f>J102</f>
        <v>376.93</v>
      </c>
    </row>
    <row r="111" spans="1:10" ht="19.5" customHeight="1" x14ac:dyDescent="0.2">
      <c r="A111" s="457" t="s">
        <v>625</v>
      </c>
      <c r="B111" s="457"/>
      <c r="C111" s="457"/>
      <c r="D111" s="457"/>
      <c r="E111" s="457"/>
      <c r="F111" s="457"/>
      <c r="G111" s="457"/>
      <c r="H111" s="457"/>
      <c r="I111" s="457"/>
      <c r="J111" s="292">
        <f>SUM(J108+J109+J110)</f>
        <v>1202.25</v>
      </c>
    </row>
    <row r="112" spans="1:10" ht="9.75" customHeight="1" x14ac:dyDescent="0.2">
      <c r="A112" s="303"/>
      <c r="B112" s="303"/>
      <c r="C112" s="303"/>
      <c r="D112" s="303"/>
      <c r="E112" s="303"/>
      <c r="F112" s="303"/>
      <c r="G112" s="303"/>
      <c r="H112" s="303"/>
      <c r="I112" s="303"/>
      <c r="J112" s="304"/>
    </row>
    <row r="113" spans="1:10" ht="30" customHeight="1" x14ac:dyDescent="0.2">
      <c r="A113" s="423" t="s">
        <v>626</v>
      </c>
      <c r="B113" s="423"/>
      <c r="C113" s="423"/>
      <c r="D113" s="423"/>
      <c r="E113" s="423"/>
      <c r="F113" s="423"/>
      <c r="G113" s="423"/>
      <c r="H113" s="423"/>
      <c r="I113" s="423"/>
      <c r="J113" s="423"/>
    </row>
    <row r="114" spans="1:10" ht="30" customHeight="1" x14ac:dyDescent="0.2">
      <c r="A114" s="284"/>
      <c r="B114" s="423" t="s">
        <v>619</v>
      </c>
      <c r="C114" s="423"/>
      <c r="D114" s="423"/>
      <c r="E114" s="423"/>
      <c r="F114" s="423"/>
      <c r="G114" s="423"/>
      <c r="H114" s="423"/>
      <c r="I114" s="423"/>
      <c r="J114" s="284" t="s">
        <v>627</v>
      </c>
    </row>
    <row r="115" spans="1:10" ht="30" customHeight="1" x14ac:dyDescent="0.2">
      <c r="A115" s="287" t="s">
        <v>525</v>
      </c>
      <c r="B115" s="438" t="s">
        <v>628</v>
      </c>
      <c r="C115" s="438"/>
      <c r="D115" s="438"/>
      <c r="E115" s="438"/>
      <c r="F115" s="438"/>
      <c r="G115" s="438"/>
      <c r="H115" s="438"/>
      <c r="I115" s="438"/>
      <c r="J115" s="289">
        <f>ROUND((($J$65/12)+($J$70/12)+($J$65/12/12)+($J$71/12))*(30/30)*0.05,2)</f>
        <v>7.86</v>
      </c>
    </row>
    <row r="116" spans="1:10" ht="30" customHeight="1" x14ac:dyDescent="0.2">
      <c r="A116" s="287" t="s">
        <v>527</v>
      </c>
      <c r="B116" s="438" t="s">
        <v>629</v>
      </c>
      <c r="C116" s="438"/>
      <c r="D116" s="438"/>
      <c r="E116" s="438"/>
      <c r="F116" s="438"/>
      <c r="G116" s="438"/>
      <c r="H116" s="438"/>
      <c r="I116" s="438"/>
      <c r="J116" s="289">
        <f>ROUND($J$115*I84,2)</f>
        <v>0.63</v>
      </c>
    </row>
    <row r="117" spans="1:10" ht="30" customHeight="1" x14ac:dyDescent="0.2">
      <c r="A117" s="287" t="s">
        <v>528</v>
      </c>
      <c r="B117" s="438" t="s">
        <v>630</v>
      </c>
      <c r="C117" s="438"/>
      <c r="D117" s="438"/>
      <c r="E117" s="438"/>
      <c r="F117" s="438"/>
      <c r="G117" s="438"/>
      <c r="H117" s="438"/>
      <c r="I117" s="438"/>
      <c r="J117" s="289">
        <f>ROUND(0.08*0.4*($J$65+$J$70+$J$71)*0.05,2)</f>
        <v>2.81</v>
      </c>
    </row>
    <row r="118" spans="1:10" ht="30" customHeight="1" x14ac:dyDescent="0.2">
      <c r="A118" s="287" t="s">
        <v>530</v>
      </c>
      <c r="B118" s="438" t="s">
        <v>631</v>
      </c>
      <c r="C118" s="438"/>
      <c r="D118" s="438"/>
      <c r="E118" s="438"/>
      <c r="F118" s="438"/>
      <c r="G118" s="438"/>
      <c r="H118" s="438"/>
      <c r="I118" s="438"/>
      <c r="J118" s="289">
        <f>ROUND(((($J$65/30)*7)/$H$21)*1,2)</f>
        <v>18.399999999999999</v>
      </c>
    </row>
    <row r="119" spans="1:10" ht="30" customHeight="1" x14ac:dyDescent="0.2">
      <c r="A119" s="287" t="s">
        <v>590</v>
      </c>
      <c r="B119" s="438" t="s">
        <v>632</v>
      </c>
      <c r="C119" s="438"/>
      <c r="D119" s="438"/>
      <c r="E119" s="438"/>
      <c r="F119" s="438"/>
      <c r="G119" s="438"/>
      <c r="H119" s="438"/>
      <c r="I119" s="438"/>
      <c r="J119" s="289">
        <f>ROUND($I$85*J118,2)</f>
        <v>6.77</v>
      </c>
    </row>
    <row r="120" spans="1:10" ht="30" customHeight="1" x14ac:dyDescent="0.2">
      <c r="A120" s="287" t="s">
        <v>591</v>
      </c>
      <c r="B120" s="438" t="s">
        <v>633</v>
      </c>
      <c r="C120" s="438"/>
      <c r="D120" s="438"/>
      <c r="E120" s="438"/>
      <c r="F120" s="438"/>
      <c r="G120" s="438"/>
      <c r="H120" s="438"/>
      <c r="I120" s="438"/>
      <c r="J120" s="289">
        <f>ROUND(0.08*0.4*($J$65+$J$70+$J$71)*0.9,2)</f>
        <v>50.57</v>
      </c>
    </row>
    <row r="121" spans="1:10" ht="30" customHeight="1" x14ac:dyDescent="0.2">
      <c r="A121" s="457" t="s">
        <v>634</v>
      </c>
      <c r="B121" s="457"/>
      <c r="C121" s="457"/>
      <c r="D121" s="457"/>
      <c r="E121" s="457"/>
      <c r="F121" s="457"/>
      <c r="G121" s="457"/>
      <c r="H121" s="457"/>
      <c r="I121" s="457"/>
      <c r="J121" s="292">
        <f>SUM(J115:J120)</f>
        <v>87.039999999999992</v>
      </c>
    </row>
    <row r="122" spans="1:10" ht="9.75" customHeight="1" x14ac:dyDescent="0.2">
      <c r="A122" s="303"/>
      <c r="B122" s="303"/>
      <c r="C122" s="303"/>
      <c r="D122" s="303"/>
      <c r="E122" s="303"/>
      <c r="F122" s="303"/>
      <c r="G122" s="303"/>
      <c r="H122" s="303"/>
      <c r="I122" s="303"/>
      <c r="J122" s="304"/>
    </row>
    <row r="123" spans="1:10" ht="29.25" customHeight="1" x14ac:dyDescent="0.2">
      <c r="A123" s="423" t="s">
        <v>635</v>
      </c>
      <c r="B123" s="423"/>
      <c r="C123" s="423"/>
      <c r="D123" s="423"/>
      <c r="E123" s="423"/>
      <c r="F123" s="423"/>
      <c r="G123" s="423"/>
      <c r="H123" s="423"/>
      <c r="I123" s="423"/>
      <c r="J123" s="423"/>
    </row>
    <row r="124" spans="1:10" ht="29.25" customHeight="1" x14ac:dyDescent="0.2">
      <c r="A124" s="423" t="s">
        <v>636</v>
      </c>
      <c r="B124" s="423"/>
      <c r="C124" s="423"/>
      <c r="D124" s="423"/>
      <c r="E124" s="423"/>
      <c r="F124" s="423"/>
      <c r="G124" s="423"/>
      <c r="H124" s="423"/>
      <c r="I124" s="423"/>
      <c r="J124" s="423"/>
    </row>
    <row r="125" spans="1:10" ht="35.25" customHeight="1" x14ac:dyDescent="0.2">
      <c r="A125" s="423" t="s">
        <v>637</v>
      </c>
      <c r="B125" s="423"/>
      <c r="C125" s="229">
        <f>J65</f>
        <v>1576.9099999999999</v>
      </c>
      <c r="D125" s="423" t="s">
        <v>638</v>
      </c>
      <c r="E125" s="423"/>
      <c r="F125" s="229">
        <f>J111-J96-J91</f>
        <v>842.64</v>
      </c>
      <c r="G125" s="423" t="s">
        <v>639</v>
      </c>
      <c r="H125" s="423"/>
      <c r="I125" s="229">
        <f>J121</f>
        <v>87.039999999999992</v>
      </c>
      <c r="J125" s="292">
        <f>ROUND((J65+(J111-J96-J91)+J121),2)</f>
        <v>2506.59</v>
      </c>
    </row>
    <row r="126" spans="1:10" ht="29.25" customHeight="1" x14ac:dyDescent="0.2">
      <c r="A126" s="423" t="s">
        <v>640</v>
      </c>
      <c r="B126" s="423"/>
      <c r="C126" s="423"/>
      <c r="D126" s="423"/>
      <c r="E126" s="423"/>
      <c r="F126" s="423"/>
      <c r="G126" s="423" t="s">
        <v>641</v>
      </c>
      <c r="H126" s="423"/>
      <c r="I126" s="423"/>
      <c r="J126" s="211">
        <f>ROUND(J125/30,2)</f>
        <v>83.55</v>
      </c>
    </row>
    <row r="127" spans="1:10" ht="9.75" customHeight="1" x14ac:dyDescent="0.2">
      <c r="A127" s="305"/>
      <c r="B127" s="306"/>
      <c r="C127" s="306"/>
      <c r="D127" s="306"/>
      <c r="E127" s="306"/>
      <c r="F127" s="307"/>
      <c r="G127" s="305"/>
      <c r="H127" s="306"/>
      <c r="I127" s="307"/>
      <c r="J127" s="308"/>
    </row>
    <row r="128" spans="1:10" ht="21" customHeight="1" x14ac:dyDescent="0.2">
      <c r="A128" s="284" t="s">
        <v>642</v>
      </c>
      <c r="B128" s="423" t="s">
        <v>643</v>
      </c>
      <c r="C128" s="423"/>
      <c r="D128" s="423"/>
      <c r="E128" s="423"/>
      <c r="F128" s="423"/>
      <c r="G128" s="423"/>
      <c r="H128" s="423"/>
      <c r="I128" s="423"/>
      <c r="J128" s="284" t="s">
        <v>580</v>
      </c>
    </row>
    <row r="129" spans="1:11" ht="21" customHeight="1" x14ac:dyDescent="0.2">
      <c r="A129" s="287" t="s">
        <v>525</v>
      </c>
      <c r="B129" s="459" t="s">
        <v>893</v>
      </c>
      <c r="C129" s="459"/>
      <c r="D129" s="459"/>
      <c r="E129" s="459"/>
      <c r="F129" s="459"/>
      <c r="G129" s="459"/>
      <c r="H129" s="459"/>
      <c r="I129" s="459"/>
      <c r="J129" s="289">
        <f>ROUND(J65*9.075%,2)</f>
        <v>143.1</v>
      </c>
      <c r="K129" s="259"/>
    </row>
    <row r="130" spans="1:11" ht="21" customHeight="1" x14ac:dyDescent="0.2">
      <c r="A130" s="287" t="s">
        <v>527</v>
      </c>
      <c r="B130" s="438" t="s">
        <v>644</v>
      </c>
      <c r="C130" s="438"/>
      <c r="D130" s="438"/>
      <c r="E130" s="438"/>
      <c r="F130" s="438"/>
      <c r="G130" s="438"/>
      <c r="H130" s="438"/>
      <c r="I130" s="438"/>
      <c r="J130" s="225">
        <f>ROUND((($J$125/30)*1)/12,2)</f>
        <v>6.96</v>
      </c>
    </row>
    <row r="131" spans="1:11" ht="21" customHeight="1" x14ac:dyDescent="0.2">
      <c r="A131" s="287" t="s">
        <v>528</v>
      </c>
      <c r="B131" s="438" t="s">
        <v>645</v>
      </c>
      <c r="C131" s="438"/>
      <c r="D131" s="438"/>
      <c r="E131" s="438"/>
      <c r="F131" s="438"/>
      <c r="G131" s="438"/>
      <c r="H131" s="438"/>
      <c r="I131" s="438"/>
      <c r="J131" s="225">
        <f>ROUND((($J$125/30)*5)/12*0.015,2)</f>
        <v>0.52</v>
      </c>
    </row>
    <row r="132" spans="1:11" ht="21" customHeight="1" x14ac:dyDescent="0.2">
      <c r="A132" s="287" t="s">
        <v>530</v>
      </c>
      <c r="B132" s="438" t="s">
        <v>646</v>
      </c>
      <c r="C132" s="438"/>
      <c r="D132" s="438"/>
      <c r="E132" s="438"/>
      <c r="F132" s="438"/>
      <c r="G132" s="438"/>
      <c r="H132" s="438"/>
      <c r="I132" s="438"/>
      <c r="J132" s="289">
        <f>ROUND(((($J$125/30)*15)/12)*0.0078,2)</f>
        <v>0.81</v>
      </c>
      <c r="K132" s="259"/>
    </row>
    <row r="133" spans="1:11" ht="31.5" customHeight="1" x14ac:dyDescent="0.2">
      <c r="A133" s="287" t="s">
        <v>590</v>
      </c>
      <c r="B133" s="438" t="s">
        <v>647</v>
      </c>
      <c r="C133" s="438"/>
      <c r="D133" s="438"/>
      <c r="E133" s="438"/>
      <c r="F133" s="438"/>
      <c r="G133" s="438"/>
      <c r="H133" s="438"/>
      <c r="I133" s="438"/>
      <c r="J133" s="289">
        <f>ROUND((((J65+J65/3)/12+(J85+J102-J96-J91+J121))*4/12)*0.02,2)</f>
        <v>6.17</v>
      </c>
    </row>
    <row r="134" spans="1:11" ht="21" customHeight="1" x14ac:dyDescent="0.2">
      <c r="A134" s="287" t="s">
        <v>591</v>
      </c>
      <c r="B134" s="438" t="s">
        <v>648</v>
      </c>
      <c r="C134" s="438"/>
      <c r="D134" s="438"/>
      <c r="E134" s="438"/>
      <c r="F134" s="438"/>
      <c r="G134" s="438"/>
      <c r="H134" s="438"/>
      <c r="I134" s="438"/>
      <c r="J134" s="289">
        <f>ROUND(((($J$125/30)*5)/12),2)</f>
        <v>34.81</v>
      </c>
    </row>
    <row r="135" spans="1:11" ht="21" customHeight="1" x14ac:dyDescent="0.2">
      <c r="A135" s="457" t="s">
        <v>649</v>
      </c>
      <c r="B135" s="457"/>
      <c r="C135" s="457"/>
      <c r="D135" s="457"/>
      <c r="E135" s="457"/>
      <c r="F135" s="457"/>
      <c r="G135" s="457"/>
      <c r="H135" s="457"/>
      <c r="I135" s="457"/>
      <c r="J135" s="292">
        <f>SUM(J129:J134)</f>
        <v>192.37</v>
      </c>
    </row>
    <row r="136" spans="1:11" ht="9.75" customHeight="1" x14ac:dyDescent="0.2">
      <c r="A136" s="464"/>
      <c r="B136" s="464"/>
      <c r="C136" s="464"/>
      <c r="D136" s="464"/>
      <c r="E136" s="464"/>
      <c r="F136" s="464"/>
      <c r="G136" s="464"/>
      <c r="H136" s="464"/>
      <c r="I136" s="464"/>
      <c r="J136" s="464"/>
    </row>
    <row r="137" spans="1:11" ht="21.75" customHeight="1" x14ac:dyDescent="0.2">
      <c r="A137" s="284" t="s">
        <v>650</v>
      </c>
      <c r="B137" s="423" t="s">
        <v>651</v>
      </c>
      <c r="C137" s="423"/>
      <c r="D137" s="423"/>
      <c r="E137" s="423"/>
      <c r="F137" s="423"/>
      <c r="G137" s="423"/>
      <c r="H137" s="423"/>
      <c r="I137" s="423"/>
      <c r="J137" s="284" t="s">
        <v>580</v>
      </c>
    </row>
    <row r="138" spans="1:11" ht="21.75" customHeight="1" x14ac:dyDescent="0.2">
      <c r="A138" s="287" t="s">
        <v>525</v>
      </c>
      <c r="B138" s="438" t="s">
        <v>652</v>
      </c>
      <c r="C138" s="438"/>
      <c r="D138" s="438"/>
      <c r="E138" s="438"/>
      <c r="F138" s="438"/>
      <c r="G138" s="438"/>
      <c r="H138" s="438"/>
      <c r="I138" s="438"/>
      <c r="J138" s="289">
        <v>0</v>
      </c>
    </row>
    <row r="139" spans="1:11" ht="21.75" customHeight="1" x14ac:dyDescent="0.2">
      <c r="A139" s="457" t="s">
        <v>653</v>
      </c>
      <c r="B139" s="457"/>
      <c r="C139" s="457"/>
      <c r="D139" s="457"/>
      <c r="E139" s="457"/>
      <c r="F139" s="457"/>
      <c r="G139" s="457"/>
      <c r="H139" s="457"/>
      <c r="I139" s="457"/>
      <c r="J139" s="292">
        <f>SUM(J138)</f>
        <v>0</v>
      </c>
    </row>
    <row r="140" spans="1:11" ht="21.75" customHeight="1" x14ac:dyDescent="0.2">
      <c r="A140" s="465"/>
      <c r="B140" s="465"/>
      <c r="C140" s="465"/>
      <c r="D140" s="465"/>
      <c r="E140" s="465"/>
      <c r="F140" s="465"/>
      <c r="G140" s="465"/>
      <c r="H140" s="465"/>
      <c r="I140" s="465"/>
      <c r="J140" s="465"/>
    </row>
    <row r="141" spans="1:11" ht="21.75" customHeight="1" x14ac:dyDescent="0.2">
      <c r="A141" s="423" t="s">
        <v>654</v>
      </c>
      <c r="B141" s="423"/>
      <c r="C141" s="423"/>
      <c r="D141" s="423"/>
      <c r="E141" s="423"/>
      <c r="F141" s="423"/>
      <c r="G141" s="423"/>
      <c r="H141" s="423"/>
      <c r="I141" s="423"/>
      <c r="J141" s="423"/>
    </row>
    <row r="142" spans="1:11" ht="21.75" customHeight="1" x14ac:dyDescent="0.2">
      <c r="A142" s="284" t="s">
        <v>655</v>
      </c>
      <c r="B142" s="423" t="s">
        <v>619</v>
      </c>
      <c r="C142" s="423"/>
      <c r="D142" s="423"/>
      <c r="E142" s="423"/>
      <c r="F142" s="423"/>
      <c r="G142" s="423"/>
      <c r="H142" s="423"/>
      <c r="I142" s="423"/>
      <c r="J142" s="231" t="s">
        <v>580</v>
      </c>
    </row>
    <row r="143" spans="1:11" ht="21.75" customHeight="1" x14ac:dyDescent="0.2">
      <c r="A143" s="287" t="s">
        <v>642</v>
      </c>
      <c r="B143" s="438" t="s">
        <v>643</v>
      </c>
      <c r="C143" s="438"/>
      <c r="D143" s="438"/>
      <c r="E143" s="438"/>
      <c r="F143" s="438"/>
      <c r="G143" s="438"/>
      <c r="H143" s="438"/>
      <c r="I143" s="438"/>
      <c r="J143" s="289">
        <f>J135</f>
        <v>192.37</v>
      </c>
    </row>
    <row r="144" spans="1:11" ht="21.75" customHeight="1" x14ac:dyDescent="0.2">
      <c r="A144" s="287" t="s">
        <v>656</v>
      </c>
      <c r="B144" s="438" t="s">
        <v>651</v>
      </c>
      <c r="C144" s="438"/>
      <c r="D144" s="438"/>
      <c r="E144" s="438"/>
      <c r="F144" s="438"/>
      <c r="G144" s="438"/>
      <c r="H144" s="438"/>
      <c r="I144" s="438"/>
      <c r="J144" s="289">
        <f>J139</f>
        <v>0</v>
      </c>
    </row>
    <row r="145" spans="1:10" ht="21.75" customHeight="1" x14ac:dyDescent="0.2">
      <c r="A145" s="457" t="s">
        <v>657</v>
      </c>
      <c r="B145" s="457"/>
      <c r="C145" s="457"/>
      <c r="D145" s="457"/>
      <c r="E145" s="457"/>
      <c r="F145" s="457"/>
      <c r="G145" s="457"/>
      <c r="H145" s="457"/>
      <c r="I145" s="457"/>
      <c r="J145" s="292">
        <f>SUM(J143+J144)</f>
        <v>192.37</v>
      </c>
    </row>
    <row r="146" spans="1:10" ht="34.5" customHeight="1" x14ac:dyDescent="0.2">
      <c r="A146" s="212" t="s">
        <v>658</v>
      </c>
      <c r="B146" s="458" t="s">
        <v>659</v>
      </c>
      <c r="C146" s="458"/>
      <c r="D146" s="458"/>
      <c r="E146" s="458"/>
      <c r="F146" s="458"/>
      <c r="G146" s="458"/>
      <c r="H146" s="458"/>
      <c r="I146" s="458"/>
      <c r="J146" s="458"/>
    </row>
    <row r="147" spans="1:10" ht="6" customHeight="1" x14ac:dyDescent="0.2">
      <c r="A147" s="301"/>
      <c r="B147" s="302"/>
      <c r="C147" s="299"/>
      <c r="D147" s="299"/>
      <c r="E147" s="299"/>
      <c r="F147" s="299"/>
      <c r="G147" s="299"/>
      <c r="H147" s="299"/>
      <c r="I147" s="299"/>
      <c r="J147" s="300"/>
    </row>
    <row r="148" spans="1:10" ht="21" customHeight="1" x14ac:dyDescent="0.2">
      <c r="A148" s="423" t="s">
        <v>660</v>
      </c>
      <c r="B148" s="423"/>
      <c r="C148" s="423"/>
      <c r="D148" s="423"/>
      <c r="E148" s="423"/>
      <c r="F148" s="423"/>
      <c r="G148" s="423"/>
      <c r="H148" s="423"/>
      <c r="I148" s="423"/>
      <c r="J148" s="423"/>
    </row>
    <row r="149" spans="1:10" ht="21" customHeight="1" x14ac:dyDescent="0.2">
      <c r="A149" s="284"/>
      <c r="B149" s="423" t="s">
        <v>619</v>
      </c>
      <c r="C149" s="423"/>
      <c r="D149" s="423"/>
      <c r="E149" s="423"/>
      <c r="F149" s="423"/>
      <c r="G149" s="423"/>
      <c r="H149" s="423"/>
      <c r="I149" s="423"/>
      <c r="J149" s="284" t="s">
        <v>580</v>
      </c>
    </row>
    <row r="150" spans="1:10" ht="21" customHeight="1" x14ac:dyDescent="0.2">
      <c r="A150" s="287" t="s">
        <v>525</v>
      </c>
      <c r="B150" s="438" t="s">
        <v>661</v>
      </c>
      <c r="C150" s="438"/>
      <c r="D150" s="438"/>
      <c r="E150" s="438"/>
      <c r="F150" s="438"/>
      <c r="G150" s="438"/>
      <c r="H150" s="438"/>
      <c r="I150" s="438"/>
      <c r="J150" s="289">
        <f>'2. SA INSUMOS'!G103</f>
        <v>92.830833333333317</v>
      </c>
    </row>
    <row r="151" spans="1:10" ht="21" customHeight="1" x14ac:dyDescent="0.2">
      <c r="A151" s="287" t="s">
        <v>527</v>
      </c>
      <c r="B151" s="438" t="s">
        <v>662</v>
      </c>
      <c r="C151" s="438"/>
      <c r="D151" s="438"/>
      <c r="E151" s="438"/>
      <c r="F151" s="438"/>
      <c r="G151" s="438"/>
      <c r="H151" s="438"/>
      <c r="I151" s="438"/>
      <c r="J151" s="289">
        <f>'2. SA INSUMOS'!G99</f>
        <v>488.20968208030638</v>
      </c>
    </row>
    <row r="152" spans="1:10" ht="21" customHeight="1" x14ac:dyDescent="0.2">
      <c r="A152" s="287" t="s">
        <v>528</v>
      </c>
      <c r="B152" s="438" t="s">
        <v>663</v>
      </c>
      <c r="C152" s="438"/>
      <c r="D152" s="438"/>
      <c r="E152" s="438"/>
      <c r="F152" s="438"/>
      <c r="G152" s="438"/>
      <c r="H152" s="438"/>
      <c r="I152" s="438"/>
      <c r="J152" s="289">
        <f>'2. SA INSUMOS'!G101</f>
        <v>1.5586548841642973</v>
      </c>
    </row>
    <row r="153" spans="1:10" ht="21" customHeight="1" x14ac:dyDescent="0.2">
      <c r="A153" s="287" t="s">
        <v>530</v>
      </c>
      <c r="B153" s="438" t="s">
        <v>664</v>
      </c>
      <c r="C153" s="438"/>
      <c r="D153" s="438"/>
      <c r="E153" s="438"/>
      <c r="F153" s="438"/>
      <c r="G153" s="438"/>
      <c r="H153" s="438"/>
      <c r="I153" s="438"/>
      <c r="J153" s="289" t="s">
        <v>665</v>
      </c>
    </row>
    <row r="154" spans="1:10" ht="21" customHeight="1" x14ac:dyDescent="0.2">
      <c r="A154" s="457" t="s">
        <v>666</v>
      </c>
      <c r="B154" s="457"/>
      <c r="C154" s="457"/>
      <c r="D154" s="457"/>
      <c r="E154" s="457"/>
      <c r="F154" s="457"/>
      <c r="G154" s="457"/>
      <c r="H154" s="457"/>
      <c r="I154" s="457"/>
      <c r="J154" s="292">
        <f>SUM(J150:J153)</f>
        <v>582.59917029780399</v>
      </c>
    </row>
    <row r="155" spans="1:10" x14ac:dyDescent="0.2">
      <c r="A155" s="212" t="s">
        <v>667</v>
      </c>
      <c r="B155" s="458" t="s">
        <v>668</v>
      </c>
      <c r="C155" s="458"/>
      <c r="D155" s="458"/>
      <c r="E155" s="458"/>
      <c r="F155" s="458"/>
      <c r="G155" s="458"/>
      <c r="H155" s="458"/>
      <c r="I155" s="458"/>
      <c r="J155" s="458"/>
    </row>
    <row r="156" spans="1:10" ht="6" customHeight="1" x14ac:dyDescent="0.2">
      <c r="A156" s="464"/>
      <c r="B156" s="464"/>
      <c r="C156" s="464"/>
      <c r="D156" s="464"/>
      <c r="E156" s="464"/>
      <c r="F156" s="464"/>
      <c r="G156" s="464"/>
      <c r="H156" s="464"/>
      <c r="I156" s="464"/>
      <c r="J156" s="464"/>
    </row>
    <row r="157" spans="1:10" ht="21.75" customHeight="1" x14ac:dyDescent="0.2">
      <c r="A157" s="423" t="s">
        <v>669</v>
      </c>
      <c r="B157" s="423"/>
      <c r="C157" s="423"/>
      <c r="D157" s="423"/>
      <c r="E157" s="423"/>
      <c r="F157" s="423"/>
      <c r="G157" s="423"/>
      <c r="H157" s="423"/>
      <c r="I157" s="423"/>
      <c r="J157" s="423"/>
    </row>
    <row r="158" spans="1:10" ht="21.75" customHeight="1" x14ac:dyDescent="0.2">
      <c r="A158" s="284"/>
      <c r="B158" s="423" t="s">
        <v>670</v>
      </c>
      <c r="C158" s="423"/>
      <c r="D158" s="423"/>
      <c r="E158" s="423"/>
      <c r="F158" s="423"/>
      <c r="G158" s="423"/>
      <c r="H158" s="423"/>
      <c r="I158" s="284" t="s">
        <v>568</v>
      </c>
      <c r="J158" s="231" t="s">
        <v>580</v>
      </c>
    </row>
    <row r="159" spans="1:10" ht="53.25" customHeight="1" x14ac:dyDescent="0.2">
      <c r="A159" s="438" t="s">
        <v>671</v>
      </c>
      <c r="B159" s="438"/>
      <c r="C159" s="438"/>
      <c r="D159" s="438"/>
      <c r="E159" s="438"/>
      <c r="F159" s="438"/>
      <c r="G159" s="438"/>
      <c r="H159" s="438"/>
      <c r="I159" s="438"/>
      <c r="J159" s="227">
        <f>SUM(J65+J111+J121+J145+J154)</f>
        <v>3641.1691702978037</v>
      </c>
    </row>
    <row r="160" spans="1:10" ht="21.75" customHeight="1" x14ac:dyDescent="0.2">
      <c r="A160" s="284" t="s">
        <v>525</v>
      </c>
      <c r="B160" s="466" t="s">
        <v>672</v>
      </c>
      <c r="C160" s="466"/>
      <c r="D160" s="466"/>
      <c r="E160" s="466"/>
      <c r="F160" s="466"/>
      <c r="G160" s="466"/>
      <c r="H160" s="466"/>
      <c r="I160" s="233">
        <f>'1. SA ABA DE CARREGAMENTO'!$B$103</f>
        <v>0.06</v>
      </c>
      <c r="J160" s="292">
        <f>ROUND(I160*J159,2)</f>
        <v>218.47</v>
      </c>
    </row>
    <row r="161" spans="1:12" ht="46.5" customHeight="1" x14ac:dyDescent="0.2">
      <c r="A161" s="438" t="s">
        <v>673</v>
      </c>
      <c r="B161" s="438"/>
      <c r="C161" s="438"/>
      <c r="D161" s="438"/>
      <c r="E161" s="438"/>
      <c r="F161" s="438"/>
      <c r="G161" s="438"/>
      <c r="H161" s="438"/>
      <c r="I161" s="438"/>
      <c r="J161" s="227">
        <f>SUM(J65+J111+J121+J145+J154+J160)</f>
        <v>3859.6391702978035</v>
      </c>
    </row>
    <row r="162" spans="1:12" ht="21.75" customHeight="1" x14ac:dyDescent="0.2">
      <c r="A162" s="284" t="s">
        <v>527</v>
      </c>
      <c r="B162" s="466" t="s">
        <v>104</v>
      </c>
      <c r="C162" s="466"/>
      <c r="D162" s="466"/>
      <c r="E162" s="466"/>
      <c r="F162" s="466"/>
      <c r="G162" s="466"/>
      <c r="H162" s="466"/>
      <c r="I162" s="233">
        <f>'1. SA ABA DE CARREGAMENTO'!$B$104</f>
        <v>6.7900000000000002E-2</v>
      </c>
      <c r="J162" s="292">
        <f>ROUND(I162*J161,2)</f>
        <v>262.07</v>
      </c>
    </row>
    <row r="163" spans="1:12" ht="50.25" customHeight="1" x14ac:dyDescent="0.2">
      <c r="A163" s="438" t="s">
        <v>674</v>
      </c>
      <c r="B163" s="438"/>
      <c r="C163" s="438"/>
      <c r="D163" s="438"/>
      <c r="E163" s="438"/>
      <c r="F163" s="438"/>
      <c r="G163" s="438"/>
      <c r="H163" s="438"/>
      <c r="I163" s="438"/>
      <c r="J163" s="227">
        <f>SUM(J65+J111+J121+J145+J154+J160+J162)</f>
        <v>4121.7091702978032</v>
      </c>
    </row>
    <row r="164" spans="1:12" ht="21.75" customHeight="1" x14ac:dyDescent="0.2">
      <c r="A164" s="284" t="s">
        <v>528</v>
      </c>
      <c r="B164" s="466" t="s">
        <v>675</v>
      </c>
      <c r="C164" s="466"/>
      <c r="D164" s="466"/>
      <c r="E164" s="466"/>
      <c r="F164" s="466"/>
      <c r="G164" s="466"/>
      <c r="H164" s="466"/>
      <c r="I164" s="233">
        <f>SUM(I165:I168)</f>
        <v>0.1225</v>
      </c>
      <c r="J164" s="292">
        <f>SUM(J165:J168)</f>
        <v>575.39</v>
      </c>
      <c r="K164" s="467"/>
      <c r="L164" s="467"/>
    </row>
    <row r="165" spans="1:12" ht="21.75" customHeight="1" x14ac:dyDescent="0.2">
      <c r="A165" s="441" t="s">
        <v>676</v>
      </c>
      <c r="B165" s="438" t="s">
        <v>677</v>
      </c>
      <c r="C165" s="438"/>
      <c r="D165" s="438"/>
      <c r="E165" s="438"/>
      <c r="F165" s="438" t="s">
        <v>107</v>
      </c>
      <c r="G165" s="438"/>
      <c r="H165" s="438"/>
      <c r="I165" s="216">
        <f>IF(H15=1,0.0165,IF(H15=2,0.0065,IF(H15=3,'1. SA ABA DE CARREGAMENTO'!B108,IF(H15=4,'1. SA ABA DE CARREGAMENTO'!B108,IF(H15=5,'1. SA ABA DE CARREGAMENTO'!B112,"RT Indefinido")))))</f>
        <v>1.6500000000000001E-2</v>
      </c>
      <c r="J165" s="227">
        <f>ROUND(($J$163/(1-$I$164))*I165,2)</f>
        <v>77.5</v>
      </c>
      <c r="K165" s="290"/>
      <c r="L165" s="234"/>
    </row>
    <row r="166" spans="1:12" ht="21.75" customHeight="1" x14ac:dyDescent="0.2">
      <c r="A166" s="441"/>
      <c r="B166" s="438"/>
      <c r="C166" s="438"/>
      <c r="D166" s="438"/>
      <c r="E166" s="438"/>
      <c r="F166" s="438" t="s">
        <v>108</v>
      </c>
      <c r="G166" s="438"/>
      <c r="H166" s="438"/>
      <c r="I166" s="216">
        <f>IF(H15=1,0.076,IF(H15=2,0.03,IF(H15=3,'1. SA ABA DE CARREGAMENTO'!B109,IF(H15=4,'1. SA ABA DE CARREGAMENTO'!B109,IF(H15=5,'1. SA ABA DE CARREGAMENTO'!B113,"RT Indefinido")))))</f>
        <v>7.5999999999999998E-2</v>
      </c>
      <c r="J166" s="227">
        <f>ROUND(($J$163/(1-$I$164))*I166,2)</f>
        <v>356.98</v>
      </c>
      <c r="K166" s="290"/>
      <c r="L166" s="234"/>
    </row>
    <row r="167" spans="1:12" ht="21.75" customHeight="1" x14ac:dyDescent="0.2">
      <c r="A167" s="287" t="s">
        <v>678</v>
      </c>
      <c r="B167" s="438" t="s">
        <v>679</v>
      </c>
      <c r="C167" s="438"/>
      <c r="D167" s="438"/>
      <c r="E167" s="438"/>
      <c r="F167" s="438" t="s">
        <v>680</v>
      </c>
      <c r="G167" s="438"/>
      <c r="H167" s="438"/>
      <c r="I167" s="216">
        <v>0</v>
      </c>
      <c r="J167" s="289">
        <v>0</v>
      </c>
      <c r="K167" s="290"/>
      <c r="L167" s="234"/>
    </row>
    <row r="168" spans="1:12" ht="21.75" customHeight="1" x14ac:dyDescent="0.2">
      <c r="A168" s="287" t="s">
        <v>681</v>
      </c>
      <c r="B168" s="438" t="s">
        <v>682</v>
      </c>
      <c r="C168" s="438"/>
      <c r="D168" s="438"/>
      <c r="E168" s="438"/>
      <c r="F168" s="438" t="s">
        <v>683</v>
      </c>
      <c r="G168" s="438"/>
      <c r="H168" s="438"/>
      <c r="I168" s="216">
        <f>'1. SA ABA DE CARREGAMENTO'!$B$105</f>
        <v>0.03</v>
      </c>
      <c r="J168" s="227">
        <f>ROUND(($J$163/(1-$I$164))*I168,2)</f>
        <v>140.91</v>
      </c>
    </row>
    <row r="169" spans="1:12" ht="21.75" customHeight="1" x14ac:dyDescent="0.2">
      <c r="A169" s="457" t="s">
        <v>684</v>
      </c>
      <c r="B169" s="457"/>
      <c r="C169" s="457"/>
      <c r="D169" s="457"/>
      <c r="E169" s="457"/>
      <c r="F169" s="457"/>
      <c r="G169" s="457"/>
      <c r="H169" s="457"/>
      <c r="I169" s="457"/>
      <c r="J169" s="292">
        <f>SUM(J160+J162+J164)</f>
        <v>1055.9299999999998</v>
      </c>
    </row>
    <row r="170" spans="1:12" ht="21.75" customHeight="1" x14ac:dyDescent="0.2">
      <c r="A170" s="212" t="s">
        <v>685</v>
      </c>
      <c r="B170" s="458" t="s">
        <v>686</v>
      </c>
      <c r="C170" s="458"/>
      <c r="D170" s="458"/>
      <c r="E170" s="458"/>
      <c r="F170" s="458"/>
      <c r="G170" s="458"/>
      <c r="H170" s="458"/>
      <c r="I170" s="458"/>
      <c r="J170" s="458"/>
    </row>
    <row r="171" spans="1:12" ht="21.75" customHeight="1" x14ac:dyDescent="0.2">
      <c r="A171" s="468" t="s">
        <v>687</v>
      </c>
      <c r="B171" s="469" t="s">
        <v>688</v>
      </c>
      <c r="C171" s="470"/>
      <c r="D171" s="475" t="s">
        <v>881</v>
      </c>
      <c r="E171" s="476"/>
      <c r="F171" s="476"/>
      <c r="G171" s="481" t="s">
        <v>882</v>
      </c>
      <c r="H171" s="482"/>
      <c r="I171" s="318"/>
      <c r="J171" s="487"/>
    </row>
    <row r="172" spans="1:12" ht="21.75" customHeight="1" x14ac:dyDescent="0.2">
      <c r="A172" s="468"/>
      <c r="B172" s="471"/>
      <c r="C172" s="472"/>
      <c r="D172" s="477"/>
      <c r="E172" s="478"/>
      <c r="F172" s="478"/>
      <c r="G172" s="483"/>
      <c r="H172" s="484"/>
      <c r="I172" s="319"/>
      <c r="J172" s="488"/>
    </row>
    <row r="173" spans="1:12" ht="21.75" customHeight="1" x14ac:dyDescent="0.2">
      <c r="A173" s="468"/>
      <c r="B173" s="473"/>
      <c r="C173" s="474"/>
      <c r="D173" s="479"/>
      <c r="E173" s="480"/>
      <c r="F173" s="480"/>
      <c r="G173" s="485"/>
      <c r="H173" s="486"/>
      <c r="I173" s="320"/>
      <c r="J173" s="489"/>
    </row>
    <row r="174" spans="1:12" ht="21.75" customHeight="1" x14ac:dyDescent="0.2">
      <c r="A174" s="309"/>
      <c r="B174" s="310"/>
      <c r="C174" s="311"/>
      <c r="D174" s="312"/>
      <c r="E174" s="312"/>
      <c r="F174" s="312"/>
      <c r="G174" s="312"/>
      <c r="H174" s="312"/>
      <c r="I174" s="312"/>
      <c r="J174" s="312"/>
    </row>
    <row r="175" spans="1:12" ht="25.5" customHeight="1" x14ac:dyDescent="0.2">
      <c r="A175" s="490" t="s">
        <v>875</v>
      </c>
      <c r="B175" s="490"/>
      <c r="C175" s="490"/>
      <c r="D175" s="490"/>
      <c r="E175" s="490"/>
      <c r="F175" s="490"/>
      <c r="G175" s="490"/>
      <c r="H175" s="490"/>
      <c r="I175" s="490"/>
      <c r="J175" s="490"/>
    </row>
    <row r="176" spans="1:12" ht="21.75" customHeight="1" x14ac:dyDescent="0.2">
      <c r="A176" s="491" t="s">
        <v>690</v>
      </c>
      <c r="B176" s="491"/>
      <c r="C176" s="491"/>
      <c r="D176" s="491"/>
      <c r="E176" s="491"/>
      <c r="F176" s="491"/>
      <c r="G176" s="491"/>
      <c r="H176" s="491"/>
      <c r="I176" s="491"/>
      <c r="J176" s="284" t="s">
        <v>580</v>
      </c>
    </row>
    <row r="177" spans="1:10" ht="21.75" customHeight="1" x14ac:dyDescent="0.2">
      <c r="A177" s="235" t="s">
        <v>525</v>
      </c>
      <c r="B177" s="492" t="s">
        <v>691</v>
      </c>
      <c r="C177" s="492"/>
      <c r="D177" s="492"/>
      <c r="E177" s="492"/>
      <c r="F177" s="492"/>
      <c r="G177" s="492"/>
      <c r="H177" s="492"/>
      <c r="I177" s="492"/>
      <c r="J177" s="289">
        <f>J65</f>
        <v>1576.9099999999999</v>
      </c>
    </row>
    <row r="178" spans="1:10" ht="21.75" customHeight="1" x14ac:dyDescent="0.2">
      <c r="A178" s="235" t="s">
        <v>527</v>
      </c>
      <c r="B178" s="492" t="s">
        <v>692</v>
      </c>
      <c r="C178" s="492"/>
      <c r="D178" s="492"/>
      <c r="E178" s="492"/>
      <c r="F178" s="492"/>
      <c r="G178" s="492"/>
      <c r="H178" s="492"/>
      <c r="I178" s="492"/>
      <c r="J178" s="289">
        <f>J111</f>
        <v>1202.25</v>
      </c>
    </row>
    <row r="179" spans="1:10" ht="21.75" customHeight="1" x14ac:dyDescent="0.2">
      <c r="A179" s="235" t="s">
        <v>528</v>
      </c>
      <c r="B179" s="492" t="s">
        <v>693</v>
      </c>
      <c r="C179" s="492"/>
      <c r="D179" s="492"/>
      <c r="E179" s="492"/>
      <c r="F179" s="492"/>
      <c r="G179" s="492"/>
      <c r="H179" s="492"/>
      <c r="I179" s="492"/>
      <c r="J179" s="289">
        <f>J121</f>
        <v>87.039999999999992</v>
      </c>
    </row>
    <row r="180" spans="1:10" ht="21.75" customHeight="1" x14ac:dyDescent="0.2">
      <c r="A180" s="235" t="s">
        <v>530</v>
      </c>
      <c r="B180" s="492" t="s">
        <v>694</v>
      </c>
      <c r="C180" s="492"/>
      <c r="D180" s="492"/>
      <c r="E180" s="492"/>
      <c r="F180" s="492"/>
      <c r="G180" s="492"/>
      <c r="H180" s="492"/>
      <c r="I180" s="492"/>
      <c r="J180" s="289">
        <f>J145</f>
        <v>192.37</v>
      </c>
    </row>
    <row r="181" spans="1:10" ht="21.75" customHeight="1" x14ac:dyDescent="0.2">
      <c r="A181" s="235" t="s">
        <v>590</v>
      </c>
      <c r="B181" s="492" t="s">
        <v>695</v>
      </c>
      <c r="C181" s="492"/>
      <c r="D181" s="492"/>
      <c r="E181" s="492"/>
      <c r="F181" s="492"/>
      <c r="G181" s="492"/>
      <c r="H181" s="492"/>
      <c r="I181" s="492"/>
      <c r="J181" s="289">
        <f>J154</f>
        <v>582.59917029780399</v>
      </c>
    </row>
    <row r="182" spans="1:10" ht="21.75" customHeight="1" x14ac:dyDescent="0.2">
      <c r="A182" s="493" t="s">
        <v>696</v>
      </c>
      <c r="B182" s="493"/>
      <c r="C182" s="493"/>
      <c r="D182" s="493"/>
      <c r="E182" s="493"/>
      <c r="F182" s="493"/>
      <c r="G182" s="493"/>
      <c r="H182" s="493"/>
      <c r="I182" s="493"/>
      <c r="J182" s="292">
        <f>SUM(J177:J181)</f>
        <v>3641.1691702978037</v>
      </c>
    </row>
    <row r="183" spans="1:10" ht="21.75" customHeight="1" x14ac:dyDescent="0.2">
      <c r="A183" s="235" t="s">
        <v>591</v>
      </c>
      <c r="B183" s="492" t="s">
        <v>697</v>
      </c>
      <c r="C183" s="492"/>
      <c r="D183" s="492"/>
      <c r="E183" s="492"/>
      <c r="F183" s="492"/>
      <c r="G183" s="492"/>
      <c r="H183" s="492"/>
      <c r="I183" s="492"/>
      <c r="J183" s="289">
        <f>J169</f>
        <v>1055.9299999999998</v>
      </c>
    </row>
    <row r="184" spans="1:10" ht="21.75" customHeight="1" x14ac:dyDescent="0.2">
      <c r="A184" s="494" t="s">
        <v>698</v>
      </c>
      <c r="B184" s="494"/>
      <c r="C184" s="494"/>
      <c r="D184" s="494"/>
      <c r="E184" s="494"/>
      <c r="F184" s="494"/>
      <c r="G184" s="494"/>
      <c r="H184" s="236">
        <f>'1. SA ABA DE CARREGAMENTO'!C68</f>
        <v>44</v>
      </c>
      <c r="I184" s="237" t="s">
        <v>571</v>
      </c>
      <c r="J184" s="292">
        <f>SUM(J182:J183)</f>
        <v>4697.0991702978035</v>
      </c>
    </row>
    <row r="185" spans="1:10" ht="21.75" customHeight="1" x14ac:dyDescent="0.2">
      <c r="A185" s="313"/>
      <c r="B185" s="313"/>
      <c r="C185" s="313"/>
      <c r="D185" s="313"/>
      <c r="E185" s="313"/>
      <c r="F185" s="313"/>
      <c r="G185" s="313"/>
      <c r="H185" s="313"/>
      <c r="I185" s="313"/>
      <c r="J185" s="304"/>
    </row>
    <row r="186" spans="1:10" ht="21.75" customHeight="1" x14ac:dyDescent="0.2">
      <c r="A186" s="423" t="s">
        <v>699</v>
      </c>
      <c r="B186" s="423"/>
      <c r="C186" s="423"/>
      <c r="D186" s="423"/>
      <c r="E186" s="423"/>
      <c r="F186" s="423"/>
      <c r="G186" s="423"/>
      <c r="H186" s="423"/>
      <c r="I186" s="423"/>
      <c r="J186" s="423"/>
    </row>
    <row r="187" spans="1:10" ht="21.75" customHeight="1" x14ac:dyDescent="0.2">
      <c r="A187" s="495" t="s">
        <v>700</v>
      </c>
      <c r="B187" s="495"/>
      <c r="C187" s="495"/>
      <c r="D187" s="495"/>
      <c r="E187" s="495"/>
      <c r="F187" s="495"/>
      <c r="G187" s="495"/>
      <c r="H187" s="495"/>
      <c r="I187" s="495"/>
      <c r="J187" s="495"/>
    </row>
    <row r="188" spans="1:10" ht="21.75" customHeight="1" x14ac:dyDescent="0.2">
      <c r="A188" s="466" t="s">
        <v>701</v>
      </c>
      <c r="B188" s="466"/>
      <c r="C188" s="466"/>
      <c r="D188" s="466"/>
      <c r="E188" s="466"/>
      <c r="F188" s="466"/>
      <c r="G188" s="466"/>
      <c r="H188" s="466"/>
      <c r="I188" s="466"/>
      <c r="J188" s="466"/>
    </row>
    <row r="189" spans="1:10" ht="48.75" customHeight="1" x14ac:dyDescent="0.2">
      <c r="A189" s="423" t="s">
        <v>878</v>
      </c>
      <c r="B189" s="423"/>
      <c r="C189" s="423"/>
      <c r="D189" s="423" t="s">
        <v>702</v>
      </c>
      <c r="E189" s="423"/>
      <c r="F189" s="423"/>
      <c r="G189" s="423" t="s">
        <v>703</v>
      </c>
      <c r="H189" s="423"/>
      <c r="I189" s="423" t="s">
        <v>704</v>
      </c>
      <c r="J189" s="423"/>
    </row>
    <row r="190" spans="1:10" ht="21.75" customHeight="1" x14ac:dyDescent="0.2">
      <c r="A190" s="442" t="s">
        <v>705</v>
      </c>
      <c r="B190" s="442"/>
      <c r="C190" s="442"/>
      <c r="D190" s="239">
        <v>1</v>
      </c>
      <c r="E190" s="239">
        <v>30</v>
      </c>
      <c r="F190" s="291">
        <f>E191</f>
        <v>1200</v>
      </c>
      <c r="G190" s="496">
        <v>0</v>
      </c>
      <c r="H190" s="496"/>
      <c r="I190" s="497">
        <f>G190/F190/E190</f>
        <v>0</v>
      </c>
      <c r="J190" s="497"/>
    </row>
    <row r="191" spans="1:10" ht="21.75" customHeight="1" x14ac:dyDescent="0.2">
      <c r="A191" s="442" t="s">
        <v>706</v>
      </c>
      <c r="B191" s="442"/>
      <c r="C191" s="442"/>
      <c r="D191" s="239">
        <v>1</v>
      </c>
      <c r="E191" s="498">
        <f>'4. SA Cál DEMO Limpeza Geral'!C8</f>
        <v>1200</v>
      </c>
      <c r="F191" s="498"/>
      <c r="G191" s="496">
        <f>J184</f>
        <v>4697.0991702978035</v>
      </c>
      <c r="H191" s="496"/>
      <c r="I191" s="497">
        <f>ROUND((D191/E191)*G191,2)</f>
        <v>3.91</v>
      </c>
      <c r="J191" s="497"/>
    </row>
    <row r="192" spans="1:10" ht="21.75" customHeight="1" x14ac:dyDescent="0.2">
      <c r="A192" s="457" t="s">
        <v>707</v>
      </c>
      <c r="B192" s="457"/>
      <c r="C192" s="457"/>
      <c r="D192" s="457"/>
      <c r="E192" s="457"/>
      <c r="F192" s="457"/>
      <c r="G192" s="457"/>
      <c r="H192" s="457"/>
      <c r="I192" s="499">
        <f>SUM(I190+I191)</f>
        <v>3.91</v>
      </c>
      <c r="J192" s="499"/>
    </row>
    <row r="193" spans="1:10" ht="21.75" customHeight="1" x14ac:dyDescent="0.2">
      <c r="A193" s="442" t="s">
        <v>708</v>
      </c>
      <c r="B193" s="442"/>
      <c r="C193" s="442"/>
      <c r="D193" s="239">
        <v>1</v>
      </c>
      <c r="E193" s="239">
        <v>30</v>
      </c>
      <c r="F193" s="291">
        <f>E194</f>
        <v>1200</v>
      </c>
      <c r="G193" s="496">
        <f>G190</f>
        <v>0</v>
      </c>
      <c r="H193" s="496"/>
      <c r="I193" s="497">
        <f>G193/F193/E193</f>
        <v>0</v>
      </c>
      <c r="J193" s="497"/>
    </row>
    <row r="194" spans="1:10" ht="21.75" customHeight="1" x14ac:dyDescent="0.2">
      <c r="A194" s="442" t="s">
        <v>709</v>
      </c>
      <c r="B194" s="442"/>
      <c r="C194" s="442"/>
      <c r="D194" s="239">
        <v>1</v>
      </c>
      <c r="E194" s="498">
        <f>'4. SA Cál DEMO Limpeza Geral'!C9</f>
        <v>1200</v>
      </c>
      <c r="F194" s="498"/>
      <c r="G194" s="496">
        <f>J184</f>
        <v>4697.0991702978035</v>
      </c>
      <c r="H194" s="496"/>
      <c r="I194" s="497">
        <f>ROUND((D194/E194)*G194,2)</f>
        <v>3.91</v>
      </c>
      <c r="J194" s="497"/>
    </row>
    <row r="195" spans="1:10" ht="21.75" customHeight="1" x14ac:dyDescent="0.2">
      <c r="A195" s="457" t="s">
        <v>707</v>
      </c>
      <c r="B195" s="457"/>
      <c r="C195" s="457"/>
      <c r="D195" s="457"/>
      <c r="E195" s="457"/>
      <c r="F195" s="457"/>
      <c r="G195" s="457"/>
      <c r="H195" s="457"/>
      <c r="I195" s="499">
        <f>SUM(I193+I194)</f>
        <v>3.91</v>
      </c>
      <c r="J195" s="499"/>
    </row>
    <row r="196" spans="1:10" ht="21.75" customHeight="1" x14ac:dyDescent="0.2">
      <c r="A196" s="442" t="s">
        <v>710</v>
      </c>
      <c r="B196" s="442"/>
      <c r="C196" s="442"/>
      <c r="D196" s="239">
        <v>1</v>
      </c>
      <c r="E196" s="239">
        <v>30</v>
      </c>
      <c r="F196" s="291">
        <f>E197</f>
        <v>450</v>
      </c>
      <c r="G196" s="496">
        <f>G190</f>
        <v>0</v>
      </c>
      <c r="H196" s="496"/>
      <c r="I196" s="497">
        <f>G196/F196/E196</f>
        <v>0</v>
      </c>
      <c r="J196" s="497"/>
    </row>
    <row r="197" spans="1:10" ht="21.75" customHeight="1" x14ac:dyDescent="0.2">
      <c r="A197" s="442" t="s">
        <v>711</v>
      </c>
      <c r="B197" s="442"/>
      <c r="C197" s="442"/>
      <c r="D197" s="239">
        <v>1</v>
      </c>
      <c r="E197" s="498">
        <f>'4. SA Cál DEMO Limpeza Geral'!C10</f>
        <v>450</v>
      </c>
      <c r="F197" s="498"/>
      <c r="G197" s="496">
        <f>J184</f>
        <v>4697.0991702978035</v>
      </c>
      <c r="H197" s="496"/>
      <c r="I197" s="497">
        <f>ROUND((D197/E197)*G197,2)</f>
        <v>10.44</v>
      </c>
      <c r="J197" s="497"/>
    </row>
    <row r="198" spans="1:10" ht="21.75" customHeight="1" x14ac:dyDescent="0.2">
      <c r="A198" s="457" t="s">
        <v>707</v>
      </c>
      <c r="B198" s="457"/>
      <c r="C198" s="457"/>
      <c r="D198" s="457"/>
      <c r="E198" s="457"/>
      <c r="F198" s="457"/>
      <c r="G198" s="457"/>
      <c r="H198" s="457"/>
      <c r="I198" s="499">
        <f>SUM(I196+I197)</f>
        <v>10.44</v>
      </c>
      <c r="J198" s="499"/>
    </row>
    <row r="199" spans="1:10" ht="21.75" customHeight="1" x14ac:dyDescent="0.2">
      <c r="A199" s="442" t="s">
        <v>712</v>
      </c>
      <c r="B199" s="442"/>
      <c r="C199" s="442"/>
      <c r="D199" s="239">
        <v>1</v>
      </c>
      <c r="E199" s="239">
        <v>30</v>
      </c>
      <c r="F199" s="291">
        <f>E200</f>
        <v>2500</v>
      </c>
      <c r="G199" s="496">
        <f>G190</f>
        <v>0</v>
      </c>
      <c r="H199" s="496"/>
      <c r="I199" s="497">
        <f>G199/F199/E199</f>
        <v>0</v>
      </c>
      <c r="J199" s="497"/>
    </row>
    <row r="200" spans="1:10" ht="21.75" customHeight="1" x14ac:dyDescent="0.2">
      <c r="A200" s="442" t="s">
        <v>713</v>
      </c>
      <c r="B200" s="442"/>
      <c r="C200" s="442"/>
      <c r="D200" s="239">
        <v>1</v>
      </c>
      <c r="E200" s="498">
        <f>'4. SA Cál DEMO Limpeza Geral'!C11</f>
        <v>2500</v>
      </c>
      <c r="F200" s="498"/>
      <c r="G200" s="496">
        <f>J184</f>
        <v>4697.0991702978035</v>
      </c>
      <c r="H200" s="496"/>
      <c r="I200" s="497">
        <f>ROUND((D200/E200)*G200,2)</f>
        <v>1.88</v>
      </c>
      <c r="J200" s="497"/>
    </row>
    <row r="201" spans="1:10" ht="21.75" customHeight="1" x14ac:dyDescent="0.2">
      <c r="A201" s="457" t="s">
        <v>707</v>
      </c>
      <c r="B201" s="457"/>
      <c r="C201" s="457"/>
      <c r="D201" s="457"/>
      <c r="E201" s="457"/>
      <c r="F201" s="457"/>
      <c r="G201" s="457"/>
      <c r="H201" s="457"/>
      <c r="I201" s="499">
        <f>SUM(I199+I200)</f>
        <v>1.88</v>
      </c>
      <c r="J201" s="499"/>
    </row>
    <row r="202" spans="1:10" ht="21.75" customHeight="1" x14ac:dyDescent="0.2">
      <c r="A202" s="442" t="s">
        <v>714</v>
      </c>
      <c r="B202" s="442"/>
      <c r="C202" s="442"/>
      <c r="D202" s="239">
        <v>1</v>
      </c>
      <c r="E202" s="239">
        <v>30</v>
      </c>
      <c r="F202" s="291">
        <f>E203</f>
        <v>1800</v>
      </c>
      <c r="G202" s="496">
        <f>G190</f>
        <v>0</v>
      </c>
      <c r="H202" s="496"/>
      <c r="I202" s="497">
        <f>G202/F202/E202</f>
        <v>0</v>
      </c>
      <c r="J202" s="497"/>
    </row>
    <row r="203" spans="1:10" ht="21.75" customHeight="1" x14ac:dyDescent="0.2">
      <c r="A203" s="442" t="s">
        <v>715</v>
      </c>
      <c r="B203" s="442"/>
      <c r="C203" s="442"/>
      <c r="D203" s="239">
        <v>1</v>
      </c>
      <c r="E203" s="498">
        <f>'4. SA Cál DEMO Limpeza Geral'!C12</f>
        <v>1800</v>
      </c>
      <c r="F203" s="498"/>
      <c r="G203" s="496">
        <f>J184</f>
        <v>4697.0991702978035</v>
      </c>
      <c r="H203" s="496"/>
      <c r="I203" s="497">
        <f>ROUND((D203/E203)*G203,2)</f>
        <v>2.61</v>
      </c>
      <c r="J203" s="497"/>
    </row>
    <row r="204" spans="1:10" ht="21.75" customHeight="1" x14ac:dyDescent="0.2">
      <c r="A204" s="457" t="s">
        <v>707</v>
      </c>
      <c r="B204" s="457"/>
      <c r="C204" s="457"/>
      <c r="D204" s="457"/>
      <c r="E204" s="457"/>
      <c r="F204" s="457"/>
      <c r="G204" s="457"/>
      <c r="H204" s="457"/>
      <c r="I204" s="499">
        <f>SUM(I202+I203)</f>
        <v>2.61</v>
      </c>
      <c r="J204" s="499"/>
    </row>
    <row r="205" spans="1:10" ht="21.75" customHeight="1" x14ac:dyDescent="0.2">
      <c r="A205" s="442" t="s">
        <v>716</v>
      </c>
      <c r="B205" s="442"/>
      <c r="C205" s="442"/>
      <c r="D205" s="239">
        <v>1</v>
      </c>
      <c r="E205" s="239">
        <v>30</v>
      </c>
      <c r="F205" s="291">
        <f>E206</f>
        <v>1500</v>
      </c>
      <c r="G205" s="496">
        <f>G190</f>
        <v>0</v>
      </c>
      <c r="H205" s="496"/>
      <c r="I205" s="497">
        <f>G205/F205/E205</f>
        <v>0</v>
      </c>
      <c r="J205" s="497"/>
    </row>
    <row r="206" spans="1:10" ht="21.75" customHeight="1" x14ac:dyDescent="0.2">
      <c r="A206" s="442" t="s">
        <v>717</v>
      </c>
      <c r="B206" s="442"/>
      <c r="C206" s="442"/>
      <c r="D206" s="239">
        <v>1</v>
      </c>
      <c r="E206" s="498">
        <f>'4. SA Cál DEMO Limpeza Geral'!C13</f>
        <v>1500</v>
      </c>
      <c r="F206" s="498"/>
      <c r="G206" s="496">
        <f>J184</f>
        <v>4697.0991702978035</v>
      </c>
      <c r="H206" s="496"/>
      <c r="I206" s="497">
        <f>ROUND((D206/E206)*G206,2)</f>
        <v>3.13</v>
      </c>
      <c r="J206" s="497"/>
    </row>
    <row r="207" spans="1:10" ht="21.75" customHeight="1" x14ac:dyDescent="0.2">
      <c r="A207" s="457" t="s">
        <v>707</v>
      </c>
      <c r="B207" s="457"/>
      <c r="C207" s="457"/>
      <c r="D207" s="457"/>
      <c r="E207" s="457"/>
      <c r="F207" s="457"/>
      <c r="G207" s="457"/>
      <c r="H207" s="457"/>
      <c r="I207" s="499">
        <f>SUM(I205+I206)</f>
        <v>3.13</v>
      </c>
      <c r="J207" s="499"/>
    </row>
    <row r="208" spans="1:10" ht="21.75" customHeight="1" x14ac:dyDescent="0.2">
      <c r="A208" s="442" t="s">
        <v>718</v>
      </c>
      <c r="B208" s="442"/>
      <c r="C208" s="442"/>
      <c r="D208" s="314">
        <v>1</v>
      </c>
      <c r="E208" s="239">
        <v>30</v>
      </c>
      <c r="F208" s="291">
        <f>E209</f>
        <v>1200</v>
      </c>
      <c r="G208" s="496">
        <f>G190</f>
        <v>0</v>
      </c>
      <c r="H208" s="496"/>
      <c r="I208" s="497">
        <f>G208/F208/E208</f>
        <v>0</v>
      </c>
      <c r="J208" s="497"/>
    </row>
    <row r="209" spans="1:26" ht="21.75" customHeight="1" x14ac:dyDescent="0.2">
      <c r="A209" s="442" t="s">
        <v>719</v>
      </c>
      <c r="B209" s="442"/>
      <c r="C209" s="442"/>
      <c r="D209" s="314">
        <v>1</v>
      </c>
      <c r="E209" s="498">
        <f>'4. SA Cál DEMO Limpeza Geral'!C14</f>
        <v>1200</v>
      </c>
      <c r="F209" s="498"/>
      <c r="G209" s="500">
        <f>J184</f>
        <v>4697.0991702978035</v>
      </c>
      <c r="H209" s="500"/>
      <c r="I209" s="497">
        <f>ROUND((D209/E209)*G209,2)</f>
        <v>3.91</v>
      </c>
      <c r="J209" s="497"/>
    </row>
    <row r="210" spans="1:26" ht="21.75" customHeight="1" x14ac:dyDescent="0.2">
      <c r="A210" s="457" t="s">
        <v>720</v>
      </c>
      <c r="B210" s="457"/>
      <c r="C210" s="457"/>
      <c r="D210" s="457"/>
      <c r="E210" s="457"/>
      <c r="F210" s="457"/>
      <c r="G210" s="457"/>
      <c r="H210" s="457"/>
      <c r="I210" s="499">
        <f>SUM(I208:J209)</f>
        <v>3.91</v>
      </c>
      <c r="J210" s="499"/>
    </row>
    <row r="211" spans="1:26" ht="21.75" customHeight="1" x14ac:dyDescent="0.2">
      <c r="A211" s="442" t="s">
        <v>721</v>
      </c>
      <c r="B211" s="442"/>
      <c r="C211" s="442"/>
      <c r="D211" s="239">
        <v>1</v>
      </c>
      <c r="E211" s="239">
        <v>30</v>
      </c>
      <c r="F211" s="291">
        <f>E212</f>
        <v>800</v>
      </c>
      <c r="G211" s="496">
        <f>G190</f>
        <v>0</v>
      </c>
      <c r="H211" s="496"/>
      <c r="I211" s="497">
        <f>G211/F211/E211</f>
        <v>0</v>
      </c>
      <c r="J211" s="497"/>
    </row>
    <row r="212" spans="1:26" ht="21.75" customHeight="1" x14ac:dyDescent="0.2">
      <c r="A212" s="442" t="s">
        <v>722</v>
      </c>
      <c r="B212" s="442"/>
      <c r="C212" s="442"/>
      <c r="D212" s="239">
        <v>1</v>
      </c>
      <c r="E212" s="498">
        <f>'4. SA Cál DEMO Limpeza Geral'!C15</f>
        <v>800</v>
      </c>
      <c r="F212" s="498"/>
      <c r="G212" s="500">
        <f>J184</f>
        <v>4697.0991702978035</v>
      </c>
      <c r="H212" s="500"/>
      <c r="I212" s="497">
        <f>ROUND((D212/E212)*G212,2)</f>
        <v>5.87</v>
      </c>
      <c r="J212" s="497"/>
    </row>
    <row r="213" spans="1:26" ht="21.75" customHeight="1" x14ac:dyDescent="0.2">
      <c r="A213" s="457" t="s">
        <v>720</v>
      </c>
      <c r="B213" s="457"/>
      <c r="C213" s="457"/>
      <c r="D213" s="457"/>
      <c r="E213" s="457"/>
      <c r="F213" s="457"/>
      <c r="G213" s="457"/>
      <c r="H213" s="457"/>
      <c r="I213" s="499">
        <f>SUM(I211:J212)</f>
        <v>5.87</v>
      </c>
      <c r="J213" s="499"/>
    </row>
    <row r="214" spans="1:26" ht="21.75" customHeight="1" x14ac:dyDescent="0.2">
      <c r="A214" s="442" t="s">
        <v>723</v>
      </c>
      <c r="B214" s="442"/>
      <c r="C214" s="442"/>
      <c r="D214" s="239">
        <v>1</v>
      </c>
      <c r="E214" s="239">
        <v>30</v>
      </c>
      <c r="F214" s="291">
        <f>E215</f>
        <v>450</v>
      </c>
      <c r="G214" s="496">
        <f>G190</f>
        <v>0</v>
      </c>
      <c r="H214" s="496"/>
      <c r="I214" s="497">
        <f>G214/F214/E214</f>
        <v>0</v>
      </c>
      <c r="J214" s="497"/>
    </row>
    <row r="215" spans="1:26" ht="21.75" customHeight="1" x14ac:dyDescent="0.2">
      <c r="A215" s="442" t="s">
        <v>724</v>
      </c>
      <c r="B215" s="442"/>
      <c r="C215" s="442"/>
      <c r="D215" s="239">
        <v>1</v>
      </c>
      <c r="E215" s="498">
        <f>'4. SA Cál DEMO Limpeza Geral'!C16</f>
        <v>450</v>
      </c>
      <c r="F215" s="498"/>
      <c r="G215" s="500">
        <f>J184</f>
        <v>4697.0991702978035</v>
      </c>
      <c r="H215" s="500"/>
      <c r="I215" s="497">
        <f>ROUND((D215/E215)*G215,2)</f>
        <v>10.44</v>
      </c>
      <c r="J215" s="497"/>
    </row>
    <row r="216" spans="1:26" ht="21.75" customHeight="1" x14ac:dyDescent="0.2">
      <c r="A216" s="457" t="s">
        <v>725</v>
      </c>
      <c r="B216" s="457"/>
      <c r="C216" s="457"/>
      <c r="D216" s="457"/>
      <c r="E216" s="457"/>
      <c r="F216" s="457"/>
      <c r="G216" s="457"/>
      <c r="H216" s="457"/>
      <c r="I216" s="499">
        <f>SUM(I214:J215)</f>
        <v>10.44</v>
      </c>
      <c r="J216" s="499"/>
    </row>
    <row r="217" spans="1:26" ht="9.75" customHeight="1" x14ac:dyDescent="0.2">
      <c r="A217" s="501"/>
      <c r="B217" s="501"/>
      <c r="C217" s="501"/>
      <c r="D217" s="501"/>
      <c r="E217" s="501"/>
      <c r="F217" s="501"/>
      <c r="G217" s="501"/>
      <c r="H217" s="501"/>
      <c r="I217" s="501"/>
      <c r="J217" s="501"/>
      <c r="K217" s="18"/>
      <c r="L217" s="18"/>
      <c r="M217" s="18"/>
      <c r="N217" s="18"/>
      <c r="O217" s="18"/>
      <c r="P217" s="18"/>
      <c r="Q217" s="18"/>
      <c r="R217" s="18"/>
      <c r="S217" s="18"/>
      <c r="T217" s="18"/>
      <c r="U217" s="18"/>
      <c r="V217" s="18"/>
      <c r="W217" s="18"/>
      <c r="X217" s="18"/>
      <c r="Y217" s="18"/>
      <c r="Z217" s="18"/>
    </row>
    <row r="218" spans="1:26" ht="15" x14ac:dyDescent="0.2">
      <c r="A218" s="466" t="s">
        <v>726</v>
      </c>
      <c r="B218" s="466"/>
      <c r="C218" s="466"/>
      <c r="D218" s="466"/>
      <c r="E218" s="466"/>
      <c r="F218" s="466"/>
      <c r="G218" s="466"/>
      <c r="H218" s="466"/>
      <c r="I218" s="466"/>
      <c r="J218" s="466"/>
    </row>
    <row r="219" spans="1:26" ht="47.25" customHeight="1" x14ac:dyDescent="0.2">
      <c r="A219" s="423" t="s">
        <v>879</v>
      </c>
      <c r="B219" s="423"/>
      <c r="C219" s="423"/>
      <c r="D219" s="423" t="s">
        <v>727</v>
      </c>
      <c r="E219" s="423"/>
      <c r="F219" s="423"/>
      <c r="G219" s="423" t="s">
        <v>728</v>
      </c>
      <c r="H219" s="423"/>
      <c r="I219" s="423" t="s">
        <v>704</v>
      </c>
      <c r="J219" s="423"/>
    </row>
    <row r="220" spans="1:26" ht="33.75" customHeight="1" x14ac:dyDescent="0.2">
      <c r="A220" s="442" t="s">
        <v>729</v>
      </c>
      <c r="B220" s="442"/>
      <c r="C220" s="442"/>
      <c r="D220" s="250">
        <v>1</v>
      </c>
      <c r="E220" s="239" t="s">
        <v>730</v>
      </c>
      <c r="F220" s="291">
        <f>E221</f>
        <v>2700</v>
      </c>
      <c r="G220" s="496">
        <f>G190</f>
        <v>0</v>
      </c>
      <c r="H220" s="496"/>
      <c r="I220" s="497">
        <f>G220/F220/E220</f>
        <v>0</v>
      </c>
      <c r="J220" s="497"/>
    </row>
    <row r="221" spans="1:26" ht="33.75" customHeight="1" x14ac:dyDescent="0.2">
      <c r="A221" s="442" t="s">
        <v>731</v>
      </c>
      <c r="B221" s="442"/>
      <c r="C221" s="442"/>
      <c r="D221" s="250">
        <v>1</v>
      </c>
      <c r="E221" s="498">
        <f>'4. SA Cál DEMO Limpeza Geral'!C17</f>
        <v>2700</v>
      </c>
      <c r="F221" s="498"/>
      <c r="G221" s="496">
        <f>J184</f>
        <v>4697.0991702978035</v>
      </c>
      <c r="H221" s="496"/>
      <c r="I221" s="497">
        <f>ROUND((D221/E221)*G221,2)</f>
        <v>1.74</v>
      </c>
      <c r="J221" s="497"/>
    </row>
    <row r="222" spans="1:26" ht="17.25" customHeight="1" x14ac:dyDescent="0.2">
      <c r="A222" s="457" t="s">
        <v>707</v>
      </c>
      <c r="B222" s="457"/>
      <c r="C222" s="457"/>
      <c r="D222" s="457"/>
      <c r="E222" s="457"/>
      <c r="F222" s="457"/>
      <c r="G222" s="457"/>
      <c r="H222" s="457"/>
      <c r="I222" s="499">
        <f>SUM(I220+I221)</f>
        <v>1.74</v>
      </c>
      <c r="J222" s="499"/>
    </row>
    <row r="223" spans="1:26" ht="21" customHeight="1" x14ac:dyDescent="0.2">
      <c r="A223" s="502" t="s">
        <v>732</v>
      </c>
      <c r="B223" s="502"/>
      <c r="C223" s="502"/>
      <c r="D223" s="293">
        <v>1</v>
      </c>
      <c r="E223" s="293">
        <v>30</v>
      </c>
      <c r="F223" s="315">
        <f>E224</f>
        <v>800</v>
      </c>
      <c r="G223" s="503">
        <f>G220</f>
        <v>0</v>
      </c>
      <c r="H223" s="503"/>
      <c r="I223" s="504">
        <f>G223/F223/E223</f>
        <v>0</v>
      </c>
      <c r="J223" s="504"/>
      <c r="K223" s="18"/>
      <c r="L223" s="18"/>
      <c r="M223" s="18"/>
      <c r="N223" s="18"/>
      <c r="O223" s="18"/>
      <c r="P223" s="18"/>
      <c r="Q223" s="18"/>
      <c r="R223" s="18"/>
      <c r="S223" s="18"/>
      <c r="T223" s="18"/>
      <c r="U223" s="18"/>
      <c r="V223" s="18"/>
      <c r="W223" s="18"/>
      <c r="X223" s="18"/>
      <c r="Y223" s="18"/>
      <c r="Z223" s="18"/>
    </row>
    <row r="224" spans="1:26" ht="21" customHeight="1" x14ac:dyDescent="0.2">
      <c r="A224" s="502" t="s">
        <v>733</v>
      </c>
      <c r="B224" s="502"/>
      <c r="C224" s="502"/>
      <c r="D224" s="293">
        <v>1</v>
      </c>
      <c r="E224" s="505">
        <f>'4. SA Cál DEMO Limpeza Geral'!C18</f>
        <v>800</v>
      </c>
      <c r="F224" s="505"/>
      <c r="G224" s="506">
        <f>J184</f>
        <v>4697.0991702978035</v>
      </c>
      <c r="H224" s="506"/>
      <c r="I224" s="504">
        <f>ROUND((D224/E224)*G224,2)</f>
        <v>5.87</v>
      </c>
      <c r="J224" s="504"/>
      <c r="K224" s="18"/>
      <c r="L224" s="18"/>
      <c r="M224" s="18"/>
      <c r="N224" s="18"/>
      <c r="O224" s="18"/>
      <c r="P224" s="18"/>
      <c r="Q224" s="18"/>
      <c r="R224" s="18"/>
      <c r="S224" s="18"/>
      <c r="T224" s="18"/>
      <c r="U224" s="18"/>
      <c r="V224" s="18"/>
      <c r="W224" s="18"/>
      <c r="X224" s="18"/>
      <c r="Y224" s="18"/>
      <c r="Z224" s="18"/>
    </row>
    <row r="225" spans="1:26" ht="17.25" customHeight="1" x14ac:dyDescent="0.2">
      <c r="A225" s="457" t="s">
        <v>707</v>
      </c>
      <c r="B225" s="457"/>
      <c r="C225" s="457"/>
      <c r="D225" s="457"/>
      <c r="E225" s="457"/>
      <c r="F225" s="457"/>
      <c r="G225" s="457"/>
      <c r="H225" s="457"/>
      <c r="I225" s="499">
        <f>SUM(I223:J224)</f>
        <v>5.87</v>
      </c>
      <c r="J225" s="499"/>
      <c r="K225" s="18"/>
      <c r="L225" s="18"/>
      <c r="M225" s="18"/>
      <c r="N225" s="18"/>
      <c r="O225" s="18"/>
      <c r="P225" s="18"/>
      <c r="Q225" s="18"/>
      <c r="R225" s="18"/>
      <c r="S225" s="18"/>
      <c r="T225" s="18"/>
      <c r="U225" s="18"/>
      <c r="V225" s="18"/>
      <c r="W225" s="18"/>
      <c r="X225" s="18"/>
      <c r="Y225" s="18"/>
      <c r="Z225" s="18"/>
    </row>
    <row r="226" spans="1:26" ht="22.5" customHeight="1" x14ac:dyDescent="0.2">
      <c r="A226" s="502" t="s">
        <v>734</v>
      </c>
      <c r="B226" s="502"/>
      <c r="C226" s="502"/>
      <c r="D226" s="293">
        <v>1</v>
      </c>
      <c r="E226" s="293">
        <v>30</v>
      </c>
      <c r="F226" s="315">
        <f>E227</f>
        <v>450</v>
      </c>
      <c r="G226" s="503">
        <f>G190</f>
        <v>0</v>
      </c>
      <c r="H226" s="503"/>
      <c r="I226" s="504">
        <f>G226/F226/E226</f>
        <v>0</v>
      </c>
      <c r="J226" s="504"/>
      <c r="K226" s="18"/>
      <c r="L226" s="18"/>
      <c r="M226" s="18"/>
      <c r="N226" s="18"/>
      <c r="O226" s="18"/>
      <c r="P226" s="18"/>
      <c r="Q226" s="18"/>
      <c r="R226" s="18"/>
      <c r="S226" s="18"/>
      <c r="T226" s="18"/>
      <c r="U226" s="18"/>
      <c r="V226" s="18"/>
      <c r="W226" s="18"/>
      <c r="X226" s="18"/>
      <c r="Y226" s="18"/>
      <c r="Z226" s="18"/>
    </row>
    <row r="227" spans="1:26" ht="22.5" customHeight="1" x14ac:dyDescent="0.2">
      <c r="A227" s="502" t="s">
        <v>735</v>
      </c>
      <c r="B227" s="502"/>
      <c r="C227" s="502"/>
      <c r="D227" s="293">
        <v>1</v>
      </c>
      <c r="E227" s="505">
        <f>'4. SA Cál DEMO Limpeza Geral'!C19</f>
        <v>450</v>
      </c>
      <c r="F227" s="505"/>
      <c r="G227" s="506">
        <f>J184</f>
        <v>4697.0991702978035</v>
      </c>
      <c r="H227" s="506"/>
      <c r="I227" s="504">
        <f>ROUND((D227/E227)*G227,2)</f>
        <v>10.44</v>
      </c>
      <c r="J227" s="504"/>
      <c r="K227" s="18"/>
      <c r="L227" s="18"/>
      <c r="M227" s="18"/>
      <c r="N227" s="18"/>
      <c r="O227" s="18"/>
      <c r="P227" s="18"/>
      <c r="Q227" s="18"/>
      <c r="R227" s="18"/>
      <c r="S227" s="18"/>
      <c r="T227" s="18"/>
      <c r="U227" s="18"/>
      <c r="V227" s="18"/>
      <c r="W227" s="18"/>
      <c r="X227" s="18"/>
      <c r="Y227" s="18"/>
      <c r="Z227" s="18"/>
    </row>
    <row r="228" spans="1:26" ht="17.25" customHeight="1" x14ac:dyDescent="0.2">
      <c r="A228" s="457" t="s">
        <v>707</v>
      </c>
      <c r="B228" s="457"/>
      <c r="C228" s="457"/>
      <c r="D228" s="457"/>
      <c r="E228" s="457"/>
      <c r="F228" s="457"/>
      <c r="G228" s="457"/>
      <c r="H228" s="457"/>
      <c r="I228" s="499">
        <f>SUM(I226:J227)</f>
        <v>10.44</v>
      </c>
      <c r="J228" s="499"/>
      <c r="K228" s="18"/>
      <c r="L228" s="18"/>
      <c r="M228" s="18"/>
      <c r="N228" s="18"/>
      <c r="O228" s="18"/>
      <c r="P228" s="18"/>
      <c r="Q228" s="18"/>
      <c r="R228" s="18"/>
      <c r="S228" s="18"/>
      <c r="T228" s="18"/>
      <c r="U228" s="18"/>
      <c r="V228" s="18"/>
      <c r="W228" s="18"/>
      <c r="X228" s="18"/>
      <c r="Y228" s="18"/>
      <c r="Z228" s="18"/>
    </row>
    <row r="229" spans="1:26" ht="18.75" customHeight="1" x14ac:dyDescent="0.2">
      <c r="A229" s="442" t="s">
        <v>736</v>
      </c>
      <c r="B229" s="442"/>
      <c r="C229" s="442"/>
      <c r="D229" s="250">
        <v>1</v>
      </c>
      <c r="E229" s="239" t="s">
        <v>730</v>
      </c>
      <c r="F229" s="291">
        <f>E230</f>
        <v>9000</v>
      </c>
      <c r="G229" s="496">
        <f>G190</f>
        <v>0</v>
      </c>
      <c r="H229" s="496"/>
      <c r="I229" s="497">
        <f>G229/F229/E229</f>
        <v>0</v>
      </c>
      <c r="J229" s="497"/>
    </row>
    <row r="230" spans="1:26" ht="18.75" customHeight="1" x14ac:dyDescent="0.2">
      <c r="A230" s="442" t="s">
        <v>737</v>
      </c>
      <c r="B230" s="442"/>
      <c r="C230" s="442"/>
      <c r="D230" s="250">
        <v>1</v>
      </c>
      <c r="E230" s="498">
        <f>'4. SA Cál DEMO Limpeza Geral'!C20</f>
        <v>9000</v>
      </c>
      <c r="F230" s="498"/>
      <c r="G230" s="496">
        <f>J184</f>
        <v>4697.0991702978035</v>
      </c>
      <c r="H230" s="496"/>
      <c r="I230" s="497">
        <f>ROUND((D230/E230)*G230,2)</f>
        <v>0.52</v>
      </c>
      <c r="J230" s="497"/>
    </row>
    <row r="231" spans="1:26" ht="17.25" customHeight="1" x14ac:dyDescent="0.2">
      <c r="A231" s="457" t="s">
        <v>707</v>
      </c>
      <c r="B231" s="457"/>
      <c r="C231" s="457"/>
      <c r="D231" s="457"/>
      <c r="E231" s="457"/>
      <c r="F231" s="457"/>
      <c r="G231" s="457"/>
      <c r="H231" s="457"/>
      <c r="I231" s="499">
        <f>SUM(I229+I230)</f>
        <v>0.52</v>
      </c>
      <c r="J231" s="499"/>
    </row>
    <row r="232" spans="1:26" ht="30.75" customHeight="1" x14ac:dyDescent="0.2">
      <c r="A232" s="442" t="s">
        <v>738</v>
      </c>
      <c r="B232" s="442"/>
      <c r="C232" s="442"/>
      <c r="D232" s="250">
        <v>1</v>
      </c>
      <c r="E232" s="239" t="s">
        <v>730</v>
      </c>
      <c r="F232" s="291">
        <f>E233</f>
        <v>4000</v>
      </c>
      <c r="G232" s="496">
        <f>G190</f>
        <v>0</v>
      </c>
      <c r="H232" s="496"/>
      <c r="I232" s="497">
        <f>G232/F232/E232</f>
        <v>0</v>
      </c>
      <c r="J232" s="497"/>
    </row>
    <row r="233" spans="1:26" ht="30.75" customHeight="1" x14ac:dyDescent="0.2">
      <c r="A233" s="442" t="s">
        <v>739</v>
      </c>
      <c r="B233" s="442"/>
      <c r="C233" s="442"/>
      <c r="D233" s="250">
        <v>1</v>
      </c>
      <c r="E233" s="498">
        <f>'4. SA Cál DEMO Limpeza Geral'!C21</f>
        <v>4000</v>
      </c>
      <c r="F233" s="498"/>
      <c r="G233" s="496">
        <f>J184</f>
        <v>4697.0991702978035</v>
      </c>
      <c r="H233" s="496"/>
      <c r="I233" s="497">
        <f>ROUND((D233/E233)*G233,2)</f>
        <v>1.17</v>
      </c>
      <c r="J233" s="497"/>
    </row>
    <row r="234" spans="1:26" ht="17.25" customHeight="1" x14ac:dyDescent="0.2">
      <c r="A234" s="457" t="s">
        <v>707</v>
      </c>
      <c r="B234" s="457"/>
      <c r="C234" s="457"/>
      <c r="D234" s="457"/>
      <c r="E234" s="457"/>
      <c r="F234" s="457"/>
      <c r="G234" s="457"/>
      <c r="H234" s="457"/>
      <c r="I234" s="499">
        <f>SUM(I232+I233)</f>
        <v>1.17</v>
      </c>
      <c r="J234" s="499"/>
    </row>
    <row r="235" spans="1:26" ht="32.25" customHeight="1" x14ac:dyDescent="0.2">
      <c r="A235" s="442" t="s">
        <v>740</v>
      </c>
      <c r="B235" s="442"/>
      <c r="C235" s="442"/>
      <c r="D235" s="250">
        <v>1</v>
      </c>
      <c r="E235" s="239" t="s">
        <v>730</v>
      </c>
      <c r="F235" s="291">
        <f>E236</f>
        <v>2000</v>
      </c>
      <c r="G235" s="496">
        <f>G190</f>
        <v>0</v>
      </c>
      <c r="H235" s="496"/>
      <c r="I235" s="497">
        <f>G235/F235/E235</f>
        <v>0</v>
      </c>
      <c r="J235" s="497"/>
    </row>
    <row r="236" spans="1:26" ht="32.25" customHeight="1" x14ac:dyDescent="0.2">
      <c r="A236" s="442" t="s">
        <v>741</v>
      </c>
      <c r="B236" s="442"/>
      <c r="C236" s="442"/>
      <c r="D236" s="250">
        <v>1</v>
      </c>
      <c r="E236" s="498">
        <f>'4. SA Cál DEMO Limpeza Geral'!C22</f>
        <v>2000</v>
      </c>
      <c r="F236" s="498"/>
      <c r="G236" s="496">
        <f>J184</f>
        <v>4697.0991702978035</v>
      </c>
      <c r="H236" s="496"/>
      <c r="I236" s="497">
        <f>ROUND((D236/E236)*G236,2)</f>
        <v>2.35</v>
      </c>
      <c r="J236" s="497"/>
    </row>
    <row r="237" spans="1:26" ht="17.25" customHeight="1" x14ac:dyDescent="0.2">
      <c r="A237" s="457" t="s">
        <v>707</v>
      </c>
      <c r="B237" s="457"/>
      <c r="C237" s="457"/>
      <c r="D237" s="457"/>
      <c r="E237" s="457"/>
      <c r="F237" s="457"/>
      <c r="G237" s="457"/>
      <c r="H237" s="457"/>
      <c r="I237" s="499">
        <f>SUM(I235+I236)</f>
        <v>2.35</v>
      </c>
      <c r="J237" s="499"/>
    </row>
    <row r="238" spans="1:26" ht="26.25" customHeight="1" x14ac:dyDescent="0.2">
      <c r="A238" s="442" t="s">
        <v>742</v>
      </c>
      <c r="B238" s="442"/>
      <c r="C238" s="442"/>
      <c r="D238" s="250" t="s">
        <v>743</v>
      </c>
      <c r="E238" s="239" t="s">
        <v>730</v>
      </c>
      <c r="F238" s="291">
        <f>E239</f>
        <v>2500</v>
      </c>
      <c r="G238" s="496">
        <f>G190</f>
        <v>0</v>
      </c>
      <c r="H238" s="496"/>
      <c r="I238" s="497">
        <f>G238/F238/E238</f>
        <v>0</v>
      </c>
      <c r="J238" s="497"/>
    </row>
    <row r="239" spans="1:26" ht="26.25" customHeight="1" x14ac:dyDescent="0.2">
      <c r="A239" s="442" t="s">
        <v>744</v>
      </c>
      <c r="B239" s="442"/>
      <c r="C239" s="442"/>
      <c r="D239" s="250">
        <v>1</v>
      </c>
      <c r="E239" s="498">
        <f>'4. SA Cál DEMO Limpeza Geral'!C23</f>
        <v>2500</v>
      </c>
      <c r="F239" s="498"/>
      <c r="G239" s="496">
        <f>J184</f>
        <v>4697.0991702978035</v>
      </c>
      <c r="H239" s="496"/>
      <c r="I239" s="497">
        <f>ROUND((D239/E239)*G239,2)</f>
        <v>1.88</v>
      </c>
      <c r="J239" s="497"/>
    </row>
    <row r="240" spans="1:26" ht="17.25" customHeight="1" x14ac:dyDescent="0.2">
      <c r="A240" s="457" t="s">
        <v>707</v>
      </c>
      <c r="B240" s="457"/>
      <c r="C240" s="457"/>
      <c r="D240" s="457"/>
      <c r="E240" s="457"/>
      <c r="F240" s="457"/>
      <c r="G240" s="457"/>
      <c r="H240" s="457"/>
      <c r="I240" s="499">
        <f>SUM(I238+I239)</f>
        <v>1.88</v>
      </c>
      <c r="J240" s="499"/>
    </row>
    <row r="241" spans="1:26" ht="26.25" customHeight="1" x14ac:dyDescent="0.2">
      <c r="A241" s="442" t="s">
        <v>745</v>
      </c>
      <c r="B241" s="442"/>
      <c r="C241" s="442"/>
      <c r="D241" s="250" t="s">
        <v>743</v>
      </c>
      <c r="E241" s="239" t="s">
        <v>730</v>
      </c>
      <c r="F241" s="291">
        <f>E242</f>
        <v>1</v>
      </c>
      <c r="G241" s="496">
        <f>G190</f>
        <v>0</v>
      </c>
      <c r="H241" s="496"/>
      <c r="I241" s="497">
        <f>G241/F241/E241</f>
        <v>0</v>
      </c>
      <c r="J241" s="497"/>
    </row>
    <row r="242" spans="1:26" ht="26.25" customHeight="1" x14ac:dyDescent="0.2">
      <c r="A242" s="507" t="s">
        <v>746</v>
      </c>
      <c r="B242" s="507"/>
      <c r="C242" s="507"/>
      <c r="D242" s="316" t="s">
        <v>743</v>
      </c>
      <c r="E242" s="508">
        <f>'4. SA Cál DEMO Limpeza Geral'!C24</f>
        <v>1</v>
      </c>
      <c r="F242" s="508"/>
      <c r="G242" s="509">
        <f>J184</f>
        <v>4697.0991702978035</v>
      </c>
      <c r="H242" s="509"/>
      <c r="I242" s="510">
        <f>ROUND((D242/E242)*G242,2)</f>
        <v>4697.1000000000004</v>
      </c>
      <c r="J242" s="510"/>
    </row>
    <row r="243" spans="1:26" ht="17.25" customHeight="1" x14ac:dyDescent="0.2">
      <c r="A243" s="457" t="s">
        <v>707</v>
      </c>
      <c r="B243" s="457"/>
      <c r="C243" s="457"/>
      <c r="D243" s="457"/>
      <c r="E243" s="457"/>
      <c r="F243" s="457"/>
      <c r="G243" s="457"/>
      <c r="H243" s="457"/>
      <c r="I243" s="499">
        <f>SUM(I241+I242)</f>
        <v>4697.1000000000004</v>
      </c>
      <c r="J243" s="499"/>
    </row>
    <row r="244" spans="1:26" ht="9.75" customHeight="1" x14ac:dyDescent="0.2">
      <c r="A244" s="286"/>
      <c r="B244" s="286"/>
      <c r="C244" s="286"/>
      <c r="D244" s="286"/>
      <c r="E244" s="286"/>
      <c r="F244" s="286"/>
      <c r="G244" s="286"/>
      <c r="H244" s="286"/>
      <c r="I244" s="317"/>
      <c r="J244" s="286"/>
      <c r="K244" s="18"/>
      <c r="L244" s="18"/>
      <c r="M244" s="18"/>
      <c r="N244" s="18"/>
      <c r="O244" s="18"/>
      <c r="P244" s="18"/>
      <c r="Q244" s="18"/>
      <c r="R244" s="18"/>
      <c r="S244" s="18"/>
      <c r="T244" s="18"/>
      <c r="U244" s="18"/>
      <c r="V244" s="18"/>
      <c r="W244" s="18"/>
      <c r="X244" s="18"/>
      <c r="Y244" s="18"/>
      <c r="Z244" s="18"/>
    </row>
    <row r="245" spans="1:26" x14ac:dyDescent="0.2">
      <c r="A245" s="466" t="s">
        <v>747</v>
      </c>
      <c r="B245" s="466"/>
      <c r="C245" s="466"/>
      <c r="D245" s="466"/>
      <c r="E245" s="466"/>
      <c r="F245" s="466"/>
      <c r="G245" s="466"/>
      <c r="H245" s="466"/>
      <c r="I245" s="466"/>
      <c r="J245" s="466"/>
    </row>
    <row r="246" spans="1:26" x14ac:dyDescent="0.2">
      <c r="A246" s="466"/>
      <c r="B246" s="466"/>
      <c r="C246" s="466"/>
      <c r="D246" s="466"/>
      <c r="E246" s="466"/>
      <c r="F246" s="466"/>
      <c r="G246" s="466"/>
      <c r="H246" s="466"/>
      <c r="I246" s="466"/>
      <c r="J246" s="466"/>
    </row>
    <row r="247" spans="1:26" ht="42" customHeight="1" x14ac:dyDescent="0.2">
      <c r="A247" s="423" t="s">
        <v>880</v>
      </c>
      <c r="B247" s="423"/>
      <c r="C247" s="423"/>
      <c r="D247" s="423" t="s">
        <v>702</v>
      </c>
      <c r="E247" s="423"/>
      <c r="F247" s="423"/>
      <c r="G247" s="423" t="s">
        <v>748</v>
      </c>
      <c r="H247" s="423"/>
      <c r="I247" s="423" t="s">
        <v>704</v>
      </c>
      <c r="J247" s="423"/>
    </row>
    <row r="248" spans="1:26" ht="15" x14ac:dyDescent="0.2">
      <c r="A248" s="442" t="s">
        <v>749</v>
      </c>
      <c r="B248" s="442"/>
      <c r="C248" s="442"/>
      <c r="D248" s="239">
        <v>1</v>
      </c>
      <c r="E248" s="239">
        <v>30</v>
      </c>
      <c r="F248" s="291">
        <f>E249</f>
        <v>450</v>
      </c>
      <c r="G248" s="496">
        <f>G190</f>
        <v>0</v>
      </c>
      <c r="H248" s="496"/>
      <c r="I248" s="497">
        <f>G248/F248/E248</f>
        <v>0</v>
      </c>
      <c r="J248" s="497"/>
    </row>
    <row r="249" spans="1:26" ht="15" x14ac:dyDescent="0.2">
      <c r="A249" s="442" t="s">
        <v>750</v>
      </c>
      <c r="B249" s="442"/>
      <c r="C249" s="442"/>
      <c r="D249" s="239">
        <v>1</v>
      </c>
      <c r="E249" s="498">
        <f>'4. SA Cál DEMO Limpeza Geral'!C25</f>
        <v>450</v>
      </c>
      <c r="F249" s="498"/>
      <c r="G249" s="496">
        <f>J184</f>
        <v>4697.0991702978035</v>
      </c>
      <c r="H249" s="496"/>
      <c r="I249" s="497">
        <f>ROUND(D249/E249*G249,2)</f>
        <v>10.44</v>
      </c>
      <c r="J249" s="497"/>
    </row>
    <row r="250" spans="1:26" ht="15" x14ac:dyDescent="0.2">
      <c r="A250" s="457" t="s">
        <v>707</v>
      </c>
      <c r="B250" s="457"/>
      <c r="C250" s="457"/>
      <c r="D250" s="457"/>
      <c r="E250" s="457"/>
      <c r="F250" s="457"/>
      <c r="G250" s="457"/>
      <c r="H250" s="457"/>
      <c r="I250" s="499">
        <f>SUM(I248+I249)</f>
        <v>10.44</v>
      </c>
      <c r="J250" s="499"/>
    </row>
    <row r="251" spans="1:26" ht="102" customHeight="1" x14ac:dyDescent="0.2">
      <c r="A251" s="511" t="s">
        <v>751</v>
      </c>
      <c r="B251" s="511"/>
      <c r="C251" s="511"/>
      <c r="D251" s="511"/>
      <c r="E251" s="511"/>
      <c r="F251" s="511"/>
      <c r="G251" s="511"/>
      <c r="H251" s="511"/>
      <c r="I251" s="511"/>
      <c r="J251" s="511"/>
    </row>
    <row r="252" spans="1:26" ht="19.5" customHeight="1" x14ac:dyDescent="0.2">
      <c r="A252" s="423" t="s">
        <v>752</v>
      </c>
      <c r="B252" s="423"/>
      <c r="C252" s="423"/>
      <c r="D252" s="423"/>
      <c r="E252" s="423"/>
      <c r="F252" s="423"/>
      <c r="G252" s="423"/>
      <c r="H252" s="423"/>
      <c r="I252" s="423"/>
      <c r="J252" s="423"/>
    </row>
    <row r="253" spans="1:26" ht="38.25" customHeight="1" x14ac:dyDescent="0.2">
      <c r="A253" s="423" t="s">
        <v>23</v>
      </c>
      <c r="B253" s="423"/>
      <c r="C253" s="423"/>
      <c r="D253" s="423"/>
      <c r="E253" s="423"/>
      <c r="F253" s="423" t="s">
        <v>753</v>
      </c>
      <c r="G253" s="423"/>
      <c r="H253" s="284" t="s">
        <v>754</v>
      </c>
      <c r="I253" s="423" t="s">
        <v>755</v>
      </c>
      <c r="J253" s="423"/>
    </row>
    <row r="254" spans="1:26" ht="19.5" customHeight="1" x14ac:dyDescent="0.2">
      <c r="A254" s="495" t="s">
        <v>536</v>
      </c>
      <c r="B254" s="495"/>
      <c r="C254" s="495"/>
      <c r="D254" s="495"/>
      <c r="E254" s="495"/>
      <c r="F254" s="512">
        <f>I192</f>
        <v>3.91</v>
      </c>
      <c r="G254" s="512"/>
      <c r="H254" s="244">
        <f t="shared" ref="H254:H272" si="0">I25</f>
        <v>782.90909090909088</v>
      </c>
      <c r="I254" s="513">
        <f t="shared" ref="I254:I262" si="1">ROUND(F254*H254,2)</f>
        <v>3061.17</v>
      </c>
      <c r="J254" s="513"/>
    </row>
    <row r="255" spans="1:26" ht="19.5" customHeight="1" x14ac:dyDescent="0.2">
      <c r="A255" s="495" t="s">
        <v>538</v>
      </c>
      <c r="B255" s="495"/>
      <c r="C255" s="495"/>
      <c r="D255" s="495"/>
      <c r="E255" s="495"/>
      <c r="F255" s="512">
        <f>I195</f>
        <v>3.91</v>
      </c>
      <c r="G255" s="512"/>
      <c r="H255" s="244">
        <f t="shared" si="0"/>
        <v>8067.0091272727259</v>
      </c>
      <c r="I255" s="513">
        <f t="shared" si="1"/>
        <v>31542.01</v>
      </c>
      <c r="J255" s="513"/>
    </row>
    <row r="256" spans="1:26" ht="19.5" customHeight="1" x14ac:dyDescent="0.2">
      <c r="A256" s="495" t="s">
        <v>539</v>
      </c>
      <c r="B256" s="495"/>
      <c r="C256" s="495"/>
      <c r="D256" s="495"/>
      <c r="E256" s="495"/>
      <c r="F256" s="512">
        <f>I198</f>
        <v>10.44</v>
      </c>
      <c r="G256" s="512"/>
      <c r="H256" s="244">
        <f t="shared" si="0"/>
        <v>2805.9702272727268</v>
      </c>
      <c r="I256" s="513">
        <f t="shared" si="1"/>
        <v>29294.33</v>
      </c>
      <c r="J256" s="513"/>
    </row>
    <row r="257" spans="1:10" ht="19.5" customHeight="1" x14ac:dyDescent="0.2">
      <c r="A257" s="495" t="s">
        <v>540</v>
      </c>
      <c r="B257" s="495"/>
      <c r="C257" s="495"/>
      <c r="D257" s="495"/>
      <c r="E257" s="495"/>
      <c r="F257" s="512">
        <f>I201</f>
        <v>1.88</v>
      </c>
      <c r="G257" s="512"/>
      <c r="H257" s="244">
        <f t="shared" si="0"/>
        <v>93.613372727272747</v>
      </c>
      <c r="I257" s="513">
        <f t="shared" si="1"/>
        <v>175.99</v>
      </c>
      <c r="J257" s="513"/>
    </row>
    <row r="258" spans="1:10" ht="19.5" customHeight="1" x14ac:dyDescent="0.2">
      <c r="A258" s="495" t="s">
        <v>541</v>
      </c>
      <c r="B258" s="495"/>
      <c r="C258" s="495"/>
      <c r="D258" s="495"/>
      <c r="E258" s="495"/>
      <c r="F258" s="512">
        <f>I204</f>
        <v>2.61</v>
      </c>
      <c r="G258" s="512"/>
      <c r="H258" s="244">
        <f t="shared" si="0"/>
        <v>6.2292954545454542</v>
      </c>
      <c r="I258" s="513">
        <f t="shared" si="1"/>
        <v>16.260000000000002</v>
      </c>
      <c r="J258" s="513"/>
    </row>
    <row r="259" spans="1:10" ht="19.5" customHeight="1" x14ac:dyDescent="0.2">
      <c r="A259" s="495" t="s">
        <v>542</v>
      </c>
      <c r="B259" s="495"/>
      <c r="C259" s="495"/>
      <c r="D259" s="495"/>
      <c r="E259" s="495"/>
      <c r="F259" s="512">
        <f>I207</f>
        <v>3.13</v>
      </c>
      <c r="G259" s="512"/>
      <c r="H259" s="244">
        <f t="shared" si="0"/>
        <v>3871.5101045454553</v>
      </c>
      <c r="I259" s="513">
        <f t="shared" si="1"/>
        <v>12117.83</v>
      </c>
      <c r="J259" s="513"/>
    </row>
    <row r="260" spans="1:10" ht="19.5" customHeight="1" x14ac:dyDescent="0.2">
      <c r="A260" s="495" t="s">
        <v>756</v>
      </c>
      <c r="B260" s="495"/>
      <c r="C260" s="495"/>
      <c r="D260" s="495"/>
      <c r="E260" s="495"/>
      <c r="F260" s="514">
        <f>I210</f>
        <v>3.91</v>
      </c>
      <c r="G260" s="514"/>
      <c r="H260" s="244">
        <f t="shared" si="0"/>
        <v>0</v>
      </c>
      <c r="I260" s="513">
        <f t="shared" si="1"/>
        <v>0</v>
      </c>
      <c r="J260" s="513"/>
    </row>
    <row r="261" spans="1:10" ht="19.5" customHeight="1" x14ac:dyDescent="0.2">
      <c r="A261" s="495" t="s">
        <v>544</v>
      </c>
      <c r="B261" s="495"/>
      <c r="C261" s="495"/>
      <c r="D261" s="495"/>
      <c r="E261" s="495"/>
      <c r="F261" s="514">
        <f>I213</f>
        <v>5.87</v>
      </c>
      <c r="G261" s="514"/>
      <c r="H261" s="244">
        <f t="shared" si="0"/>
        <v>0</v>
      </c>
      <c r="I261" s="513">
        <f t="shared" si="1"/>
        <v>0</v>
      </c>
      <c r="J261" s="513"/>
    </row>
    <row r="262" spans="1:10" ht="19.5" customHeight="1" x14ac:dyDescent="0.2">
      <c r="A262" s="495" t="s">
        <v>545</v>
      </c>
      <c r="B262" s="495"/>
      <c r="C262" s="495"/>
      <c r="D262" s="495"/>
      <c r="E262" s="495"/>
      <c r="F262" s="514">
        <f>I216</f>
        <v>10.44</v>
      </c>
      <c r="G262" s="514"/>
      <c r="H262" s="244">
        <f t="shared" si="0"/>
        <v>0</v>
      </c>
      <c r="I262" s="513">
        <f t="shared" si="1"/>
        <v>0</v>
      </c>
      <c r="J262" s="513"/>
    </row>
    <row r="263" spans="1:10" ht="19.5" customHeight="1" x14ac:dyDescent="0.2">
      <c r="A263" s="457" t="s">
        <v>546</v>
      </c>
      <c r="B263" s="457"/>
      <c r="C263" s="457"/>
      <c r="D263" s="457"/>
      <c r="E263" s="457"/>
      <c r="F263" s="457"/>
      <c r="G263" s="457"/>
      <c r="H263" s="245">
        <f t="shared" si="0"/>
        <v>15627.241218181816</v>
      </c>
      <c r="I263" s="515">
        <f>SUM(I254:I262)</f>
        <v>76207.59</v>
      </c>
      <c r="J263" s="515"/>
    </row>
    <row r="264" spans="1:10" ht="31.5" customHeight="1" x14ac:dyDescent="0.2">
      <c r="A264" s="495" t="s">
        <v>547</v>
      </c>
      <c r="B264" s="495"/>
      <c r="C264" s="495"/>
      <c r="D264" s="495"/>
      <c r="E264" s="495"/>
      <c r="F264" s="512">
        <f>I222</f>
        <v>1.74</v>
      </c>
      <c r="G264" s="512"/>
      <c r="H264" s="294">
        <f t="shared" si="0"/>
        <v>477.54882272727275</v>
      </c>
      <c r="I264" s="513">
        <f t="shared" ref="I264:I271" si="2">ROUND(F264*H264,2)</f>
        <v>830.93</v>
      </c>
      <c r="J264" s="513"/>
    </row>
    <row r="265" spans="1:10" ht="19.5" customHeight="1" x14ac:dyDescent="0.2">
      <c r="A265" s="495" t="s">
        <v>548</v>
      </c>
      <c r="B265" s="495"/>
      <c r="C265" s="495"/>
      <c r="D265" s="495"/>
      <c r="E265" s="495"/>
      <c r="F265" s="512">
        <f>I225</f>
        <v>5.87</v>
      </c>
      <c r="G265" s="512"/>
      <c r="H265" s="294">
        <f t="shared" si="0"/>
        <v>0</v>
      </c>
      <c r="I265" s="513">
        <f t="shared" si="2"/>
        <v>0</v>
      </c>
      <c r="J265" s="513"/>
    </row>
    <row r="266" spans="1:10" ht="19.5" customHeight="1" x14ac:dyDescent="0.2">
      <c r="A266" s="495" t="s">
        <v>549</v>
      </c>
      <c r="B266" s="495"/>
      <c r="C266" s="495"/>
      <c r="D266" s="495"/>
      <c r="E266" s="495"/>
      <c r="F266" s="512">
        <f>I228</f>
        <v>10.44</v>
      </c>
      <c r="G266" s="512"/>
      <c r="H266" s="294">
        <f t="shared" si="0"/>
        <v>0</v>
      </c>
      <c r="I266" s="513">
        <f t="shared" si="2"/>
        <v>0</v>
      </c>
      <c r="J266" s="513"/>
    </row>
    <row r="267" spans="1:10" ht="19.5" customHeight="1" x14ac:dyDescent="0.2">
      <c r="A267" s="495" t="s">
        <v>757</v>
      </c>
      <c r="B267" s="495"/>
      <c r="C267" s="495"/>
      <c r="D267" s="495"/>
      <c r="E267" s="495"/>
      <c r="F267" s="512">
        <f>I231</f>
        <v>0.52</v>
      </c>
      <c r="G267" s="512"/>
      <c r="H267" s="294">
        <f t="shared" si="0"/>
        <v>0.64669545454545463</v>
      </c>
      <c r="I267" s="513">
        <f t="shared" si="2"/>
        <v>0.34</v>
      </c>
      <c r="J267" s="513"/>
    </row>
    <row r="268" spans="1:10" ht="19.5" customHeight="1" x14ac:dyDescent="0.2">
      <c r="A268" s="495" t="s">
        <v>758</v>
      </c>
      <c r="B268" s="495"/>
      <c r="C268" s="495"/>
      <c r="D268" s="495"/>
      <c r="E268" s="495"/>
      <c r="F268" s="512">
        <f>I234</f>
        <v>1.17</v>
      </c>
      <c r="G268" s="512"/>
      <c r="H268" s="294">
        <f t="shared" si="0"/>
        <v>0</v>
      </c>
      <c r="I268" s="513">
        <f t="shared" si="2"/>
        <v>0</v>
      </c>
      <c r="J268" s="513"/>
    </row>
    <row r="269" spans="1:10" ht="19.5" customHeight="1" x14ac:dyDescent="0.2">
      <c r="A269" s="495" t="s">
        <v>759</v>
      </c>
      <c r="B269" s="495"/>
      <c r="C269" s="495"/>
      <c r="D269" s="495"/>
      <c r="E269" s="495"/>
      <c r="F269" s="512">
        <f>I237</f>
        <v>2.35</v>
      </c>
      <c r="G269" s="512"/>
      <c r="H269" s="294">
        <f t="shared" si="0"/>
        <v>0</v>
      </c>
      <c r="I269" s="513">
        <f t="shared" si="2"/>
        <v>0</v>
      </c>
      <c r="J269" s="513"/>
    </row>
    <row r="270" spans="1:10" ht="19.5" customHeight="1" x14ac:dyDescent="0.2">
      <c r="A270" s="495" t="s">
        <v>760</v>
      </c>
      <c r="B270" s="495"/>
      <c r="C270" s="495"/>
      <c r="D270" s="495"/>
      <c r="E270" s="495"/>
      <c r="F270" s="512">
        <f>I240</f>
        <v>1.88</v>
      </c>
      <c r="G270" s="512"/>
      <c r="H270" s="294">
        <f t="shared" si="0"/>
        <v>0</v>
      </c>
      <c r="I270" s="513">
        <f t="shared" si="2"/>
        <v>0</v>
      </c>
      <c r="J270" s="513"/>
    </row>
    <row r="271" spans="1:10" ht="36" customHeight="1" x14ac:dyDescent="0.2">
      <c r="A271" s="495" t="s">
        <v>761</v>
      </c>
      <c r="B271" s="495"/>
      <c r="C271" s="495"/>
      <c r="D271" s="495"/>
      <c r="E271" s="495"/>
      <c r="F271" s="512">
        <f>I243</f>
        <v>4697.1000000000004</v>
      </c>
      <c r="G271" s="512"/>
      <c r="H271" s="294">
        <f t="shared" si="0"/>
        <v>0</v>
      </c>
      <c r="I271" s="513">
        <f t="shared" si="2"/>
        <v>0</v>
      </c>
      <c r="J271" s="513"/>
    </row>
    <row r="272" spans="1:10" ht="19.5" customHeight="1" x14ac:dyDescent="0.2">
      <c r="A272" s="457" t="s">
        <v>555</v>
      </c>
      <c r="B272" s="457"/>
      <c r="C272" s="457"/>
      <c r="D272" s="457"/>
      <c r="E272" s="457"/>
      <c r="F272" s="457"/>
      <c r="G272" s="457"/>
      <c r="H272" s="245">
        <f t="shared" si="0"/>
        <v>478.19551818181822</v>
      </c>
      <c r="I272" s="515">
        <f>SUM(I264:I271)</f>
        <v>831.27</v>
      </c>
      <c r="J272" s="515"/>
    </row>
    <row r="273" spans="1:26" ht="19.5" customHeight="1" x14ac:dyDescent="0.2">
      <c r="A273" s="495" t="s">
        <v>556</v>
      </c>
      <c r="B273" s="495"/>
      <c r="C273" s="495"/>
      <c r="D273" s="495"/>
      <c r="E273" s="495"/>
      <c r="F273" s="512">
        <f>I250</f>
        <v>10.44</v>
      </c>
      <c r="G273" s="512"/>
      <c r="H273" s="244">
        <f>I45</f>
        <v>80.28</v>
      </c>
      <c r="I273" s="513">
        <f>ROUND(F273*H273,2)</f>
        <v>838.12</v>
      </c>
      <c r="J273" s="513"/>
    </row>
    <row r="274" spans="1:26" ht="19.5" customHeight="1" x14ac:dyDescent="0.2">
      <c r="A274" s="457" t="s">
        <v>762</v>
      </c>
      <c r="B274" s="457"/>
      <c r="C274" s="457"/>
      <c r="D274" s="457"/>
      <c r="E274" s="457"/>
      <c r="F274" s="457"/>
      <c r="G274" s="457"/>
      <c r="H274" s="245">
        <f>H273</f>
        <v>80.28</v>
      </c>
      <c r="I274" s="515">
        <f>I273</f>
        <v>838.12</v>
      </c>
      <c r="J274" s="515"/>
    </row>
    <row r="275" spans="1:26" ht="19.5" customHeight="1" x14ac:dyDescent="0.2">
      <c r="A275" s="495" t="s">
        <v>558</v>
      </c>
      <c r="B275" s="495"/>
      <c r="C275" s="495"/>
      <c r="D275" s="495"/>
      <c r="E275" s="495"/>
      <c r="F275" s="495"/>
      <c r="G275" s="495"/>
      <c r="H275" s="244">
        <f>I46</f>
        <v>0</v>
      </c>
      <c r="I275" s="516">
        <v>0</v>
      </c>
      <c r="J275" s="516"/>
    </row>
    <row r="276" spans="1:26" ht="19.5" customHeight="1" x14ac:dyDescent="0.2">
      <c r="A276" s="457" t="s">
        <v>559</v>
      </c>
      <c r="B276" s="457"/>
      <c r="C276" s="457"/>
      <c r="D276" s="457"/>
      <c r="E276" s="457"/>
      <c r="F276" s="457"/>
      <c r="G276" s="457"/>
      <c r="H276" s="245">
        <f>H275</f>
        <v>0</v>
      </c>
      <c r="I276" s="499">
        <v>0</v>
      </c>
      <c r="J276" s="499"/>
    </row>
    <row r="277" spans="1:26" ht="19.5" customHeight="1" x14ac:dyDescent="0.2">
      <c r="A277" s="457" t="s">
        <v>763</v>
      </c>
      <c r="B277" s="457"/>
      <c r="C277" s="457"/>
      <c r="D277" s="457"/>
      <c r="E277" s="457"/>
      <c r="F277" s="457"/>
      <c r="G277" s="457"/>
      <c r="H277" s="245">
        <f>ROUND(H263+H272+H274+H276,2)</f>
        <v>16185.72</v>
      </c>
      <c r="I277" s="499">
        <f>SUM(I263+I272+I274+I276)</f>
        <v>77876.98</v>
      </c>
      <c r="J277" s="499"/>
    </row>
    <row r="278" spans="1:26" ht="19.5" customHeight="1" x14ac:dyDescent="0.2">
      <c r="A278" s="517"/>
      <c r="B278" s="517"/>
      <c r="C278" s="517"/>
      <c r="D278" s="517"/>
      <c r="E278" s="517"/>
      <c r="F278" s="517"/>
      <c r="G278" s="517"/>
      <c r="H278" s="517"/>
      <c r="I278" s="517"/>
      <c r="J278" s="517"/>
      <c r="K278" s="18"/>
      <c r="L278" s="18"/>
      <c r="M278" s="18"/>
      <c r="N278" s="18"/>
      <c r="O278" s="18"/>
      <c r="P278" s="18"/>
      <c r="Q278" s="18"/>
      <c r="R278" s="18"/>
      <c r="S278" s="18"/>
      <c r="T278" s="18"/>
      <c r="U278" s="18"/>
      <c r="V278" s="18"/>
      <c r="W278" s="18"/>
      <c r="X278" s="18"/>
      <c r="Y278" s="18"/>
      <c r="Z278" s="18"/>
    </row>
    <row r="279" spans="1:26" ht="19.5" customHeight="1" x14ac:dyDescent="0.2">
      <c r="A279" s="466" t="s">
        <v>764</v>
      </c>
      <c r="B279" s="466"/>
      <c r="C279" s="466"/>
      <c r="D279" s="466"/>
      <c r="E279" s="466"/>
      <c r="F279" s="466"/>
      <c r="G279" s="466"/>
      <c r="H279" s="466"/>
      <c r="I279" s="518">
        <f>I277</f>
        <v>77876.98</v>
      </c>
      <c r="J279" s="518"/>
    </row>
    <row r="280" spans="1:26" ht="19.5" customHeight="1" x14ac:dyDescent="0.2">
      <c r="A280" s="466" t="s">
        <v>765</v>
      </c>
      <c r="B280" s="466"/>
      <c r="C280" s="466"/>
      <c r="D280" s="466"/>
      <c r="E280" s="466"/>
      <c r="F280" s="466"/>
      <c r="G280" s="466"/>
      <c r="H280" s="466"/>
      <c r="I280" s="520">
        <f>H21</f>
        <v>20</v>
      </c>
      <c r="J280" s="520"/>
    </row>
    <row r="281" spans="1:26" ht="19.5" customHeight="1" x14ac:dyDescent="0.2">
      <c r="A281" s="466" t="s">
        <v>766</v>
      </c>
      <c r="B281" s="466"/>
      <c r="C281" s="466"/>
      <c r="D281" s="466"/>
      <c r="E281" s="466"/>
      <c r="F281" s="466"/>
      <c r="G281" s="466"/>
      <c r="H281" s="466"/>
      <c r="I281" s="518">
        <f>ROUND(I277*I280,2)</f>
        <v>1557539.6</v>
      </c>
      <c r="J281" s="518"/>
    </row>
    <row r="282" spans="1:26" ht="19.5" customHeight="1" x14ac:dyDescent="0.2">
      <c r="A282" s="423" t="s">
        <v>767</v>
      </c>
      <c r="B282" s="423"/>
      <c r="C282" s="423"/>
      <c r="D282" s="423"/>
      <c r="E282" s="423"/>
      <c r="F282" s="423"/>
      <c r="G282" s="423"/>
      <c r="H282" s="423"/>
      <c r="I282" s="423"/>
      <c r="J282" s="423"/>
    </row>
    <row r="283" spans="1:26" ht="19.5" customHeight="1" x14ac:dyDescent="0.2">
      <c r="A283" s="423" t="s">
        <v>768</v>
      </c>
      <c r="B283" s="423"/>
      <c r="C283" s="423"/>
      <c r="D283" s="423"/>
      <c r="E283" s="423"/>
      <c r="F283" s="423"/>
      <c r="G283" s="423" t="s">
        <v>769</v>
      </c>
      <c r="H283" s="423"/>
      <c r="I283" s="423"/>
      <c r="J283" s="423"/>
    </row>
    <row r="284" spans="1:26" ht="19.5" customHeight="1" x14ac:dyDescent="0.2">
      <c r="A284" s="521" t="s">
        <v>73</v>
      </c>
      <c r="B284" s="521"/>
      <c r="C284" s="521"/>
      <c r="D284" s="521"/>
      <c r="E284" s="521"/>
      <c r="F284" s="521"/>
      <c r="G284" s="522">
        <f>'4. SA Cál DEMO Limpeza Geral'!$L$28</f>
        <v>16.587675836969691</v>
      </c>
      <c r="H284" s="522"/>
      <c r="I284" s="522"/>
      <c r="J284" s="522"/>
    </row>
    <row r="285" spans="1:26" ht="42" customHeight="1" x14ac:dyDescent="0.2">
      <c r="A285" s="519" t="s">
        <v>770</v>
      </c>
      <c r="B285" s="519"/>
      <c r="C285" s="519"/>
      <c r="D285" s="519"/>
      <c r="E285" s="519"/>
      <c r="F285" s="519"/>
      <c r="G285" s="519"/>
      <c r="H285" s="519"/>
      <c r="I285" s="519"/>
      <c r="J285" s="519"/>
    </row>
    <row r="286" spans="1:26" ht="12.75" customHeight="1" x14ac:dyDescent="0.2"/>
    <row r="287" spans="1:26" ht="12.75" customHeight="1" x14ac:dyDescent="0.2"/>
    <row r="288" spans="1:26"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sheetData>
  <mergeCells count="515">
    <mergeCell ref="A285:J285"/>
    <mergeCell ref="A280:H280"/>
    <mergeCell ref="I280:J280"/>
    <mergeCell ref="A281:H281"/>
    <mergeCell ref="I281:J281"/>
    <mergeCell ref="A282:J282"/>
    <mergeCell ref="A283:F283"/>
    <mergeCell ref="G283:J283"/>
    <mergeCell ref="A284:F284"/>
    <mergeCell ref="G284:J284"/>
    <mergeCell ref="A275:G275"/>
    <mergeCell ref="I275:J275"/>
    <mergeCell ref="A276:G276"/>
    <mergeCell ref="I276:J276"/>
    <mergeCell ref="A277:G277"/>
    <mergeCell ref="I277:J277"/>
    <mergeCell ref="A278:J278"/>
    <mergeCell ref="A279:H279"/>
    <mergeCell ref="I279:J279"/>
    <mergeCell ref="A271:E271"/>
    <mergeCell ref="F271:G271"/>
    <mergeCell ref="I271:J271"/>
    <mergeCell ref="A272:G272"/>
    <mergeCell ref="I272:J272"/>
    <mergeCell ref="A273:E273"/>
    <mergeCell ref="F273:G273"/>
    <mergeCell ref="I273:J273"/>
    <mergeCell ref="A274:G274"/>
    <mergeCell ref="I274:J274"/>
    <mergeCell ref="A268:E268"/>
    <mergeCell ref="F268:G268"/>
    <mergeCell ref="I268:J268"/>
    <mergeCell ref="A269:E269"/>
    <mergeCell ref="F269:G269"/>
    <mergeCell ref="I269:J269"/>
    <mergeCell ref="A270:E270"/>
    <mergeCell ref="F270:G270"/>
    <mergeCell ref="I270:J270"/>
    <mergeCell ref="A265:E265"/>
    <mergeCell ref="F265:G265"/>
    <mergeCell ref="I265:J265"/>
    <mergeCell ref="A266:E266"/>
    <mergeCell ref="F266:G266"/>
    <mergeCell ref="I266:J266"/>
    <mergeCell ref="A267:E267"/>
    <mergeCell ref="F267:G267"/>
    <mergeCell ref="I267:J267"/>
    <mergeCell ref="A261:E261"/>
    <mergeCell ref="F261:G261"/>
    <mergeCell ref="I261:J261"/>
    <mergeCell ref="A262:E262"/>
    <mergeCell ref="F262:G262"/>
    <mergeCell ref="I262:J262"/>
    <mergeCell ref="A263:G263"/>
    <mergeCell ref="I263:J263"/>
    <mergeCell ref="A264:E264"/>
    <mergeCell ref="F264:G264"/>
    <mergeCell ref="I264:J264"/>
    <mergeCell ref="A258:E258"/>
    <mergeCell ref="F258:G258"/>
    <mergeCell ref="I258:J258"/>
    <mergeCell ref="A259:E259"/>
    <mergeCell ref="F259:G259"/>
    <mergeCell ref="I259:J259"/>
    <mergeCell ref="A260:E260"/>
    <mergeCell ref="F260:G260"/>
    <mergeCell ref="I260:J260"/>
    <mergeCell ref="A255:E255"/>
    <mergeCell ref="F255:G255"/>
    <mergeCell ref="I255:J255"/>
    <mergeCell ref="A256:E256"/>
    <mergeCell ref="F256:G256"/>
    <mergeCell ref="I256:J256"/>
    <mergeCell ref="A257:E257"/>
    <mergeCell ref="F257:G257"/>
    <mergeCell ref="I257:J257"/>
    <mergeCell ref="A250:H250"/>
    <mergeCell ref="I250:J250"/>
    <mergeCell ref="A251:J251"/>
    <mergeCell ref="A252:J252"/>
    <mergeCell ref="A253:E253"/>
    <mergeCell ref="F253:G253"/>
    <mergeCell ref="I253:J253"/>
    <mergeCell ref="A254:E254"/>
    <mergeCell ref="F254:G254"/>
    <mergeCell ref="I254:J254"/>
    <mergeCell ref="A245:J246"/>
    <mergeCell ref="A247:C247"/>
    <mergeCell ref="D247:F247"/>
    <mergeCell ref="G247:H247"/>
    <mergeCell ref="I247:J247"/>
    <mergeCell ref="A248:C248"/>
    <mergeCell ref="G248:H248"/>
    <mergeCell ref="I248:J248"/>
    <mergeCell ref="A249:C249"/>
    <mergeCell ref="E249:F249"/>
    <mergeCell ref="G249:H249"/>
    <mergeCell ref="I249:J249"/>
    <mergeCell ref="A241:C241"/>
    <mergeCell ref="G241:H241"/>
    <mergeCell ref="I241:J241"/>
    <mergeCell ref="A242:C242"/>
    <mergeCell ref="E242:F242"/>
    <mergeCell ref="G242:H242"/>
    <mergeCell ref="I242:J242"/>
    <mergeCell ref="A243:H243"/>
    <mergeCell ref="I243:J243"/>
    <mergeCell ref="A238:C238"/>
    <mergeCell ref="G238:H238"/>
    <mergeCell ref="I238:J238"/>
    <mergeCell ref="A239:C239"/>
    <mergeCell ref="E239:F239"/>
    <mergeCell ref="G239:H239"/>
    <mergeCell ref="I239:J239"/>
    <mergeCell ref="A240:H240"/>
    <mergeCell ref="I240:J240"/>
    <mergeCell ref="A235:C235"/>
    <mergeCell ref="G235:H235"/>
    <mergeCell ref="I235:J235"/>
    <mergeCell ref="A236:C236"/>
    <mergeCell ref="E236:F236"/>
    <mergeCell ref="G236:H236"/>
    <mergeCell ref="I236:J236"/>
    <mergeCell ref="A237:H237"/>
    <mergeCell ref="I237:J237"/>
    <mergeCell ref="A232:C232"/>
    <mergeCell ref="G232:H232"/>
    <mergeCell ref="I232:J232"/>
    <mergeCell ref="A233:C233"/>
    <mergeCell ref="E233:F233"/>
    <mergeCell ref="G233:H233"/>
    <mergeCell ref="I233:J233"/>
    <mergeCell ref="A234:H234"/>
    <mergeCell ref="I234:J234"/>
    <mergeCell ref="A229:C229"/>
    <mergeCell ref="G229:H229"/>
    <mergeCell ref="I229:J229"/>
    <mergeCell ref="A230:C230"/>
    <mergeCell ref="E230:F230"/>
    <mergeCell ref="G230:H230"/>
    <mergeCell ref="I230:J230"/>
    <mergeCell ref="A231:H231"/>
    <mergeCell ref="I231:J231"/>
    <mergeCell ref="A226:C226"/>
    <mergeCell ref="G226:H226"/>
    <mergeCell ref="I226:J226"/>
    <mergeCell ref="A227:C227"/>
    <mergeCell ref="E227:F227"/>
    <mergeCell ref="G227:H227"/>
    <mergeCell ref="I227:J227"/>
    <mergeCell ref="A228:H228"/>
    <mergeCell ref="I228:J228"/>
    <mergeCell ref="A223:C223"/>
    <mergeCell ref="G223:H223"/>
    <mergeCell ref="I223:J223"/>
    <mergeCell ref="A224:C224"/>
    <mergeCell ref="E224:F224"/>
    <mergeCell ref="G224:H224"/>
    <mergeCell ref="I224:J224"/>
    <mergeCell ref="A225:H225"/>
    <mergeCell ref="I225:J225"/>
    <mergeCell ref="A220:C220"/>
    <mergeCell ref="G220:H220"/>
    <mergeCell ref="I220:J220"/>
    <mergeCell ref="A221:C221"/>
    <mergeCell ref="E221:F221"/>
    <mergeCell ref="G221:H221"/>
    <mergeCell ref="I221:J221"/>
    <mergeCell ref="A222:H222"/>
    <mergeCell ref="I222:J222"/>
    <mergeCell ref="A215:C215"/>
    <mergeCell ref="E215:F215"/>
    <mergeCell ref="G215:H215"/>
    <mergeCell ref="I215:J215"/>
    <mergeCell ref="A216:H216"/>
    <mergeCell ref="I216:J216"/>
    <mergeCell ref="A217:J217"/>
    <mergeCell ref="A218:J218"/>
    <mergeCell ref="A219:C219"/>
    <mergeCell ref="D219:F219"/>
    <mergeCell ref="G219:H219"/>
    <mergeCell ref="I219:J219"/>
    <mergeCell ref="A212:C212"/>
    <mergeCell ref="E212:F212"/>
    <mergeCell ref="G212:H212"/>
    <mergeCell ref="I212:J212"/>
    <mergeCell ref="A213:H213"/>
    <mergeCell ref="I213:J213"/>
    <mergeCell ref="A214:C214"/>
    <mergeCell ref="G214:H214"/>
    <mergeCell ref="I214:J214"/>
    <mergeCell ref="A209:C209"/>
    <mergeCell ref="E209:F209"/>
    <mergeCell ref="G209:H209"/>
    <mergeCell ref="I209:J209"/>
    <mergeCell ref="A210:H210"/>
    <mergeCell ref="I210:J210"/>
    <mergeCell ref="A211:C211"/>
    <mergeCell ref="G211:H211"/>
    <mergeCell ref="I211:J211"/>
    <mergeCell ref="A206:C206"/>
    <mergeCell ref="E206:F206"/>
    <mergeCell ref="G206:H206"/>
    <mergeCell ref="I206:J206"/>
    <mergeCell ref="A207:H207"/>
    <mergeCell ref="I207:J207"/>
    <mergeCell ref="A208:C208"/>
    <mergeCell ref="G208:H208"/>
    <mergeCell ref="I208:J208"/>
    <mergeCell ref="A203:C203"/>
    <mergeCell ref="E203:F203"/>
    <mergeCell ref="G203:H203"/>
    <mergeCell ref="I203:J203"/>
    <mergeCell ref="A204:H204"/>
    <mergeCell ref="I204:J204"/>
    <mergeCell ref="A205:C205"/>
    <mergeCell ref="G205:H205"/>
    <mergeCell ref="I205:J205"/>
    <mergeCell ref="A200:C200"/>
    <mergeCell ref="E200:F200"/>
    <mergeCell ref="G200:H200"/>
    <mergeCell ref="I200:J200"/>
    <mergeCell ref="A201:H201"/>
    <mergeCell ref="I201:J201"/>
    <mergeCell ref="A202:C202"/>
    <mergeCell ref="G202:H202"/>
    <mergeCell ref="I202:J202"/>
    <mergeCell ref="A197:C197"/>
    <mergeCell ref="E197:F197"/>
    <mergeCell ref="G197:H197"/>
    <mergeCell ref="I197:J197"/>
    <mergeCell ref="A198:H198"/>
    <mergeCell ref="I198:J198"/>
    <mergeCell ref="A199:C199"/>
    <mergeCell ref="G199:H199"/>
    <mergeCell ref="I199:J199"/>
    <mergeCell ref="A194:C194"/>
    <mergeCell ref="E194:F194"/>
    <mergeCell ref="G194:H194"/>
    <mergeCell ref="I194:J194"/>
    <mergeCell ref="A195:H195"/>
    <mergeCell ref="I195:J195"/>
    <mergeCell ref="A196:C196"/>
    <mergeCell ref="G196:H196"/>
    <mergeCell ref="I196:J196"/>
    <mergeCell ref="A191:C191"/>
    <mergeCell ref="E191:F191"/>
    <mergeCell ref="G191:H191"/>
    <mergeCell ref="I191:J191"/>
    <mergeCell ref="A192:H192"/>
    <mergeCell ref="I192:J192"/>
    <mergeCell ref="A193:C193"/>
    <mergeCell ref="G193:H193"/>
    <mergeCell ref="I193:J193"/>
    <mergeCell ref="A184:G184"/>
    <mergeCell ref="A186:J186"/>
    <mergeCell ref="A187:J187"/>
    <mergeCell ref="A188:J188"/>
    <mergeCell ref="A189:C189"/>
    <mergeCell ref="D189:F189"/>
    <mergeCell ref="G189:H189"/>
    <mergeCell ref="I189:J189"/>
    <mergeCell ref="A190:C190"/>
    <mergeCell ref="G190:H190"/>
    <mergeCell ref="I190:J190"/>
    <mergeCell ref="A175:J175"/>
    <mergeCell ref="A176:I176"/>
    <mergeCell ref="B177:I177"/>
    <mergeCell ref="B178:I178"/>
    <mergeCell ref="B179:I179"/>
    <mergeCell ref="B180:I180"/>
    <mergeCell ref="B181:I181"/>
    <mergeCell ref="A182:I182"/>
    <mergeCell ref="B183:I183"/>
    <mergeCell ref="B167:E167"/>
    <mergeCell ref="F167:H167"/>
    <mergeCell ref="B168:E168"/>
    <mergeCell ref="F168:H168"/>
    <mergeCell ref="A169:I169"/>
    <mergeCell ref="B170:J170"/>
    <mergeCell ref="A171:A173"/>
    <mergeCell ref="B171:C173"/>
    <mergeCell ref="D171:F173"/>
    <mergeCell ref="G171:H173"/>
    <mergeCell ref="J171:J173"/>
    <mergeCell ref="A159:I159"/>
    <mergeCell ref="B160:H160"/>
    <mergeCell ref="A161:I161"/>
    <mergeCell ref="B162:H162"/>
    <mergeCell ref="A163:I163"/>
    <mergeCell ref="B164:H164"/>
    <mergeCell ref="K164:L164"/>
    <mergeCell ref="A165:A166"/>
    <mergeCell ref="B165:E166"/>
    <mergeCell ref="F165:H165"/>
    <mergeCell ref="F166:H166"/>
    <mergeCell ref="B150:I150"/>
    <mergeCell ref="B151:I151"/>
    <mergeCell ref="B152:I152"/>
    <mergeCell ref="B153:I153"/>
    <mergeCell ref="A154:I154"/>
    <mergeCell ref="B155:J155"/>
    <mergeCell ref="A156:J156"/>
    <mergeCell ref="A157:J157"/>
    <mergeCell ref="B158:H158"/>
    <mergeCell ref="A140:J140"/>
    <mergeCell ref="A141:J141"/>
    <mergeCell ref="B142:I142"/>
    <mergeCell ref="B143:I143"/>
    <mergeCell ref="B144:I144"/>
    <mergeCell ref="A145:I145"/>
    <mergeCell ref="B146:J146"/>
    <mergeCell ref="A148:J148"/>
    <mergeCell ref="B149:I149"/>
    <mergeCell ref="B131:I131"/>
    <mergeCell ref="B132:I132"/>
    <mergeCell ref="B133:I133"/>
    <mergeCell ref="B134:I134"/>
    <mergeCell ref="A135:I135"/>
    <mergeCell ref="A136:J136"/>
    <mergeCell ref="B137:I137"/>
    <mergeCell ref="B138:I138"/>
    <mergeCell ref="A139:I139"/>
    <mergeCell ref="A124:J124"/>
    <mergeCell ref="A125:B125"/>
    <mergeCell ref="D125:E125"/>
    <mergeCell ref="G125:H125"/>
    <mergeCell ref="A126:F126"/>
    <mergeCell ref="G126:I126"/>
    <mergeCell ref="B128:I128"/>
    <mergeCell ref="B129:I129"/>
    <mergeCell ref="B130:I130"/>
    <mergeCell ref="B114:I114"/>
    <mergeCell ref="B115:I115"/>
    <mergeCell ref="B116:I116"/>
    <mergeCell ref="B117:I117"/>
    <mergeCell ref="B118:I118"/>
    <mergeCell ref="B119:I119"/>
    <mergeCell ref="B120:I120"/>
    <mergeCell ref="A121:I121"/>
    <mergeCell ref="A123:J123"/>
    <mergeCell ref="B103:J103"/>
    <mergeCell ref="B104:J104"/>
    <mergeCell ref="A106:J106"/>
    <mergeCell ref="B107:I107"/>
    <mergeCell ref="B108:I108"/>
    <mergeCell ref="B109:I109"/>
    <mergeCell ref="B110:I110"/>
    <mergeCell ref="A111:I111"/>
    <mergeCell ref="A113:J113"/>
    <mergeCell ref="A96:A99"/>
    <mergeCell ref="B96:D96"/>
    <mergeCell ref="J96:J99"/>
    <mergeCell ref="B97:H97"/>
    <mergeCell ref="B98:H98"/>
    <mergeCell ref="B99:H99"/>
    <mergeCell ref="B100:D100"/>
    <mergeCell ref="B101:I101"/>
    <mergeCell ref="A102:I102"/>
    <mergeCell ref="E96:I96"/>
    <mergeCell ref="E100:I100"/>
    <mergeCell ref="B84:H84"/>
    <mergeCell ref="A85:H85"/>
    <mergeCell ref="B86:J86"/>
    <mergeCell ref="B87:J87"/>
    <mergeCell ref="B89:J89"/>
    <mergeCell ref="B90:I90"/>
    <mergeCell ref="A91:A95"/>
    <mergeCell ref="B91:I91"/>
    <mergeCell ref="J91:J95"/>
    <mergeCell ref="B92:H92"/>
    <mergeCell ref="B93:H93"/>
    <mergeCell ref="B94:H94"/>
    <mergeCell ref="B95:H95"/>
    <mergeCell ref="B75:J75"/>
    <mergeCell ref="B76:H76"/>
    <mergeCell ref="B77:H77"/>
    <mergeCell ref="B78:H78"/>
    <mergeCell ref="B79:D79"/>
    <mergeCell ref="B80:H80"/>
    <mergeCell ref="B81:H81"/>
    <mergeCell ref="B82:H82"/>
    <mergeCell ref="B83:H83"/>
    <mergeCell ref="B64:I64"/>
    <mergeCell ref="A65:I65"/>
    <mergeCell ref="B66:J66"/>
    <mergeCell ref="A68:J68"/>
    <mergeCell ref="B69:I69"/>
    <mergeCell ref="B70:I70"/>
    <mergeCell ref="B71:I71"/>
    <mergeCell ref="A72:I72"/>
    <mergeCell ref="B73:J73"/>
    <mergeCell ref="B57:G57"/>
    <mergeCell ref="H57:J57"/>
    <mergeCell ref="B58:J58"/>
    <mergeCell ref="A60:J60"/>
    <mergeCell ref="B61:H61"/>
    <mergeCell ref="B62:D62"/>
    <mergeCell ref="G62:I62"/>
    <mergeCell ref="B63:C63"/>
    <mergeCell ref="D63:H63"/>
    <mergeCell ref="A51:J51"/>
    <mergeCell ref="A52:J52"/>
    <mergeCell ref="B53:G53"/>
    <mergeCell ref="H53:J53"/>
    <mergeCell ref="B54:G54"/>
    <mergeCell ref="H54:J54"/>
    <mergeCell ref="B55:G55"/>
    <mergeCell ref="H55:J55"/>
    <mergeCell ref="B56:G56"/>
    <mergeCell ref="H56:J56"/>
    <mergeCell ref="A46:F46"/>
    <mergeCell ref="G46:H46"/>
    <mergeCell ref="I46:J46"/>
    <mergeCell ref="A47:H47"/>
    <mergeCell ref="I47:J47"/>
    <mergeCell ref="A48:H48"/>
    <mergeCell ref="I48:J48"/>
    <mergeCell ref="A49:J49"/>
    <mergeCell ref="A50:J50"/>
    <mergeCell ref="A42:F42"/>
    <mergeCell ref="G42:H42"/>
    <mergeCell ref="I42:J42"/>
    <mergeCell ref="A43:H43"/>
    <mergeCell ref="I43:J43"/>
    <mergeCell ref="A44:F44"/>
    <mergeCell ref="G44:H44"/>
    <mergeCell ref="I44:J44"/>
    <mergeCell ref="A45:H45"/>
    <mergeCell ref="I45:J45"/>
    <mergeCell ref="A39:F39"/>
    <mergeCell ref="G39:H39"/>
    <mergeCell ref="I39:J39"/>
    <mergeCell ref="A40:F40"/>
    <mergeCell ref="G40:H40"/>
    <mergeCell ref="I40:J40"/>
    <mergeCell ref="A41:F41"/>
    <mergeCell ref="G41:H41"/>
    <mergeCell ref="I41:J41"/>
    <mergeCell ref="A36:F36"/>
    <mergeCell ref="G36:H36"/>
    <mergeCell ref="I36:J36"/>
    <mergeCell ref="A37:F37"/>
    <mergeCell ref="G37:H37"/>
    <mergeCell ref="I37:J37"/>
    <mergeCell ref="A38:F38"/>
    <mergeCell ref="G38:H38"/>
    <mergeCell ref="I38:J38"/>
    <mergeCell ref="A32:F32"/>
    <mergeCell ref="G32:H32"/>
    <mergeCell ref="I32:J32"/>
    <mergeCell ref="A33:F33"/>
    <mergeCell ref="G33:H33"/>
    <mergeCell ref="I33:J33"/>
    <mergeCell ref="A34:H34"/>
    <mergeCell ref="I34:J34"/>
    <mergeCell ref="A35:F35"/>
    <mergeCell ref="G35:H35"/>
    <mergeCell ref="I35:J35"/>
    <mergeCell ref="A29:F29"/>
    <mergeCell ref="G29:H29"/>
    <mergeCell ref="I29:J29"/>
    <mergeCell ref="A30:F30"/>
    <mergeCell ref="G30:H30"/>
    <mergeCell ref="I30:J30"/>
    <mergeCell ref="A31:F31"/>
    <mergeCell ref="G31:H31"/>
    <mergeCell ref="I31:J31"/>
    <mergeCell ref="A26:F26"/>
    <mergeCell ref="G26:H26"/>
    <mergeCell ref="I26:J26"/>
    <mergeCell ref="A27:F27"/>
    <mergeCell ref="G27:H27"/>
    <mergeCell ref="I27:J27"/>
    <mergeCell ref="A28:F28"/>
    <mergeCell ref="G28:H28"/>
    <mergeCell ref="I28:J28"/>
    <mergeCell ref="B21:G21"/>
    <mergeCell ref="H21:J21"/>
    <mergeCell ref="A23:J23"/>
    <mergeCell ref="A24:F24"/>
    <mergeCell ref="G24:H24"/>
    <mergeCell ref="I24:J24"/>
    <mergeCell ref="A25:F25"/>
    <mergeCell ref="G25:H25"/>
    <mergeCell ref="I25:J25"/>
    <mergeCell ref="A15:G15"/>
    <mergeCell ref="I15:J15"/>
    <mergeCell ref="A17:J17"/>
    <mergeCell ref="B18:G18"/>
    <mergeCell ref="H18:J18"/>
    <mergeCell ref="B19:G19"/>
    <mergeCell ref="H19:J19"/>
    <mergeCell ref="B20:G20"/>
    <mergeCell ref="H20:J20"/>
    <mergeCell ref="B11:C11"/>
    <mergeCell ref="E11:F11"/>
    <mergeCell ref="B12:G12"/>
    <mergeCell ref="I12:J12"/>
    <mergeCell ref="B13:D13"/>
    <mergeCell ref="F13:G13"/>
    <mergeCell ref="I13:J13"/>
    <mergeCell ref="A14:G14"/>
    <mergeCell ref="H14:J14"/>
    <mergeCell ref="A1:J1"/>
    <mergeCell ref="A2:J2"/>
    <mergeCell ref="A3:J3"/>
    <mergeCell ref="A4:J4"/>
    <mergeCell ref="A5:J5"/>
    <mergeCell ref="A7:J7"/>
    <mergeCell ref="A9:C10"/>
    <mergeCell ref="D9:H9"/>
    <mergeCell ref="I9:J9"/>
    <mergeCell ref="D10:F10"/>
    <mergeCell ref="I10:J10"/>
  </mergeCells>
  <conditionalFormatting sqref="A14:G14">
    <cfRule type="expression" dxfId="7" priority="2">
      <formula>LEN(TRIM(A14))&gt;0</formula>
    </cfRule>
  </conditionalFormatting>
  <conditionalFormatting sqref="H14:J14">
    <cfRule type="expression" dxfId="6" priority="3">
      <formula>LEN(TRIM(H14))&gt;0</formula>
    </cfRule>
  </conditionalFormatting>
  <printOptions horizontalCentered="1"/>
  <pageMargins left="0" right="0" top="0.39370078740157483" bottom="0" header="0" footer="0.51181102362204722"/>
  <pageSetup paperSize="9" scale="38" firstPageNumber="0" pageOrder="overThenDown" orientation="portrait" r:id="rId1"/>
  <headerFooter>
    <oddHeader>&amp;R&amp;P de &amp;N</oddHeader>
    <oddFooter>&amp;L&amp;F - &amp;A&amp;CPágina &amp;P de &amp;N</oddFooter>
  </headerFooter>
  <rowBreaks count="2" manualBreakCount="2">
    <brk id="105" max="9" man="1"/>
    <brk id="192" max="9" man="1"/>
  </rowBreak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AMJ994"/>
  <sheetViews>
    <sheetView showGridLines="0" topLeftCell="A49" zoomScaleNormal="100" workbookViewId="0">
      <selection activeCell="J7" sqref="J7"/>
    </sheetView>
  </sheetViews>
  <sheetFormatPr defaultColWidth="14.42578125" defaultRowHeight="14.25" x14ac:dyDescent="0.2"/>
  <cols>
    <col min="1" max="1" width="17.28515625" style="1" customWidth="1"/>
    <col min="2" max="2" width="8" style="1" customWidth="1"/>
    <col min="3" max="3" width="17.28515625" style="1" customWidth="1"/>
    <col min="4" max="7" width="15.42578125" style="1" customWidth="1"/>
    <col min="8" max="8" width="12.28515625" style="1" customWidth="1"/>
    <col min="9" max="9" width="20.42578125" style="1" customWidth="1"/>
    <col min="10" max="10" width="21.42578125" style="1" customWidth="1"/>
    <col min="11" max="11" width="12.5703125" style="1" customWidth="1"/>
    <col min="12" max="12" width="12.7109375" style="1" customWidth="1"/>
    <col min="13" max="26" width="8" style="1" customWidth="1"/>
    <col min="27" max="1024" width="14.42578125" style="1"/>
  </cols>
  <sheetData>
    <row r="1" spans="1:26" ht="14.25" customHeight="1" x14ac:dyDescent="0.2">
      <c r="A1" s="326" t="s">
        <v>0</v>
      </c>
      <c r="B1" s="326"/>
      <c r="C1" s="326"/>
      <c r="D1" s="326"/>
      <c r="E1" s="326"/>
      <c r="F1" s="326"/>
      <c r="G1" s="326"/>
      <c r="H1" s="326"/>
      <c r="I1" s="326"/>
      <c r="J1" s="326"/>
    </row>
    <row r="2" spans="1:26" ht="14.25" customHeight="1" x14ac:dyDescent="0.2">
      <c r="A2" s="326" t="s">
        <v>1</v>
      </c>
      <c r="B2" s="326"/>
      <c r="C2" s="326"/>
      <c r="D2" s="326"/>
      <c r="E2" s="326"/>
      <c r="F2" s="326"/>
      <c r="G2" s="326"/>
      <c r="H2" s="326"/>
      <c r="I2" s="326"/>
      <c r="J2" s="326"/>
    </row>
    <row r="3" spans="1:26" ht="14.25" customHeight="1" x14ac:dyDescent="0.2">
      <c r="A3" s="326" t="s">
        <v>2</v>
      </c>
      <c r="B3" s="326"/>
      <c r="C3" s="326"/>
      <c r="D3" s="326"/>
      <c r="E3" s="326"/>
      <c r="F3" s="326"/>
      <c r="G3" s="326"/>
      <c r="H3" s="326"/>
      <c r="I3" s="326"/>
      <c r="J3" s="326"/>
    </row>
    <row r="4" spans="1:26" ht="15" x14ac:dyDescent="0.2">
      <c r="A4" s="356" t="str">
        <f>'1. SA ABA DE CARREGAMENTO'!A4</f>
        <v>CAMPUS SANTO AUGUSTO</v>
      </c>
      <c r="B4" s="356"/>
      <c r="C4" s="356"/>
      <c r="D4" s="356"/>
      <c r="E4" s="356"/>
      <c r="F4" s="356"/>
      <c r="G4" s="356"/>
      <c r="H4" s="356"/>
      <c r="I4" s="356"/>
      <c r="J4" s="356"/>
    </row>
    <row r="5" spans="1:26" ht="14.25" customHeight="1" x14ac:dyDescent="0.2">
      <c r="A5" s="397" t="s">
        <v>510</v>
      </c>
      <c r="B5" s="397"/>
      <c r="C5" s="397"/>
      <c r="D5" s="397"/>
      <c r="E5" s="397"/>
      <c r="F5" s="397"/>
      <c r="G5" s="397"/>
      <c r="H5" s="397"/>
      <c r="I5" s="397"/>
      <c r="J5" s="397"/>
    </row>
    <row r="6" spans="1:26" ht="9.75" customHeight="1" x14ac:dyDescent="0.2">
      <c r="A6" s="20"/>
      <c r="B6" s="20"/>
      <c r="C6" s="20"/>
      <c r="D6" s="20"/>
      <c r="E6" s="20"/>
      <c r="F6" s="20"/>
      <c r="G6" s="20"/>
      <c r="H6" s="20"/>
      <c r="I6" s="20"/>
      <c r="J6" s="20"/>
      <c r="K6" s="18"/>
      <c r="L6" s="18"/>
      <c r="M6" s="18"/>
      <c r="N6" s="18"/>
      <c r="O6" s="18"/>
      <c r="P6" s="18"/>
      <c r="Q6" s="18"/>
      <c r="R6" s="18"/>
      <c r="S6" s="18"/>
      <c r="T6" s="18"/>
      <c r="U6" s="18"/>
      <c r="V6" s="18"/>
      <c r="W6" s="18"/>
      <c r="X6" s="18"/>
      <c r="Y6" s="18"/>
      <c r="Z6" s="18"/>
    </row>
    <row r="7" spans="1:26" ht="28.5" customHeight="1" x14ac:dyDescent="0.2">
      <c r="A7" s="423" t="str">
        <f>'7. SA Planilha área geral'!A7:J7</f>
        <v>IN/MPDG Nº 05/2017 - Anexo VII-D</v>
      </c>
      <c r="B7" s="423"/>
      <c r="C7" s="423"/>
      <c r="D7" s="423"/>
      <c r="E7" s="423"/>
      <c r="F7" s="423"/>
      <c r="G7" s="423"/>
      <c r="H7" s="423"/>
      <c r="I7" s="423"/>
      <c r="J7" s="423"/>
    </row>
    <row r="8" spans="1:26" ht="9.75" customHeight="1" x14ac:dyDescent="0.2">
      <c r="A8" s="501"/>
      <c r="B8" s="501"/>
      <c r="C8" s="501"/>
      <c r="D8" s="501"/>
      <c r="E8" s="501"/>
      <c r="F8" s="501"/>
      <c r="G8" s="501"/>
      <c r="H8" s="501"/>
      <c r="I8" s="501"/>
      <c r="J8" s="501"/>
      <c r="K8" s="18"/>
      <c r="L8" s="18"/>
      <c r="M8" s="18"/>
      <c r="N8" s="18"/>
      <c r="O8" s="18"/>
      <c r="P8" s="18"/>
      <c r="Q8" s="18"/>
      <c r="R8" s="18"/>
      <c r="S8" s="18"/>
      <c r="T8" s="18"/>
      <c r="U8" s="18"/>
      <c r="V8" s="18"/>
      <c r="W8" s="18"/>
      <c r="X8" s="18"/>
      <c r="Y8" s="18"/>
      <c r="Z8" s="18"/>
    </row>
    <row r="9" spans="1:26" ht="17.25" customHeight="1" x14ac:dyDescent="0.2">
      <c r="A9" s="423" t="s">
        <v>771</v>
      </c>
      <c r="B9" s="423"/>
      <c r="C9" s="423"/>
      <c r="D9" s="424" t="s">
        <v>772</v>
      </c>
      <c r="E9" s="424"/>
      <c r="F9" s="424"/>
      <c r="G9" s="424"/>
      <c r="H9" s="424"/>
      <c r="I9" s="425" t="str">
        <f>'1. SA ABA DE CARREGAMENTO'!A4</f>
        <v>CAMPUS SANTO AUGUSTO</v>
      </c>
      <c r="J9" s="425"/>
    </row>
    <row r="10" spans="1:26" ht="17.25" customHeight="1" x14ac:dyDescent="0.2">
      <c r="A10" s="423"/>
      <c r="B10" s="423"/>
      <c r="C10" s="423"/>
      <c r="D10" s="523" t="s">
        <v>514</v>
      </c>
      <c r="E10" s="523"/>
      <c r="F10" s="523"/>
      <c r="G10" s="192">
        <f>'5. SA Cál. DEMO Banheiros'!D11</f>
        <v>1816.1275272727275</v>
      </c>
      <c r="H10" s="193" t="s">
        <v>515</v>
      </c>
      <c r="I10" s="524" t="s">
        <v>516</v>
      </c>
      <c r="J10" s="524"/>
    </row>
    <row r="11" spans="1:26" ht="30" customHeight="1" x14ac:dyDescent="0.2">
      <c r="A11" s="194" t="s">
        <v>517</v>
      </c>
      <c r="B11" s="428" t="str">
        <f>'1. SA ABA DE CARREGAMENTO'!B11</f>
        <v>23243.000810/2021-41</v>
      </c>
      <c r="C11" s="428"/>
      <c r="D11" s="194" t="s">
        <v>518</v>
      </c>
      <c r="E11" s="429" t="str">
        <f>'1. SA ABA DE CARREGAMENTO'!B12</f>
        <v>33 / 2021</v>
      </c>
      <c r="F11" s="429"/>
      <c r="G11" s="194" t="s">
        <v>14</v>
      </c>
      <c r="H11" s="195">
        <f>'1. SA ABA DE CARREGAMENTO'!B13</f>
        <v>0</v>
      </c>
      <c r="I11" s="196" t="s">
        <v>15</v>
      </c>
      <c r="J11" s="197" t="str">
        <f>'1. SA ABA DE CARREGAMENTO'!B14</f>
        <v>09h (Horário de Brasília)</v>
      </c>
    </row>
    <row r="12" spans="1:26" ht="17.25" customHeight="1" x14ac:dyDescent="0.2">
      <c r="A12" s="198" t="s">
        <v>17</v>
      </c>
      <c r="B12" s="430" t="str">
        <f>'1. SA ABA DE CARREGAMENTO'!B15</f>
        <v>xxxx xxxx xxxx</v>
      </c>
      <c r="C12" s="430"/>
      <c r="D12" s="430"/>
      <c r="E12" s="430"/>
      <c r="F12" s="430"/>
      <c r="G12" s="430"/>
      <c r="H12" s="199" t="s">
        <v>519</v>
      </c>
      <c r="I12" s="431" t="str">
        <f>'1. SA ABA DE CARREGAMENTO'!B16</f>
        <v>zz.zzz.zzz/zzzz-zz</v>
      </c>
      <c r="J12" s="431"/>
    </row>
    <row r="13" spans="1:26" ht="17.25" customHeight="1" x14ac:dyDescent="0.2">
      <c r="A13" s="198" t="s">
        <v>520</v>
      </c>
      <c r="B13" s="430" t="str">
        <f>'1. SA ABA DE CARREGAMENTO'!B17</f>
        <v>Nome Completo</v>
      </c>
      <c r="C13" s="430"/>
      <c r="D13" s="430"/>
      <c r="E13" s="198" t="s">
        <v>521</v>
      </c>
      <c r="F13" s="432" t="str">
        <f>'1. SA ABA DE CARREGAMENTO'!B18</f>
        <v>yyy.yyy.yyy-yy</v>
      </c>
      <c r="G13" s="432"/>
      <c r="H13" s="198" t="s">
        <v>522</v>
      </c>
      <c r="I13" s="433" t="str">
        <f>'1. SA ABA DE CARREGAMENTO'!B19</f>
        <v>tttt tttt tttt</v>
      </c>
      <c r="J13" s="433"/>
    </row>
    <row r="14" spans="1:26" ht="15" x14ac:dyDescent="0.2">
      <c r="A14" s="434" t="str">
        <f>IF('1. SA ABA DE CARREGAMENTO'!B15="","PLANILHA CUSTOS E FORMAÇÃO DE PREÇOS DA ADMINISTRAÇÃO DO","")</f>
        <v/>
      </c>
      <c r="B14" s="434"/>
      <c r="C14" s="434"/>
      <c r="D14" s="434"/>
      <c r="E14" s="434"/>
      <c r="F14" s="434"/>
      <c r="G14" s="434"/>
      <c r="H14" s="435" t="str">
        <f>IF('1. SA ABA DE CARREGAMENTO'!B15="",'1. SA ABA DE CARREGAMENTO'!A4,"")</f>
        <v/>
      </c>
      <c r="I14" s="435"/>
      <c r="J14" s="435"/>
    </row>
    <row r="15" spans="1:26" ht="34.5" customHeight="1" x14ac:dyDescent="0.2">
      <c r="A15" s="436" t="s">
        <v>523</v>
      </c>
      <c r="B15" s="436"/>
      <c r="C15" s="436"/>
      <c r="D15" s="436"/>
      <c r="E15" s="436"/>
      <c r="F15" s="436"/>
      <c r="G15" s="436"/>
      <c r="H15" s="191">
        <f>'1. SA ABA DE CARREGAMENTO'!B51</f>
        <v>1</v>
      </c>
      <c r="I15" s="437" t="str">
        <f>IF(H15=1,"LUCRO REAL",IF(H15=2,"LUCRO PRESUMIDO",IF(H15=3,"SIMPLES-Anexo III",IF(H15=4,"SIMPLES-Anexo IV",IF(H15=5,"LUCRO REAL - PIS/COFINS Não Cumulativo","RT Inválido")))))</f>
        <v>LUCRO REAL</v>
      </c>
      <c r="J15" s="437"/>
    </row>
    <row r="16" spans="1:26" ht="6.75" customHeight="1" x14ac:dyDescent="0.2">
      <c r="A16" s="20"/>
      <c r="B16" s="20"/>
      <c r="C16" s="20"/>
      <c r="D16" s="20"/>
      <c r="E16" s="20"/>
      <c r="F16" s="20"/>
      <c r="G16" s="20"/>
      <c r="H16" s="20"/>
      <c r="I16" s="20"/>
      <c r="J16" s="20"/>
      <c r="K16" s="18"/>
      <c r="L16" s="18"/>
      <c r="M16" s="18"/>
      <c r="N16" s="18"/>
      <c r="O16" s="18"/>
      <c r="P16" s="18"/>
      <c r="Q16" s="18"/>
      <c r="R16" s="18"/>
      <c r="S16" s="18"/>
      <c r="T16" s="18"/>
      <c r="U16" s="18"/>
      <c r="V16" s="18"/>
      <c r="W16" s="18"/>
      <c r="X16" s="18"/>
      <c r="Y16" s="18"/>
      <c r="Z16" s="18"/>
    </row>
    <row r="17" spans="1:26" ht="19.5" customHeight="1" x14ac:dyDescent="0.2">
      <c r="A17" s="423" t="s">
        <v>524</v>
      </c>
      <c r="B17" s="423"/>
      <c r="C17" s="423"/>
      <c r="D17" s="423"/>
      <c r="E17" s="423"/>
      <c r="F17" s="423"/>
      <c r="G17" s="423"/>
      <c r="H17" s="423"/>
      <c r="I17" s="423"/>
      <c r="J17" s="423"/>
    </row>
    <row r="18" spans="1:26" ht="19.5" customHeight="1" x14ac:dyDescent="0.2">
      <c r="A18" s="200" t="s">
        <v>525</v>
      </c>
      <c r="B18" s="438" t="s">
        <v>526</v>
      </c>
      <c r="C18" s="438"/>
      <c r="D18" s="438"/>
      <c r="E18" s="438"/>
      <c r="F18" s="438"/>
      <c r="G18" s="438"/>
      <c r="H18" s="439">
        <f ca="1">'1. SA ABA DE CARREGAMENTO'!B54</f>
        <v>44609</v>
      </c>
      <c r="I18" s="439"/>
      <c r="J18" s="439"/>
    </row>
    <row r="19" spans="1:26" ht="19.5" customHeight="1" x14ac:dyDescent="0.2">
      <c r="A19" s="200" t="s">
        <v>527</v>
      </c>
      <c r="B19" s="438" t="s">
        <v>62</v>
      </c>
      <c r="C19" s="438"/>
      <c r="D19" s="438"/>
      <c r="E19" s="438"/>
      <c r="F19" s="438"/>
      <c r="G19" s="438"/>
      <c r="H19" s="439" t="str">
        <f>'1. SA ABA DE CARREGAMENTO'!B55</f>
        <v>Santo Augusto/RS</v>
      </c>
      <c r="I19" s="439"/>
      <c r="J19" s="439"/>
    </row>
    <row r="20" spans="1:26" ht="29.25" customHeight="1" x14ac:dyDescent="0.2">
      <c r="A20" s="200" t="s">
        <v>528</v>
      </c>
      <c r="B20" s="438" t="s">
        <v>529</v>
      </c>
      <c r="C20" s="438"/>
      <c r="D20" s="438"/>
      <c r="E20" s="438"/>
      <c r="F20" s="438"/>
      <c r="G20" s="438"/>
      <c r="H20" s="439" t="str">
        <f>'1. SA ABA DE CARREGAMENTO'!B56</f>
        <v>CCT Sindasseio 2022/2022 - Registro MTE: RS005021/2021</v>
      </c>
      <c r="I20" s="439"/>
      <c r="J20" s="439"/>
    </row>
    <row r="21" spans="1:26" ht="19.5" customHeight="1" x14ac:dyDescent="0.2">
      <c r="A21" s="200" t="s">
        <v>530</v>
      </c>
      <c r="B21" s="438" t="s">
        <v>531</v>
      </c>
      <c r="C21" s="438"/>
      <c r="D21" s="438"/>
      <c r="E21" s="438"/>
      <c r="F21" s="438"/>
      <c r="G21" s="438"/>
      <c r="H21" s="440">
        <f>'1. SA ABA DE CARREGAMENTO'!B57</f>
        <v>20</v>
      </c>
      <c r="I21" s="440"/>
      <c r="J21" s="440"/>
    </row>
    <row r="22" spans="1:26" ht="6.75" customHeight="1" x14ac:dyDescent="0.2">
      <c r="A22" s="20"/>
      <c r="B22" s="20"/>
      <c r="C22" s="20"/>
      <c r="D22" s="20"/>
      <c r="E22" s="20"/>
      <c r="F22" s="20"/>
      <c r="G22" s="20"/>
      <c r="H22" s="20"/>
      <c r="I22" s="20"/>
      <c r="J22" s="20"/>
      <c r="K22" s="18"/>
      <c r="L22" s="18"/>
      <c r="M22" s="18"/>
      <c r="N22" s="18"/>
      <c r="O22" s="18"/>
      <c r="P22" s="18"/>
      <c r="Q22" s="18"/>
      <c r="R22" s="18"/>
      <c r="S22" s="18"/>
      <c r="T22" s="18"/>
      <c r="U22" s="18"/>
      <c r="V22" s="18"/>
      <c r="W22" s="18"/>
      <c r="X22" s="18"/>
      <c r="Y22" s="18"/>
      <c r="Z22" s="18"/>
    </row>
    <row r="23" spans="1:26" ht="26.25" customHeight="1" x14ac:dyDescent="0.2">
      <c r="A23" s="423" t="s">
        <v>532</v>
      </c>
      <c r="B23" s="423"/>
      <c r="C23" s="423"/>
      <c r="D23" s="423"/>
      <c r="E23" s="423"/>
      <c r="F23" s="423"/>
      <c r="G23" s="423"/>
      <c r="H23" s="423"/>
      <c r="I23" s="423"/>
      <c r="J23" s="423"/>
    </row>
    <row r="24" spans="1:26" ht="26.25" customHeight="1" x14ac:dyDescent="0.2">
      <c r="A24" s="441" t="s">
        <v>533</v>
      </c>
      <c r="B24" s="441"/>
      <c r="C24" s="441"/>
      <c r="D24" s="441"/>
      <c r="E24" s="441"/>
      <c r="F24" s="441"/>
      <c r="G24" s="441" t="s">
        <v>534</v>
      </c>
      <c r="H24" s="441"/>
      <c r="I24" s="441" t="s">
        <v>535</v>
      </c>
      <c r="J24" s="441"/>
    </row>
    <row r="25" spans="1:26" ht="26.25" customHeight="1" x14ac:dyDescent="0.2">
      <c r="A25" s="442" t="s">
        <v>773</v>
      </c>
      <c r="B25" s="442"/>
      <c r="C25" s="442"/>
      <c r="D25" s="442"/>
      <c r="E25" s="442"/>
      <c r="F25" s="442"/>
      <c r="G25" s="443" t="s">
        <v>537</v>
      </c>
      <c r="H25" s="443"/>
      <c r="I25" s="444">
        <f>'5. SA Cál. DEMO Banheiros'!D8</f>
        <v>1528.7100000000003</v>
      </c>
      <c r="J25" s="444"/>
    </row>
    <row r="26" spans="1:26" ht="26.25" customHeight="1" x14ac:dyDescent="0.2">
      <c r="A26" s="442" t="s">
        <v>774</v>
      </c>
      <c r="B26" s="442"/>
      <c r="C26" s="442"/>
      <c r="D26" s="442"/>
      <c r="E26" s="442"/>
      <c r="F26" s="442"/>
      <c r="G26" s="443" t="s">
        <v>537</v>
      </c>
      <c r="H26" s="443"/>
      <c r="I26" s="444">
        <f>'5. SA Cál. DEMO Banheiros'!D9</f>
        <v>211.55592727272727</v>
      </c>
      <c r="J26" s="444"/>
    </row>
    <row r="27" spans="1:26" ht="26.25" customHeight="1" x14ac:dyDescent="0.2">
      <c r="A27" s="442" t="s">
        <v>775</v>
      </c>
      <c r="B27" s="442"/>
      <c r="C27" s="442"/>
      <c r="D27" s="442"/>
      <c r="E27" s="442"/>
      <c r="F27" s="442"/>
      <c r="G27" s="443" t="s">
        <v>537</v>
      </c>
      <c r="H27" s="443"/>
      <c r="I27" s="444">
        <f>'5. SA Cál. DEMO Banheiros'!D10</f>
        <v>75.861599999999996</v>
      </c>
      <c r="J27" s="444"/>
    </row>
    <row r="28" spans="1:26" ht="26.25" customHeight="1" x14ac:dyDescent="0.2">
      <c r="A28" s="446" t="s">
        <v>776</v>
      </c>
      <c r="B28" s="446"/>
      <c r="C28" s="446"/>
      <c r="D28" s="446"/>
      <c r="E28" s="446"/>
      <c r="F28" s="446"/>
      <c r="G28" s="446"/>
      <c r="H28" s="446"/>
      <c r="I28" s="447">
        <f>SUM(I25:J27)</f>
        <v>1816.1275272727275</v>
      </c>
      <c r="J28" s="447"/>
    </row>
    <row r="29" spans="1:26" ht="26.25" customHeight="1" x14ac:dyDescent="0.2">
      <c r="A29" s="442" t="s">
        <v>558</v>
      </c>
      <c r="B29" s="442"/>
      <c r="C29" s="442"/>
      <c r="D29" s="442"/>
      <c r="E29" s="442"/>
      <c r="F29" s="442"/>
      <c r="G29" s="443" t="s">
        <v>537</v>
      </c>
      <c r="H29" s="443"/>
      <c r="I29" s="448">
        <v>0</v>
      </c>
      <c r="J29" s="448"/>
    </row>
    <row r="30" spans="1:26" ht="26.25" customHeight="1" x14ac:dyDescent="0.2">
      <c r="A30" s="446" t="s">
        <v>559</v>
      </c>
      <c r="B30" s="446"/>
      <c r="C30" s="446"/>
      <c r="D30" s="446"/>
      <c r="E30" s="446"/>
      <c r="F30" s="446"/>
      <c r="G30" s="446"/>
      <c r="H30" s="446"/>
      <c r="I30" s="447">
        <v>0</v>
      </c>
      <c r="J30" s="447"/>
    </row>
    <row r="31" spans="1:26" ht="26.25" customHeight="1" x14ac:dyDescent="0.2">
      <c r="A31" s="446" t="s">
        <v>777</v>
      </c>
      <c r="B31" s="446"/>
      <c r="C31" s="446"/>
      <c r="D31" s="446"/>
      <c r="E31" s="446"/>
      <c r="F31" s="446"/>
      <c r="G31" s="446"/>
      <c r="H31" s="446"/>
      <c r="I31" s="447">
        <f>I28+I30</f>
        <v>1816.1275272727275</v>
      </c>
      <c r="J31" s="447"/>
    </row>
    <row r="32" spans="1:26" ht="6.75" customHeight="1" x14ac:dyDescent="0.2">
      <c r="A32" s="525"/>
      <c r="B32" s="525"/>
      <c r="C32" s="525"/>
      <c r="D32" s="525"/>
      <c r="E32" s="525"/>
      <c r="F32" s="525"/>
      <c r="G32" s="525"/>
      <c r="H32" s="525"/>
      <c r="I32" s="525"/>
      <c r="J32" s="525"/>
    </row>
    <row r="33" spans="1:10" ht="24.75" customHeight="1" x14ac:dyDescent="0.2">
      <c r="A33" s="423" t="s">
        <v>561</v>
      </c>
      <c r="B33" s="423"/>
      <c r="C33" s="423"/>
      <c r="D33" s="423"/>
      <c r="E33" s="423"/>
      <c r="F33" s="423"/>
      <c r="G33" s="423"/>
      <c r="H33" s="423"/>
      <c r="I33" s="423"/>
      <c r="J33" s="423"/>
    </row>
    <row r="34" spans="1:10" ht="24.75" customHeight="1" x14ac:dyDescent="0.2">
      <c r="A34" s="423" t="s">
        <v>562</v>
      </c>
      <c r="B34" s="423"/>
      <c r="C34" s="423"/>
      <c r="D34" s="423"/>
      <c r="E34" s="423"/>
      <c r="F34" s="423"/>
      <c r="G34" s="423"/>
      <c r="H34" s="423"/>
      <c r="I34" s="423"/>
      <c r="J34" s="423"/>
    </row>
    <row r="35" spans="1:10" ht="24.75" customHeight="1" x14ac:dyDescent="0.2">
      <c r="A35" s="423" t="s">
        <v>563</v>
      </c>
      <c r="B35" s="423"/>
      <c r="C35" s="423"/>
      <c r="D35" s="423"/>
      <c r="E35" s="423"/>
      <c r="F35" s="423"/>
      <c r="G35" s="423"/>
      <c r="H35" s="423"/>
      <c r="I35" s="423"/>
      <c r="J35" s="423"/>
    </row>
    <row r="36" spans="1:10" ht="24.75" customHeight="1" x14ac:dyDescent="0.2">
      <c r="A36" s="203">
        <v>1</v>
      </c>
      <c r="B36" s="450" t="s">
        <v>67</v>
      </c>
      <c r="C36" s="450"/>
      <c r="D36" s="450"/>
      <c r="E36" s="450"/>
      <c r="F36" s="450"/>
      <c r="G36" s="450"/>
      <c r="H36" s="451" t="str">
        <f>'1. SA ABA DE CARREGAMENTO'!B60</f>
        <v>Limpeza, Asseio e Conservação</v>
      </c>
      <c r="I36" s="451"/>
      <c r="J36" s="451"/>
    </row>
    <row r="37" spans="1:10" ht="24.75" customHeight="1" x14ac:dyDescent="0.2">
      <c r="A37" s="203">
        <v>2</v>
      </c>
      <c r="B37" s="450" t="s">
        <v>69</v>
      </c>
      <c r="C37" s="450"/>
      <c r="D37" s="450"/>
      <c r="E37" s="450"/>
      <c r="F37" s="450"/>
      <c r="G37" s="450"/>
      <c r="H37" s="451">
        <f>'1. SA ABA DE CARREGAMENTO'!C61</f>
        <v>5143</v>
      </c>
      <c r="I37" s="451"/>
      <c r="J37" s="451"/>
    </row>
    <row r="38" spans="1:10" ht="24.75" customHeight="1" x14ac:dyDescent="0.2">
      <c r="A38" s="203">
        <v>3</v>
      </c>
      <c r="B38" s="450" t="s">
        <v>71</v>
      </c>
      <c r="C38" s="450"/>
      <c r="D38" s="450"/>
      <c r="E38" s="450"/>
      <c r="F38" s="450"/>
      <c r="G38" s="450"/>
      <c r="H38" s="452">
        <f>'1. SA ABA DE CARREGAMENTO'!C63</f>
        <v>1314.09</v>
      </c>
      <c r="I38" s="452"/>
      <c r="J38" s="452"/>
    </row>
    <row r="39" spans="1:10" ht="24.75" customHeight="1" x14ac:dyDescent="0.2">
      <c r="A39" s="203">
        <v>4</v>
      </c>
      <c r="B39" s="450" t="s">
        <v>72</v>
      </c>
      <c r="C39" s="450"/>
      <c r="D39" s="450"/>
      <c r="E39" s="450"/>
      <c r="F39" s="450"/>
      <c r="G39" s="450"/>
      <c r="H39" s="451" t="str">
        <f>'1. SA ABA DE CARREGAMENTO'!C64</f>
        <v>Servente de Limpeza</v>
      </c>
      <c r="I39" s="451"/>
      <c r="J39" s="451"/>
    </row>
    <row r="40" spans="1:10" ht="24.75" customHeight="1" x14ac:dyDescent="0.2">
      <c r="A40" s="203">
        <v>5</v>
      </c>
      <c r="B40" s="450" t="s">
        <v>74</v>
      </c>
      <c r="C40" s="450"/>
      <c r="D40" s="450"/>
      <c r="E40" s="450"/>
      <c r="F40" s="450"/>
      <c r="G40" s="450"/>
      <c r="H40" s="453">
        <f>'1. SA ABA DE CARREGAMENTO'!C65</f>
        <v>44562</v>
      </c>
      <c r="I40" s="453"/>
      <c r="J40" s="453"/>
    </row>
    <row r="41" spans="1:10" ht="14.25" customHeight="1" x14ac:dyDescent="0.2">
      <c r="A41" s="204" t="s">
        <v>564</v>
      </c>
      <c r="B41" s="454" t="s">
        <v>565</v>
      </c>
      <c r="C41" s="454"/>
      <c r="D41" s="454"/>
      <c r="E41" s="454"/>
      <c r="F41" s="454"/>
      <c r="G41" s="454"/>
      <c r="H41" s="454"/>
      <c r="I41" s="454"/>
      <c r="J41" s="454"/>
    </row>
    <row r="42" spans="1:10" ht="6.75" customHeight="1" x14ac:dyDescent="0.2">
      <c r="A42" s="526"/>
      <c r="B42" s="526"/>
      <c r="C42" s="526"/>
      <c r="D42" s="526"/>
      <c r="E42" s="526"/>
      <c r="F42" s="526"/>
      <c r="G42" s="526"/>
      <c r="H42" s="526"/>
      <c r="I42" s="526"/>
      <c r="J42" s="526"/>
    </row>
    <row r="43" spans="1:10" ht="22.5" customHeight="1" x14ac:dyDescent="0.2">
      <c r="A43" s="423" t="s">
        <v>566</v>
      </c>
      <c r="B43" s="423"/>
      <c r="C43" s="423"/>
      <c r="D43" s="423"/>
      <c r="E43" s="423"/>
      <c r="F43" s="423"/>
      <c r="G43" s="423"/>
      <c r="H43" s="423"/>
      <c r="I43" s="423"/>
      <c r="J43" s="423"/>
    </row>
    <row r="44" spans="1:10" ht="22.5" customHeight="1" x14ac:dyDescent="0.2">
      <c r="A44" s="191">
        <v>1</v>
      </c>
      <c r="B44" s="423" t="s">
        <v>567</v>
      </c>
      <c r="C44" s="423"/>
      <c r="D44" s="423"/>
      <c r="E44" s="423"/>
      <c r="F44" s="423"/>
      <c r="G44" s="423"/>
      <c r="H44" s="423"/>
      <c r="I44" s="206" t="s">
        <v>568</v>
      </c>
      <c r="J44" s="191" t="s">
        <v>569</v>
      </c>
    </row>
    <row r="45" spans="1:10" ht="24.75" customHeight="1" x14ac:dyDescent="0.2">
      <c r="A45" s="200" t="s">
        <v>525</v>
      </c>
      <c r="B45" s="455" t="s">
        <v>570</v>
      </c>
      <c r="C45" s="455"/>
      <c r="D45" s="455"/>
      <c r="E45" s="207">
        <f>'1. SA ABA DE CARREGAMENTO'!C68</f>
        <v>44</v>
      </c>
      <c r="F45" s="208" t="s">
        <v>571</v>
      </c>
      <c r="G45" s="456" t="str">
        <f>'1. SA ABA DE CARREGAMENTO'!B62</f>
        <v>Cláusula Quarta da CCT 2022/2022</v>
      </c>
      <c r="H45" s="456"/>
      <c r="I45" s="456"/>
      <c r="J45" s="209">
        <f>H38/44*'1. SA ABA DE CARREGAMENTO'!C68</f>
        <v>1314.09</v>
      </c>
    </row>
    <row r="46" spans="1:10" ht="27.75" customHeight="1" x14ac:dyDescent="0.2">
      <c r="A46" s="200" t="s">
        <v>527</v>
      </c>
      <c r="B46" s="455" t="s">
        <v>572</v>
      </c>
      <c r="C46" s="455"/>
      <c r="D46" s="456" t="str">
        <f>'1. SA ABA DE CARREGAMENTO'!B69</f>
        <v>Cláusula Décima Sétima da CCT 2022/2022</v>
      </c>
      <c r="E46" s="456"/>
      <c r="F46" s="456"/>
      <c r="G46" s="456"/>
      <c r="H46" s="456"/>
      <c r="I46" s="210">
        <f>'1. SA ABA DE CARREGAMENTO'!C70</f>
        <v>0.4</v>
      </c>
      <c r="J46" s="209">
        <f>ROUND(I46*J45,2)</f>
        <v>525.64</v>
      </c>
    </row>
    <row r="47" spans="1:10" ht="22.5" customHeight="1" x14ac:dyDescent="0.2">
      <c r="A47" s="200" t="s">
        <v>528</v>
      </c>
      <c r="B47" s="438" t="s">
        <v>573</v>
      </c>
      <c r="C47" s="438"/>
      <c r="D47" s="438"/>
      <c r="E47" s="438"/>
      <c r="F47" s="438"/>
      <c r="G47" s="438"/>
      <c r="H47" s="438"/>
      <c r="I47" s="438"/>
      <c r="J47" s="209">
        <v>0</v>
      </c>
    </row>
    <row r="48" spans="1:10" ht="22.5" customHeight="1" x14ac:dyDescent="0.2">
      <c r="A48" s="457" t="s">
        <v>574</v>
      </c>
      <c r="B48" s="457"/>
      <c r="C48" s="457"/>
      <c r="D48" s="457"/>
      <c r="E48" s="457"/>
      <c r="F48" s="457"/>
      <c r="G48" s="457"/>
      <c r="H48" s="457"/>
      <c r="I48" s="457"/>
      <c r="J48" s="211">
        <f>SUM(J45:J47)</f>
        <v>1839.73</v>
      </c>
    </row>
    <row r="49" spans="1:10" ht="14.25" customHeight="1" x14ac:dyDescent="0.2">
      <c r="A49" s="212" t="s">
        <v>575</v>
      </c>
      <c r="B49" s="458" t="s">
        <v>778</v>
      </c>
      <c r="C49" s="458"/>
      <c r="D49" s="458"/>
      <c r="E49" s="458"/>
      <c r="F49" s="458"/>
      <c r="G49" s="458"/>
      <c r="H49" s="458"/>
      <c r="I49" s="458"/>
      <c r="J49" s="458"/>
    </row>
    <row r="50" spans="1:10" ht="6.75" customHeight="1" x14ac:dyDescent="0.2">
      <c r="A50" s="527"/>
      <c r="B50" s="527"/>
      <c r="C50" s="527"/>
      <c r="D50" s="527"/>
      <c r="E50" s="527"/>
      <c r="F50" s="527"/>
      <c r="G50" s="527"/>
      <c r="H50" s="527"/>
      <c r="I50" s="527"/>
      <c r="J50" s="527"/>
    </row>
    <row r="51" spans="1:10" ht="27.75" customHeight="1" x14ac:dyDescent="0.2">
      <c r="A51" s="423" t="s">
        <v>577</v>
      </c>
      <c r="B51" s="423"/>
      <c r="C51" s="423"/>
      <c r="D51" s="423"/>
      <c r="E51" s="423"/>
      <c r="F51" s="423"/>
      <c r="G51" s="423"/>
      <c r="H51" s="423"/>
      <c r="I51" s="423"/>
      <c r="J51" s="423"/>
    </row>
    <row r="52" spans="1:10" ht="27.75" customHeight="1" x14ac:dyDescent="0.2">
      <c r="A52" s="191" t="s">
        <v>578</v>
      </c>
      <c r="B52" s="423" t="s">
        <v>579</v>
      </c>
      <c r="C52" s="423"/>
      <c r="D52" s="423"/>
      <c r="E52" s="423"/>
      <c r="F52" s="423"/>
      <c r="G52" s="423"/>
      <c r="H52" s="423"/>
      <c r="I52" s="423"/>
      <c r="J52" s="191" t="s">
        <v>580</v>
      </c>
    </row>
    <row r="53" spans="1:10" ht="27.75" customHeight="1" x14ac:dyDescent="0.2">
      <c r="A53" s="200" t="s">
        <v>525</v>
      </c>
      <c r="B53" s="438" t="s">
        <v>581</v>
      </c>
      <c r="C53" s="438"/>
      <c r="D53" s="438"/>
      <c r="E53" s="438"/>
      <c r="F53" s="438"/>
      <c r="G53" s="438"/>
      <c r="H53" s="438"/>
      <c r="I53" s="438"/>
      <c r="J53" s="213">
        <f>ROUND(J48/12,2)</f>
        <v>153.31</v>
      </c>
    </row>
    <row r="54" spans="1:10" ht="27.75" customHeight="1" x14ac:dyDescent="0.2">
      <c r="A54" s="200" t="s">
        <v>527</v>
      </c>
      <c r="B54" s="459" t="s">
        <v>892</v>
      </c>
      <c r="C54" s="459"/>
      <c r="D54" s="459"/>
      <c r="E54" s="459"/>
      <c r="F54" s="459"/>
      <c r="G54" s="459"/>
      <c r="H54" s="459"/>
      <c r="I54" s="459"/>
      <c r="J54" s="213">
        <f>ROUND(J48*3.025%,2)</f>
        <v>55.65</v>
      </c>
    </row>
    <row r="55" spans="1:10" ht="27.75" customHeight="1" x14ac:dyDescent="0.2">
      <c r="A55" s="457" t="s">
        <v>582</v>
      </c>
      <c r="B55" s="457"/>
      <c r="C55" s="457"/>
      <c r="D55" s="457"/>
      <c r="E55" s="457"/>
      <c r="F55" s="457"/>
      <c r="G55" s="457"/>
      <c r="H55" s="457"/>
      <c r="I55" s="457"/>
      <c r="J55" s="214">
        <f>SUM(J53:J54)</f>
        <v>208.96</v>
      </c>
    </row>
    <row r="56" spans="1:10" ht="14.25" customHeight="1" x14ac:dyDescent="0.2">
      <c r="A56" s="212" t="s">
        <v>583</v>
      </c>
      <c r="B56" s="458" t="s">
        <v>584</v>
      </c>
      <c r="C56" s="458"/>
      <c r="D56" s="458"/>
      <c r="E56" s="458"/>
      <c r="F56" s="458"/>
      <c r="G56" s="458"/>
      <c r="H56" s="458"/>
      <c r="I56" s="458"/>
      <c r="J56" s="458"/>
    </row>
    <row r="57" spans="1:10" ht="9.75" customHeight="1" x14ac:dyDescent="0.2">
      <c r="A57" s="528"/>
      <c r="B57" s="528"/>
      <c r="C57" s="528"/>
      <c r="D57" s="528"/>
      <c r="E57" s="528"/>
      <c r="F57" s="528"/>
      <c r="G57" s="528"/>
      <c r="H57" s="528"/>
      <c r="I57" s="528"/>
      <c r="J57" s="215"/>
    </row>
    <row r="58" spans="1:10" ht="30" customHeight="1" x14ac:dyDescent="0.2">
      <c r="A58" s="191" t="s">
        <v>585</v>
      </c>
      <c r="B58" s="423" t="s">
        <v>779</v>
      </c>
      <c r="C58" s="423"/>
      <c r="D58" s="423"/>
      <c r="E58" s="423"/>
      <c r="F58" s="423"/>
      <c r="G58" s="423"/>
      <c r="H58" s="423"/>
      <c r="I58" s="423"/>
      <c r="J58" s="423"/>
    </row>
    <row r="59" spans="1:10" ht="30" customHeight="1" x14ac:dyDescent="0.2">
      <c r="A59" s="191"/>
      <c r="B59" s="423" t="s">
        <v>587</v>
      </c>
      <c r="C59" s="423"/>
      <c r="D59" s="423"/>
      <c r="E59" s="423"/>
      <c r="F59" s="423"/>
      <c r="G59" s="423"/>
      <c r="H59" s="423"/>
      <c r="I59" s="191" t="s">
        <v>568</v>
      </c>
      <c r="J59" s="191" t="s">
        <v>580</v>
      </c>
    </row>
    <row r="60" spans="1:10" ht="30" customHeight="1" x14ac:dyDescent="0.2">
      <c r="A60" s="200" t="s">
        <v>525</v>
      </c>
      <c r="B60" s="438" t="s">
        <v>84</v>
      </c>
      <c r="C60" s="438"/>
      <c r="D60" s="438"/>
      <c r="E60" s="438"/>
      <c r="F60" s="438"/>
      <c r="G60" s="438"/>
      <c r="H60" s="438"/>
      <c r="I60" s="216">
        <f>'1. SA ABA DE CARREGAMENTO'!C78</f>
        <v>0.2</v>
      </c>
      <c r="J60" s="213">
        <f>ROUND((J48+J55)*I60,2)</f>
        <v>409.74</v>
      </c>
    </row>
    <row r="61" spans="1:10" ht="30" customHeight="1" x14ac:dyDescent="0.2">
      <c r="A61" s="200" t="s">
        <v>527</v>
      </c>
      <c r="B61" s="438" t="s">
        <v>85</v>
      </c>
      <c r="C61" s="438"/>
      <c r="D61" s="438"/>
      <c r="E61" s="438"/>
      <c r="F61" s="438"/>
      <c r="G61" s="438"/>
      <c r="H61" s="438"/>
      <c r="I61" s="216">
        <f>IF($H$15=1,'1. SA ABA DE CARREGAMENTO'!C79,IF($H$15=2,'1. SA ABA DE CARREGAMENTO'!C79,0))</f>
        <v>2.5000000000000001E-2</v>
      </c>
      <c r="J61" s="213">
        <f>ROUND((J48+J55)*I61,2)</f>
        <v>51.22</v>
      </c>
    </row>
    <row r="62" spans="1:10" ht="36.75" customHeight="1" x14ac:dyDescent="0.2">
      <c r="A62" s="200" t="s">
        <v>528</v>
      </c>
      <c r="B62" s="438" t="s">
        <v>86</v>
      </c>
      <c r="C62" s="438"/>
      <c r="D62" s="438"/>
      <c r="E62" s="201" t="s">
        <v>588</v>
      </c>
      <c r="F62" s="216">
        <f>'1. SA ABA DE CARREGAMENTO'!$B$74</f>
        <v>0.03</v>
      </c>
      <c r="G62" s="201" t="s">
        <v>589</v>
      </c>
      <c r="H62" s="217">
        <f>'1. SA ABA DE CARREGAMENTO'!$B$75</f>
        <v>1</v>
      </c>
      <c r="I62" s="216">
        <f>'1. SA ABA DE CARREGAMENTO'!C80</f>
        <v>0.03</v>
      </c>
      <c r="J62" s="213">
        <f>ROUND((J48+J55)*I62,2)</f>
        <v>61.46</v>
      </c>
    </row>
    <row r="63" spans="1:10" ht="30" customHeight="1" x14ac:dyDescent="0.2">
      <c r="A63" s="200" t="s">
        <v>530</v>
      </c>
      <c r="B63" s="438" t="s">
        <v>87</v>
      </c>
      <c r="C63" s="438"/>
      <c r="D63" s="438"/>
      <c r="E63" s="438"/>
      <c r="F63" s="438"/>
      <c r="G63" s="438"/>
      <c r="H63" s="438"/>
      <c r="I63" s="216">
        <f>IF($H$15=1,'1. SA ABA DE CARREGAMENTO'!C81,IF($H$15=2,'1. SA ABA DE CARREGAMENTO'!C81,0))</f>
        <v>1.4999999999999999E-2</v>
      </c>
      <c r="J63" s="213">
        <f>ROUND((J48+J55)*I63,2)</f>
        <v>30.73</v>
      </c>
    </row>
    <row r="64" spans="1:10" ht="30" customHeight="1" x14ac:dyDescent="0.2">
      <c r="A64" s="200" t="s">
        <v>590</v>
      </c>
      <c r="B64" s="438" t="s">
        <v>88</v>
      </c>
      <c r="C64" s="438"/>
      <c r="D64" s="438"/>
      <c r="E64" s="438"/>
      <c r="F64" s="438"/>
      <c r="G64" s="438"/>
      <c r="H64" s="438"/>
      <c r="I64" s="216">
        <f>IF($H$15=1,'1. SA ABA DE CARREGAMENTO'!C82,IF($H$15=2,'1. SA ABA DE CARREGAMENTO'!C82,0))</f>
        <v>0.01</v>
      </c>
      <c r="J64" s="213">
        <f>ROUND((J48+J55)*I64,2)</f>
        <v>20.49</v>
      </c>
    </row>
    <row r="65" spans="1:10" ht="30" customHeight="1" x14ac:dyDescent="0.2">
      <c r="A65" s="200" t="s">
        <v>591</v>
      </c>
      <c r="B65" s="438" t="s">
        <v>89</v>
      </c>
      <c r="C65" s="438"/>
      <c r="D65" s="438"/>
      <c r="E65" s="438"/>
      <c r="F65" s="438"/>
      <c r="G65" s="438"/>
      <c r="H65" s="438"/>
      <c r="I65" s="216">
        <f>IF($H$15=1,'1. SA ABA DE CARREGAMENTO'!C83,IF($H$15=2,'1. SA ABA DE CARREGAMENTO'!C83,0))</f>
        <v>6.0000000000000001E-3</v>
      </c>
      <c r="J65" s="213">
        <f>ROUND((J48+J55)*I65,2)</f>
        <v>12.29</v>
      </c>
    </row>
    <row r="66" spans="1:10" ht="30" customHeight="1" x14ac:dyDescent="0.2">
      <c r="A66" s="200" t="s">
        <v>592</v>
      </c>
      <c r="B66" s="438" t="s">
        <v>90</v>
      </c>
      <c r="C66" s="438"/>
      <c r="D66" s="438"/>
      <c r="E66" s="438"/>
      <c r="F66" s="438"/>
      <c r="G66" s="438"/>
      <c r="H66" s="438"/>
      <c r="I66" s="216">
        <f>IF($H$15=1,'1. SA ABA DE CARREGAMENTO'!C84,IF($H$15=2,'1. SA ABA DE CARREGAMENTO'!C84,0))</f>
        <v>2E-3</v>
      </c>
      <c r="J66" s="213">
        <f>ROUND((J48+J55)*I66,2)</f>
        <v>4.0999999999999996</v>
      </c>
    </row>
    <row r="67" spans="1:10" ht="30" customHeight="1" x14ac:dyDescent="0.2">
      <c r="A67" s="200" t="s">
        <v>593</v>
      </c>
      <c r="B67" s="438" t="s">
        <v>91</v>
      </c>
      <c r="C67" s="438"/>
      <c r="D67" s="438"/>
      <c r="E67" s="438"/>
      <c r="F67" s="438"/>
      <c r="G67" s="438"/>
      <c r="H67" s="438"/>
      <c r="I67" s="216">
        <f>'1. SA ABA DE CARREGAMENTO'!C85</f>
        <v>0.08</v>
      </c>
      <c r="J67" s="213">
        <f>ROUND((J48+J55)*I67,2)</f>
        <v>163.9</v>
      </c>
    </row>
    <row r="68" spans="1:10" ht="30" customHeight="1" x14ac:dyDescent="0.2">
      <c r="A68" s="457" t="s">
        <v>594</v>
      </c>
      <c r="B68" s="457"/>
      <c r="C68" s="457"/>
      <c r="D68" s="457"/>
      <c r="E68" s="457"/>
      <c r="F68" s="457"/>
      <c r="G68" s="457"/>
      <c r="H68" s="457"/>
      <c r="I68" s="218">
        <f>SUM(I60:I67)</f>
        <v>0.36800000000000005</v>
      </c>
      <c r="J68" s="214">
        <f>SUM(J60:J67)</f>
        <v>753.93000000000006</v>
      </c>
    </row>
    <row r="69" spans="1:10" ht="14.25" customHeight="1" x14ac:dyDescent="0.2">
      <c r="A69" s="212" t="s">
        <v>595</v>
      </c>
      <c r="B69" s="458" t="s">
        <v>596</v>
      </c>
      <c r="C69" s="458"/>
      <c r="D69" s="458"/>
      <c r="E69" s="458"/>
      <c r="F69" s="458"/>
      <c r="G69" s="458"/>
      <c r="H69" s="458"/>
      <c r="I69" s="458"/>
      <c r="J69" s="458"/>
    </row>
    <row r="70" spans="1:10" ht="14.25" customHeight="1" x14ac:dyDescent="0.2">
      <c r="A70" s="212" t="s">
        <v>597</v>
      </c>
      <c r="B70" s="458" t="s">
        <v>598</v>
      </c>
      <c r="C70" s="458"/>
      <c r="D70" s="458"/>
      <c r="E70" s="458"/>
      <c r="F70" s="458"/>
      <c r="G70" s="458"/>
      <c r="H70" s="458"/>
      <c r="I70" s="458"/>
      <c r="J70" s="458"/>
    </row>
    <row r="71" spans="1:10" ht="9.75" customHeight="1" x14ac:dyDescent="0.2">
      <c r="A71" s="219"/>
      <c r="B71" s="220"/>
      <c r="C71" s="220"/>
      <c r="D71" s="220"/>
      <c r="E71" s="220"/>
      <c r="F71" s="220"/>
      <c r="G71" s="220"/>
      <c r="H71" s="220"/>
      <c r="I71" s="220"/>
      <c r="J71" s="220"/>
    </row>
    <row r="72" spans="1:10" ht="17.25" customHeight="1" x14ac:dyDescent="0.2">
      <c r="A72" s="221" t="s">
        <v>599</v>
      </c>
      <c r="B72" s="423" t="s">
        <v>600</v>
      </c>
      <c r="C72" s="423"/>
      <c r="D72" s="423"/>
      <c r="E72" s="423"/>
      <c r="F72" s="423"/>
      <c r="G72" s="423"/>
      <c r="H72" s="423"/>
      <c r="I72" s="423"/>
      <c r="J72" s="423"/>
    </row>
    <row r="73" spans="1:10" ht="17.25" customHeight="1" x14ac:dyDescent="0.2">
      <c r="A73" s="191"/>
      <c r="B73" s="423" t="s">
        <v>600</v>
      </c>
      <c r="C73" s="423"/>
      <c r="D73" s="423"/>
      <c r="E73" s="423"/>
      <c r="F73" s="423"/>
      <c r="G73" s="423"/>
      <c r="H73" s="423"/>
      <c r="I73" s="423"/>
      <c r="J73" s="191" t="s">
        <v>580</v>
      </c>
    </row>
    <row r="74" spans="1:10" ht="17.25" customHeight="1" x14ac:dyDescent="0.2">
      <c r="A74" s="441" t="s">
        <v>525</v>
      </c>
      <c r="B74" s="438" t="s">
        <v>601</v>
      </c>
      <c r="C74" s="438"/>
      <c r="D74" s="438"/>
      <c r="E74" s="438"/>
      <c r="F74" s="438"/>
      <c r="G74" s="438"/>
      <c r="H74" s="438"/>
      <c r="I74" s="438"/>
      <c r="J74" s="460">
        <f>IF(ROUND((I77*I75*I76)-(J45*0.06),2)&lt;0,0,ROUND((I77*I75*I76)-(J45*0.06),2))*1+(I75*I76*21.726-0.06*J45)*0</f>
        <v>0</v>
      </c>
    </row>
    <row r="75" spans="1:10" ht="17.25" customHeight="1" x14ac:dyDescent="0.2">
      <c r="A75" s="441"/>
      <c r="B75" s="461" t="s">
        <v>602</v>
      </c>
      <c r="C75" s="461"/>
      <c r="D75" s="461"/>
      <c r="E75" s="461"/>
      <c r="F75" s="461"/>
      <c r="G75" s="461"/>
      <c r="H75" s="461"/>
      <c r="I75" s="222">
        <f>'1. SA ABA DE CARREGAMENTO'!$B$88</f>
        <v>0</v>
      </c>
      <c r="J75" s="460"/>
    </row>
    <row r="76" spans="1:10" ht="17.25" customHeight="1" x14ac:dyDescent="0.2">
      <c r="A76" s="441"/>
      <c r="B76" s="461" t="s">
        <v>603</v>
      </c>
      <c r="C76" s="461"/>
      <c r="D76" s="461"/>
      <c r="E76" s="461"/>
      <c r="F76" s="461"/>
      <c r="G76" s="461"/>
      <c r="H76" s="461"/>
      <c r="I76" s="223">
        <f>'1. SA ABA DE CARREGAMENTO'!$B$89</f>
        <v>2</v>
      </c>
      <c r="J76" s="460"/>
    </row>
    <row r="77" spans="1:10" ht="17.25" customHeight="1" x14ac:dyDescent="0.2">
      <c r="A77" s="441"/>
      <c r="B77" s="461" t="s">
        <v>604</v>
      </c>
      <c r="C77" s="461"/>
      <c r="D77" s="461"/>
      <c r="E77" s="461"/>
      <c r="F77" s="461"/>
      <c r="G77" s="461"/>
      <c r="H77" s="461"/>
      <c r="I77" s="223">
        <f>'1. SA ABA DE CARREGAMENTO'!$B$90</f>
        <v>22</v>
      </c>
      <c r="J77" s="460"/>
    </row>
    <row r="78" spans="1:10" ht="17.25" customHeight="1" x14ac:dyDescent="0.2">
      <c r="A78" s="441"/>
      <c r="B78" s="461" t="s">
        <v>605</v>
      </c>
      <c r="C78" s="461"/>
      <c r="D78" s="461"/>
      <c r="E78" s="461"/>
      <c r="F78" s="461"/>
      <c r="G78" s="461"/>
      <c r="H78" s="461"/>
      <c r="I78" s="224">
        <f>'1. SA ABA DE CARREGAMENTO'!B91</f>
        <v>0.06</v>
      </c>
      <c r="J78" s="460"/>
    </row>
    <row r="79" spans="1:10" ht="17.25" customHeight="1" x14ac:dyDescent="0.2">
      <c r="A79" s="441" t="s">
        <v>527</v>
      </c>
      <c r="B79" s="455" t="s">
        <v>606</v>
      </c>
      <c r="C79" s="455"/>
      <c r="D79" s="455"/>
      <c r="E79" s="462" t="str">
        <f>'1. SA ABA DE CARREGAMENTO'!B94</f>
        <v>Cláusula Décima Oitava da CCT 2022/2022</v>
      </c>
      <c r="F79" s="462"/>
      <c r="G79" s="462"/>
      <c r="H79" s="462"/>
      <c r="I79" s="463"/>
      <c r="J79" s="460">
        <f>ROUND((I80*I81)-((I80*I81)*I82),2)</f>
        <v>359.61</v>
      </c>
    </row>
    <row r="80" spans="1:10" ht="17.25" customHeight="1" x14ac:dyDescent="0.2">
      <c r="A80" s="441"/>
      <c r="B80" s="461" t="s">
        <v>607</v>
      </c>
      <c r="C80" s="461"/>
      <c r="D80" s="461"/>
      <c r="E80" s="461"/>
      <c r="F80" s="461"/>
      <c r="G80" s="461"/>
      <c r="H80" s="461"/>
      <c r="I80" s="225">
        <f>'1. SA ABA DE CARREGAMENTO'!B95</f>
        <v>20.18</v>
      </c>
      <c r="J80" s="460"/>
    </row>
    <row r="81" spans="1:10" ht="17.25" customHeight="1" x14ac:dyDescent="0.2">
      <c r="A81" s="441"/>
      <c r="B81" s="461" t="s">
        <v>608</v>
      </c>
      <c r="C81" s="461"/>
      <c r="D81" s="461"/>
      <c r="E81" s="461"/>
      <c r="F81" s="461"/>
      <c r="G81" s="461"/>
      <c r="H81" s="461"/>
      <c r="I81" s="223">
        <f>'1. SA ABA DE CARREGAMENTO'!B97</f>
        <v>22</v>
      </c>
      <c r="J81" s="460"/>
    </row>
    <row r="82" spans="1:10" ht="17.25" customHeight="1" x14ac:dyDescent="0.2">
      <c r="A82" s="441"/>
      <c r="B82" s="461" t="s">
        <v>609</v>
      </c>
      <c r="C82" s="461"/>
      <c r="D82" s="461"/>
      <c r="E82" s="461"/>
      <c r="F82" s="461"/>
      <c r="G82" s="461"/>
      <c r="H82" s="461"/>
      <c r="I82" s="226">
        <f>'1. SA ABA DE CARREGAMENTO'!B96</f>
        <v>0.19</v>
      </c>
      <c r="J82" s="460"/>
    </row>
    <row r="83" spans="1:10" ht="17.25" customHeight="1" x14ac:dyDescent="0.2">
      <c r="A83" s="200" t="s">
        <v>528</v>
      </c>
      <c r="B83" s="455" t="s">
        <v>610</v>
      </c>
      <c r="C83" s="455"/>
      <c r="D83" s="455"/>
      <c r="E83" s="462" t="str">
        <f>'1. SA ABA DE CARREGAMENTO'!B100</f>
        <v>Cláusula Vigésima Nona da CCT 2022/2022</v>
      </c>
      <c r="F83" s="462"/>
      <c r="G83" s="462"/>
      <c r="H83" s="462"/>
      <c r="I83" s="463"/>
      <c r="J83" s="227">
        <f>'1. SA ABA DE CARREGAMENTO'!C100</f>
        <v>17.32</v>
      </c>
    </row>
    <row r="84" spans="1:10" ht="17.25" customHeight="1" x14ac:dyDescent="0.2">
      <c r="A84" s="200" t="s">
        <v>530</v>
      </c>
      <c r="B84" s="438" t="s">
        <v>611</v>
      </c>
      <c r="C84" s="438"/>
      <c r="D84" s="438"/>
      <c r="E84" s="438"/>
      <c r="F84" s="438"/>
      <c r="G84" s="438"/>
      <c r="H84" s="438"/>
      <c r="I84" s="438"/>
      <c r="J84" s="213">
        <v>0</v>
      </c>
    </row>
    <row r="85" spans="1:10" ht="17.25" customHeight="1" x14ac:dyDescent="0.2">
      <c r="A85" s="457" t="s">
        <v>612</v>
      </c>
      <c r="B85" s="457"/>
      <c r="C85" s="457"/>
      <c r="D85" s="457"/>
      <c r="E85" s="457"/>
      <c r="F85" s="457"/>
      <c r="G85" s="457"/>
      <c r="H85" s="457"/>
      <c r="I85" s="457"/>
      <c r="J85" s="214">
        <f>SUM(J74:J83)</f>
        <v>376.93</v>
      </c>
    </row>
    <row r="86" spans="1:10" ht="14.25" customHeight="1" x14ac:dyDescent="0.2">
      <c r="A86" s="212" t="s">
        <v>613</v>
      </c>
      <c r="B86" s="458" t="s">
        <v>614</v>
      </c>
      <c r="C86" s="458"/>
      <c r="D86" s="458"/>
      <c r="E86" s="458"/>
      <c r="F86" s="458"/>
      <c r="G86" s="458"/>
      <c r="H86" s="458"/>
      <c r="I86" s="458"/>
      <c r="J86" s="458"/>
    </row>
    <row r="87" spans="1:10" ht="35.25" customHeight="1" x14ac:dyDescent="0.2">
      <c r="A87" s="212" t="s">
        <v>615</v>
      </c>
      <c r="B87" s="458" t="s">
        <v>616</v>
      </c>
      <c r="C87" s="458"/>
      <c r="D87" s="458"/>
      <c r="E87" s="458"/>
      <c r="F87" s="458"/>
      <c r="G87" s="458"/>
      <c r="H87" s="458"/>
      <c r="I87" s="458"/>
      <c r="J87" s="458"/>
    </row>
    <row r="88" spans="1:10" ht="9.75" customHeight="1" x14ac:dyDescent="0.2">
      <c r="A88" s="219"/>
      <c r="B88" s="220"/>
      <c r="C88" s="220"/>
      <c r="D88" s="220"/>
      <c r="E88" s="220"/>
      <c r="F88" s="220"/>
      <c r="G88" s="220"/>
      <c r="H88" s="220"/>
      <c r="I88" s="220"/>
      <c r="J88" s="220"/>
    </row>
    <row r="89" spans="1:10" ht="22.5" customHeight="1" x14ac:dyDescent="0.2">
      <c r="A89" s="423" t="s">
        <v>617</v>
      </c>
      <c r="B89" s="423"/>
      <c r="C89" s="423"/>
      <c r="D89" s="423"/>
      <c r="E89" s="423"/>
      <c r="F89" s="423"/>
      <c r="G89" s="423"/>
      <c r="H89" s="423"/>
      <c r="I89" s="423"/>
      <c r="J89" s="423"/>
    </row>
    <row r="90" spans="1:10" ht="22.5" customHeight="1" x14ac:dyDescent="0.2">
      <c r="A90" s="191" t="s">
        <v>618</v>
      </c>
      <c r="B90" s="423" t="s">
        <v>619</v>
      </c>
      <c r="C90" s="423"/>
      <c r="D90" s="423"/>
      <c r="E90" s="423"/>
      <c r="F90" s="423"/>
      <c r="G90" s="423"/>
      <c r="H90" s="423"/>
      <c r="I90" s="423"/>
      <c r="J90" s="191" t="s">
        <v>580</v>
      </c>
    </row>
    <row r="91" spans="1:10" ht="22.5" customHeight="1" x14ac:dyDescent="0.2">
      <c r="A91" s="200" t="s">
        <v>620</v>
      </c>
      <c r="B91" s="461" t="s">
        <v>621</v>
      </c>
      <c r="C91" s="461"/>
      <c r="D91" s="461"/>
      <c r="E91" s="461"/>
      <c r="F91" s="461"/>
      <c r="G91" s="461"/>
      <c r="H91" s="461"/>
      <c r="I91" s="461"/>
      <c r="J91" s="213">
        <f>J55</f>
        <v>208.96</v>
      </c>
    </row>
    <row r="92" spans="1:10" ht="22.5" customHeight="1" x14ac:dyDescent="0.2">
      <c r="A92" s="200" t="s">
        <v>585</v>
      </c>
      <c r="B92" s="461" t="s">
        <v>622</v>
      </c>
      <c r="C92" s="461"/>
      <c r="D92" s="461"/>
      <c r="E92" s="461"/>
      <c r="F92" s="461"/>
      <c r="G92" s="461"/>
      <c r="H92" s="461"/>
      <c r="I92" s="461"/>
      <c r="J92" s="213">
        <f>J68</f>
        <v>753.93000000000006</v>
      </c>
    </row>
    <row r="93" spans="1:10" ht="22.5" customHeight="1" x14ac:dyDescent="0.2">
      <c r="A93" s="200" t="s">
        <v>623</v>
      </c>
      <c r="B93" s="461" t="s">
        <v>624</v>
      </c>
      <c r="C93" s="461"/>
      <c r="D93" s="461"/>
      <c r="E93" s="461"/>
      <c r="F93" s="461"/>
      <c r="G93" s="461"/>
      <c r="H93" s="461"/>
      <c r="I93" s="461"/>
      <c r="J93" s="213">
        <f>J85</f>
        <v>376.93</v>
      </c>
    </row>
    <row r="94" spans="1:10" ht="22.5" customHeight="1" x14ac:dyDescent="0.2">
      <c r="A94" s="457" t="s">
        <v>625</v>
      </c>
      <c r="B94" s="457"/>
      <c r="C94" s="457"/>
      <c r="D94" s="457"/>
      <c r="E94" s="457"/>
      <c r="F94" s="457"/>
      <c r="G94" s="457"/>
      <c r="H94" s="457"/>
      <c r="I94" s="457"/>
      <c r="J94" s="214">
        <f>SUM(J91+J92+J93)</f>
        <v>1339.8200000000002</v>
      </c>
    </row>
    <row r="95" spans="1:10" ht="15" x14ac:dyDescent="0.2">
      <c r="A95" s="34"/>
      <c r="B95" s="34"/>
      <c r="C95" s="34"/>
      <c r="D95" s="34"/>
      <c r="E95" s="34"/>
      <c r="F95" s="34"/>
      <c r="G95" s="34"/>
      <c r="H95" s="34"/>
      <c r="I95" s="34"/>
      <c r="J95" s="228"/>
    </row>
    <row r="96" spans="1:10" ht="22.5" customHeight="1" x14ac:dyDescent="0.2">
      <c r="A96" s="423" t="s">
        <v>626</v>
      </c>
      <c r="B96" s="423"/>
      <c r="C96" s="423"/>
      <c r="D96" s="423"/>
      <c r="E96" s="423"/>
      <c r="F96" s="423"/>
      <c r="G96" s="423"/>
      <c r="H96" s="423"/>
      <c r="I96" s="423"/>
      <c r="J96" s="423"/>
    </row>
    <row r="97" spans="1:10" ht="22.5" customHeight="1" x14ac:dyDescent="0.2">
      <c r="A97" s="191"/>
      <c r="B97" s="423" t="s">
        <v>619</v>
      </c>
      <c r="C97" s="423"/>
      <c r="D97" s="423"/>
      <c r="E97" s="423"/>
      <c r="F97" s="423"/>
      <c r="G97" s="423"/>
      <c r="H97" s="423"/>
      <c r="I97" s="423"/>
      <c r="J97" s="191" t="s">
        <v>627</v>
      </c>
    </row>
    <row r="98" spans="1:10" ht="22.5" customHeight="1" x14ac:dyDescent="0.2">
      <c r="A98" s="200" t="s">
        <v>525</v>
      </c>
      <c r="B98" s="438" t="s">
        <v>628</v>
      </c>
      <c r="C98" s="438"/>
      <c r="D98" s="438"/>
      <c r="E98" s="438"/>
      <c r="F98" s="438"/>
      <c r="G98" s="438"/>
      <c r="H98" s="438"/>
      <c r="I98" s="438"/>
      <c r="J98" s="213">
        <f>ROUND((($J$48/12)+($J$53/12)+($J$48/12/12)+($J$54/12))*(30/30)*0.05,2)</f>
        <v>9.18</v>
      </c>
    </row>
    <row r="99" spans="1:10" ht="22.5" customHeight="1" x14ac:dyDescent="0.2">
      <c r="A99" s="200" t="s">
        <v>527</v>
      </c>
      <c r="B99" s="438" t="s">
        <v>629</v>
      </c>
      <c r="C99" s="438"/>
      <c r="D99" s="438"/>
      <c r="E99" s="438"/>
      <c r="F99" s="438"/>
      <c r="G99" s="438"/>
      <c r="H99" s="438"/>
      <c r="I99" s="438"/>
      <c r="J99" s="213">
        <f>ROUND($J$98*I67,2)</f>
        <v>0.73</v>
      </c>
    </row>
    <row r="100" spans="1:10" ht="22.5" customHeight="1" x14ac:dyDescent="0.2">
      <c r="A100" s="200" t="s">
        <v>528</v>
      </c>
      <c r="B100" s="438" t="s">
        <v>630</v>
      </c>
      <c r="C100" s="438"/>
      <c r="D100" s="438"/>
      <c r="E100" s="438"/>
      <c r="F100" s="438"/>
      <c r="G100" s="438"/>
      <c r="H100" s="438"/>
      <c r="I100" s="438"/>
      <c r="J100" s="213">
        <f>ROUND(0.08*0.4*($J$48+$J$53+$J$54)*0.05,2)</f>
        <v>3.28</v>
      </c>
    </row>
    <row r="101" spans="1:10" ht="22.5" customHeight="1" x14ac:dyDescent="0.2">
      <c r="A101" s="200" t="s">
        <v>530</v>
      </c>
      <c r="B101" s="438" t="s">
        <v>631</v>
      </c>
      <c r="C101" s="438"/>
      <c r="D101" s="438"/>
      <c r="E101" s="438"/>
      <c r="F101" s="438"/>
      <c r="G101" s="438"/>
      <c r="H101" s="438"/>
      <c r="I101" s="438"/>
      <c r="J101" s="213">
        <f>ROUND(((($J$48/30)*7)/$H$21)*1,2)</f>
        <v>21.46</v>
      </c>
    </row>
    <row r="102" spans="1:10" ht="22.5" customHeight="1" x14ac:dyDescent="0.2">
      <c r="A102" s="200" t="s">
        <v>590</v>
      </c>
      <c r="B102" s="438" t="s">
        <v>632</v>
      </c>
      <c r="C102" s="438"/>
      <c r="D102" s="438"/>
      <c r="E102" s="438"/>
      <c r="F102" s="438"/>
      <c r="G102" s="438"/>
      <c r="H102" s="438"/>
      <c r="I102" s="438"/>
      <c r="J102" s="213">
        <f>ROUND($I$68*J101,2)</f>
        <v>7.9</v>
      </c>
    </row>
    <row r="103" spans="1:10" ht="22.5" customHeight="1" x14ac:dyDescent="0.2">
      <c r="A103" s="200" t="s">
        <v>591</v>
      </c>
      <c r="B103" s="438" t="s">
        <v>633</v>
      </c>
      <c r="C103" s="438"/>
      <c r="D103" s="438"/>
      <c r="E103" s="438"/>
      <c r="F103" s="438"/>
      <c r="G103" s="438"/>
      <c r="H103" s="438"/>
      <c r="I103" s="438"/>
      <c r="J103" s="213">
        <f>ROUND(0.08*0.4*($J$48+$J$53+$J$54)*0.9,2)</f>
        <v>59</v>
      </c>
    </row>
    <row r="104" spans="1:10" ht="22.5" customHeight="1" x14ac:dyDescent="0.2">
      <c r="A104" s="457" t="s">
        <v>634</v>
      </c>
      <c r="B104" s="457"/>
      <c r="C104" s="457"/>
      <c r="D104" s="457"/>
      <c r="E104" s="457"/>
      <c r="F104" s="457"/>
      <c r="G104" s="457"/>
      <c r="H104" s="457"/>
      <c r="I104" s="457"/>
      <c r="J104" s="214">
        <f>SUM(J98:J103)</f>
        <v>101.55</v>
      </c>
    </row>
    <row r="105" spans="1:10" ht="6.75" customHeight="1" x14ac:dyDescent="0.2">
      <c r="A105" s="34"/>
      <c r="B105" s="34"/>
      <c r="C105" s="34"/>
      <c r="D105" s="34"/>
      <c r="E105" s="34"/>
      <c r="F105" s="34"/>
      <c r="G105" s="34"/>
      <c r="H105" s="34"/>
      <c r="I105" s="34"/>
      <c r="J105" s="228"/>
    </row>
    <row r="106" spans="1:10" ht="24.75" customHeight="1" x14ac:dyDescent="0.2">
      <c r="A106" s="423" t="s">
        <v>635</v>
      </c>
      <c r="B106" s="423"/>
      <c r="C106" s="423"/>
      <c r="D106" s="423"/>
      <c r="E106" s="423"/>
      <c r="F106" s="423"/>
      <c r="G106" s="423"/>
      <c r="H106" s="423"/>
      <c r="I106" s="423"/>
      <c r="J106" s="423"/>
    </row>
    <row r="107" spans="1:10" ht="24.75" customHeight="1" x14ac:dyDescent="0.2">
      <c r="A107" s="423" t="s">
        <v>636</v>
      </c>
      <c r="B107" s="423"/>
      <c r="C107" s="423"/>
      <c r="D107" s="423"/>
      <c r="E107" s="423"/>
      <c r="F107" s="423"/>
      <c r="G107" s="423"/>
      <c r="H107" s="423"/>
      <c r="I107" s="423"/>
      <c r="J107" s="423"/>
    </row>
    <row r="108" spans="1:10" ht="24.75" customHeight="1" x14ac:dyDescent="0.2">
      <c r="A108" s="423" t="s">
        <v>780</v>
      </c>
      <c r="B108" s="423"/>
      <c r="C108" s="229">
        <f>J48</f>
        <v>1839.73</v>
      </c>
      <c r="D108" s="423" t="s">
        <v>781</v>
      </c>
      <c r="E108" s="423"/>
      <c r="F108" s="229">
        <f>J94-J79-J74</f>
        <v>980.21000000000015</v>
      </c>
      <c r="G108" s="423" t="s">
        <v>639</v>
      </c>
      <c r="H108" s="423"/>
      <c r="I108" s="229">
        <f>J104</f>
        <v>101.55</v>
      </c>
      <c r="J108" s="214">
        <f>ROUND((J48+(J94-J79-J74)+J104),2)</f>
        <v>2921.49</v>
      </c>
    </row>
    <row r="109" spans="1:10" ht="24.75" customHeight="1" x14ac:dyDescent="0.2">
      <c r="A109" s="423" t="s">
        <v>640</v>
      </c>
      <c r="B109" s="423"/>
      <c r="C109" s="423"/>
      <c r="D109" s="423"/>
      <c r="E109" s="423"/>
      <c r="F109" s="423"/>
      <c r="G109" s="423" t="s">
        <v>641</v>
      </c>
      <c r="H109" s="423"/>
      <c r="I109" s="423"/>
      <c r="J109" s="211">
        <f>ROUND(J108/30,2)</f>
        <v>97.38</v>
      </c>
    </row>
    <row r="110" spans="1:10" ht="24.75" customHeight="1" x14ac:dyDescent="0.2">
      <c r="A110" s="205"/>
      <c r="B110" s="205"/>
      <c r="C110" s="205"/>
      <c r="D110" s="205"/>
      <c r="E110" s="205"/>
      <c r="F110" s="205"/>
      <c r="G110" s="205"/>
      <c r="H110" s="205"/>
      <c r="I110" s="205"/>
      <c r="J110" s="205"/>
    </row>
    <row r="111" spans="1:10" ht="24.75" customHeight="1" x14ac:dyDescent="0.2">
      <c r="A111" s="191" t="s">
        <v>642</v>
      </c>
      <c r="B111" s="423" t="s">
        <v>643</v>
      </c>
      <c r="C111" s="423"/>
      <c r="D111" s="423"/>
      <c r="E111" s="423"/>
      <c r="F111" s="423"/>
      <c r="G111" s="423"/>
      <c r="H111" s="423"/>
      <c r="I111" s="423"/>
      <c r="J111" s="191" t="s">
        <v>580</v>
      </c>
    </row>
    <row r="112" spans="1:10" ht="24.75" customHeight="1" x14ac:dyDescent="0.2">
      <c r="A112" s="200" t="s">
        <v>525</v>
      </c>
      <c r="B112" s="459" t="s">
        <v>893</v>
      </c>
      <c r="C112" s="459"/>
      <c r="D112" s="459"/>
      <c r="E112" s="459"/>
      <c r="F112" s="459"/>
      <c r="G112" s="459"/>
      <c r="H112" s="459"/>
      <c r="I112" s="459"/>
      <c r="J112" s="213">
        <f>ROUND(J48*9.075%,2)</f>
        <v>166.96</v>
      </c>
    </row>
    <row r="113" spans="1:10" ht="24.75" customHeight="1" x14ac:dyDescent="0.2">
      <c r="A113" s="200" t="s">
        <v>527</v>
      </c>
      <c r="B113" s="438" t="s">
        <v>644</v>
      </c>
      <c r="C113" s="438"/>
      <c r="D113" s="438"/>
      <c r="E113" s="438"/>
      <c r="F113" s="438"/>
      <c r="G113" s="438"/>
      <c r="H113" s="438"/>
      <c r="I113" s="438"/>
      <c r="J113" s="209">
        <f>ROUND((($J$108/30)*1)/12,2)</f>
        <v>8.1199999999999992</v>
      </c>
    </row>
    <row r="114" spans="1:10" ht="24.75" customHeight="1" x14ac:dyDescent="0.2">
      <c r="A114" s="200" t="s">
        <v>528</v>
      </c>
      <c r="B114" s="438" t="s">
        <v>645</v>
      </c>
      <c r="C114" s="438"/>
      <c r="D114" s="438"/>
      <c r="E114" s="438"/>
      <c r="F114" s="438"/>
      <c r="G114" s="438"/>
      <c r="H114" s="438"/>
      <c r="I114" s="438"/>
      <c r="J114" s="209">
        <f>ROUND((($J$108/30)*5)/12*0.015,2)</f>
        <v>0.61</v>
      </c>
    </row>
    <row r="115" spans="1:10" ht="24.75" customHeight="1" x14ac:dyDescent="0.2">
      <c r="A115" s="200" t="s">
        <v>530</v>
      </c>
      <c r="B115" s="438" t="s">
        <v>646</v>
      </c>
      <c r="C115" s="438"/>
      <c r="D115" s="438"/>
      <c r="E115" s="438"/>
      <c r="F115" s="438"/>
      <c r="G115" s="438"/>
      <c r="H115" s="438"/>
      <c r="I115" s="438"/>
      <c r="J115" s="213">
        <f>ROUND(((($J$108/30)*15)/12)*0.0078,2)</f>
        <v>0.95</v>
      </c>
    </row>
    <row r="116" spans="1:10" ht="24.75" customHeight="1" x14ac:dyDescent="0.2">
      <c r="A116" s="200" t="s">
        <v>590</v>
      </c>
      <c r="B116" s="438" t="s">
        <v>647</v>
      </c>
      <c r="C116" s="438"/>
      <c r="D116" s="438"/>
      <c r="E116" s="438"/>
      <c r="F116" s="438"/>
      <c r="G116" s="438"/>
      <c r="H116" s="438"/>
      <c r="I116" s="438"/>
      <c r="J116" s="213">
        <f>ROUND((((J48+J48/3)/12+(J68+J85-J79-J74+J104))*4/12)*0.02,2)</f>
        <v>7.18</v>
      </c>
    </row>
    <row r="117" spans="1:10" ht="24.75" customHeight="1" x14ac:dyDescent="0.2">
      <c r="A117" s="200" t="s">
        <v>591</v>
      </c>
      <c r="B117" s="438" t="s">
        <v>648</v>
      </c>
      <c r="C117" s="438"/>
      <c r="D117" s="438"/>
      <c r="E117" s="438"/>
      <c r="F117" s="438"/>
      <c r="G117" s="438"/>
      <c r="H117" s="438"/>
      <c r="I117" s="438"/>
      <c r="J117" s="213">
        <f>ROUND(((($J$108/30)*5)/12),2)</f>
        <v>40.58</v>
      </c>
    </row>
    <row r="118" spans="1:10" ht="24.75" customHeight="1" x14ac:dyDescent="0.2">
      <c r="A118" s="457" t="s">
        <v>649</v>
      </c>
      <c r="B118" s="457"/>
      <c r="C118" s="457"/>
      <c r="D118" s="457"/>
      <c r="E118" s="457"/>
      <c r="F118" s="457"/>
      <c r="G118" s="457"/>
      <c r="H118" s="457"/>
      <c r="I118" s="457"/>
      <c r="J118" s="214">
        <f>SUM(J112:J117)</f>
        <v>224.40000000000003</v>
      </c>
    </row>
    <row r="119" spans="1:10" ht="15" x14ac:dyDescent="0.2">
      <c r="A119" s="230"/>
      <c r="B119" s="529"/>
      <c r="C119" s="529"/>
      <c r="D119" s="529"/>
      <c r="E119" s="529"/>
      <c r="F119" s="529"/>
      <c r="G119" s="529"/>
      <c r="H119" s="529"/>
      <c r="I119" s="529"/>
      <c r="J119" s="215"/>
    </row>
    <row r="120" spans="1:10" ht="24.75" customHeight="1" x14ac:dyDescent="0.2">
      <c r="A120" s="191" t="s">
        <v>650</v>
      </c>
      <c r="B120" s="423" t="s">
        <v>651</v>
      </c>
      <c r="C120" s="423"/>
      <c r="D120" s="423"/>
      <c r="E120" s="423"/>
      <c r="F120" s="423"/>
      <c r="G120" s="423"/>
      <c r="H120" s="423"/>
      <c r="I120" s="423"/>
      <c r="J120" s="191" t="s">
        <v>580</v>
      </c>
    </row>
    <row r="121" spans="1:10" ht="24.75" customHeight="1" x14ac:dyDescent="0.2">
      <c r="A121" s="200" t="s">
        <v>525</v>
      </c>
      <c r="B121" s="438" t="s">
        <v>652</v>
      </c>
      <c r="C121" s="438"/>
      <c r="D121" s="438"/>
      <c r="E121" s="438"/>
      <c r="F121" s="438"/>
      <c r="G121" s="438"/>
      <c r="H121" s="438"/>
      <c r="I121" s="438"/>
      <c r="J121" s="213">
        <v>0</v>
      </c>
    </row>
    <row r="122" spans="1:10" ht="24.75" customHeight="1" x14ac:dyDescent="0.2">
      <c r="A122" s="457" t="s">
        <v>653</v>
      </c>
      <c r="B122" s="457"/>
      <c r="C122" s="457"/>
      <c r="D122" s="457"/>
      <c r="E122" s="457"/>
      <c r="F122" s="457"/>
      <c r="G122" s="457"/>
      <c r="H122" s="457"/>
      <c r="I122" s="457"/>
      <c r="J122" s="214">
        <f>SUM(J121)</f>
        <v>0</v>
      </c>
    </row>
    <row r="123" spans="1:10" ht="15" x14ac:dyDescent="0.2">
      <c r="A123" s="528"/>
      <c r="B123" s="528"/>
      <c r="C123" s="528"/>
      <c r="D123" s="528"/>
      <c r="E123" s="528"/>
      <c r="F123" s="528"/>
      <c r="G123" s="528"/>
      <c r="H123" s="528"/>
      <c r="I123" s="528"/>
      <c r="J123" s="215"/>
    </row>
    <row r="124" spans="1:10" ht="24.75" customHeight="1" x14ac:dyDescent="0.2">
      <c r="A124" s="423" t="s">
        <v>654</v>
      </c>
      <c r="B124" s="423"/>
      <c r="C124" s="423"/>
      <c r="D124" s="423"/>
      <c r="E124" s="423"/>
      <c r="F124" s="423"/>
      <c r="G124" s="423"/>
      <c r="H124" s="423"/>
      <c r="I124" s="423"/>
      <c r="J124" s="423"/>
    </row>
    <row r="125" spans="1:10" ht="24.75" customHeight="1" x14ac:dyDescent="0.2">
      <c r="A125" s="191" t="s">
        <v>655</v>
      </c>
      <c r="B125" s="423" t="s">
        <v>619</v>
      </c>
      <c r="C125" s="423"/>
      <c r="D125" s="423"/>
      <c r="E125" s="423"/>
      <c r="F125" s="423"/>
      <c r="G125" s="423"/>
      <c r="H125" s="423"/>
      <c r="I125" s="423"/>
      <c r="J125" s="231" t="s">
        <v>580</v>
      </c>
    </row>
    <row r="126" spans="1:10" ht="24.75" customHeight="1" x14ac:dyDescent="0.2">
      <c r="A126" s="200" t="s">
        <v>642</v>
      </c>
      <c r="B126" s="438" t="s">
        <v>643</v>
      </c>
      <c r="C126" s="438"/>
      <c r="D126" s="438"/>
      <c r="E126" s="438"/>
      <c r="F126" s="438"/>
      <c r="G126" s="438"/>
      <c r="H126" s="438"/>
      <c r="I126" s="438"/>
      <c r="J126" s="213">
        <f>J118</f>
        <v>224.40000000000003</v>
      </c>
    </row>
    <row r="127" spans="1:10" ht="24.75" customHeight="1" x14ac:dyDescent="0.2">
      <c r="A127" s="200" t="s">
        <v>656</v>
      </c>
      <c r="B127" s="438" t="s">
        <v>651</v>
      </c>
      <c r="C127" s="438"/>
      <c r="D127" s="438"/>
      <c r="E127" s="438"/>
      <c r="F127" s="438"/>
      <c r="G127" s="438"/>
      <c r="H127" s="438"/>
      <c r="I127" s="438"/>
      <c r="J127" s="213">
        <f>J122</f>
        <v>0</v>
      </c>
    </row>
    <row r="128" spans="1:10" ht="24.75" customHeight="1" x14ac:dyDescent="0.2">
      <c r="A128" s="457" t="s">
        <v>657</v>
      </c>
      <c r="B128" s="457"/>
      <c r="C128" s="457"/>
      <c r="D128" s="457"/>
      <c r="E128" s="457"/>
      <c r="F128" s="457"/>
      <c r="G128" s="457"/>
      <c r="H128" s="457"/>
      <c r="I128" s="457"/>
      <c r="J128" s="214">
        <f>SUM(J126+J127)</f>
        <v>224.40000000000003</v>
      </c>
    </row>
    <row r="129" spans="1:10" ht="34.5" customHeight="1" x14ac:dyDescent="0.2">
      <c r="A129" s="212" t="s">
        <v>658</v>
      </c>
      <c r="B129" s="458" t="s">
        <v>659</v>
      </c>
      <c r="C129" s="458"/>
      <c r="D129" s="458"/>
      <c r="E129" s="458"/>
      <c r="F129" s="458"/>
      <c r="G129" s="458"/>
      <c r="H129" s="458"/>
      <c r="I129" s="458"/>
      <c r="J129" s="458"/>
    </row>
    <row r="130" spans="1:10" ht="9.75" customHeight="1" x14ac:dyDescent="0.2">
      <c r="A130" s="219"/>
      <c r="B130" s="220"/>
      <c r="C130" s="220"/>
      <c r="D130" s="220"/>
      <c r="E130" s="220"/>
      <c r="F130" s="220"/>
      <c r="G130" s="220"/>
      <c r="H130" s="220"/>
      <c r="I130" s="220"/>
      <c r="J130" s="220"/>
    </row>
    <row r="131" spans="1:10" ht="18" customHeight="1" x14ac:dyDescent="0.2">
      <c r="A131" s="423" t="s">
        <v>660</v>
      </c>
      <c r="B131" s="423"/>
      <c r="C131" s="423"/>
      <c r="D131" s="423"/>
      <c r="E131" s="423"/>
      <c r="F131" s="423"/>
      <c r="G131" s="423"/>
      <c r="H131" s="423"/>
      <c r="I131" s="423"/>
      <c r="J131" s="423"/>
    </row>
    <row r="132" spans="1:10" ht="18" customHeight="1" x14ac:dyDescent="0.2">
      <c r="A132" s="191"/>
      <c r="B132" s="423" t="s">
        <v>619</v>
      </c>
      <c r="C132" s="423"/>
      <c r="D132" s="423"/>
      <c r="E132" s="423"/>
      <c r="F132" s="423"/>
      <c r="G132" s="423"/>
      <c r="H132" s="423"/>
      <c r="I132" s="423"/>
      <c r="J132" s="191" t="s">
        <v>580</v>
      </c>
    </row>
    <row r="133" spans="1:10" ht="18" customHeight="1" x14ac:dyDescent="0.2">
      <c r="A133" s="200" t="s">
        <v>525</v>
      </c>
      <c r="B133" s="438" t="s">
        <v>661</v>
      </c>
      <c r="C133" s="438"/>
      <c r="D133" s="438"/>
      <c r="E133" s="438"/>
      <c r="F133" s="438"/>
      <c r="G133" s="438"/>
      <c r="H133" s="438"/>
      <c r="I133" s="438"/>
      <c r="J133" s="202">
        <f>'2. SA INSUMOS'!G103</f>
        <v>92.830833333333317</v>
      </c>
    </row>
    <row r="134" spans="1:10" ht="18" customHeight="1" x14ac:dyDescent="0.2">
      <c r="A134" s="200" t="s">
        <v>527</v>
      </c>
      <c r="B134" s="438" t="s">
        <v>662</v>
      </c>
      <c r="C134" s="438"/>
      <c r="D134" s="438"/>
      <c r="E134" s="438"/>
      <c r="F134" s="438"/>
      <c r="G134" s="438"/>
      <c r="H134" s="438"/>
      <c r="I134" s="438"/>
      <c r="J134" s="202">
        <f>'2. SA INSUMOS'!G99</f>
        <v>488.20968208030638</v>
      </c>
    </row>
    <row r="135" spans="1:10" ht="18" customHeight="1" x14ac:dyDescent="0.2">
      <c r="A135" s="200" t="s">
        <v>528</v>
      </c>
      <c r="B135" s="438" t="s">
        <v>663</v>
      </c>
      <c r="C135" s="438"/>
      <c r="D135" s="438"/>
      <c r="E135" s="438"/>
      <c r="F135" s="438"/>
      <c r="G135" s="438"/>
      <c r="H135" s="438"/>
      <c r="I135" s="438"/>
      <c r="J135" s="202">
        <f>'2. SA INSUMOS'!G101</f>
        <v>1.5586548841642973</v>
      </c>
    </row>
    <row r="136" spans="1:10" ht="18" customHeight="1" x14ac:dyDescent="0.2">
      <c r="A136" s="200" t="s">
        <v>530</v>
      </c>
      <c r="B136" s="438" t="s">
        <v>664</v>
      </c>
      <c r="C136" s="438"/>
      <c r="D136" s="438"/>
      <c r="E136" s="438"/>
      <c r="F136" s="438"/>
      <c r="G136" s="438"/>
      <c r="H136" s="438"/>
      <c r="I136" s="438"/>
      <c r="J136" s="202" t="s">
        <v>665</v>
      </c>
    </row>
    <row r="137" spans="1:10" ht="18" customHeight="1" x14ac:dyDescent="0.2">
      <c r="A137" s="457" t="s">
        <v>782</v>
      </c>
      <c r="B137" s="457"/>
      <c r="C137" s="457"/>
      <c r="D137" s="457"/>
      <c r="E137" s="457"/>
      <c r="F137" s="457"/>
      <c r="G137" s="457"/>
      <c r="H137" s="457"/>
      <c r="I137" s="457"/>
      <c r="J137" s="232">
        <f>SUM(J133:J136)</f>
        <v>582.59917029780399</v>
      </c>
    </row>
    <row r="138" spans="1:10" ht="18" customHeight="1" x14ac:dyDescent="0.2">
      <c r="A138" s="212" t="s">
        <v>667</v>
      </c>
      <c r="B138" s="458" t="s">
        <v>668</v>
      </c>
      <c r="C138" s="458"/>
      <c r="D138" s="458"/>
      <c r="E138" s="458"/>
      <c r="F138" s="458"/>
      <c r="G138" s="458"/>
      <c r="H138" s="458"/>
      <c r="I138" s="458"/>
      <c r="J138" s="458"/>
    </row>
    <row r="139" spans="1:10" ht="18" customHeight="1" x14ac:dyDescent="0.2">
      <c r="A139" s="526"/>
      <c r="B139" s="526"/>
      <c r="C139" s="526"/>
      <c r="D139" s="526"/>
      <c r="E139" s="526"/>
      <c r="F139" s="526"/>
      <c r="G139" s="526"/>
      <c r="H139" s="526"/>
      <c r="I139" s="526"/>
      <c r="J139" s="526"/>
    </row>
    <row r="140" spans="1:10" ht="18" customHeight="1" x14ac:dyDescent="0.2">
      <c r="A140" s="423" t="s">
        <v>669</v>
      </c>
      <c r="B140" s="423"/>
      <c r="C140" s="423"/>
      <c r="D140" s="423"/>
      <c r="E140" s="423"/>
      <c r="F140" s="423"/>
      <c r="G140" s="423"/>
      <c r="H140" s="423"/>
      <c r="I140" s="423"/>
      <c r="J140" s="423"/>
    </row>
    <row r="141" spans="1:10" ht="18" customHeight="1" x14ac:dyDescent="0.2">
      <c r="A141" s="191"/>
      <c r="B141" s="423" t="s">
        <v>670</v>
      </c>
      <c r="C141" s="423"/>
      <c r="D141" s="423"/>
      <c r="E141" s="423"/>
      <c r="F141" s="423"/>
      <c r="G141" s="423"/>
      <c r="H141" s="423"/>
      <c r="I141" s="191" t="s">
        <v>568</v>
      </c>
      <c r="J141" s="231" t="s">
        <v>580</v>
      </c>
    </row>
    <row r="142" spans="1:10" ht="51.75" customHeight="1" x14ac:dyDescent="0.2">
      <c r="A142" s="438" t="s">
        <v>671</v>
      </c>
      <c r="B142" s="438"/>
      <c r="C142" s="438"/>
      <c r="D142" s="438"/>
      <c r="E142" s="438"/>
      <c r="F142" s="438"/>
      <c r="G142" s="438"/>
      <c r="H142" s="438"/>
      <c r="I142" s="438"/>
      <c r="J142" s="227">
        <f>SUM(J48+J94+J104+J128+J137)</f>
        <v>4088.0991702978044</v>
      </c>
    </row>
    <row r="143" spans="1:10" ht="18" customHeight="1" x14ac:dyDescent="0.2">
      <c r="A143" s="191" t="s">
        <v>525</v>
      </c>
      <c r="B143" s="466" t="s">
        <v>672</v>
      </c>
      <c r="C143" s="466"/>
      <c r="D143" s="466"/>
      <c r="E143" s="466"/>
      <c r="F143" s="466"/>
      <c r="G143" s="466"/>
      <c r="H143" s="466"/>
      <c r="I143" s="233">
        <f>'1. SA ABA DE CARREGAMENTO'!$B$103</f>
        <v>0.06</v>
      </c>
      <c r="J143" s="214">
        <f>ROUND(I143*J142,2)</f>
        <v>245.29</v>
      </c>
    </row>
    <row r="144" spans="1:10" ht="42" customHeight="1" x14ac:dyDescent="0.2">
      <c r="A144" s="438" t="s">
        <v>673</v>
      </c>
      <c r="B144" s="438"/>
      <c r="C144" s="438"/>
      <c r="D144" s="438"/>
      <c r="E144" s="438"/>
      <c r="F144" s="438"/>
      <c r="G144" s="438"/>
      <c r="H144" s="438"/>
      <c r="I144" s="438"/>
      <c r="J144" s="227">
        <f>SUM(J48+J94+J104+J128+J137+J143)</f>
        <v>4333.3891702978044</v>
      </c>
    </row>
    <row r="145" spans="1:12" ht="18" customHeight="1" x14ac:dyDescent="0.2">
      <c r="A145" s="191" t="s">
        <v>527</v>
      </c>
      <c r="B145" s="466" t="s">
        <v>104</v>
      </c>
      <c r="C145" s="466"/>
      <c r="D145" s="466"/>
      <c r="E145" s="466"/>
      <c r="F145" s="466"/>
      <c r="G145" s="466"/>
      <c r="H145" s="466"/>
      <c r="I145" s="233">
        <f>'1. SA ABA DE CARREGAMENTO'!$B$104</f>
        <v>6.7900000000000002E-2</v>
      </c>
      <c r="J145" s="214">
        <f>ROUND(I145*J144,2)</f>
        <v>294.24</v>
      </c>
    </row>
    <row r="146" spans="1:12" ht="47.25" customHeight="1" x14ac:dyDescent="0.2">
      <c r="A146" s="438" t="s">
        <v>674</v>
      </c>
      <c r="B146" s="438"/>
      <c r="C146" s="438"/>
      <c r="D146" s="438"/>
      <c r="E146" s="438"/>
      <c r="F146" s="438"/>
      <c r="G146" s="438"/>
      <c r="H146" s="438"/>
      <c r="I146" s="438"/>
      <c r="J146" s="227">
        <f>SUM(J48+J94+J104+J128+J137+J143+J145)</f>
        <v>4627.6291702978042</v>
      </c>
    </row>
    <row r="147" spans="1:12" ht="18" customHeight="1" x14ac:dyDescent="0.2">
      <c r="A147" s="191" t="s">
        <v>528</v>
      </c>
      <c r="B147" s="466" t="s">
        <v>675</v>
      </c>
      <c r="C147" s="466"/>
      <c r="D147" s="466"/>
      <c r="E147" s="466"/>
      <c r="F147" s="466"/>
      <c r="G147" s="466"/>
      <c r="H147" s="466"/>
      <c r="I147" s="233">
        <f>SUM(I148:I151)</f>
        <v>0.1225</v>
      </c>
      <c r="J147" s="214">
        <f>SUM(J148:J151)</f>
        <v>646.03</v>
      </c>
      <c r="K147" s="467"/>
      <c r="L147" s="467"/>
    </row>
    <row r="148" spans="1:12" ht="18" customHeight="1" x14ac:dyDescent="0.2">
      <c r="A148" s="441" t="s">
        <v>676</v>
      </c>
      <c r="B148" s="438" t="s">
        <v>677</v>
      </c>
      <c r="C148" s="438"/>
      <c r="D148" s="438"/>
      <c r="E148" s="438"/>
      <c r="F148" s="438" t="s">
        <v>107</v>
      </c>
      <c r="G148" s="438"/>
      <c r="H148" s="438"/>
      <c r="I148" s="216">
        <f>IF(H15=1,0.0165,IF(H15=2,0.0065,IF(H15=3,'1. SA ABA DE CARREGAMENTO'!B108,IF(H15=4,'1. SA ABA DE CARREGAMENTO'!B108,IF(H15=5,'1. SA ABA DE CARREGAMENTO'!B112,"RT Indefinido")))))</f>
        <v>1.6500000000000001E-2</v>
      </c>
      <c r="J148" s="227">
        <f>ROUND(($J$146/(1-$I$147))*I148,2)</f>
        <v>87.02</v>
      </c>
      <c r="K148" s="134"/>
      <c r="L148" s="234"/>
    </row>
    <row r="149" spans="1:12" ht="18" customHeight="1" x14ac:dyDescent="0.2">
      <c r="A149" s="441"/>
      <c r="B149" s="438"/>
      <c r="C149" s="438"/>
      <c r="D149" s="438"/>
      <c r="E149" s="438"/>
      <c r="F149" s="438" t="s">
        <v>108</v>
      </c>
      <c r="G149" s="438"/>
      <c r="H149" s="438"/>
      <c r="I149" s="216">
        <f>IF(H15=1,0.076,IF(H15=2,0.03,IF(H15=3,'1. SA ABA DE CARREGAMENTO'!B109,IF(H15=4,'1. SA ABA DE CARREGAMENTO'!B109,IF(H15=5,'1. SA ABA DE CARREGAMENTO'!B113,"RT Indefinido")))))</f>
        <v>7.5999999999999998E-2</v>
      </c>
      <c r="J149" s="227">
        <f>ROUND(($J$146/(1-$I$147))*I149,2)</f>
        <v>400.8</v>
      </c>
      <c r="K149" s="134"/>
      <c r="L149" s="234"/>
    </row>
    <row r="150" spans="1:12" ht="18" customHeight="1" x14ac:dyDescent="0.2">
      <c r="A150" s="200" t="s">
        <v>678</v>
      </c>
      <c r="B150" s="438" t="s">
        <v>679</v>
      </c>
      <c r="C150" s="438"/>
      <c r="D150" s="438"/>
      <c r="E150" s="438"/>
      <c r="F150" s="438" t="s">
        <v>680</v>
      </c>
      <c r="G150" s="438"/>
      <c r="H150" s="438"/>
      <c r="I150" s="216">
        <v>0</v>
      </c>
      <c r="J150" s="213">
        <v>0</v>
      </c>
      <c r="K150" s="134"/>
      <c r="L150" s="234"/>
    </row>
    <row r="151" spans="1:12" ht="18" customHeight="1" x14ac:dyDescent="0.2">
      <c r="A151" s="200" t="s">
        <v>681</v>
      </c>
      <c r="B151" s="438" t="s">
        <v>682</v>
      </c>
      <c r="C151" s="438"/>
      <c r="D151" s="438"/>
      <c r="E151" s="438"/>
      <c r="F151" s="438" t="s">
        <v>683</v>
      </c>
      <c r="G151" s="438"/>
      <c r="H151" s="438"/>
      <c r="I151" s="216">
        <f>'1. SA ABA DE CARREGAMENTO'!$B$105</f>
        <v>0.03</v>
      </c>
      <c r="J151" s="227">
        <f>ROUND(($J$146/(1-$I$147))*I151,2)</f>
        <v>158.21</v>
      </c>
    </row>
    <row r="152" spans="1:12" ht="18" customHeight="1" x14ac:dyDescent="0.2">
      <c r="A152" s="457" t="s">
        <v>684</v>
      </c>
      <c r="B152" s="457"/>
      <c r="C152" s="457"/>
      <c r="D152" s="457"/>
      <c r="E152" s="457"/>
      <c r="F152" s="457"/>
      <c r="G152" s="457"/>
      <c r="H152" s="457"/>
      <c r="I152" s="457"/>
      <c r="J152" s="214">
        <f>SUM(J143+J145+J147)</f>
        <v>1185.56</v>
      </c>
    </row>
    <row r="153" spans="1:12" ht="14.25" customHeight="1" x14ac:dyDescent="0.2">
      <c r="A153" s="212" t="s">
        <v>685</v>
      </c>
      <c r="B153" s="458" t="s">
        <v>686</v>
      </c>
      <c r="C153" s="458"/>
      <c r="D153" s="458"/>
      <c r="E153" s="458"/>
      <c r="F153" s="458"/>
      <c r="G153" s="458"/>
      <c r="H153" s="458"/>
      <c r="I153" s="458"/>
      <c r="J153" s="458"/>
    </row>
    <row r="154" spans="1:12" ht="14.25" customHeight="1" x14ac:dyDescent="0.2">
      <c r="A154" s="468" t="s">
        <v>687</v>
      </c>
      <c r="B154" s="469" t="s">
        <v>688</v>
      </c>
      <c r="C154" s="470"/>
      <c r="D154" s="475" t="s">
        <v>881</v>
      </c>
      <c r="E154" s="476"/>
      <c r="F154" s="476"/>
      <c r="G154" s="481" t="s">
        <v>882</v>
      </c>
      <c r="H154" s="482"/>
      <c r="I154" s="318"/>
      <c r="J154" s="487"/>
    </row>
    <row r="155" spans="1:12" ht="14.25" customHeight="1" x14ac:dyDescent="0.2">
      <c r="A155" s="468"/>
      <c r="B155" s="471"/>
      <c r="C155" s="472"/>
      <c r="D155" s="477"/>
      <c r="E155" s="478"/>
      <c r="F155" s="478"/>
      <c r="G155" s="483"/>
      <c r="H155" s="484"/>
      <c r="I155" s="319"/>
      <c r="J155" s="488"/>
    </row>
    <row r="156" spans="1:12" ht="14.25" customHeight="1" x14ac:dyDescent="0.2">
      <c r="A156" s="468"/>
      <c r="B156" s="473"/>
      <c r="C156" s="474"/>
      <c r="D156" s="479"/>
      <c r="E156" s="480"/>
      <c r="F156" s="480"/>
      <c r="G156" s="485"/>
      <c r="H156" s="486"/>
      <c r="I156" s="320"/>
      <c r="J156" s="489"/>
    </row>
    <row r="157" spans="1:12" ht="9.75" customHeight="1" x14ac:dyDescent="0.2">
      <c r="A157" s="530"/>
      <c r="B157" s="530"/>
      <c r="C157" s="530"/>
      <c r="D157" s="530"/>
      <c r="E157" s="530"/>
      <c r="F157" s="530"/>
      <c r="G157" s="530"/>
      <c r="H157" s="530"/>
      <c r="I157" s="530"/>
      <c r="J157" s="530"/>
    </row>
    <row r="158" spans="1:12" ht="29.25" customHeight="1" x14ac:dyDescent="0.2">
      <c r="A158" s="490" t="s">
        <v>875</v>
      </c>
      <c r="B158" s="490"/>
      <c r="C158" s="490"/>
      <c r="D158" s="490"/>
      <c r="E158" s="490"/>
      <c r="F158" s="490"/>
      <c r="G158" s="490"/>
      <c r="H158" s="490"/>
      <c r="I158" s="490"/>
      <c r="J158" s="490"/>
    </row>
    <row r="159" spans="1:12" ht="29.25" customHeight="1" x14ac:dyDescent="0.2">
      <c r="A159" s="491" t="s">
        <v>690</v>
      </c>
      <c r="B159" s="491"/>
      <c r="C159" s="491"/>
      <c r="D159" s="491"/>
      <c r="E159" s="491"/>
      <c r="F159" s="491"/>
      <c r="G159" s="491"/>
      <c r="H159" s="491"/>
      <c r="I159" s="491"/>
      <c r="J159" s="191" t="s">
        <v>580</v>
      </c>
    </row>
    <row r="160" spans="1:12" ht="29.25" customHeight="1" x14ac:dyDescent="0.2">
      <c r="A160" s="235" t="s">
        <v>525</v>
      </c>
      <c r="B160" s="492" t="s">
        <v>691</v>
      </c>
      <c r="C160" s="492"/>
      <c r="D160" s="492"/>
      <c r="E160" s="492"/>
      <c r="F160" s="492"/>
      <c r="G160" s="492"/>
      <c r="H160" s="492"/>
      <c r="I160" s="492"/>
      <c r="J160" s="213">
        <f>J48</f>
        <v>1839.73</v>
      </c>
    </row>
    <row r="161" spans="1:10" ht="29.25" customHeight="1" x14ac:dyDescent="0.2">
      <c r="A161" s="235" t="s">
        <v>527</v>
      </c>
      <c r="B161" s="492" t="s">
        <v>692</v>
      </c>
      <c r="C161" s="492"/>
      <c r="D161" s="492"/>
      <c r="E161" s="492"/>
      <c r="F161" s="492"/>
      <c r="G161" s="492"/>
      <c r="H161" s="492"/>
      <c r="I161" s="492"/>
      <c r="J161" s="213">
        <f>J94</f>
        <v>1339.8200000000002</v>
      </c>
    </row>
    <row r="162" spans="1:10" ht="29.25" customHeight="1" x14ac:dyDescent="0.2">
      <c r="A162" s="235" t="s">
        <v>528</v>
      </c>
      <c r="B162" s="492" t="s">
        <v>693</v>
      </c>
      <c r="C162" s="492"/>
      <c r="D162" s="492"/>
      <c r="E162" s="492"/>
      <c r="F162" s="492"/>
      <c r="G162" s="492"/>
      <c r="H162" s="492"/>
      <c r="I162" s="492"/>
      <c r="J162" s="213">
        <f>J104</f>
        <v>101.55</v>
      </c>
    </row>
    <row r="163" spans="1:10" ht="29.25" customHeight="1" x14ac:dyDescent="0.2">
      <c r="A163" s="235" t="s">
        <v>530</v>
      </c>
      <c r="B163" s="492" t="s">
        <v>694</v>
      </c>
      <c r="C163" s="492"/>
      <c r="D163" s="492"/>
      <c r="E163" s="492"/>
      <c r="F163" s="492"/>
      <c r="G163" s="492"/>
      <c r="H163" s="492"/>
      <c r="I163" s="492"/>
      <c r="J163" s="213">
        <f>J128</f>
        <v>224.40000000000003</v>
      </c>
    </row>
    <row r="164" spans="1:10" ht="29.25" customHeight="1" x14ac:dyDescent="0.2">
      <c r="A164" s="235" t="s">
        <v>590</v>
      </c>
      <c r="B164" s="492" t="s">
        <v>695</v>
      </c>
      <c r="C164" s="492"/>
      <c r="D164" s="492"/>
      <c r="E164" s="492"/>
      <c r="F164" s="492"/>
      <c r="G164" s="492"/>
      <c r="H164" s="492"/>
      <c r="I164" s="492"/>
      <c r="J164" s="213">
        <f>J137</f>
        <v>582.59917029780399</v>
      </c>
    </row>
    <row r="165" spans="1:10" ht="29.25" customHeight="1" x14ac:dyDescent="0.2">
      <c r="A165" s="493" t="s">
        <v>696</v>
      </c>
      <c r="B165" s="493"/>
      <c r="C165" s="493"/>
      <c r="D165" s="493"/>
      <c r="E165" s="493"/>
      <c r="F165" s="493"/>
      <c r="G165" s="493"/>
      <c r="H165" s="493"/>
      <c r="I165" s="493"/>
      <c r="J165" s="214">
        <f>SUM(J160:J164)</f>
        <v>4088.0991702978044</v>
      </c>
    </row>
    <row r="166" spans="1:10" ht="29.25" customHeight="1" x14ac:dyDescent="0.2">
      <c r="A166" s="235" t="s">
        <v>591</v>
      </c>
      <c r="B166" s="492" t="s">
        <v>697</v>
      </c>
      <c r="C166" s="492"/>
      <c r="D166" s="492"/>
      <c r="E166" s="492"/>
      <c r="F166" s="492"/>
      <c r="G166" s="492"/>
      <c r="H166" s="492"/>
      <c r="I166" s="492"/>
      <c r="J166" s="213">
        <f>J152</f>
        <v>1185.56</v>
      </c>
    </row>
    <row r="167" spans="1:10" ht="29.25" customHeight="1" x14ac:dyDescent="0.2">
      <c r="A167" s="494" t="s">
        <v>698</v>
      </c>
      <c r="B167" s="494"/>
      <c r="C167" s="494"/>
      <c r="D167" s="494"/>
      <c r="E167" s="494"/>
      <c r="F167" s="494"/>
      <c r="G167" s="494"/>
      <c r="H167" s="236">
        <f>'1. SA ABA DE CARREGAMENTO'!C68</f>
        <v>44</v>
      </c>
      <c r="I167" s="237" t="s">
        <v>571</v>
      </c>
      <c r="J167" s="214">
        <f>SUM(J165:J166)</f>
        <v>5273.6591702978039</v>
      </c>
    </row>
    <row r="168" spans="1:10" ht="9.75" customHeight="1" x14ac:dyDescent="0.2">
      <c r="A168" s="238"/>
      <c r="B168" s="238"/>
      <c r="C168" s="238"/>
      <c r="D168" s="238"/>
      <c r="E168" s="238"/>
      <c r="F168" s="238"/>
      <c r="G168" s="238"/>
      <c r="H168" s="238"/>
      <c r="I168" s="238"/>
      <c r="J168" s="228"/>
    </row>
    <row r="169" spans="1:10" ht="17.25" customHeight="1" x14ac:dyDescent="0.2">
      <c r="A169" s="423" t="s">
        <v>699</v>
      </c>
      <c r="B169" s="423"/>
      <c r="C169" s="423"/>
      <c r="D169" s="423"/>
      <c r="E169" s="423"/>
      <c r="F169" s="423"/>
      <c r="G169" s="423"/>
      <c r="H169" s="423"/>
      <c r="I169" s="423"/>
      <c r="J169" s="423"/>
    </row>
    <row r="170" spans="1:10" ht="17.25" customHeight="1" x14ac:dyDescent="0.2">
      <c r="A170" s="495" t="s">
        <v>700</v>
      </c>
      <c r="B170" s="495"/>
      <c r="C170" s="495"/>
      <c r="D170" s="495"/>
      <c r="E170" s="495"/>
      <c r="F170" s="495"/>
      <c r="G170" s="495"/>
      <c r="H170" s="495"/>
      <c r="I170" s="495"/>
      <c r="J170" s="495"/>
    </row>
    <row r="171" spans="1:10" ht="17.25" customHeight="1" x14ac:dyDescent="0.2">
      <c r="A171" s="466" t="s">
        <v>783</v>
      </c>
      <c r="B171" s="466"/>
      <c r="C171" s="466"/>
      <c r="D171" s="466"/>
      <c r="E171" s="466"/>
      <c r="F171" s="466"/>
      <c r="G171" s="466"/>
      <c r="H171" s="466"/>
      <c r="I171" s="466"/>
      <c r="J171" s="466"/>
    </row>
    <row r="172" spans="1:10" ht="45.75" customHeight="1" x14ac:dyDescent="0.2">
      <c r="A172" s="423" t="s">
        <v>878</v>
      </c>
      <c r="B172" s="423"/>
      <c r="C172" s="423"/>
      <c r="D172" s="423" t="s">
        <v>702</v>
      </c>
      <c r="E172" s="423"/>
      <c r="F172" s="423"/>
      <c r="G172" s="423" t="s">
        <v>703</v>
      </c>
      <c r="H172" s="423"/>
      <c r="I172" s="423" t="s">
        <v>704</v>
      </c>
      <c r="J172" s="423"/>
    </row>
    <row r="173" spans="1:10" ht="17.25" customHeight="1" x14ac:dyDescent="0.2">
      <c r="A173" s="442" t="s">
        <v>784</v>
      </c>
      <c r="B173" s="442"/>
      <c r="C173" s="442"/>
      <c r="D173" s="239">
        <v>1</v>
      </c>
      <c r="E173" s="239">
        <v>30</v>
      </c>
      <c r="F173" s="240">
        <f>E174</f>
        <v>300</v>
      </c>
      <c r="G173" s="496">
        <v>0</v>
      </c>
      <c r="H173" s="496"/>
      <c r="I173" s="497">
        <f>G173/F173/E173</f>
        <v>0</v>
      </c>
      <c r="J173" s="497"/>
    </row>
    <row r="174" spans="1:10" ht="17.25" customHeight="1" x14ac:dyDescent="0.2">
      <c r="A174" s="442" t="s">
        <v>785</v>
      </c>
      <c r="B174" s="442"/>
      <c r="C174" s="442"/>
      <c r="D174" s="239">
        <v>1</v>
      </c>
      <c r="E174" s="498">
        <f>'5. SA Cál. DEMO Banheiros'!$C$8</f>
        <v>300</v>
      </c>
      <c r="F174" s="498"/>
      <c r="G174" s="496">
        <f>J167</f>
        <v>5273.6591702978039</v>
      </c>
      <c r="H174" s="496"/>
      <c r="I174" s="497">
        <f>ROUND((D174/E174)*G174,2)</f>
        <v>17.579999999999998</v>
      </c>
      <c r="J174" s="497"/>
    </row>
    <row r="175" spans="1:10" ht="17.25" customHeight="1" x14ac:dyDescent="0.2">
      <c r="A175" s="457" t="s">
        <v>707</v>
      </c>
      <c r="B175" s="457"/>
      <c r="C175" s="457"/>
      <c r="D175" s="457"/>
      <c r="E175" s="457"/>
      <c r="F175" s="457"/>
      <c r="G175" s="457"/>
      <c r="H175" s="457"/>
      <c r="I175" s="499">
        <f>SUM(I173+I174)</f>
        <v>17.579999999999998</v>
      </c>
      <c r="J175" s="499"/>
    </row>
    <row r="176" spans="1:10" ht="17.25" customHeight="1" x14ac:dyDescent="0.2">
      <c r="A176" s="34"/>
      <c r="B176" s="34"/>
      <c r="C176" s="34"/>
      <c r="D176" s="34"/>
      <c r="E176" s="34"/>
      <c r="F176" s="34"/>
      <c r="G176" s="34"/>
      <c r="H176" s="34"/>
      <c r="I176" s="243"/>
      <c r="J176" s="243"/>
    </row>
    <row r="177" spans="1:10" ht="17.25" customHeight="1" x14ac:dyDescent="0.2">
      <c r="A177" s="442" t="s">
        <v>786</v>
      </c>
      <c r="B177" s="442"/>
      <c r="C177" s="442"/>
      <c r="D177" s="239">
        <v>1</v>
      </c>
      <c r="E177" s="239">
        <v>30</v>
      </c>
      <c r="F177" s="240">
        <f>E178</f>
        <v>800</v>
      </c>
      <c r="G177" s="496">
        <f>G173</f>
        <v>0</v>
      </c>
      <c r="H177" s="496"/>
      <c r="I177" s="497">
        <f>G177/F177/E177</f>
        <v>0</v>
      </c>
      <c r="J177" s="497"/>
    </row>
    <row r="178" spans="1:10" ht="17.25" customHeight="1" x14ac:dyDescent="0.2">
      <c r="A178" s="442" t="s">
        <v>787</v>
      </c>
      <c r="B178" s="442"/>
      <c r="C178" s="442"/>
      <c r="D178" s="239">
        <v>1</v>
      </c>
      <c r="E178" s="498">
        <f>'5. SA Cál. DEMO Banheiros'!C9</f>
        <v>800</v>
      </c>
      <c r="F178" s="498"/>
      <c r="G178" s="500">
        <f>J167</f>
        <v>5273.6591702978039</v>
      </c>
      <c r="H178" s="500"/>
      <c r="I178" s="497">
        <f>ROUND((D178/E178)*G178,2)</f>
        <v>6.59</v>
      </c>
      <c r="J178" s="497"/>
    </row>
    <row r="179" spans="1:10" ht="17.25" customHeight="1" x14ac:dyDescent="0.2">
      <c r="A179" s="457" t="s">
        <v>707</v>
      </c>
      <c r="B179" s="457"/>
      <c r="C179" s="457"/>
      <c r="D179" s="457"/>
      <c r="E179" s="457"/>
      <c r="F179" s="457"/>
      <c r="G179" s="457"/>
      <c r="H179" s="457"/>
      <c r="I179" s="499">
        <f>SUM(I177:J178)</f>
        <v>6.59</v>
      </c>
      <c r="J179" s="499"/>
    </row>
    <row r="180" spans="1:10" ht="17.25" customHeight="1" x14ac:dyDescent="0.2">
      <c r="A180" s="34"/>
      <c r="B180" s="34"/>
      <c r="C180" s="34"/>
      <c r="D180" s="34"/>
      <c r="E180" s="34"/>
      <c r="F180" s="34"/>
      <c r="G180" s="34"/>
      <c r="H180" s="34"/>
      <c r="I180" s="243"/>
      <c r="J180" s="243"/>
    </row>
    <row r="181" spans="1:10" ht="17.25" customHeight="1" x14ac:dyDescent="0.2">
      <c r="A181" s="442" t="s">
        <v>788</v>
      </c>
      <c r="B181" s="442"/>
      <c r="C181" s="442"/>
      <c r="D181" s="239">
        <v>1</v>
      </c>
      <c r="E181" s="239">
        <v>30</v>
      </c>
      <c r="F181" s="240">
        <f>E182</f>
        <v>450</v>
      </c>
      <c r="G181" s="496">
        <f>G173</f>
        <v>0</v>
      </c>
      <c r="H181" s="496"/>
      <c r="I181" s="497">
        <f>G181/F181/E181</f>
        <v>0</v>
      </c>
      <c r="J181" s="497"/>
    </row>
    <row r="182" spans="1:10" ht="17.25" customHeight="1" x14ac:dyDescent="0.2">
      <c r="A182" s="442" t="s">
        <v>789</v>
      </c>
      <c r="B182" s="442"/>
      <c r="C182" s="442"/>
      <c r="D182" s="239">
        <v>1</v>
      </c>
      <c r="E182" s="498">
        <f>'5. SA Cál. DEMO Banheiros'!C10</f>
        <v>450</v>
      </c>
      <c r="F182" s="498"/>
      <c r="G182" s="500">
        <f>J167</f>
        <v>5273.6591702978039</v>
      </c>
      <c r="H182" s="500"/>
      <c r="I182" s="497">
        <f>ROUND((D182/E182)*G182,2)</f>
        <v>11.72</v>
      </c>
      <c r="J182" s="497"/>
    </row>
    <row r="183" spans="1:10" ht="17.25" customHeight="1" x14ac:dyDescent="0.2">
      <c r="A183" s="457" t="s">
        <v>707</v>
      </c>
      <c r="B183" s="457"/>
      <c r="C183" s="457"/>
      <c r="D183" s="457"/>
      <c r="E183" s="457"/>
      <c r="F183" s="457"/>
      <c r="G183" s="457"/>
      <c r="H183" s="457"/>
      <c r="I183" s="499">
        <f>SUM(I181:J182)</f>
        <v>11.72</v>
      </c>
      <c r="J183" s="499"/>
    </row>
    <row r="184" spans="1:10" ht="102" customHeight="1" x14ac:dyDescent="0.2">
      <c r="A184" s="511" t="s">
        <v>790</v>
      </c>
      <c r="B184" s="511"/>
      <c r="C184" s="511"/>
      <c r="D184" s="511"/>
      <c r="E184" s="511"/>
      <c r="F184" s="511"/>
      <c r="G184" s="511"/>
      <c r="H184" s="511"/>
      <c r="I184" s="511"/>
      <c r="J184" s="511"/>
    </row>
    <row r="185" spans="1:10" ht="9.75" customHeight="1" x14ac:dyDescent="0.2">
      <c r="A185" s="531"/>
      <c r="B185" s="531"/>
      <c r="C185" s="531"/>
      <c r="D185" s="531"/>
      <c r="E185" s="531"/>
      <c r="F185" s="531"/>
      <c r="G185" s="531"/>
      <c r="H185" s="531"/>
      <c r="I185" s="531"/>
      <c r="J185" s="531"/>
    </row>
    <row r="186" spans="1:10" ht="21" customHeight="1" x14ac:dyDescent="0.2">
      <c r="A186" s="423" t="s">
        <v>752</v>
      </c>
      <c r="B186" s="423"/>
      <c r="C186" s="423"/>
      <c r="D186" s="423"/>
      <c r="E186" s="423"/>
      <c r="F186" s="423"/>
      <c r="G186" s="423"/>
      <c r="H186" s="423"/>
      <c r="I186" s="423"/>
      <c r="J186" s="423"/>
    </row>
    <row r="187" spans="1:10" ht="39" customHeight="1" x14ac:dyDescent="0.2">
      <c r="A187" s="423" t="s">
        <v>23</v>
      </c>
      <c r="B187" s="423"/>
      <c r="C187" s="423"/>
      <c r="D187" s="423"/>
      <c r="E187" s="423"/>
      <c r="F187" s="423" t="s">
        <v>753</v>
      </c>
      <c r="G187" s="423"/>
      <c r="H187" s="191" t="s">
        <v>754</v>
      </c>
      <c r="I187" s="423" t="s">
        <v>755</v>
      </c>
      <c r="J187" s="423"/>
    </row>
    <row r="188" spans="1:10" ht="21" customHeight="1" x14ac:dyDescent="0.2">
      <c r="A188" s="495" t="s">
        <v>791</v>
      </c>
      <c r="B188" s="495"/>
      <c r="C188" s="495"/>
      <c r="D188" s="495"/>
      <c r="E188" s="495"/>
      <c r="F188" s="514">
        <f>I175</f>
        <v>17.579999999999998</v>
      </c>
      <c r="G188" s="514"/>
      <c r="H188" s="244">
        <f>I25</f>
        <v>1528.7100000000003</v>
      </c>
      <c r="I188" s="513">
        <f>ROUND(F188*H188,2)</f>
        <v>26874.720000000001</v>
      </c>
      <c r="J188" s="513"/>
    </row>
    <row r="189" spans="1:10" ht="21" customHeight="1" x14ac:dyDescent="0.2">
      <c r="A189" s="495" t="s">
        <v>792</v>
      </c>
      <c r="B189" s="495"/>
      <c r="C189" s="495"/>
      <c r="D189" s="495"/>
      <c r="E189" s="495"/>
      <c r="F189" s="514">
        <f>I179</f>
        <v>6.59</v>
      </c>
      <c r="G189" s="514"/>
      <c r="H189" s="244">
        <f>I26</f>
        <v>211.55592727272727</v>
      </c>
      <c r="I189" s="513">
        <f>ROUND(F189*H189,2)</f>
        <v>1394.15</v>
      </c>
      <c r="J189" s="513"/>
    </row>
    <row r="190" spans="1:10" ht="21" customHeight="1" x14ac:dyDescent="0.2">
      <c r="A190" s="495" t="s">
        <v>793</v>
      </c>
      <c r="B190" s="495"/>
      <c r="C190" s="495"/>
      <c r="D190" s="495"/>
      <c r="E190" s="495"/>
      <c r="F190" s="514">
        <f>I183</f>
        <v>11.72</v>
      </c>
      <c r="G190" s="514"/>
      <c r="H190" s="244">
        <f>I27</f>
        <v>75.861599999999996</v>
      </c>
      <c r="I190" s="513">
        <f>ROUND(F190*H190,2)</f>
        <v>889.1</v>
      </c>
      <c r="J190" s="513"/>
    </row>
    <row r="191" spans="1:10" ht="21" customHeight="1" x14ac:dyDescent="0.2">
      <c r="A191" s="457" t="s">
        <v>794</v>
      </c>
      <c r="B191" s="457"/>
      <c r="C191" s="457"/>
      <c r="D191" s="457"/>
      <c r="E191" s="457"/>
      <c r="F191" s="457"/>
      <c r="G191" s="457"/>
      <c r="H191" s="245">
        <f>SUM(H188:H190)</f>
        <v>1816.1275272727275</v>
      </c>
      <c r="I191" s="515">
        <f>SUM(I188:J190)</f>
        <v>29157.97</v>
      </c>
      <c r="J191" s="515"/>
    </row>
    <row r="192" spans="1:10" ht="21" customHeight="1" x14ac:dyDescent="0.2">
      <c r="A192" s="532" t="s">
        <v>795</v>
      </c>
      <c r="B192" s="532"/>
      <c r="C192" s="532"/>
      <c r="D192" s="532"/>
      <c r="E192" s="532"/>
      <c r="F192" s="514">
        <v>0</v>
      </c>
      <c r="G192" s="514"/>
      <c r="H192" s="244">
        <f>I29</f>
        <v>0</v>
      </c>
      <c r="I192" s="513">
        <v>0</v>
      </c>
      <c r="J192" s="513"/>
    </row>
    <row r="193" spans="1:26" ht="21" customHeight="1" x14ac:dyDescent="0.2">
      <c r="A193" s="457" t="s">
        <v>559</v>
      </c>
      <c r="B193" s="457"/>
      <c r="C193" s="457"/>
      <c r="D193" s="457"/>
      <c r="E193" s="457"/>
      <c r="F193" s="457"/>
      <c r="G193" s="457"/>
      <c r="H193" s="245">
        <f>H192</f>
        <v>0</v>
      </c>
      <c r="I193" s="515">
        <v>0</v>
      </c>
      <c r="J193" s="515"/>
    </row>
    <row r="194" spans="1:26" ht="21" customHeight="1" x14ac:dyDescent="0.2">
      <c r="A194" s="457" t="s">
        <v>796</v>
      </c>
      <c r="B194" s="457"/>
      <c r="C194" s="457"/>
      <c r="D194" s="457"/>
      <c r="E194" s="457"/>
      <c r="F194" s="457"/>
      <c r="G194" s="457"/>
      <c r="H194" s="245">
        <f>ROUND(H191+H193,2)</f>
        <v>1816.13</v>
      </c>
      <c r="I194" s="515">
        <f>SUM(I191+I193)</f>
        <v>29157.97</v>
      </c>
      <c r="J194" s="515"/>
    </row>
    <row r="195" spans="1:26" ht="21" customHeight="1" x14ac:dyDescent="0.2">
      <c r="A195" s="495" t="s">
        <v>764</v>
      </c>
      <c r="B195" s="495"/>
      <c r="C195" s="495"/>
      <c r="D195" s="495"/>
      <c r="E195" s="495"/>
      <c r="F195" s="495"/>
      <c r="G195" s="495"/>
      <c r="H195" s="495"/>
      <c r="I195" s="518">
        <f>I194</f>
        <v>29157.97</v>
      </c>
      <c r="J195" s="518"/>
    </row>
    <row r="196" spans="1:26" ht="21" customHeight="1" x14ac:dyDescent="0.2">
      <c r="A196" s="495" t="s">
        <v>765</v>
      </c>
      <c r="B196" s="495"/>
      <c r="C196" s="495"/>
      <c r="D196" s="495"/>
      <c r="E196" s="495"/>
      <c r="F196" s="495"/>
      <c r="G196" s="495"/>
      <c r="H196" s="495"/>
      <c r="I196" s="520">
        <f>H21</f>
        <v>20</v>
      </c>
      <c r="J196" s="520"/>
    </row>
    <row r="197" spans="1:26" ht="21" customHeight="1" x14ac:dyDescent="0.2">
      <c r="A197" s="495" t="s">
        <v>766</v>
      </c>
      <c r="B197" s="495"/>
      <c r="C197" s="495"/>
      <c r="D197" s="495"/>
      <c r="E197" s="495"/>
      <c r="F197" s="495"/>
      <c r="G197" s="495"/>
      <c r="H197" s="495"/>
      <c r="I197" s="518">
        <f>ROUND(I194*I196,2)</f>
        <v>583159.4</v>
      </c>
      <c r="J197" s="518"/>
    </row>
    <row r="198" spans="1:26" ht="21" customHeight="1" x14ac:dyDescent="0.2">
      <c r="A198" s="533"/>
      <c r="B198" s="533"/>
      <c r="C198" s="533"/>
      <c r="D198" s="533"/>
      <c r="E198" s="533"/>
      <c r="F198" s="533"/>
      <c r="G198" s="533"/>
      <c r="H198" s="533"/>
      <c r="I198" s="533"/>
      <c r="J198" s="533"/>
      <c r="K198" s="18"/>
      <c r="L198" s="18"/>
      <c r="M198" s="18"/>
      <c r="N198" s="18"/>
      <c r="O198" s="18"/>
      <c r="P198" s="18"/>
      <c r="Q198" s="18"/>
      <c r="R198" s="18"/>
      <c r="S198" s="18"/>
      <c r="T198" s="18"/>
      <c r="U198" s="18"/>
      <c r="V198" s="18"/>
      <c r="W198" s="18"/>
      <c r="X198" s="18"/>
      <c r="Y198" s="18"/>
      <c r="Z198" s="18"/>
    </row>
    <row r="199" spans="1:26" ht="21" customHeight="1" x14ac:dyDescent="0.2">
      <c r="A199" s="466" t="s">
        <v>767</v>
      </c>
      <c r="B199" s="466"/>
      <c r="C199" s="466"/>
      <c r="D199" s="466"/>
      <c r="E199" s="466"/>
      <c r="F199" s="466"/>
      <c r="G199" s="466"/>
      <c r="H199" s="466"/>
      <c r="I199" s="466"/>
      <c r="J199" s="466"/>
    </row>
    <row r="200" spans="1:26" ht="21" customHeight="1" x14ac:dyDescent="0.2">
      <c r="A200" s="423" t="s">
        <v>768</v>
      </c>
      <c r="B200" s="423"/>
      <c r="C200" s="423"/>
      <c r="D200" s="423"/>
      <c r="E200" s="423"/>
      <c r="F200" s="423"/>
      <c r="G200" s="423" t="s">
        <v>769</v>
      </c>
      <c r="H200" s="423"/>
      <c r="I200" s="423"/>
      <c r="J200" s="423"/>
    </row>
    <row r="201" spans="1:26" ht="21" customHeight="1" x14ac:dyDescent="0.2">
      <c r="A201" s="521" t="s">
        <v>73</v>
      </c>
      <c r="B201" s="521"/>
      <c r="C201" s="521"/>
      <c r="D201" s="521"/>
      <c r="E201" s="521"/>
      <c r="F201" s="521"/>
      <c r="G201" s="522">
        <f>'5. SA Cál. DEMO Banheiros'!$L$13</f>
        <v>5.5287262424242432</v>
      </c>
      <c r="H201" s="522"/>
      <c r="I201" s="522"/>
      <c r="J201" s="522"/>
    </row>
    <row r="202" spans="1:26" ht="9.75" customHeight="1" x14ac:dyDescent="0.2">
      <c r="A202" s="517"/>
      <c r="B202" s="517"/>
      <c r="C202" s="517"/>
      <c r="D202" s="517"/>
      <c r="E202" s="517"/>
      <c r="F202" s="517"/>
      <c r="G202" s="517"/>
      <c r="H202" s="517"/>
      <c r="I202" s="517"/>
      <c r="J202" s="517"/>
      <c r="K202" s="18"/>
      <c r="L202" s="18"/>
      <c r="M202" s="18"/>
      <c r="N202" s="18"/>
      <c r="O202" s="18"/>
      <c r="P202" s="18"/>
      <c r="Q202" s="18"/>
      <c r="R202" s="18"/>
      <c r="S202" s="18"/>
      <c r="T202" s="18"/>
      <c r="U202" s="18"/>
      <c r="V202" s="18"/>
      <c r="W202" s="18"/>
      <c r="X202" s="18"/>
      <c r="Y202" s="18"/>
      <c r="Z202" s="18"/>
    </row>
    <row r="203" spans="1:26" ht="33" customHeight="1" x14ac:dyDescent="0.2">
      <c r="A203" s="519" t="s">
        <v>797</v>
      </c>
      <c r="B203" s="519"/>
      <c r="C203" s="519"/>
      <c r="D203" s="519"/>
      <c r="E203" s="519"/>
      <c r="F203" s="519"/>
      <c r="G203" s="519"/>
      <c r="H203" s="519"/>
      <c r="I203" s="519"/>
      <c r="J203" s="519"/>
    </row>
    <row r="204" spans="1:26" ht="12.75" customHeight="1" x14ac:dyDescent="0.2"/>
    <row r="205" spans="1:26" ht="12.75" customHeight="1" x14ac:dyDescent="0.2"/>
    <row r="206" spans="1:26" ht="12.75" customHeight="1" x14ac:dyDescent="0.2"/>
    <row r="207" spans="1:26" ht="12.75" customHeight="1" x14ac:dyDescent="0.2"/>
    <row r="208" spans="1:26"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sheetData>
  <mergeCells count="279">
    <mergeCell ref="A198:J198"/>
    <mergeCell ref="A199:J199"/>
    <mergeCell ref="A200:F200"/>
    <mergeCell ref="G200:J200"/>
    <mergeCell ref="A201:F201"/>
    <mergeCell ref="G201:J201"/>
    <mergeCell ref="A202:J202"/>
    <mergeCell ref="A203:J203"/>
    <mergeCell ref="A193:G193"/>
    <mergeCell ref="I193:J193"/>
    <mergeCell ref="A194:G194"/>
    <mergeCell ref="I194:J194"/>
    <mergeCell ref="A195:H195"/>
    <mergeCell ref="I195:J195"/>
    <mergeCell ref="A196:H196"/>
    <mergeCell ref="I196:J196"/>
    <mergeCell ref="A197:H197"/>
    <mergeCell ref="I197:J197"/>
    <mergeCell ref="A189:E189"/>
    <mergeCell ref="F189:G189"/>
    <mergeCell ref="I189:J189"/>
    <mergeCell ref="A190:E190"/>
    <mergeCell ref="F190:G190"/>
    <mergeCell ref="I190:J190"/>
    <mergeCell ref="A191:G191"/>
    <mergeCell ref="I191:J191"/>
    <mergeCell ref="A192:E192"/>
    <mergeCell ref="F192:G192"/>
    <mergeCell ref="I192:J192"/>
    <mergeCell ref="A184:J184"/>
    <mergeCell ref="A185:J185"/>
    <mergeCell ref="A186:J186"/>
    <mergeCell ref="A187:E187"/>
    <mergeCell ref="F187:G187"/>
    <mergeCell ref="I187:J187"/>
    <mergeCell ref="A188:E188"/>
    <mergeCell ref="F188:G188"/>
    <mergeCell ref="I188:J188"/>
    <mergeCell ref="A181:C181"/>
    <mergeCell ref="G181:H181"/>
    <mergeCell ref="I181:J181"/>
    <mergeCell ref="A182:C182"/>
    <mergeCell ref="E182:F182"/>
    <mergeCell ref="G182:H182"/>
    <mergeCell ref="I182:J182"/>
    <mergeCell ref="A183:H183"/>
    <mergeCell ref="I183:J183"/>
    <mergeCell ref="A177:C177"/>
    <mergeCell ref="G177:H177"/>
    <mergeCell ref="I177:J177"/>
    <mergeCell ref="A178:C178"/>
    <mergeCell ref="E178:F178"/>
    <mergeCell ref="G178:H178"/>
    <mergeCell ref="I178:J178"/>
    <mergeCell ref="A179:H179"/>
    <mergeCell ref="I179:J179"/>
    <mergeCell ref="A173:C173"/>
    <mergeCell ref="G173:H173"/>
    <mergeCell ref="I173:J173"/>
    <mergeCell ref="A174:C174"/>
    <mergeCell ref="E174:F174"/>
    <mergeCell ref="G174:H174"/>
    <mergeCell ref="I174:J174"/>
    <mergeCell ref="A175:H175"/>
    <mergeCell ref="I175:J175"/>
    <mergeCell ref="B166:I166"/>
    <mergeCell ref="A167:G167"/>
    <mergeCell ref="A169:J169"/>
    <mergeCell ref="A170:J170"/>
    <mergeCell ref="A171:J171"/>
    <mergeCell ref="A172:C172"/>
    <mergeCell ref="D172:F172"/>
    <mergeCell ref="G172:H172"/>
    <mergeCell ref="I172:J172"/>
    <mergeCell ref="A157:J157"/>
    <mergeCell ref="A158:J158"/>
    <mergeCell ref="A159:I159"/>
    <mergeCell ref="B160:I160"/>
    <mergeCell ref="B161:I161"/>
    <mergeCell ref="B162:I162"/>
    <mergeCell ref="B163:I163"/>
    <mergeCell ref="B164:I164"/>
    <mergeCell ref="A165:I165"/>
    <mergeCell ref="B150:E150"/>
    <mergeCell ref="F150:H150"/>
    <mergeCell ref="B151:E151"/>
    <mergeCell ref="F151:H151"/>
    <mergeCell ref="A152:I152"/>
    <mergeCell ref="B153:J153"/>
    <mergeCell ref="A154:A156"/>
    <mergeCell ref="B154:C156"/>
    <mergeCell ref="D154:F156"/>
    <mergeCell ref="G154:H156"/>
    <mergeCell ref="J154:J156"/>
    <mergeCell ref="A142:I142"/>
    <mergeCell ref="B143:H143"/>
    <mergeCell ref="A144:I144"/>
    <mergeCell ref="B145:H145"/>
    <mergeCell ref="A146:I146"/>
    <mergeCell ref="B147:H147"/>
    <mergeCell ref="K147:L147"/>
    <mergeCell ref="A148:A149"/>
    <mergeCell ref="B148:E149"/>
    <mergeCell ref="F148:H148"/>
    <mergeCell ref="F149:H149"/>
    <mergeCell ref="B133:I133"/>
    <mergeCell ref="B134:I134"/>
    <mergeCell ref="B135:I135"/>
    <mergeCell ref="B136:I136"/>
    <mergeCell ref="A137:I137"/>
    <mergeCell ref="B138:J138"/>
    <mergeCell ref="A139:J139"/>
    <mergeCell ref="A140:J140"/>
    <mergeCell ref="B141:H141"/>
    <mergeCell ref="A123:I123"/>
    <mergeCell ref="A124:J124"/>
    <mergeCell ref="B125:I125"/>
    <mergeCell ref="B126:I126"/>
    <mergeCell ref="B127:I127"/>
    <mergeCell ref="A128:I128"/>
    <mergeCell ref="B129:J129"/>
    <mergeCell ref="A131:J131"/>
    <mergeCell ref="B132:I132"/>
    <mergeCell ref="B114:I114"/>
    <mergeCell ref="B115:I115"/>
    <mergeCell ref="B116:I116"/>
    <mergeCell ref="B117:I117"/>
    <mergeCell ref="A118:I118"/>
    <mergeCell ref="B119:I119"/>
    <mergeCell ref="B120:I120"/>
    <mergeCell ref="B121:I121"/>
    <mergeCell ref="A122:I122"/>
    <mergeCell ref="A107:J107"/>
    <mergeCell ref="A108:B108"/>
    <mergeCell ref="D108:E108"/>
    <mergeCell ref="G108:H108"/>
    <mergeCell ref="A109:F109"/>
    <mergeCell ref="G109:I109"/>
    <mergeCell ref="B111:I111"/>
    <mergeCell ref="B112:I112"/>
    <mergeCell ref="B113:I113"/>
    <mergeCell ref="B97:I97"/>
    <mergeCell ref="B98:I98"/>
    <mergeCell ref="B99:I99"/>
    <mergeCell ref="B100:I100"/>
    <mergeCell ref="B101:I101"/>
    <mergeCell ref="B102:I102"/>
    <mergeCell ref="B103:I103"/>
    <mergeCell ref="A104:I104"/>
    <mergeCell ref="A106:J106"/>
    <mergeCell ref="B86:J86"/>
    <mergeCell ref="B87:J87"/>
    <mergeCell ref="A89:J89"/>
    <mergeCell ref="B90:I90"/>
    <mergeCell ref="B91:I91"/>
    <mergeCell ref="B92:I92"/>
    <mergeCell ref="B93:I93"/>
    <mergeCell ref="A94:I94"/>
    <mergeCell ref="A96:J96"/>
    <mergeCell ref="A79:A82"/>
    <mergeCell ref="B79:D79"/>
    <mergeCell ref="J79:J82"/>
    <mergeCell ref="B80:H80"/>
    <mergeCell ref="B81:H81"/>
    <mergeCell ref="B82:H82"/>
    <mergeCell ref="B83:D83"/>
    <mergeCell ref="B84:I84"/>
    <mergeCell ref="A85:I85"/>
    <mergeCell ref="E79:I79"/>
    <mergeCell ref="E83:I83"/>
    <mergeCell ref="B67:H67"/>
    <mergeCell ref="A68:H68"/>
    <mergeCell ref="B69:J69"/>
    <mergeCell ref="B70:J70"/>
    <mergeCell ref="B72:J72"/>
    <mergeCell ref="B73:I73"/>
    <mergeCell ref="A74:A78"/>
    <mergeCell ref="B74:I74"/>
    <mergeCell ref="J74:J78"/>
    <mergeCell ref="B75:H75"/>
    <mergeCell ref="B76:H76"/>
    <mergeCell ref="B77:H77"/>
    <mergeCell ref="B78:H78"/>
    <mergeCell ref="B58:J58"/>
    <mergeCell ref="B59:H59"/>
    <mergeCell ref="B60:H60"/>
    <mergeCell ref="B61:H61"/>
    <mergeCell ref="B62:D62"/>
    <mergeCell ref="B63:H63"/>
    <mergeCell ref="B64:H64"/>
    <mergeCell ref="B65:H65"/>
    <mergeCell ref="B66:H66"/>
    <mergeCell ref="B49:J49"/>
    <mergeCell ref="A50:J50"/>
    <mergeCell ref="A51:J51"/>
    <mergeCell ref="B52:I52"/>
    <mergeCell ref="B53:I53"/>
    <mergeCell ref="B54:I54"/>
    <mergeCell ref="A55:I55"/>
    <mergeCell ref="B56:J56"/>
    <mergeCell ref="A57:I57"/>
    <mergeCell ref="A42:J42"/>
    <mergeCell ref="A43:J43"/>
    <mergeCell ref="B44:H44"/>
    <mergeCell ref="B45:D45"/>
    <mergeCell ref="G45:I45"/>
    <mergeCell ref="B46:C46"/>
    <mergeCell ref="D46:H46"/>
    <mergeCell ref="B47:I47"/>
    <mergeCell ref="A48:I48"/>
    <mergeCell ref="B37:G37"/>
    <mergeCell ref="H37:J37"/>
    <mergeCell ref="B38:G38"/>
    <mergeCell ref="H38:J38"/>
    <mergeCell ref="B39:G39"/>
    <mergeCell ref="H39:J39"/>
    <mergeCell ref="B40:G40"/>
    <mergeCell ref="H40:J40"/>
    <mergeCell ref="B41:J41"/>
    <mergeCell ref="A30:H30"/>
    <mergeCell ref="I30:J30"/>
    <mergeCell ref="A31:H31"/>
    <mergeCell ref="I31:J31"/>
    <mergeCell ref="A32:J32"/>
    <mergeCell ref="A33:J33"/>
    <mergeCell ref="A34:J34"/>
    <mergeCell ref="A35:J35"/>
    <mergeCell ref="B36:G36"/>
    <mergeCell ref="H36:J36"/>
    <mergeCell ref="A26:F26"/>
    <mergeCell ref="G26:H26"/>
    <mergeCell ref="I26:J26"/>
    <mergeCell ref="A27:F27"/>
    <mergeCell ref="G27:H27"/>
    <mergeCell ref="I27:J27"/>
    <mergeCell ref="A28:H28"/>
    <mergeCell ref="I28:J28"/>
    <mergeCell ref="A29:F29"/>
    <mergeCell ref="G29:H29"/>
    <mergeCell ref="I29:J29"/>
    <mergeCell ref="B21:G21"/>
    <mergeCell ref="H21:J21"/>
    <mergeCell ref="A23:J23"/>
    <mergeCell ref="A24:F24"/>
    <mergeCell ref="G24:H24"/>
    <mergeCell ref="I24:J24"/>
    <mergeCell ref="A25:F25"/>
    <mergeCell ref="G25:H25"/>
    <mergeCell ref="I25:J25"/>
    <mergeCell ref="A15:G15"/>
    <mergeCell ref="I15:J15"/>
    <mergeCell ref="A17:J17"/>
    <mergeCell ref="B18:G18"/>
    <mergeCell ref="H18:J18"/>
    <mergeCell ref="B19:G19"/>
    <mergeCell ref="H19:J19"/>
    <mergeCell ref="B20:G20"/>
    <mergeCell ref="H20:J20"/>
    <mergeCell ref="B11:C11"/>
    <mergeCell ref="E11:F11"/>
    <mergeCell ref="B12:G12"/>
    <mergeCell ref="I12:J12"/>
    <mergeCell ref="B13:D13"/>
    <mergeCell ref="F13:G13"/>
    <mergeCell ref="I13:J13"/>
    <mergeCell ref="A14:G14"/>
    <mergeCell ref="H14:J14"/>
    <mergeCell ref="A1:J1"/>
    <mergeCell ref="A2:J2"/>
    <mergeCell ref="A3:J3"/>
    <mergeCell ref="A4:J4"/>
    <mergeCell ref="A5:J5"/>
    <mergeCell ref="A7:J7"/>
    <mergeCell ref="A8:J8"/>
    <mergeCell ref="A9:C10"/>
    <mergeCell ref="D9:H9"/>
    <mergeCell ref="I9:J9"/>
    <mergeCell ref="D10:F10"/>
    <mergeCell ref="I10:J10"/>
  </mergeCells>
  <conditionalFormatting sqref="A14:G14">
    <cfRule type="expression" dxfId="5" priority="2">
      <formula>LEN(TRIM(A14))&gt;0</formula>
    </cfRule>
  </conditionalFormatting>
  <conditionalFormatting sqref="H14:J14">
    <cfRule type="expression" dxfId="4" priority="3">
      <formula>LEN(TRIM(H14))&gt;0</formula>
    </cfRule>
  </conditionalFormatting>
  <printOptions horizontalCentered="1"/>
  <pageMargins left="0" right="0" top="0.39370078740157483" bottom="0" header="0" footer="0.51181102362204722"/>
  <pageSetup paperSize="9" scale="44" firstPageNumber="0" pageOrder="overThenDown" orientation="portrait" r:id="rId1"/>
  <headerFooter>
    <oddHeader>&amp;R&amp;P de &amp;N</oddHeader>
    <oddFooter>&amp;L&amp;F - &amp;A&amp;CPágina &amp;P de &amp;N</oddFooter>
  </headerFooter>
  <rowBreaks count="2" manualBreakCount="2">
    <brk id="88" max="16383" man="1"/>
    <brk id="156" max="16383" man="1"/>
  </rowBreaks>
  <colBreaks count="1" manualBreakCount="1">
    <brk id="12" max="1048575" man="1"/>
  </colBreaks>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AMJ982"/>
  <sheetViews>
    <sheetView showGridLines="0" topLeftCell="A188" zoomScaleNormal="100" workbookViewId="0">
      <selection activeCell="J7" sqref="J7"/>
    </sheetView>
  </sheetViews>
  <sheetFormatPr defaultColWidth="14.42578125" defaultRowHeight="14.25" x14ac:dyDescent="0.2"/>
  <cols>
    <col min="1" max="1" width="17.28515625" style="1" customWidth="1"/>
    <col min="2" max="2" width="8" style="1" customWidth="1"/>
    <col min="3" max="3" width="17.28515625" style="1" customWidth="1"/>
    <col min="4" max="7" width="15.42578125" style="1" customWidth="1"/>
    <col min="8" max="8" width="12.28515625" style="1" customWidth="1"/>
    <col min="9" max="9" width="20.42578125" style="1" customWidth="1"/>
    <col min="10" max="10" width="20.5703125" style="1" customWidth="1"/>
    <col min="11" max="11" width="13.28515625" style="1" customWidth="1"/>
    <col min="12" max="12" width="13.85546875" style="1" customWidth="1"/>
    <col min="13" max="26" width="8" style="1" customWidth="1"/>
    <col min="27" max="1024" width="14.42578125" style="1"/>
  </cols>
  <sheetData>
    <row r="1" spans="1:26" ht="14.25" customHeight="1" x14ac:dyDescent="0.2">
      <c r="A1" s="326" t="s">
        <v>0</v>
      </c>
      <c r="B1" s="326"/>
      <c r="C1" s="326"/>
      <c r="D1" s="326"/>
      <c r="E1" s="326"/>
      <c r="F1" s="326"/>
      <c r="G1" s="326"/>
      <c r="H1" s="326"/>
      <c r="I1" s="326"/>
      <c r="J1" s="326"/>
    </row>
    <row r="2" spans="1:26" ht="14.25" customHeight="1" x14ac:dyDescent="0.2">
      <c r="A2" s="326" t="s">
        <v>1</v>
      </c>
      <c r="B2" s="326"/>
      <c r="C2" s="326"/>
      <c r="D2" s="326"/>
      <c r="E2" s="326"/>
      <c r="F2" s="326"/>
      <c r="G2" s="326"/>
      <c r="H2" s="326"/>
      <c r="I2" s="326"/>
      <c r="J2" s="326"/>
    </row>
    <row r="3" spans="1:26" ht="14.25" customHeight="1" x14ac:dyDescent="0.2">
      <c r="A3" s="326" t="s">
        <v>2</v>
      </c>
      <c r="B3" s="326"/>
      <c r="C3" s="326"/>
      <c r="D3" s="326"/>
      <c r="E3" s="326"/>
      <c r="F3" s="326"/>
      <c r="G3" s="326"/>
      <c r="H3" s="326"/>
      <c r="I3" s="326"/>
      <c r="J3" s="326"/>
    </row>
    <row r="4" spans="1:26" ht="15" x14ac:dyDescent="0.2">
      <c r="A4" s="356" t="str">
        <f>'1. SA ABA DE CARREGAMENTO'!A4</f>
        <v>CAMPUS SANTO AUGUSTO</v>
      </c>
      <c r="B4" s="356"/>
      <c r="C4" s="356"/>
      <c r="D4" s="356"/>
      <c r="E4" s="356"/>
      <c r="F4" s="356"/>
      <c r="G4" s="356"/>
      <c r="H4" s="356"/>
      <c r="I4" s="356"/>
      <c r="J4" s="356"/>
    </row>
    <row r="5" spans="1:26" ht="14.25" customHeight="1" x14ac:dyDescent="0.2">
      <c r="A5" s="397" t="s">
        <v>510</v>
      </c>
      <c r="B5" s="397"/>
      <c r="C5" s="397"/>
      <c r="D5" s="397"/>
      <c r="E5" s="397"/>
      <c r="F5" s="397"/>
      <c r="G5" s="397"/>
      <c r="H5" s="397"/>
      <c r="I5" s="397"/>
      <c r="J5" s="397"/>
    </row>
    <row r="6" spans="1:26" ht="9.75" customHeight="1" x14ac:dyDescent="0.2">
      <c r="A6" s="20"/>
      <c r="B6" s="20"/>
      <c r="C6" s="20"/>
      <c r="D6" s="20"/>
      <c r="E6" s="20"/>
      <c r="F6" s="20"/>
      <c r="G6" s="20"/>
      <c r="H6" s="20"/>
      <c r="I6" s="20"/>
      <c r="J6" s="20"/>
      <c r="K6" s="18"/>
      <c r="L6" s="18"/>
      <c r="M6" s="18"/>
      <c r="N6" s="18"/>
      <c r="O6" s="18"/>
      <c r="P6" s="18"/>
      <c r="Q6" s="18"/>
      <c r="R6" s="18"/>
      <c r="S6" s="18"/>
      <c r="T6" s="18"/>
      <c r="U6" s="18"/>
      <c r="V6" s="18"/>
      <c r="W6" s="18"/>
      <c r="X6" s="18"/>
      <c r="Y6" s="18"/>
      <c r="Z6" s="18"/>
    </row>
    <row r="7" spans="1:26" ht="15" x14ac:dyDescent="0.2">
      <c r="A7" s="423" t="str">
        <f>'7. SA Planilha área geral'!A7:J7</f>
        <v>IN/MPDG Nº 05/2017 - Anexo VII-D</v>
      </c>
      <c r="B7" s="423"/>
      <c r="C7" s="423"/>
      <c r="D7" s="423"/>
      <c r="E7" s="423"/>
      <c r="F7" s="423"/>
      <c r="G7" s="423"/>
      <c r="H7" s="423"/>
      <c r="I7" s="423"/>
      <c r="J7" s="423"/>
    </row>
    <row r="8" spans="1:26" ht="9.75" customHeight="1" x14ac:dyDescent="0.2">
      <c r="A8" s="501"/>
      <c r="B8" s="501"/>
      <c r="C8" s="501"/>
      <c r="D8" s="501"/>
      <c r="E8" s="501"/>
      <c r="F8" s="501"/>
      <c r="G8" s="501"/>
      <c r="H8" s="501"/>
      <c r="I8" s="501"/>
      <c r="J8" s="501"/>
      <c r="K8" s="18"/>
      <c r="L8" s="18"/>
      <c r="M8" s="18"/>
      <c r="N8" s="18"/>
      <c r="O8" s="18"/>
      <c r="P8" s="18"/>
      <c r="Q8" s="18"/>
      <c r="R8" s="18"/>
      <c r="S8" s="18"/>
      <c r="T8" s="18"/>
      <c r="U8" s="18"/>
      <c r="V8" s="18"/>
      <c r="W8" s="18"/>
      <c r="X8" s="18"/>
      <c r="Y8" s="18"/>
      <c r="Z8" s="18"/>
    </row>
    <row r="9" spans="1:26" ht="24" customHeight="1" x14ac:dyDescent="0.2">
      <c r="A9" s="423" t="s">
        <v>798</v>
      </c>
      <c r="B9" s="423"/>
      <c r="C9" s="423"/>
      <c r="D9" s="424" t="s">
        <v>799</v>
      </c>
      <c r="E9" s="424"/>
      <c r="F9" s="424"/>
      <c r="G9" s="424"/>
      <c r="H9" s="424"/>
      <c r="I9" s="425" t="str">
        <f>'1. SA ABA DE CARREGAMENTO'!A4</f>
        <v>CAMPUS SANTO AUGUSTO</v>
      </c>
      <c r="J9" s="425"/>
    </row>
    <row r="10" spans="1:26" ht="24" customHeight="1" x14ac:dyDescent="0.2">
      <c r="A10" s="423"/>
      <c r="B10" s="423"/>
      <c r="C10" s="423"/>
      <c r="D10" s="523" t="s">
        <v>800</v>
      </c>
      <c r="E10" s="523"/>
      <c r="F10" s="523"/>
      <c r="G10" s="192">
        <f>'6. SA Cálc. DEMO Esq. e Fach'!D12</f>
        <v>580.82261818181826</v>
      </c>
      <c r="H10" s="193" t="s">
        <v>515</v>
      </c>
      <c r="I10" s="524" t="s">
        <v>516</v>
      </c>
      <c r="J10" s="524"/>
    </row>
    <row r="11" spans="1:26" ht="35.25" customHeight="1" x14ac:dyDescent="0.2">
      <c r="A11" s="194" t="s">
        <v>517</v>
      </c>
      <c r="B11" s="428" t="str">
        <f>'1. SA ABA DE CARREGAMENTO'!B11</f>
        <v>23243.000810/2021-41</v>
      </c>
      <c r="C11" s="428"/>
      <c r="D11" s="194" t="s">
        <v>518</v>
      </c>
      <c r="E11" s="429" t="str">
        <f>'1. SA ABA DE CARREGAMENTO'!B12</f>
        <v>33 / 2021</v>
      </c>
      <c r="F11" s="429"/>
      <c r="G11" s="194" t="s">
        <v>14</v>
      </c>
      <c r="H11" s="195">
        <f>'1. SA ABA DE CARREGAMENTO'!B13</f>
        <v>0</v>
      </c>
      <c r="I11" s="196" t="s">
        <v>15</v>
      </c>
      <c r="J11" s="197" t="str">
        <f>'1. SA ABA DE CARREGAMENTO'!B14</f>
        <v>09h (Horário de Brasília)</v>
      </c>
    </row>
    <row r="12" spans="1:26" ht="24" customHeight="1" x14ac:dyDescent="0.2">
      <c r="A12" s="198" t="s">
        <v>17</v>
      </c>
      <c r="B12" s="430" t="str">
        <f>'1. SA ABA DE CARREGAMENTO'!B15</f>
        <v>xxxx xxxx xxxx</v>
      </c>
      <c r="C12" s="430"/>
      <c r="D12" s="430"/>
      <c r="E12" s="430"/>
      <c r="F12" s="430"/>
      <c r="G12" s="430"/>
      <c r="H12" s="199" t="s">
        <v>519</v>
      </c>
      <c r="I12" s="431" t="str">
        <f>'1. SA ABA DE CARREGAMENTO'!B16</f>
        <v>zz.zzz.zzz/zzzz-zz</v>
      </c>
      <c r="J12" s="431"/>
    </row>
    <row r="13" spans="1:26" ht="24" customHeight="1" x14ac:dyDescent="0.2">
      <c r="A13" s="198" t="s">
        <v>520</v>
      </c>
      <c r="B13" s="430" t="str">
        <f>'1. SA ABA DE CARREGAMENTO'!B17</f>
        <v>Nome Completo</v>
      </c>
      <c r="C13" s="430"/>
      <c r="D13" s="430"/>
      <c r="E13" s="198" t="s">
        <v>521</v>
      </c>
      <c r="F13" s="432" t="str">
        <f>'1. SA ABA DE CARREGAMENTO'!B18</f>
        <v>yyy.yyy.yyy-yy</v>
      </c>
      <c r="G13" s="432"/>
      <c r="H13" s="198" t="s">
        <v>522</v>
      </c>
      <c r="I13" s="433" t="str">
        <f>'1. SA ABA DE CARREGAMENTO'!B19</f>
        <v>tttt tttt tttt</v>
      </c>
      <c r="J13" s="433"/>
    </row>
    <row r="14" spans="1:26" ht="15" x14ac:dyDescent="0.2">
      <c r="A14" s="434" t="str">
        <f>IF('1. SA ABA DE CARREGAMENTO'!B15="","PLANILHA CUSTOS E FORMAÇÃO DE PREÇOS DA ADMINISTRAÇÃO DO","")</f>
        <v/>
      </c>
      <c r="B14" s="434"/>
      <c r="C14" s="434"/>
      <c r="D14" s="434"/>
      <c r="E14" s="434"/>
      <c r="F14" s="434"/>
      <c r="G14" s="434"/>
      <c r="H14" s="435" t="str">
        <f>IF('1. SA ABA DE CARREGAMENTO'!B15="",'1. SA ABA DE CARREGAMENTO'!A4,"")</f>
        <v/>
      </c>
      <c r="I14" s="435"/>
      <c r="J14" s="435"/>
    </row>
    <row r="15" spans="1:26" ht="27.75" customHeight="1" x14ac:dyDescent="0.2">
      <c r="A15" s="436" t="s">
        <v>523</v>
      </c>
      <c r="B15" s="436"/>
      <c r="C15" s="436"/>
      <c r="D15" s="436"/>
      <c r="E15" s="436"/>
      <c r="F15" s="436"/>
      <c r="G15" s="436"/>
      <c r="H15" s="191">
        <f>'1. SA ABA DE CARREGAMENTO'!B51</f>
        <v>1</v>
      </c>
      <c r="I15" s="437" t="str">
        <f>IF(H15=1,"LUCRO REAL",IF(H15=2,"LUCRO PRESUMIDO",IF(H15=3,"SIMPLES-Anexo III",IF(H15=4,"SIMPLES-Anexo IV",IF(H15=5,"LUCRO REAL - PIS/COFINS Não Cumulativo","RT Inválido")))))</f>
        <v>LUCRO REAL</v>
      </c>
      <c r="J15" s="437"/>
    </row>
    <row r="16" spans="1:26" ht="9.75" customHeight="1" x14ac:dyDescent="0.2">
      <c r="A16" s="20"/>
      <c r="B16" s="20"/>
      <c r="C16" s="20"/>
      <c r="D16" s="20"/>
      <c r="E16" s="20"/>
      <c r="F16" s="20"/>
      <c r="G16" s="20"/>
      <c r="H16" s="20"/>
      <c r="I16" s="20"/>
      <c r="J16" s="20"/>
      <c r="K16" s="18"/>
      <c r="L16" s="18"/>
      <c r="M16" s="18"/>
      <c r="N16" s="18"/>
      <c r="O16" s="18"/>
      <c r="P16" s="18"/>
      <c r="Q16" s="18"/>
      <c r="R16" s="18"/>
      <c r="S16" s="18"/>
      <c r="T16" s="18"/>
      <c r="U16" s="18"/>
      <c r="V16" s="18"/>
      <c r="W16" s="18"/>
      <c r="X16" s="18"/>
      <c r="Y16" s="18"/>
      <c r="Z16" s="18"/>
    </row>
    <row r="17" spans="1:26" ht="21.75" customHeight="1" x14ac:dyDescent="0.2">
      <c r="A17" s="423" t="s">
        <v>524</v>
      </c>
      <c r="B17" s="423"/>
      <c r="C17" s="423"/>
      <c r="D17" s="423"/>
      <c r="E17" s="423"/>
      <c r="F17" s="423"/>
      <c r="G17" s="423"/>
      <c r="H17" s="423"/>
      <c r="I17" s="423"/>
      <c r="J17" s="423"/>
    </row>
    <row r="18" spans="1:26" ht="21.75" customHeight="1" x14ac:dyDescent="0.2">
      <c r="A18" s="200" t="s">
        <v>525</v>
      </c>
      <c r="B18" s="438" t="s">
        <v>526</v>
      </c>
      <c r="C18" s="438"/>
      <c r="D18" s="438"/>
      <c r="E18" s="438"/>
      <c r="F18" s="438"/>
      <c r="G18" s="438"/>
      <c r="H18" s="439">
        <f ca="1">'1. SA ABA DE CARREGAMENTO'!B54</f>
        <v>44609</v>
      </c>
      <c r="I18" s="439"/>
      <c r="J18" s="439"/>
    </row>
    <row r="19" spans="1:26" ht="21.75" customHeight="1" x14ac:dyDescent="0.2">
      <c r="A19" s="200" t="s">
        <v>527</v>
      </c>
      <c r="B19" s="438" t="s">
        <v>62</v>
      </c>
      <c r="C19" s="438"/>
      <c r="D19" s="438"/>
      <c r="E19" s="438"/>
      <c r="F19" s="438"/>
      <c r="G19" s="438"/>
      <c r="H19" s="439" t="str">
        <f>'1. SA ABA DE CARREGAMENTO'!B55</f>
        <v>Santo Augusto/RS</v>
      </c>
      <c r="I19" s="439"/>
      <c r="J19" s="439"/>
    </row>
    <row r="20" spans="1:26" ht="21.75" customHeight="1" x14ac:dyDescent="0.2">
      <c r="A20" s="200" t="s">
        <v>528</v>
      </c>
      <c r="B20" s="438" t="s">
        <v>529</v>
      </c>
      <c r="C20" s="438"/>
      <c r="D20" s="438"/>
      <c r="E20" s="438"/>
      <c r="F20" s="438"/>
      <c r="G20" s="438"/>
      <c r="H20" s="439" t="str">
        <f>'1. SA ABA DE CARREGAMENTO'!B56</f>
        <v>CCT Sindasseio 2022/2022 - Registro MTE: RS005021/2021</v>
      </c>
      <c r="I20" s="439"/>
      <c r="J20" s="439"/>
    </row>
    <row r="21" spans="1:26" ht="21.75" customHeight="1" x14ac:dyDescent="0.2">
      <c r="A21" s="200" t="s">
        <v>530</v>
      </c>
      <c r="B21" s="438" t="s">
        <v>531</v>
      </c>
      <c r="C21" s="438"/>
      <c r="D21" s="438"/>
      <c r="E21" s="438"/>
      <c r="F21" s="438"/>
      <c r="G21" s="438"/>
      <c r="H21" s="440">
        <f>'1. SA ABA DE CARREGAMENTO'!B57</f>
        <v>20</v>
      </c>
      <c r="I21" s="440"/>
      <c r="J21" s="440"/>
    </row>
    <row r="22" spans="1:26" ht="21.75" customHeight="1" x14ac:dyDescent="0.2">
      <c r="A22" s="20"/>
      <c r="B22" s="20"/>
      <c r="C22" s="20"/>
      <c r="D22" s="20"/>
      <c r="E22" s="20"/>
      <c r="F22" s="20"/>
      <c r="G22" s="20"/>
      <c r="H22" s="20"/>
      <c r="I22" s="20"/>
      <c r="J22" s="20"/>
      <c r="K22" s="18"/>
      <c r="L22" s="18"/>
      <c r="M22" s="18"/>
      <c r="N22" s="18"/>
      <c r="O22" s="18"/>
      <c r="P22" s="18"/>
      <c r="Q22" s="18"/>
      <c r="R22" s="18"/>
      <c r="S22" s="18"/>
      <c r="T22" s="18"/>
      <c r="U22" s="18"/>
      <c r="V22" s="18"/>
      <c r="W22" s="18"/>
      <c r="X22" s="18"/>
      <c r="Y22" s="18"/>
      <c r="Z22" s="18"/>
    </row>
    <row r="23" spans="1:26" ht="21.75" customHeight="1" x14ac:dyDescent="0.2">
      <c r="A23" s="423" t="s">
        <v>532</v>
      </c>
      <c r="B23" s="423"/>
      <c r="C23" s="423"/>
      <c r="D23" s="423"/>
      <c r="E23" s="423"/>
      <c r="F23" s="423"/>
      <c r="G23" s="423"/>
      <c r="H23" s="423"/>
      <c r="I23" s="423"/>
      <c r="J23" s="423"/>
    </row>
    <row r="24" spans="1:26" ht="21.75" customHeight="1" x14ac:dyDescent="0.2">
      <c r="A24" s="441" t="s">
        <v>533</v>
      </c>
      <c r="B24" s="441"/>
      <c r="C24" s="441"/>
      <c r="D24" s="441"/>
      <c r="E24" s="441"/>
      <c r="F24" s="441"/>
      <c r="G24" s="441" t="s">
        <v>534</v>
      </c>
      <c r="H24" s="441"/>
      <c r="I24" s="441" t="s">
        <v>535</v>
      </c>
      <c r="J24" s="441"/>
    </row>
    <row r="25" spans="1:26" ht="21.75" customHeight="1" x14ac:dyDescent="0.2">
      <c r="A25" s="442" t="s">
        <v>801</v>
      </c>
      <c r="B25" s="442"/>
      <c r="C25" s="442"/>
      <c r="D25" s="442"/>
      <c r="E25" s="442"/>
      <c r="F25" s="442"/>
      <c r="G25" s="443" t="s">
        <v>537</v>
      </c>
      <c r="H25" s="443"/>
      <c r="I25" s="444">
        <f>'6. SA Cálc. DEMO Esq. e Fach'!$D$8</f>
        <v>3.8041363636363639</v>
      </c>
      <c r="J25" s="444"/>
    </row>
    <row r="26" spans="1:26" ht="21.75" customHeight="1" x14ac:dyDescent="0.2">
      <c r="A26" s="442" t="s">
        <v>802</v>
      </c>
      <c r="B26" s="442"/>
      <c r="C26" s="442"/>
      <c r="D26" s="442"/>
      <c r="E26" s="442"/>
      <c r="F26" s="442"/>
      <c r="G26" s="443" t="s">
        <v>537</v>
      </c>
      <c r="H26" s="443"/>
      <c r="I26" s="444">
        <f>'6. SA Cálc. DEMO Esq. e Fach'!$D$9</f>
        <v>9.5592545454545466</v>
      </c>
      <c r="J26" s="444"/>
    </row>
    <row r="27" spans="1:26" ht="21.75" customHeight="1" x14ac:dyDescent="0.2">
      <c r="A27" s="442" t="s">
        <v>803</v>
      </c>
      <c r="B27" s="442"/>
      <c r="C27" s="442"/>
      <c r="D27" s="442"/>
      <c r="E27" s="442"/>
      <c r="F27" s="442"/>
      <c r="G27" s="443" t="s">
        <v>537</v>
      </c>
      <c r="H27" s="443"/>
      <c r="I27" s="444">
        <f>'6. SA Cálc. DEMO Esq. e Fach'!$D$10</f>
        <v>567.45922727272739</v>
      </c>
      <c r="J27" s="444"/>
    </row>
    <row r="28" spans="1:26" ht="21.75" customHeight="1" x14ac:dyDescent="0.2">
      <c r="A28" s="446" t="s">
        <v>804</v>
      </c>
      <c r="B28" s="446"/>
      <c r="C28" s="446"/>
      <c r="D28" s="446"/>
      <c r="E28" s="446"/>
      <c r="F28" s="446"/>
      <c r="G28" s="446"/>
      <c r="H28" s="446"/>
      <c r="I28" s="447">
        <f>SUM(I25:J27)</f>
        <v>580.82261818181826</v>
      </c>
      <c r="J28" s="447"/>
    </row>
    <row r="29" spans="1:26" ht="21.75" customHeight="1" x14ac:dyDescent="0.2">
      <c r="A29" s="442" t="s">
        <v>805</v>
      </c>
      <c r="B29" s="442"/>
      <c r="C29" s="442"/>
      <c r="D29" s="442"/>
      <c r="E29" s="442"/>
      <c r="F29" s="442"/>
      <c r="G29" s="443" t="s">
        <v>537</v>
      </c>
      <c r="H29" s="443"/>
      <c r="I29" s="445">
        <f>'6. SA Cálc. DEMO Esq. e Fach'!$D$11</f>
        <v>0</v>
      </c>
      <c r="J29" s="445"/>
    </row>
    <row r="30" spans="1:26" ht="21.75" customHeight="1" x14ac:dyDescent="0.2">
      <c r="A30" s="446" t="s">
        <v>806</v>
      </c>
      <c r="B30" s="446"/>
      <c r="C30" s="446"/>
      <c r="D30" s="446"/>
      <c r="E30" s="446"/>
      <c r="F30" s="446"/>
      <c r="G30" s="446"/>
      <c r="H30" s="446"/>
      <c r="I30" s="447">
        <f>I29</f>
        <v>0</v>
      </c>
      <c r="J30" s="447"/>
    </row>
    <row r="31" spans="1:26" ht="21.75" customHeight="1" x14ac:dyDescent="0.2">
      <c r="A31" s="442" t="s">
        <v>558</v>
      </c>
      <c r="B31" s="442"/>
      <c r="C31" s="442"/>
      <c r="D31" s="442"/>
      <c r="E31" s="442"/>
      <c r="F31" s="442"/>
      <c r="G31" s="443" t="s">
        <v>537</v>
      </c>
      <c r="H31" s="443"/>
      <c r="I31" s="448">
        <v>0</v>
      </c>
      <c r="J31" s="448"/>
    </row>
    <row r="32" spans="1:26" ht="21.75" customHeight="1" x14ac:dyDescent="0.2">
      <c r="A32" s="446" t="s">
        <v>559</v>
      </c>
      <c r="B32" s="446"/>
      <c r="C32" s="446"/>
      <c r="D32" s="446"/>
      <c r="E32" s="446"/>
      <c r="F32" s="446"/>
      <c r="G32" s="446"/>
      <c r="H32" s="446"/>
      <c r="I32" s="447">
        <f>I31</f>
        <v>0</v>
      </c>
      <c r="J32" s="447"/>
    </row>
    <row r="33" spans="1:10" ht="21.75" customHeight="1" x14ac:dyDescent="0.2">
      <c r="A33" s="446" t="s">
        <v>807</v>
      </c>
      <c r="B33" s="446"/>
      <c r="C33" s="446"/>
      <c r="D33" s="446"/>
      <c r="E33" s="446"/>
      <c r="F33" s="446"/>
      <c r="G33" s="446"/>
      <c r="H33" s="446"/>
      <c r="I33" s="447">
        <f>I32+I30+I28</f>
        <v>580.82261818181826</v>
      </c>
      <c r="J33" s="447"/>
    </row>
    <row r="34" spans="1:10" ht="9.75" customHeight="1" x14ac:dyDescent="0.2">
      <c r="A34" s="534"/>
      <c r="B34" s="534"/>
      <c r="C34" s="534"/>
      <c r="D34" s="534"/>
      <c r="E34" s="534"/>
      <c r="F34" s="534"/>
      <c r="G34" s="534"/>
      <c r="H34" s="534"/>
      <c r="I34" s="534"/>
      <c r="J34" s="534"/>
    </row>
    <row r="35" spans="1:10" ht="24" customHeight="1" x14ac:dyDescent="0.2">
      <c r="A35" s="423" t="s">
        <v>561</v>
      </c>
      <c r="B35" s="423"/>
      <c r="C35" s="423"/>
      <c r="D35" s="423"/>
      <c r="E35" s="423"/>
      <c r="F35" s="423"/>
      <c r="G35" s="423"/>
      <c r="H35" s="423"/>
      <c r="I35" s="423"/>
      <c r="J35" s="423"/>
    </row>
    <row r="36" spans="1:10" ht="24" customHeight="1" x14ac:dyDescent="0.2">
      <c r="A36" s="423" t="s">
        <v>562</v>
      </c>
      <c r="B36" s="423"/>
      <c r="C36" s="423"/>
      <c r="D36" s="423"/>
      <c r="E36" s="423"/>
      <c r="F36" s="423"/>
      <c r="G36" s="423"/>
      <c r="H36" s="423"/>
      <c r="I36" s="423"/>
      <c r="J36" s="423"/>
    </row>
    <row r="37" spans="1:10" ht="24" customHeight="1" x14ac:dyDescent="0.2">
      <c r="A37" s="423" t="s">
        <v>563</v>
      </c>
      <c r="B37" s="423"/>
      <c r="C37" s="423"/>
      <c r="D37" s="423"/>
      <c r="E37" s="423"/>
      <c r="F37" s="423"/>
      <c r="G37" s="423"/>
      <c r="H37" s="423"/>
      <c r="I37" s="423"/>
      <c r="J37" s="423"/>
    </row>
    <row r="38" spans="1:10" ht="24" customHeight="1" x14ac:dyDescent="0.2">
      <c r="A38" s="203">
        <v>1</v>
      </c>
      <c r="B38" s="450" t="s">
        <v>67</v>
      </c>
      <c r="C38" s="450"/>
      <c r="D38" s="450"/>
      <c r="E38" s="450"/>
      <c r="F38" s="450"/>
      <c r="G38" s="450"/>
      <c r="H38" s="451" t="str">
        <f>'1. SA ABA DE CARREGAMENTO'!B60</f>
        <v>Limpeza, Asseio e Conservação</v>
      </c>
      <c r="I38" s="451"/>
      <c r="J38" s="451"/>
    </row>
    <row r="39" spans="1:10" ht="24" customHeight="1" x14ac:dyDescent="0.2">
      <c r="A39" s="203">
        <v>2</v>
      </c>
      <c r="B39" s="450" t="s">
        <v>69</v>
      </c>
      <c r="C39" s="450"/>
      <c r="D39" s="450"/>
      <c r="E39" s="450"/>
      <c r="F39" s="450"/>
      <c r="G39" s="450"/>
      <c r="H39" s="451">
        <f>'1. SA ABA DE CARREGAMENTO'!C61</f>
        <v>5143</v>
      </c>
      <c r="I39" s="451"/>
      <c r="J39" s="451"/>
    </row>
    <row r="40" spans="1:10" ht="24" customHeight="1" x14ac:dyDescent="0.2">
      <c r="A40" s="203">
        <v>3</v>
      </c>
      <c r="B40" s="450" t="s">
        <v>71</v>
      </c>
      <c r="C40" s="450"/>
      <c r="D40" s="450"/>
      <c r="E40" s="450"/>
      <c r="F40" s="450"/>
      <c r="G40" s="450"/>
      <c r="H40" s="452">
        <f>'1. SA ABA DE CARREGAMENTO'!C63</f>
        <v>1314.09</v>
      </c>
      <c r="I40" s="452"/>
      <c r="J40" s="452"/>
    </row>
    <row r="41" spans="1:10" ht="24" customHeight="1" x14ac:dyDescent="0.2">
      <c r="A41" s="203">
        <v>4</v>
      </c>
      <c r="B41" s="450" t="s">
        <v>72</v>
      </c>
      <c r="C41" s="450"/>
      <c r="D41" s="450"/>
      <c r="E41" s="450"/>
      <c r="F41" s="450"/>
      <c r="G41" s="450"/>
      <c r="H41" s="451" t="str">
        <f>'1. SA ABA DE CARREGAMENTO'!C64</f>
        <v>Servente de Limpeza</v>
      </c>
      <c r="I41" s="451"/>
      <c r="J41" s="451"/>
    </row>
    <row r="42" spans="1:10" ht="24" customHeight="1" x14ac:dyDescent="0.2">
      <c r="A42" s="203">
        <v>5</v>
      </c>
      <c r="B42" s="450" t="s">
        <v>74</v>
      </c>
      <c r="C42" s="450"/>
      <c r="D42" s="450"/>
      <c r="E42" s="450"/>
      <c r="F42" s="450"/>
      <c r="G42" s="450"/>
      <c r="H42" s="453">
        <f>'1. SA ABA DE CARREGAMENTO'!C65</f>
        <v>44562</v>
      </c>
      <c r="I42" s="453"/>
      <c r="J42" s="453"/>
    </row>
    <row r="43" spans="1:10" ht="14.25" customHeight="1" x14ac:dyDescent="0.2">
      <c r="A43" s="204" t="s">
        <v>564</v>
      </c>
      <c r="B43" s="454" t="s">
        <v>565</v>
      </c>
      <c r="C43" s="454"/>
      <c r="D43" s="454"/>
      <c r="E43" s="454"/>
      <c r="F43" s="454"/>
      <c r="G43" s="454"/>
      <c r="H43" s="454"/>
      <c r="I43" s="454"/>
      <c r="J43" s="454"/>
    </row>
    <row r="44" spans="1:10" x14ac:dyDescent="0.2">
      <c r="A44" s="526"/>
      <c r="B44" s="526"/>
      <c r="C44" s="526"/>
      <c r="D44" s="526"/>
      <c r="E44" s="526"/>
      <c r="F44" s="526"/>
      <c r="G44" s="526"/>
      <c r="H44" s="526"/>
      <c r="I44" s="526"/>
      <c r="J44" s="526"/>
    </row>
    <row r="45" spans="1:10" ht="21" customHeight="1" x14ac:dyDescent="0.2">
      <c r="A45" s="423" t="s">
        <v>566</v>
      </c>
      <c r="B45" s="423"/>
      <c r="C45" s="423"/>
      <c r="D45" s="423"/>
      <c r="E45" s="423"/>
      <c r="F45" s="423"/>
      <c r="G45" s="423"/>
      <c r="H45" s="423"/>
      <c r="I45" s="423"/>
      <c r="J45" s="423"/>
    </row>
    <row r="46" spans="1:10" ht="21" customHeight="1" x14ac:dyDescent="0.2">
      <c r="A46" s="191">
        <v>1</v>
      </c>
      <c r="B46" s="423" t="s">
        <v>567</v>
      </c>
      <c r="C46" s="423"/>
      <c r="D46" s="423"/>
      <c r="E46" s="423"/>
      <c r="F46" s="423"/>
      <c r="G46" s="423"/>
      <c r="H46" s="423"/>
      <c r="I46" s="206" t="s">
        <v>568</v>
      </c>
      <c r="J46" s="191" t="s">
        <v>569</v>
      </c>
    </row>
    <row r="47" spans="1:10" ht="24.75" customHeight="1" x14ac:dyDescent="0.2">
      <c r="A47" s="200" t="s">
        <v>525</v>
      </c>
      <c r="B47" s="455" t="s">
        <v>570</v>
      </c>
      <c r="C47" s="455"/>
      <c r="D47" s="455"/>
      <c r="E47" s="207">
        <f>'1. SA ABA DE CARREGAMENTO'!C68</f>
        <v>44</v>
      </c>
      <c r="F47" s="208" t="s">
        <v>571</v>
      </c>
      <c r="G47" s="456" t="str">
        <f>'1. SA ABA DE CARREGAMENTO'!B62</f>
        <v>Cláusula Quarta da CCT 2022/2022</v>
      </c>
      <c r="H47" s="456"/>
      <c r="I47" s="456"/>
      <c r="J47" s="209">
        <f>H40/44*'1. SA ABA DE CARREGAMENTO'!C68</f>
        <v>1314.09</v>
      </c>
    </row>
    <row r="48" spans="1:10" ht="33.75" customHeight="1" x14ac:dyDescent="0.2">
      <c r="A48" s="200" t="s">
        <v>527</v>
      </c>
      <c r="B48" s="455" t="s">
        <v>572</v>
      </c>
      <c r="C48" s="455"/>
      <c r="D48" s="456" t="str">
        <f>'1. SA ABA DE CARREGAMENTO'!B69</f>
        <v>Cláusula Décima Sétima da CCT 2022/2022</v>
      </c>
      <c r="E48" s="456"/>
      <c r="F48" s="456"/>
      <c r="G48" s="456"/>
      <c r="H48" s="456"/>
      <c r="I48" s="210">
        <f>'1. SA ABA DE CARREGAMENTO'!C71</f>
        <v>0.2</v>
      </c>
      <c r="J48" s="209">
        <f>ROUND(I48*J47,2)</f>
        <v>262.82</v>
      </c>
    </row>
    <row r="49" spans="1:10" ht="21" customHeight="1" x14ac:dyDescent="0.2">
      <c r="A49" s="200" t="s">
        <v>528</v>
      </c>
      <c r="B49" s="438" t="s">
        <v>573</v>
      </c>
      <c r="C49" s="438"/>
      <c r="D49" s="438"/>
      <c r="E49" s="438"/>
      <c r="F49" s="438"/>
      <c r="G49" s="438"/>
      <c r="H49" s="438"/>
      <c r="I49" s="438"/>
      <c r="J49" s="209">
        <v>0</v>
      </c>
    </row>
    <row r="50" spans="1:10" ht="21" customHeight="1" x14ac:dyDescent="0.2">
      <c r="A50" s="457" t="s">
        <v>574</v>
      </c>
      <c r="B50" s="457"/>
      <c r="C50" s="457"/>
      <c r="D50" s="457"/>
      <c r="E50" s="457"/>
      <c r="F50" s="457"/>
      <c r="G50" s="457"/>
      <c r="H50" s="457"/>
      <c r="I50" s="457"/>
      <c r="J50" s="211">
        <f>SUM(J47:J49)</f>
        <v>1576.9099999999999</v>
      </c>
    </row>
    <row r="51" spans="1:10" ht="14.25" customHeight="1" x14ac:dyDescent="0.2">
      <c r="A51" s="212" t="s">
        <v>575</v>
      </c>
      <c r="B51" s="458" t="s">
        <v>778</v>
      </c>
      <c r="C51" s="458"/>
      <c r="D51" s="458"/>
      <c r="E51" s="458"/>
      <c r="F51" s="458"/>
      <c r="G51" s="458"/>
      <c r="H51" s="458"/>
      <c r="I51" s="458"/>
      <c r="J51" s="458"/>
    </row>
    <row r="52" spans="1:10" ht="9.75" customHeight="1" x14ac:dyDescent="0.2">
      <c r="A52" s="530"/>
      <c r="B52" s="530"/>
      <c r="C52" s="530"/>
      <c r="D52" s="530"/>
      <c r="E52" s="530"/>
      <c r="F52" s="530"/>
      <c r="G52" s="530"/>
      <c r="H52" s="530"/>
      <c r="I52" s="530"/>
      <c r="J52" s="530"/>
    </row>
    <row r="53" spans="1:10" ht="22.5" customHeight="1" x14ac:dyDescent="0.2">
      <c r="A53" s="423" t="s">
        <v>577</v>
      </c>
      <c r="B53" s="423"/>
      <c r="C53" s="423"/>
      <c r="D53" s="423"/>
      <c r="E53" s="423"/>
      <c r="F53" s="423"/>
      <c r="G53" s="423"/>
      <c r="H53" s="423"/>
      <c r="I53" s="423"/>
      <c r="J53" s="423"/>
    </row>
    <row r="54" spans="1:10" ht="22.5" customHeight="1" x14ac:dyDescent="0.2">
      <c r="A54" s="191" t="s">
        <v>578</v>
      </c>
      <c r="B54" s="423" t="s">
        <v>579</v>
      </c>
      <c r="C54" s="423"/>
      <c r="D54" s="423"/>
      <c r="E54" s="423"/>
      <c r="F54" s="423"/>
      <c r="G54" s="423"/>
      <c r="H54" s="423"/>
      <c r="I54" s="423"/>
      <c r="J54" s="191" t="s">
        <v>580</v>
      </c>
    </row>
    <row r="55" spans="1:10" ht="22.5" customHeight="1" x14ac:dyDescent="0.2">
      <c r="A55" s="200" t="s">
        <v>525</v>
      </c>
      <c r="B55" s="438" t="s">
        <v>581</v>
      </c>
      <c r="C55" s="438"/>
      <c r="D55" s="438"/>
      <c r="E55" s="438"/>
      <c r="F55" s="438"/>
      <c r="G55" s="438"/>
      <c r="H55" s="438"/>
      <c r="I55" s="438"/>
      <c r="J55" s="213">
        <f>ROUND(J50/12,2)</f>
        <v>131.41</v>
      </c>
    </row>
    <row r="56" spans="1:10" ht="22.5" customHeight="1" x14ac:dyDescent="0.2">
      <c r="A56" s="200" t="s">
        <v>527</v>
      </c>
      <c r="B56" s="459" t="s">
        <v>892</v>
      </c>
      <c r="C56" s="459"/>
      <c r="D56" s="459"/>
      <c r="E56" s="459"/>
      <c r="F56" s="459"/>
      <c r="G56" s="459"/>
      <c r="H56" s="459"/>
      <c r="I56" s="459"/>
      <c r="J56" s="213">
        <f>ROUND(J50*3.025%,2)</f>
        <v>47.7</v>
      </c>
    </row>
    <row r="57" spans="1:10" ht="22.5" customHeight="1" x14ac:dyDescent="0.2">
      <c r="A57" s="457" t="s">
        <v>582</v>
      </c>
      <c r="B57" s="457"/>
      <c r="C57" s="457"/>
      <c r="D57" s="457"/>
      <c r="E57" s="457"/>
      <c r="F57" s="457"/>
      <c r="G57" s="457"/>
      <c r="H57" s="457"/>
      <c r="I57" s="457"/>
      <c r="J57" s="214">
        <f>SUM(J55:J56)</f>
        <v>179.11</v>
      </c>
    </row>
    <row r="58" spans="1:10" ht="35.25" customHeight="1" x14ac:dyDescent="0.2">
      <c r="A58" s="212" t="s">
        <v>583</v>
      </c>
      <c r="B58" s="458" t="s">
        <v>584</v>
      </c>
      <c r="C58" s="458"/>
      <c r="D58" s="458"/>
      <c r="E58" s="458"/>
      <c r="F58" s="458"/>
      <c r="G58" s="458"/>
      <c r="H58" s="458"/>
      <c r="I58" s="458"/>
      <c r="J58" s="458"/>
    </row>
    <row r="59" spans="1:10" ht="9.75" customHeight="1" x14ac:dyDescent="0.2">
      <c r="A59" s="528"/>
      <c r="B59" s="528"/>
      <c r="C59" s="528"/>
      <c r="D59" s="528"/>
      <c r="E59" s="528"/>
      <c r="F59" s="528"/>
      <c r="G59" s="528"/>
      <c r="H59" s="528"/>
      <c r="I59" s="528"/>
      <c r="J59" s="215"/>
    </row>
    <row r="60" spans="1:10" ht="30.75" customHeight="1" x14ac:dyDescent="0.2">
      <c r="A60" s="191" t="s">
        <v>585</v>
      </c>
      <c r="B60" s="423" t="s">
        <v>808</v>
      </c>
      <c r="C60" s="423"/>
      <c r="D60" s="423"/>
      <c r="E60" s="423"/>
      <c r="F60" s="423"/>
      <c r="G60" s="423"/>
      <c r="H60" s="423"/>
      <c r="I60" s="423"/>
      <c r="J60" s="423"/>
    </row>
    <row r="61" spans="1:10" ht="22.5" customHeight="1" x14ac:dyDescent="0.2">
      <c r="A61" s="191"/>
      <c r="B61" s="423" t="s">
        <v>587</v>
      </c>
      <c r="C61" s="423"/>
      <c r="D61" s="423"/>
      <c r="E61" s="423"/>
      <c r="F61" s="423"/>
      <c r="G61" s="423"/>
      <c r="H61" s="423"/>
      <c r="I61" s="191" t="s">
        <v>568</v>
      </c>
      <c r="J61" s="191" t="s">
        <v>580</v>
      </c>
    </row>
    <row r="62" spans="1:10" ht="22.5" customHeight="1" x14ac:dyDescent="0.2">
      <c r="A62" s="200" t="s">
        <v>525</v>
      </c>
      <c r="B62" s="438" t="s">
        <v>84</v>
      </c>
      <c r="C62" s="438"/>
      <c r="D62" s="438"/>
      <c r="E62" s="438"/>
      <c r="F62" s="438"/>
      <c r="G62" s="438"/>
      <c r="H62" s="438"/>
      <c r="I62" s="216">
        <f>'1. SA ABA DE CARREGAMENTO'!C78</f>
        <v>0.2</v>
      </c>
      <c r="J62" s="213">
        <f>ROUND((J50+J57)*I62,2)</f>
        <v>351.2</v>
      </c>
    </row>
    <row r="63" spans="1:10" ht="22.5" customHeight="1" x14ac:dyDescent="0.2">
      <c r="A63" s="200" t="s">
        <v>527</v>
      </c>
      <c r="B63" s="438" t="s">
        <v>85</v>
      </c>
      <c r="C63" s="438"/>
      <c r="D63" s="438"/>
      <c r="E63" s="438"/>
      <c r="F63" s="438"/>
      <c r="G63" s="438"/>
      <c r="H63" s="438"/>
      <c r="I63" s="216">
        <f>IF($H$15=1,'1. SA ABA DE CARREGAMENTO'!C79,IF($H$15=2,'1. SA ABA DE CARREGAMENTO'!C79,0))</f>
        <v>2.5000000000000001E-2</v>
      </c>
      <c r="J63" s="213">
        <f>ROUND((J50+J57)*I63,2)</f>
        <v>43.9</v>
      </c>
    </row>
    <row r="64" spans="1:10" ht="35.25" customHeight="1" x14ac:dyDescent="0.2">
      <c r="A64" s="200" t="s">
        <v>528</v>
      </c>
      <c r="B64" s="438" t="s">
        <v>86</v>
      </c>
      <c r="C64" s="438"/>
      <c r="D64" s="438"/>
      <c r="E64" s="201" t="s">
        <v>588</v>
      </c>
      <c r="F64" s="216">
        <f>'1. SA ABA DE CARREGAMENTO'!$B$74</f>
        <v>0.03</v>
      </c>
      <c r="G64" s="201" t="s">
        <v>589</v>
      </c>
      <c r="H64" s="217">
        <f>'1. SA ABA DE CARREGAMENTO'!$B$75</f>
        <v>1</v>
      </c>
      <c r="I64" s="216">
        <f>'1. SA ABA DE CARREGAMENTO'!C80</f>
        <v>0.03</v>
      </c>
      <c r="J64" s="213">
        <f>ROUND((J50+J57)*I64,2)</f>
        <v>52.68</v>
      </c>
    </row>
    <row r="65" spans="1:10" ht="22.5" customHeight="1" x14ac:dyDescent="0.2">
      <c r="A65" s="200" t="s">
        <v>530</v>
      </c>
      <c r="B65" s="438" t="s">
        <v>87</v>
      </c>
      <c r="C65" s="438"/>
      <c r="D65" s="438"/>
      <c r="E65" s="438"/>
      <c r="F65" s="438"/>
      <c r="G65" s="438"/>
      <c r="H65" s="438"/>
      <c r="I65" s="216">
        <f>IF($H$15=1,'1. SA ABA DE CARREGAMENTO'!C81,IF($H$15=2,'1. SA ABA DE CARREGAMENTO'!C81,0))</f>
        <v>1.4999999999999999E-2</v>
      </c>
      <c r="J65" s="213">
        <f>ROUND((J50+J57)*I65,2)</f>
        <v>26.34</v>
      </c>
    </row>
    <row r="66" spans="1:10" ht="22.5" customHeight="1" x14ac:dyDescent="0.2">
      <c r="A66" s="200" t="s">
        <v>590</v>
      </c>
      <c r="B66" s="438" t="s">
        <v>88</v>
      </c>
      <c r="C66" s="438"/>
      <c r="D66" s="438"/>
      <c r="E66" s="438"/>
      <c r="F66" s="438"/>
      <c r="G66" s="438"/>
      <c r="H66" s="438"/>
      <c r="I66" s="216">
        <f>IF($H$15=1,'1. SA ABA DE CARREGAMENTO'!C82,IF($H$15=2,'1. SA ABA DE CARREGAMENTO'!C82,0))</f>
        <v>0.01</v>
      </c>
      <c r="J66" s="213">
        <f>ROUND((J50+J57)*I66,2)</f>
        <v>17.559999999999999</v>
      </c>
    </row>
    <row r="67" spans="1:10" ht="22.5" customHeight="1" x14ac:dyDescent="0.2">
      <c r="A67" s="200" t="s">
        <v>591</v>
      </c>
      <c r="B67" s="438" t="s">
        <v>89</v>
      </c>
      <c r="C67" s="438"/>
      <c r="D67" s="438"/>
      <c r="E67" s="438"/>
      <c r="F67" s="438"/>
      <c r="G67" s="438"/>
      <c r="H67" s="438"/>
      <c r="I67" s="216">
        <f>IF($H$15=1,'1. SA ABA DE CARREGAMENTO'!C83,IF($H$15=2,'1. SA ABA DE CARREGAMENTO'!C83,0))</f>
        <v>6.0000000000000001E-3</v>
      </c>
      <c r="J67" s="213">
        <f>ROUND((J50+J57)*I67,2)</f>
        <v>10.54</v>
      </c>
    </row>
    <row r="68" spans="1:10" ht="22.5" customHeight="1" x14ac:dyDescent="0.2">
      <c r="A68" s="200" t="s">
        <v>592</v>
      </c>
      <c r="B68" s="438" t="s">
        <v>90</v>
      </c>
      <c r="C68" s="438"/>
      <c r="D68" s="438"/>
      <c r="E68" s="438"/>
      <c r="F68" s="438"/>
      <c r="G68" s="438"/>
      <c r="H68" s="438"/>
      <c r="I68" s="216">
        <f>IF($H$15=1,'1. SA ABA DE CARREGAMENTO'!C84,IF($H$15=2,'1. SA ABA DE CARREGAMENTO'!C84,0))</f>
        <v>2E-3</v>
      </c>
      <c r="J68" s="213">
        <f>ROUND((J50+J57)*I68,2)</f>
        <v>3.51</v>
      </c>
    </row>
    <row r="69" spans="1:10" ht="22.5" customHeight="1" x14ac:dyDescent="0.2">
      <c r="A69" s="200" t="s">
        <v>593</v>
      </c>
      <c r="B69" s="438" t="s">
        <v>91</v>
      </c>
      <c r="C69" s="438"/>
      <c r="D69" s="438"/>
      <c r="E69" s="438"/>
      <c r="F69" s="438"/>
      <c r="G69" s="438"/>
      <c r="H69" s="438"/>
      <c r="I69" s="216">
        <f>'1. SA ABA DE CARREGAMENTO'!C85</f>
        <v>0.08</v>
      </c>
      <c r="J69" s="213">
        <f>ROUND((J50+J57)*I69,2)</f>
        <v>140.47999999999999</v>
      </c>
    </row>
    <row r="70" spans="1:10" ht="22.5" customHeight="1" x14ac:dyDescent="0.2">
      <c r="A70" s="457" t="s">
        <v>594</v>
      </c>
      <c r="B70" s="457"/>
      <c r="C70" s="457"/>
      <c r="D70" s="457"/>
      <c r="E70" s="457"/>
      <c r="F70" s="457"/>
      <c r="G70" s="457"/>
      <c r="H70" s="457"/>
      <c r="I70" s="218">
        <f>SUM(I62:I69)</f>
        <v>0.36800000000000005</v>
      </c>
      <c r="J70" s="214">
        <f>SUM(J62:J69)</f>
        <v>646.20999999999992</v>
      </c>
    </row>
    <row r="71" spans="1:10" ht="14.25" customHeight="1" x14ac:dyDescent="0.2">
      <c r="A71" s="212" t="s">
        <v>595</v>
      </c>
      <c r="B71" s="458" t="s">
        <v>596</v>
      </c>
      <c r="C71" s="458"/>
      <c r="D71" s="458"/>
      <c r="E71" s="458"/>
      <c r="F71" s="458"/>
      <c r="G71" s="458"/>
      <c r="H71" s="458"/>
      <c r="I71" s="458"/>
      <c r="J71" s="458"/>
    </row>
    <row r="72" spans="1:10" ht="14.25" customHeight="1" x14ac:dyDescent="0.2">
      <c r="A72" s="212" t="s">
        <v>597</v>
      </c>
      <c r="B72" s="458" t="s">
        <v>598</v>
      </c>
      <c r="C72" s="458"/>
      <c r="D72" s="458"/>
      <c r="E72" s="458"/>
      <c r="F72" s="458"/>
      <c r="G72" s="458"/>
      <c r="H72" s="458"/>
      <c r="I72" s="458"/>
      <c r="J72" s="458"/>
    </row>
    <row r="73" spans="1:10" ht="9.75" customHeight="1" x14ac:dyDescent="0.2">
      <c r="A73" s="219"/>
      <c r="B73" s="220"/>
      <c r="C73" s="220"/>
      <c r="D73" s="220"/>
      <c r="E73" s="220"/>
      <c r="F73" s="220"/>
      <c r="G73" s="220"/>
      <c r="H73" s="220"/>
      <c r="I73" s="220"/>
      <c r="J73" s="220"/>
    </row>
    <row r="74" spans="1:10" ht="20.25" customHeight="1" x14ac:dyDescent="0.2">
      <c r="A74" s="221" t="s">
        <v>599</v>
      </c>
      <c r="B74" s="423" t="s">
        <v>600</v>
      </c>
      <c r="C74" s="423"/>
      <c r="D74" s="423"/>
      <c r="E74" s="423"/>
      <c r="F74" s="423"/>
      <c r="G74" s="423"/>
      <c r="H74" s="423"/>
      <c r="I74" s="423"/>
      <c r="J74" s="423"/>
    </row>
    <row r="75" spans="1:10" ht="20.25" customHeight="1" x14ac:dyDescent="0.2">
      <c r="A75" s="191"/>
      <c r="B75" s="423" t="s">
        <v>600</v>
      </c>
      <c r="C75" s="423"/>
      <c r="D75" s="423"/>
      <c r="E75" s="423"/>
      <c r="F75" s="423"/>
      <c r="G75" s="423"/>
      <c r="H75" s="423"/>
      <c r="I75" s="423"/>
      <c r="J75" s="191" t="s">
        <v>580</v>
      </c>
    </row>
    <row r="76" spans="1:10" ht="20.25" customHeight="1" x14ac:dyDescent="0.2">
      <c r="A76" s="441" t="s">
        <v>525</v>
      </c>
      <c r="B76" s="438" t="s">
        <v>601</v>
      </c>
      <c r="C76" s="438"/>
      <c r="D76" s="438"/>
      <c r="E76" s="438"/>
      <c r="F76" s="438"/>
      <c r="G76" s="438"/>
      <c r="H76" s="438"/>
      <c r="I76" s="438"/>
      <c r="J76" s="460">
        <f>IF(ROUND((I79*I77*I78)-(J47*0.06),2)&lt;0,0,ROUND((I79*I77*I78)-(J47*0.06),2))*1+(I77*I78*21.726-0.06*J47)*0</f>
        <v>0</v>
      </c>
    </row>
    <row r="77" spans="1:10" ht="20.25" customHeight="1" x14ac:dyDescent="0.2">
      <c r="A77" s="441"/>
      <c r="B77" s="461" t="s">
        <v>602</v>
      </c>
      <c r="C77" s="461"/>
      <c r="D77" s="461"/>
      <c r="E77" s="461"/>
      <c r="F77" s="461"/>
      <c r="G77" s="461"/>
      <c r="H77" s="461"/>
      <c r="I77" s="222">
        <f>'1. SA ABA DE CARREGAMENTO'!$B$88</f>
        <v>0</v>
      </c>
      <c r="J77" s="460"/>
    </row>
    <row r="78" spans="1:10" ht="20.25" customHeight="1" x14ac:dyDescent="0.2">
      <c r="A78" s="441"/>
      <c r="B78" s="461" t="s">
        <v>603</v>
      </c>
      <c r="C78" s="461"/>
      <c r="D78" s="461"/>
      <c r="E78" s="461"/>
      <c r="F78" s="461"/>
      <c r="G78" s="461"/>
      <c r="H78" s="461"/>
      <c r="I78" s="223">
        <f>'1. SA ABA DE CARREGAMENTO'!$B$89</f>
        <v>2</v>
      </c>
      <c r="J78" s="460"/>
    </row>
    <row r="79" spans="1:10" ht="20.25" customHeight="1" x14ac:dyDescent="0.2">
      <c r="A79" s="441"/>
      <c r="B79" s="461" t="s">
        <v>604</v>
      </c>
      <c r="C79" s="461"/>
      <c r="D79" s="461"/>
      <c r="E79" s="461"/>
      <c r="F79" s="461"/>
      <c r="G79" s="461"/>
      <c r="H79" s="461"/>
      <c r="I79" s="223">
        <f>'1. SA ABA DE CARREGAMENTO'!$B$90</f>
        <v>22</v>
      </c>
      <c r="J79" s="460"/>
    </row>
    <row r="80" spans="1:10" ht="20.25" customHeight="1" x14ac:dyDescent="0.2">
      <c r="A80" s="441"/>
      <c r="B80" s="461" t="s">
        <v>605</v>
      </c>
      <c r="C80" s="461"/>
      <c r="D80" s="461"/>
      <c r="E80" s="461"/>
      <c r="F80" s="461"/>
      <c r="G80" s="461"/>
      <c r="H80" s="461"/>
      <c r="I80" s="224">
        <f>'1. SA ABA DE CARREGAMENTO'!B91</f>
        <v>0.06</v>
      </c>
      <c r="J80" s="460"/>
    </row>
    <row r="81" spans="1:10" ht="20.25" customHeight="1" x14ac:dyDescent="0.2">
      <c r="A81" s="441" t="s">
        <v>527</v>
      </c>
      <c r="B81" s="455" t="s">
        <v>606</v>
      </c>
      <c r="C81" s="455"/>
      <c r="D81" s="455"/>
      <c r="E81" s="462" t="str">
        <f>'1. SA ABA DE CARREGAMENTO'!B94</f>
        <v>Cláusula Décima Oitava da CCT 2022/2022</v>
      </c>
      <c r="F81" s="462"/>
      <c r="G81" s="462"/>
      <c r="H81" s="462"/>
      <c r="I81" s="463"/>
      <c r="J81" s="460">
        <f>ROUND((I82*I83)-((I82*I83)*I84),2)</f>
        <v>359.61</v>
      </c>
    </row>
    <row r="82" spans="1:10" ht="20.25" customHeight="1" x14ac:dyDescent="0.2">
      <c r="A82" s="441"/>
      <c r="B82" s="461" t="s">
        <v>607</v>
      </c>
      <c r="C82" s="461"/>
      <c r="D82" s="461"/>
      <c r="E82" s="461"/>
      <c r="F82" s="461"/>
      <c r="G82" s="461"/>
      <c r="H82" s="461"/>
      <c r="I82" s="225">
        <f>'1. SA ABA DE CARREGAMENTO'!B95</f>
        <v>20.18</v>
      </c>
      <c r="J82" s="460"/>
    </row>
    <row r="83" spans="1:10" ht="20.25" customHeight="1" x14ac:dyDescent="0.2">
      <c r="A83" s="441"/>
      <c r="B83" s="461" t="s">
        <v>608</v>
      </c>
      <c r="C83" s="461"/>
      <c r="D83" s="461"/>
      <c r="E83" s="461"/>
      <c r="F83" s="461"/>
      <c r="G83" s="461"/>
      <c r="H83" s="461"/>
      <c r="I83" s="223">
        <f>'1. SA ABA DE CARREGAMENTO'!B97</f>
        <v>22</v>
      </c>
      <c r="J83" s="460"/>
    </row>
    <row r="84" spans="1:10" ht="20.25" customHeight="1" x14ac:dyDescent="0.2">
      <c r="A84" s="441"/>
      <c r="B84" s="461" t="s">
        <v>609</v>
      </c>
      <c r="C84" s="461"/>
      <c r="D84" s="461"/>
      <c r="E84" s="461"/>
      <c r="F84" s="461"/>
      <c r="G84" s="461"/>
      <c r="H84" s="461"/>
      <c r="I84" s="226">
        <f>'1. SA ABA DE CARREGAMENTO'!B96</f>
        <v>0.19</v>
      </c>
      <c r="J84" s="460"/>
    </row>
    <row r="85" spans="1:10" ht="20.25" customHeight="1" x14ac:dyDescent="0.2">
      <c r="A85" s="200" t="s">
        <v>528</v>
      </c>
      <c r="B85" s="455" t="s">
        <v>610</v>
      </c>
      <c r="C85" s="455"/>
      <c r="D85" s="455"/>
      <c r="E85" s="462" t="str">
        <f>'1. SA ABA DE CARREGAMENTO'!B100</f>
        <v>Cláusula Vigésima Nona da CCT 2022/2022</v>
      </c>
      <c r="F85" s="462"/>
      <c r="G85" s="462"/>
      <c r="H85" s="462"/>
      <c r="I85" s="463"/>
      <c r="J85" s="227">
        <f>'1. SA ABA DE CARREGAMENTO'!C100</f>
        <v>17.32</v>
      </c>
    </row>
    <row r="86" spans="1:10" ht="20.25" customHeight="1" x14ac:dyDescent="0.2">
      <c r="A86" s="200" t="s">
        <v>530</v>
      </c>
      <c r="B86" s="438" t="s">
        <v>611</v>
      </c>
      <c r="C86" s="438"/>
      <c r="D86" s="438"/>
      <c r="E86" s="438"/>
      <c r="F86" s="438"/>
      <c r="G86" s="438"/>
      <c r="H86" s="438"/>
      <c r="I86" s="438"/>
      <c r="J86" s="213">
        <v>0</v>
      </c>
    </row>
    <row r="87" spans="1:10" ht="20.25" customHeight="1" x14ac:dyDescent="0.2">
      <c r="A87" s="457" t="s">
        <v>612</v>
      </c>
      <c r="B87" s="457"/>
      <c r="C87" s="457"/>
      <c r="D87" s="457"/>
      <c r="E87" s="457"/>
      <c r="F87" s="457"/>
      <c r="G87" s="457"/>
      <c r="H87" s="457"/>
      <c r="I87" s="457"/>
      <c r="J87" s="214">
        <f>SUM(J76:J85)</f>
        <v>376.93</v>
      </c>
    </row>
    <row r="88" spans="1:10" ht="20.25" customHeight="1" x14ac:dyDescent="0.2">
      <c r="A88" s="212" t="s">
        <v>613</v>
      </c>
      <c r="B88" s="458" t="s">
        <v>614</v>
      </c>
      <c r="C88" s="458"/>
      <c r="D88" s="458"/>
      <c r="E88" s="458"/>
      <c r="F88" s="458"/>
      <c r="G88" s="458"/>
      <c r="H88" s="458"/>
      <c r="I88" s="458"/>
      <c r="J88" s="458"/>
    </row>
    <row r="89" spans="1:10" ht="37.5" customHeight="1" x14ac:dyDescent="0.2">
      <c r="A89" s="212" t="s">
        <v>615</v>
      </c>
      <c r="B89" s="458" t="s">
        <v>616</v>
      </c>
      <c r="C89" s="458"/>
      <c r="D89" s="458"/>
      <c r="E89" s="458"/>
      <c r="F89" s="458"/>
      <c r="G89" s="458"/>
      <c r="H89" s="458"/>
      <c r="I89" s="458"/>
      <c r="J89" s="458"/>
    </row>
    <row r="90" spans="1:10" ht="9.75" customHeight="1" x14ac:dyDescent="0.2">
      <c r="A90" s="219"/>
      <c r="B90" s="220"/>
      <c r="C90" s="220"/>
      <c r="D90" s="220"/>
      <c r="E90" s="220"/>
      <c r="F90" s="220"/>
      <c r="G90" s="220"/>
      <c r="H90" s="220"/>
      <c r="I90" s="220"/>
      <c r="J90" s="220"/>
    </row>
    <row r="91" spans="1:10" ht="27.75" customHeight="1" x14ac:dyDescent="0.2">
      <c r="A91" s="423" t="s">
        <v>617</v>
      </c>
      <c r="B91" s="423"/>
      <c r="C91" s="423"/>
      <c r="D91" s="423"/>
      <c r="E91" s="423"/>
      <c r="F91" s="423"/>
      <c r="G91" s="423"/>
      <c r="H91" s="423"/>
      <c r="I91" s="423"/>
      <c r="J91" s="423"/>
    </row>
    <row r="92" spans="1:10" ht="27.75" customHeight="1" x14ac:dyDescent="0.2">
      <c r="A92" s="191" t="s">
        <v>618</v>
      </c>
      <c r="B92" s="423" t="s">
        <v>619</v>
      </c>
      <c r="C92" s="423"/>
      <c r="D92" s="423"/>
      <c r="E92" s="423"/>
      <c r="F92" s="423"/>
      <c r="G92" s="423"/>
      <c r="H92" s="423"/>
      <c r="I92" s="423"/>
      <c r="J92" s="191" t="s">
        <v>580</v>
      </c>
    </row>
    <row r="93" spans="1:10" ht="27.75" customHeight="1" x14ac:dyDescent="0.2">
      <c r="A93" s="200" t="s">
        <v>620</v>
      </c>
      <c r="B93" s="461" t="s">
        <v>621</v>
      </c>
      <c r="C93" s="461"/>
      <c r="D93" s="461"/>
      <c r="E93" s="461"/>
      <c r="F93" s="461"/>
      <c r="G93" s="461"/>
      <c r="H93" s="461"/>
      <c r="I93" s="461"/>
      <c r="J93" s="213">
        <f>J57</f>
        <v>179.11</v>
      </c>
    </row>
    <row r="94" spans="1:10" ht="27.75" customHeight="1" x14ac:dyDescent="0.2">
      <c r="A94" s="200" t="s">
        <v>585</v>
      </c>
      <c r="B94" s="461" t="s">
        <v>622</v>
      </c>
      <c r="C94" s="461"/>
      <c r="D94" s="461"/>
      <c r="E94" s="461"/>
      <c r="F94" s="461"/>
      <c r="G94" s="461"/>
      <c r="H94" s="461"/>
      <c r="I94" s="461"/>
      <c r="J94" s="213">
        <f>J70</f>
        <v>646.20999999999992</v>
      </c>
    </row>
    <row r="95" spans="1:10" ht="27.75" customHeight="1" x14ac:dyDescent="0.2">
      <c r="A95" s="200" t="s">
        <v>623</v>
      </c>
      <c r="B95" s="461" t="s">
        <v>624</v>
      </c>
      <c r="C95" s="461"/>
      <c r="D95" s="461"/>
      <c r="E95" s="461"/>
      <c r="F95" s="461"/>
      <c r="G95" s="461"/>
      <c r="H95" s="461"/>
      <c r="I95" s="461"/>
      <c r="J95" s="213">
        <f>J87</f>
        <v>376.93</v>
      </c>
    </row>
    <row r="96" spans="1:10" ht="27.75" customHeight="1" x14ac:dyDescent="0.2">
      <c r="A96" s="457" t="s">
        <v>625</v>
      </c>
      <c r="B96" s="457"/>
      <c r="C96" s="457"/>
      <c r="D96" s="457"/>
      <c r="E96" s="457"/>
      <c r="F96" s="457"/>
      <c r="G96" s="457"/>
      <c r="H96" s="457"/>
      <c r="I96" s="457"/>
      <c r="J96" s="214">
        <f>SUM(J93+J94+J95)</f>
        <v>1202.25</v>
      </c>
    </row>
    <row r="97" spans="1:10" ht="9.75" customHeight="1" x14ac:dyDescent="0.2">
      <c r="A97" s="34"/>
      <c r="B97" s="34"/>
      <c r="C97" s="34"/>
      <c r="D97" s="34"/>
      <c r="E97" s="34"/>
      <c r="F97" s="34"/>
      <c r="G97" s="34"/>
      <c r="H97" s="34"/>
      <c r="I97" s="34"/>
      <c r="J97" s="228"/>
    </row>
    <row r="98" spans="1:10" ht="19.5" customHeight="1" x14ac:dyDescent="0.2">
      <c r="A98" s="423" t="s">
        <v>626</v>
      </c>
      <c r="B98" s="423"/>
      <c r="C98" s="423"/>
      <c r="D98" s="423"/>
      <c r="E98" s="423"/>
      <c r="F98" s="423"/>
      <c r="G98" s="423"/>
      <c r="H98" s="423"/>
      <c r="I98" s="423"/>
      <c r="J98" s="423"/>
    </row>
    <row r="99" spans="1:10" ht="19.5" customHeight="1" x14ac:dyDescent="0.2">
      <c r="A99" s="191"/>
      <c r="B99" s="423" t="s">
        <v>619</v>
      </c>
      <c r="C99" s="423"/>
      <c r="D99" s="423"/>
      <c r="E99" s="423"/>
      <c r="F99" s="423"/>
      <c r="G99" s="423"/>
      <c r="H99" s="423"/>
      <c r="I99" s="423"/>
      <c r="J99" s="191" t="s">
        <v>627</v>
      </c>
    </row>
    <row r="100" spans="1:10" ht="23.25" customHeight="1" x14ac:dyDescent="0.2">
      <c r="A100" s="200" t="s">
        <v>525</v>
      </c>
      <c r="B100" s="438" t="s">
        <v>628</v>
      </c>
      <c r="C100" s="438"/>
      <c r="D100" s="438"/>
      <c r="E100" s="438"/>
      <c r="F100" s="438"/>
      <c r="G100" s="438"/>
      <c r="H100" s="438"/>
      <c r="I100" s="438"/>
      <c r="J100" s="213">
        <f>ROUND((($J$50/12)+($J$55/12)+($J$50/12/12)+($J$56/12))*(30/30)*0.05,2)</f>
        <v>7.86</v>
      </c>
    </row>
    <row r="101" spans="1:10" ht="23.25" customHeight="1" x14ac:dyDescent="0.2">
      <c r="A101" s="200" t="s">
        <v>527</v>
      </c>
      <c r="B101" s="438" t="s">
        <v>629</v>
      </c>
      <c r="C101" s="438"/>
      <c r="D101" s="438"/>
      <c r="E101" s="438"/>
      <c r="F101" s="438"/>
      <c r="G101" s="438"/>
      <c r="H101" s="438"/>
      <c r="I101" s="438"/>
      <c r="J101" s="213">
        <f>ROUND($J$100*I69,2)</f>
        <v>0.63</v>
      </c>
    </row>
    <row r="102" spans="1:10" ht="23.25" customHeight="1" x14ac:dyDescent="0.2">
      <c r="A102" s="200" t="s">
        <v>528</v>
      </c>
      <c r="B102" s="438" t="s">
        <v>630</v>
      </c>
      <c r="C102" s="438"/>
      <c r="D102" s="438"/>
      <c r="E102" s="438"/>
      <c r="F102" s="438"/>
      <c r="G102" s="438"/>
      <c r="H102" s="438"/>
      <c r="I102" s="438"/>
      <c r="J102" s="213">
        <f>ROUND(0.08*0.4*($J$50+$J$55+$J$56)*0.05,2)</f>
        <v>2.81</v>
      </c>
    </row>
    <row r="103" spans="1:10" ht="19.5" customHeight="1" x14ac:dyDescent="0.2">
      <c r="A103" s="200" t="s">
        <v>530</v>
      </c>
      <c r="B103" s="438" t="s">
        <v>631</v>
      </c>
      <c r="C103" s="438"/>
      <c r="D103" s="438"/>
      <c r="E103" s="438"/>
      <c r="F103" s="438"/>
      <c r="G103" s="438"/>
      <c r="H103" s="438"/>
      <c r="I103" s="438"/>
      <c r="J103" s="213">
        <f>ROUND(((($J$50/30)*7)/$H$21)*1,2)</f>
        <v>18.399999999999999</v>
      </c>
    </row>
    <row r="104" spans="1:10" ht="19.5" customHeight="1" x14ac:dyDescent="0.2">
      <c r="A104" s="200" t="s">
        <v>590</v>
      </c>
      <c r="B104" s="438" t="s">
        <v>632</v>
      </c>
      <c r="C104" s="438"/>
      <c r="D104" s="438"/>
      <c r="E104" s="438"/>
      <c r="F104" s="438"/>
      <c r="G104" s="438"/>
      <c r="H104" s="438"/>
      <c r="I104" s="438"/>
      <c r="J104" s="213">
        <f>ROUND($I$70*J103,2)</f>
        <v>6.77</v>
      </c>
    </row>
    <row r="105" spans="1:10" ht="30.75" customHeight="1" x14ac:dyDescent="0.2">
      <c r="A105" s="200" t="s">
        <v>591</v>
      </c>
      <c r="B105" s="438" t="s">
        <v>633</v>
      </c>
      <c r="C105" s="438"/>
      <c r="D105" s="438"/>
      <c r="E105" s="438"/>
      <c r="F105" s="438"/>
      <c r="G105" s="438"/>
      <c r="H105" s="438"/>
      <c r="I105" s="438"/>
      <c r="J105" s="213">
        <f>ROUND(0.08*0.4*($J$50+$J$55+$J$56)*0.9,2)</f>
        <v>50.57</v>
      </c>
    </row>
    <row r="106" spans="1:10" ht="19.5" customHeight="1" x14ac:dyDescent="0.2">
      <c r="A106" s="457" t="s">
        <v>634</v>
      </c>
      <c r="B106" s="457"/>
      <c r="C106" s="457"/>
      <c r="D106" s="457"/>
      <c r="E106" s="457"/>
      <c r="F106" s="457"/>
      <c r="G106" s="457"/>
      <c r="H106" s="457"/>
      <c r="I106" s="457"/>
      <c r="J106" s="214">
        <f>SUM(J100:J105)</f>
        <v>87.039999999999992</v>
      </c>
    </row>
    <row r="107" spans="1:10" ht="9.75" customHeight="1" x14ac:dyDescent="0.2">
      <c r="A107" s="34"/>
      <c r="B107" s="34"/>
      <c r="C107" s="34"/>
      <c r="D107" s="34"/>
      <c r="E107" s="34"/>
      <c r="F107" s="34"/>
      <c r="G107" s="34"/>
      <c r="H107" s="34"/>
      <c r="I107" s="34"/>
      <c r="J107" s="228"/>
    </row>
    <row r="108" spans="1:10" ht="22.5" customHeight="1" x14ac:dyDescent="0.2">
      <c r="A108" s="423" t="s">
        <v>635</v>
      </c>
      <c r="B108" s="423"/>
      <c r="C108" s="423"/>
      <c r="D108" s="423"/>
      <c r="E108" s="423"/>
      <c r="F108" s="423"/>
      <c r="G108" s="423"/>
      <c r="H108" s="423"/>
      <c r="I108" s="423"/>
      <c r="J108" s="423"/>
    </row>
    <row r="109" spans="1:10" ht="22.5" customHeight="1" x14ac:dyDescent="0.2">
      <c r="A109" s="423" t="s">
        <v>874</v>
      </c>
      <c r="B109" s="423"/>
      <c r="C109" s="423"/>
      <c r="D109" s="423"/>
      <c r="E109" s="423"/>
      <c r="F109" s="423"/>
      <c r="G109" s="423"/>
      <c r="H109" s="423"/>
      <c r="I109" s="423"/>
      <c r="J109" s="423"/>
    </row>
    <row r="110" spans="1:10" ht="33.75" customHeight="1" x14ac:dyDescent="0.2">
      <c r="A110" s="423" t="s">
        <v>780</v>
      </c>
      <c r="B110" s="423"/>
      <c r="C110" s="229">
        <f>J50</f>
        <v>1576.9099999999999</v>
      </c>
      <c r="D110" s="423" t="s">
        <v>809</v>
      </c>
      <c r="E110" s="423"/>
      <c r="F110" s="229">
        <f>J96-J81-J76</f>
        <v>842.64</v>
      </c>
      <c r="G110" s="423" t="s">
        <v>639</v>
      </c>
      <c r="H110" s="423"/>
      <c r="I110" s="229">
        <f>J106</f>
        <v>87.039999999999992</v>
      </c>
      <c r="J110" s="214">
        <f>ROUND((J50+(J96-J81-J76)+J106),2)</f>
        <v>2506.59</v>
      </c>
    </row>
    <row r="111" spans="1:10" ht="22.5" customHeight="1" x14ac:dyDescent="0.2">
      <c r="A111" s="423" t="s">
        <v>640</v>
      </c>
      <c r="B111" s="423"/>
      <c r="C111" s="423"/>
      <c r="D111" s="423"/>
      <c r="E111" s="423"/>
      <c r="F111" s="423"/>
      <c r="G111" s="423" t="s">
        <v>641</v>
      </c>
      <c r="H111" s="423"/>
      <c r="I111" s="423"/>
      <c r="J111" s="211">
        <f>ROUND(J110/30,2)</f>
        <v>83.55</v>
      </c>
    </row>
    <row r="112" spans="1:10" ht="9.75" customHeight="1" x14ac:dyDescent="0.2">
      <c r="A112" s="42"/>
      <c r="B112" s="42"/>
      <c r="C112" s="42"/>
      <c r="D112" s="42"/>
      <c r="E112" s="42"/>
      <c r="F112" s="42"/>
      <c r="G112" s="42"/>
      <c r="H112" s="42"/>
      <c r="I112" s="42"/>
      <c r="J112" s="247"/>
    </row>
    <row r="113" spans="1:10" ht="22.5" customHeight="1" x14ac:dyDescent="0.2">
      <c r="A113" s="191" t="s">
        <v>642</v>
      </c>
      <c r="B113" s="423" t="s">
        <v>643</v>
      </c>
      <c r="C113" s="423"/>
      <c r="D113" s="423"/>
      <c r="E113" s="423"/>
      <c r="F113" s="423"/>
      <c r="G113" s="423"/>
      <c r="H113" s="423"/>
      <c r="I113" s="423"/>
      <c r="J113" s="191" t="s">
        <v>580</v>
      </c>
    </row>
    <row r="114" spans="1:10" ht="22.5" customHeight="1" x14ac:dyDescent="0.2">
      <c r="A114" s="200" t="s">
        <v>525</v>
      </c>
      <c r="B114" s="459" t="s">
        <v>893</v>
      </c>
      <c r="C114" s="459"/>
      <c r="D114" s="459"/>
      <c r="E114" s="459"/>
      <c r="F114" s="459"/>
      <c r="G114" s="459"/>
      <c r="H114" s="459"/>
      <c r="I114" s="459"/>
      <c r="J114" s="213">
        <f>ROUND(J50*9.075%,2)</f>
        <v>143.1</v>
      </c>
    </row>
    <row r="115" spans="1:10" ht="22.5" customHeight="1" x14ac:dyDescent="0.2">
      <c r="A115" s="200" t="s">
        <v>527</v>
      </c>
      <c r="B115" s="438" t="s">
        <v>644</v>
      </c>
      <c r="C115" s="438"/>
      <c r="D115" s="438"/>
      <c r="E115" s="438"/>
      <c r="F115" s="438"/>
      <c r="G115" s="438"/>
      <c r="H115" s="438"/>
      <c r="I115" s="438"/>
      <c r="J115" s="209">
        <f>ROUND((($J$110/30)*1)/12,2)</f>
        <v>6.96</v>
      </c>
    </row>
    <row r="116" spans="1:10" ht="22.5" customHeight="1" x14ac:dyDescent="0.2">
      <c r="A116" s="200" t="s">
        <v>528</v>
      </c>
      <c r="B116" s="438" t="s">
        <v>645</v>
      </c>
      <c r="C116" s="438"/>
      <c r="D116" s="438"/>
      <c r="E116" s="438"/>
      <c r="F116" s="438"/>
      <c r="G116" s="438"/>
      <c r="H116" s="438"/>
      <c r="I116" s="438"/>
      <c r="J116" s="209">
        <f>ROUND((($J$110/30)*5)/12*0.015,2)</f>
        <v>0.52</v>
      </c>
    </row>
    <row r="117" spans="1:10" ht="22.5" customHeight="1" x14ac:dyDescent="0.2">
      <c r="A117" s="200" t="s">
        <v>530</v>
      </c>
      <c r="B117" s="438" t="s">
        <v>646</v>
      </c>
      <c r="C117" s="438"/>
      <c r="D117" s="438"/>
      <c r="E117" s="438"/>
      <c r="F117" s="438"/>
      <c r="G117" s="438"/>
      <c r="H117" s="438"/>
      <c r="I117" s="438"/>
      <c r="J117" s="213">
        <f>ROUND(((($J$110/30)*15)/12)*0.0078,2)</f>
        <v>0.81</v>
      </c>
    </row>
    <row r="118" spans="1:10" ht="22.5" customHeight="1" x14ac:dyDescent="0.2">
      <c r="A118" s="200" t="s">
        <v>590</v>
      </c>
      <c r="B118" s="438" t="s">
        <v>647</v>
      </c>
      <c r="C118" s="438"/>
      <c r="D118" s="438"/>
      <c r="E118" s="438"/>
      <c r="F118" s="438"/>
      <c r="G118" s="438"/>
      <c r="H118" s="438"/>
      <c r="I118" s="438"/>
      <c r="J118" s="213">
        <f>ROUND((((J50+J50/3)/12+(J70+J87-J81-J76+J106))*4/12)*0.02,2)</f>
        <v>6.17</v>
      </c>
    </row>
    <row r="119" spans="1:10" ht="22.5" customHeight="1" x14ac:dyDescent="0.2">
      <c r="A119" s="200" t="s">
        <v>591</v>
      </c>
      <c r="B119" s="438" t="s">
        <v>648</v>
      </c>
      <c r="C119" s="438"/>
      <c r="D119" s="438"/>
      <c r="E119" s="438"/>
      <c r="F119" s="438"/>
      <c r="G119" s="438"/>
      <c r="H119" s="438"/>
      <c r="I119" s="438"/>
      <c r="J119" s="213">
        <f>ROUND(((($J$110/30)*5)/12),2)</f>
        <v>34.81</v>
      </c>
    </row>
    <row r="120" spans="1:10" ht="22.5" customHeight="1" x14ac:dyDescent="0.2">
      <c r="A120" s="457" t="s">
        <v>649</v>
      </c>
      <c r="B120" s="457"/>
      <c r="C120" s="457"/>
      <c r="D120" s="457"/>
      <c r="E120" s="457"/>
      <c r="F120" s="457"/>
      <c r="G120" s="457"/>
      <c r="H120" s="457"/>
      <c r="I120" s="457"/>
      <c r="J120" s="214">
        <f>SUM(J114:J119)</f>
        <v>192.37</v>
      </c>
    </row>
    <row r="121" spans="1:10" ht="9.75" customHeight="1" x14ac:dyDescent="0.2">
      <c r="A121" s="528"/>
      <c r="B121" s="528"/>
      <c r="C121" s="528"/>
      <c r="D121" s="528"/>
      <c r="E121" s="528"/>
      <c r="F121" s="528"/>
      <c r="G121" s="528"/>
      <c r="H121" s="528"/>
      <c r="I121" s="528"/>
      <c r="J121" s="215"/>
    </row>
    <row r="122" spans="1:10" ht="19.5" customHeight="1" x14ac:dyDescent="0.2">
      <c r="A122" s="191" t="s">
        <v>650</v>
      </c>
      <c r="B122" s="423" t="s">
        <v>651</v>
      </c>
      <c r="C122" s="423"/>
      <c r="D122" s="423"/>
      <c r="E122" s="423"/>
      <c r="F122" s="423"/>
      <c r="G122" s="423"/>
      <c r="H122" s="423"/>
      <c r="I122" s="423"/>
      <c r="J122" s="191" t="s">
        <v>580</v>
      </c>
    </row>
    <row r="123" spans="1:10" ht="19.5" customHeight="1" x14ac:dyDescent="0.2">
      <c r="A123" s="200" t="s">
        <v>525</v>
      </c>
      <c r="B123" s="438" t="s">
        <v>652</v>
      </c>
      <c r="C123" s="438"/>
      <c r="D123" s="438"/>
      <c r="E123" s="438"/>
      <c r="F123" s="438"/>
      <c r="G123" s="438"/>
      <c r="H123" s="438"/>
      <c r="I123" s="438"/>
      <c r="J123" s="213">
        <v>0</v>
      </c>
    </row>
    <row r="124" spans="1:10" ht="19.5" customHeight="1" x14ac:dyDescent="0.2">
      <c r="A124" s="457" t="s">
        <v>653</v>
      </c>
      <c r="B124" s="457"/>
      <c r="C124" s="457"/>
      <c r="D124" s="457"/>
      <c r="E124" s="457"/>
      <c r="F124" s="457"/>
      <c r="G124" s="457"/>
      <c r="H124" s="457"/>
      <c r="I124" s="457"/>
      <c r="J124" s="214">
        <f>SUM(J123)</f>
        <v>0</v>
      </c>
    </row>
    <row r="125" spans="1:10" ht="9.75" customHeight="1" x14ac:dyDescent="0.2">
      <c r="A125" s="528"/>
      <c r="B125" s="528"/>
      <c r="C125" s="528"/>
      <c r="D125" s="528"/>
      <c r="E125" s="528"/>
      <c r="F125" s="528"/>
      <c r="G125" s="528"/>
      <c r="H125" s="528"/>
      <c r="I125" s="528"/>
      <c r="J125" s="215"/>
    </row>
    <row r="126" spans="1:10" ht="20.25" customHeight="1" x14ac:dyDescent="0.2">
      <c r="A126" s="423" t="s">
        <v>654</v>
      </c>
      <c r="B126" s="423"/>
      <c r="C126" s="423"/>
      <c r="D126" s="423"/>
      <c r="E126" s="423"/>
      <c r="F126" s="423"/>
      <c r="G126" s="423"/>
      <c r="H126" s="423"/>
      <c r="I126" s="423"/>
      <c r="J126" s="423"/>
    </row>
    <row r="127" spans="1:10" ht="20.25" customHeight="1" x14ac:dyDescent="0.2">
      <c r="A127" s="191" t="s">
        <v>655</v>
      </c>
      <c r="B127" s="423" t="s">
        <v>619</v>
      </c>
      <c r="C127" s="423"/>
      <c r="D127" s="423"/>
      <c r="E127" s="423"/>
      <c r="F127" s="423"/>
      <c r="G127" s="423"/>
      <c r="H127" s="423"/>
      <c r="I127" s="423"/>
      <c r="J127" s="231" t="s">
        <v>580</v>
      </c>
    </row>
    <row r="128" spans="1:10" ht="20.25" customHeight="1" x14ac:dyDescent="0.2">
      <c r="A128" s="200" t="s">
        <v>642</v>
      </c>
      <c r="B128" s="438" t="s">
        <v>643</v>
      </c>
      <c r="C128" s="438"/>
      <c r="D128" s="438"/>
      <c r="E128" s="438"/>
      <c r="F128" s="438"/>
      <c r="G128" s="438"/>
      <c r="H128" s="438"/>
      <c r="I128" s="438"/>
      <c r="J128" s="213">
        <f>J120</f>
        <v>192.37</v>
      </c>
    </row>
    <row r="129" spans="1:10" ht="20.25" customHeight="1" x14ac:dyDescent="0.2">
      <c r="A129" s="200" t="s">
        <v>656</v>
      </c>
      <c r="B129" s="438" t="s">
        <v>651</v>
      </c>
      <c r="C129" s="438"/>
      <c r="D129" s="438"/>
      <c r="E129" s="438"/>
      <c r="F129" s="438"/>
      <c r="G129" s="438"/>
      <c r="H129" s="438"/>
      <c r="I129" s="438"/>
      <c r="J129" s="213">
        <f>J124</f>
        <v>0</v>
      </c>
    </row>
    <row r="130" spans="1:10" ht="20.25" customHeight="1" x14ac:dyDescent="0.2">
      <c r="A130" s="457" t="s">
        <v>657</v>
      </c>
      <c r="B130" s="457"/>
      <c r="C130" s="457"/>
      <c r="D130" s="457"/>
      <c r="E130" s="457"/>
      <c r="F130" s="457"/>
      <c r="G130" s="457"/>
      <c r="H130" s="457"/>
      <c r="I130" s="457"/>
      <c r="J130" s="214">
        <f>SUM(J128+J129)</f>
        <v>192.37</v>
      </c>
    </row>
    <row r="131" spans="1:10" ht="30.75" customHeight="1" x14ac:dyDescent="0.2">
      <c r="A131" s="212" t="s">
        <v>658</v>
      </c>
      <c r="B131" s="458" t="s">
        <v>659</v>
      </c>
      <c r="C131" s="458"/>
      <c r="D131" s="458"/>
      <c r="E131" s="458"/>
      <c r="F131" s="458"/>
      <c r="G131" s="458"/>
      <c r="H131" s="458"/>
      <c r="I131" s="458"/>
      <c r="J131" s="458"/>
    </row>
    <row r="132" spans="1:10" ht="9.75" customHeight="1" x14ac:dyDescent="0.2">
      <c r="A132" s="219"/>
      <c r="B132" s="220"/>
      <c r="C132" s="220"/>
      <c r="D132" s="220"/>
      <c r="E132" s="220"/>
      <c r="F132" s="220"/>
      <c r="G132" s="220"/>
      <c r="H132" s="220"/>
      <c r="I132" s="220"/>
      <c r="J132" s="220"/>
    </row>
    <row r="133" spans="1:10" ht="19.5" customHeight="1" x14ac:dyDescent="0.2">
      <c r="A133" s="423" t="s">
        <v>660</v>
      </c>
      <c r="B133" s="423"/>
      <c r="C133" s="423"/>
      <c r="D133" s="423"/>
      <c r="E133" s="423"/>
      <c r="F133" s="423"/>
      <c r="G133" s="423"/>
      <c r="H133" s="423"/>
      <c r="I133" s="423"/>
      <c r="J133" s="423"/>
    </row>
    <row r="134" spans="1:10" ht="19.5" customHeight="1" x14ac:dyDescent="0.2">
      <c r="A134" s="191"/>
      <c r="B134" s="423" t="s">
        <v>619</v>
      </c>
      <c r="C134" s="423"/>
      <c r="D134" s="423"/>
      <c r="E134" s="423"/>
      <c r="F134" s="423"/>
      <c r="G134" s="423"/>
      <c r="H134" s="423"/>
      <c r="I134" s="423"/>
      <c r="J134" s="191" t="s">
        <v>580</v>
      </c>
    </row>
    <row r="135" spans="1:10" ht="19.5" customHeight="1" x14ac:dyDescent="0.2">
      <c r="A135" s="200" t="s">
        <v>525</v>
      </c>
      <c r="B135" s="438" t="s">
        <v>661</v>
      </c>
      <c r="C135" s="438"/>
      <c r="D135" s="438"/>
      <c r="E135" s="438"/>
      <c r="F135" s="438"/>
      <c r="G135" s="438"/>
      <c r="H135" s="438"/>
      <c r="I135" s="438"/>
      <c r="J135" s="213">
        <f>'2. SA INSUMOS'!G103</f>
        <v>92.830833333333317</v>
      </c>
    </row>
    <row r="136" spans="1:10" ht="19.5" customHeight="1" x14ac:dyDescent="0.2">
      <c r="A136" s="200" t="s">
        <v>527</v>
      </c>
      <c r="B136" s="438" t="s">
        <v>662</v>
      </c>
      <c r="C136" s="438"/>
      <c r="D136" s="438"/>
      <c r="E136" s="438"/>
      <c r="F136" s="438"/>
      <c r="G136" s="438"/>
      <c r="H136" s="438"/>
      <c r="I136" s="438"/>
      <c r="J136" s="213">
        <f>'2. SA INSUMOS'!G99</f>
        <v>488.20968208030638</v>
      </c>
    </row>
    <row r="137" spans="1:10" ht="19.5" customHeight="1" x14ac:dyDescent="0.2">
      <c r="A137" s="200" t="s">
        <v>528</v>
      </c>
      <c r="B137" s="438" t="s">
        <v>663</v>
      </c>
      <c r="C137" s="438"/>
      <c r="D137" s="438"/>
      <c r="E137" s="438"/>
      <c r="F137" s="438"/>
      <c r="G137" s="438"/>
      <c r="H137" s="438"/>
      <c r="I137" s="438"/>
      <c r="J137" s="213">
        <f>'2. SA INSUMOS'!G101</f>
        <v>1.5586548841642973</v>
      </c>
    </row>
    <row r="138" spans="1:10" ht="19.5" customHeight="1" x14ac:dyDescent="0.2">
      <c r="A138" s="200" t="s">
        <v>530</v>
      </c>
      <c r="B138" s="438" t="s">
        <v>810</v>
      </c>
      <c r="C138" s="438"/>
      <c r="D138" s="438"/>
      <c r="E138" s="438"/>
      <c r="F138" s="438"/>
      <c r="G138" s="438"/>
      <c r="H138" s="438"/>
      <c r="I138" s="438"/>
      <c r="J138" s="213" t="s">
        <v>665</v>
      </c>
    </row>
    <row r="139" spans="1:10" ht="19.5" customHeight="1" x14ac:dyDescent="0.2">
      <c r="A139" s="457" t="s">
        <v>782</v>
      </c>
      <c r="B139" s="457"/>
      <c r="C139" s="457"/>
      <c r="D139" s="457"/>
      <c r="E139" s="457"/>
      <c r="F139" s="457"/>
      <c r="G139" s="457"/>
      <c r="H139" s="457"/>
      <c r="I139" s="457"/>
      <c r="J139" s="214">
        <f>SUM(J135:J138)</f>
        <v>582.59917029780399</v>
      </c>
    </row>
    <row r="140" spans="1:10" ht="19.5" customHeight="1" x14ac:dyDescent="0.2">
      <c r="A140" s="212" t="s">
        <v>667</v>
      </c>
      <c r="B140" s="458" t="s">
        <v>668</v>
      </c>
      <c r="C140" s="458"/>
      <c r="D140" s="458"/>
      <c r="E140" s="458"/>
      <c r="F140" s="458"/>
      <c r="G140" s="458"/>
      <c r="H140" s="458"/>
      <c r="I140" s="458"/>
      <c r="J140" s="458"/>
    </row>
    <row r="141" spans="1:10" ht="9.75" customHeight="1" x14ac:dyDescent="0.2">
      <c r="A141" s="526"/>
      <c r="B141" s="526"/>
      <c r="C141" s="526"/>
      <c r="D141" s="526"/>
      <c r="E141" s="526"/>
      <c r="F141" s="526"/>
      <c r="G141" s="526"/>
      <c r="H141" s="526"/>
      <c r="I141" s="526"/>
      <c r="J141" s="526"/>
    </row>
    <row r="142" spans="1:10" ht="21" customHeight="1" x14ac:dyDescent="0.2">
      <c r="A142" s="423" t="s">
        <v>669</v>
      </c>
      <c r="B142" s="423"/>
      <c r="C142" s="423"/>
      <c r="D142" s="423"/>
      <c r="E142" s="423"/>
      <c r="F142" s="423"/>
      <c r="G142" s="423"/>
      <c r="H142" s="423"/>
      <c r="I142" s="423"/>
      <c r="J142" s="423"/>
    </row>
    <row r="143" spans="1:10" ht="21" customHeight="1" x14ac:dyDescent="0.2">
      <c r="A143" s="191"/>
      <c r="B143" s="423" t="s">
        <v>670</v>
      </c>
      <c r="C143" s="423"/>
      <c r="D143" s="423"/>
      <c r="E143" s="423"/>
      <c r="F143" s="423"/>
      <c r="G143" s="423"/>
      <c r="H143" s="423"/>
      <c r="I143" s="191" t="s">
        <v>568</v>
      </c>
      <c r="J143" s="231" t="s">
        <v>580</v>
      </c>
    </row>
    <row r="144" spans="1:10" ht="45.75" customHeight="1" x14ac:dyDescent="0.2">
      <c r="A144" s="438" t="s">
        <v>671</v>
      </c>
      <c r="B144" s="438"/>
      <c r="C144" s="438"/>
      <c r="D144" s="438"/>
      <c r="E144" s="438"/>
      <c r="F144" s="438"/>
      <c r="G144" s="438"/>
      <c r="H144" s="438"/>
      <c r="I144" s="438"/>
      <c r="J144" s="248">
        <f>SUM(J50+J96+J106+J130+J139)</f>
        <v>3641.1691702978037</v>
      </c>
    </row>
    <row r="145" spans="1:12" ht="21" customHeight="1" x14ac:dyDescent="0.2">
      <c r="A145" s="191" t="s">
        <v>525</v>
      </c>
      <c r="B145" s="466" t="s">
        <v>672</v>
      </c>
      <c r="C145" s="466"/>
      <c r="D145" s="466"/>
      <c r="E145" s="466"/>
      <c r="F145" s="466"/>
      <c r="G145" s="466"/>
      <c r="H145" s="466"/>
      <c r="I145" s="233">
        <f>'1. SA ABA DE CARREGAMENTO'!$B$103</f>
        <v>0.06</v>
      </c>
      <c r="J145" s="214">
        <f>ROUND(I145*J144,2)</f>
        <v>218.47</v>
      </c>
    </row>
    <row r="146" spans="1:12" ht="44.25" customHeight="1" x14ac:dyDescent="0.2">
      <c r="A146" s="438" t="s">
        <v>673</v>
      </c>
      <c r="B146" s="438"/>
      <c r="C146" s="438"/>
      <c r="D146" s="438"/>
      <c r="E146" s="438"/>
      <c r="F146" s="438"/>
      <c r="G146" s="438"/>
      <c r="H146" s="438"/>
      <c r="I146" s="438"/>
      <c r="J146" s="227">
        <f>SUM(J50+J96+J106+J130+J139+J145)</f>
        <v>3859.6391702978035</v>
      </c>
    </row>
    <row r="147" spans="1:12" ht="21" customHeight="1" x14ac:dyDescent="0.2">
      <c r="A147" s="191" t="s">
        <v>527</v>
      </c>
      <c r="B147" s="466" t="s">
        <v>104</v>
      </c>
      <c r="C147" s="466"/>
      <c r="D147" s="466"/>
      <c r="E147" s="466"/>
      <c r="F147" s="466"/>
      <c r="G147" s="466"/>
      <c r="H147" s="466"/>
      <c r="I147" s="233">
        <f>'1. SA ABA DE CARREGAMENTO'!$B$104</f>
        <v>6.7900000000000002E-2</v>
      </c>
      <c r="J147" s="214">
        <f>ROUND(I147*J146,2)</f>
        <v>262.07</v>
      </c>
    </row>
    <row r="148" spans="1:12" ht="42.75" customHeight="1" x14ac:dyDescent="0.2">
      <c r="A148" s="438" t="s">
        <v>674</v>
      </c>
      <c r="B148" s="438"/>
      <c r="C148" s="438"/>
      <c r="D148" s="438"/>
      <c r="E148" s="438"/>
      <c r="F148" s="438"/>
      <c r="G148" s="438"/>
      <c r="H148" s="438"/>
      <c r="I148" s="438"/>
      <c r="J148" s="227">
        <f>SUM(J50+J96+J106+J130+J139+J145+J147)</f>
        <v>4121.7091702978032</v>
      </c>
    </row>
    <row r="149" spans="1:12" ht="21" customHeight="1" x14ac:dyDescent="0.2">
      <c r="A149" s="191" t="s">
        <v>528</v>
      </c>
      <c r="B149" s="466" t="s">
        <v>675</v>
      </c>
      <c r="C149" s="466"/>
      <c r="D149" s="466"/>
      <c r="E149" s="466"/>
      <c r="F149" s="466"/>
      <c r="G149" s="466"/>
      <c r="H149" s="466"/>
      <c r="I149" s="233">
        <f>SUM(I150:I153)</f>
        <v>0.1225</v>
      </c>
      <c r="J149" s="214">
        <f>SUM(J150:J153)</f>
        <v>575.39</v>
      </c>
      <c r="K149" s="467"/>
      <c r="L149" s="467"/>
    </row>
    <row r="150" spans="1:12" ht="21" customHeight="1" x14ac:dyDescent="0.2">
      <c r="A150" s="441" t="s">
        <v>676</v>
      </c>
      <c r="B150" s="438" t="s">
        <v>677</v>
      </c>
      <c r="C150" s="438"/>
      <c r="D150" s="438"/>
      <c r="E150" s="438"/>
      <c r="F150" s="438" t="s">
        <v>107</v>
      </c>
      <c r="G150" s="438"/>
      <c r="H150" s="438"/>
      <c r="I150" s="216">
        <f>IF(H15=1,0.0165,IF(H15=2,0.0065,IF(H15=3,'1. SA ABA DE CARREGAMENTO'!B108,IF(H15=4,'1. SA ABA DE CARREGAMENTO'!B108,IF(H15=5,'1. SA ABA DE CARREGAMENTO'!B112,"RT Indefinido")))))</f>
        <v>1.6500000000000001E-2</v>
      </c>
      <c r="J150" s="227">
        <f>ROUND(($J$148/(1-$I$149))*I150,2)</f>
        <v>77.5</v>
      </c>
      <c r="K150" s="134"/>
      <c r="L150" s="234"/>
    </row>
    <row r="151" spans="1:12" ht="21" customHeight="1" x14ac:dyDescent="0.2">
      <c r="A151" s="441"/>
      <c r="B151" s="438"/>
      <c r="C151" s="438"/>
      <c r="D151" s="438"/>
      <c r="E151" s="438"/>
      <c r="F151" s="438" t="s">
        <v>108</v>
      </c>
      <c r="G151" s="438"/>
      <c r="H151" s="438"/>
      <c r="I151" s="216">
        <f>IF(H15=1,0.076,IF(H15=2,0.03,IF(H15=3,'1. SA ABA DE CARREGAMENTO'!B109,IF(H15=4,'1. SA ABA DE CARREGAMENTO'!B109,IF(H15=5,'1. SA ABA DE CARREGAMENTO'!B113,"RT Indefinido")))))</f>
        <v>7.5999999999999998E-2</v>
      </c>
      <c r="J151" s="227">
        <f>ROUND(($J$148/(1-$I$149))*I151,2)</f>
        <v>356.98</v>
      </c>
      <c r="K151" s="134"/>
      <c r="L151" s="234"/>
    </row>
    <row r="152" spans="1:12" ht="21" customHeight="1" x14ac:dyDescent="0.2">
      <c r="A152" s="200" t="s">
        <v>678</v>
      </c>
      <c r="B152" s="438" t="s">
        <v>679</v>
      </c>
      <c r="C152" s="438"/>
      <c r="D152" s="438"/>
      <c r="E152" s="438"/>
      <c r="F152" s="438" t="s">
        <v>680</v>
      </c>
      <c r="G152" s="438"/>
      <c r="H152" s="438"/>
      <c r="I152" s="216">
        <v>0</v>
      </c>
      <c r="J152" s="213">
        <v>0</v>
      </c>
      <c r="K152" s="134"/>
      <c r="L152" s="234"/>
    </row>
    <row r="153" spans="1:12" ht="21" customHeight="1" x14ac:dyDescent="0.2">
      <c r="A153" s="200" t="s">
        <v>681</v>
      </c>
      <c r="B153" s="438" t="s">
        <v>682</v>
      </c>
      <c r="C153" s="438"/>
      <c r="D153" s="438"/>
      <c r="E153" s="438"/>
      <c r="F153" s="438" t="s">
        <v>683</v>
      </c>
      <c r="G153" s="438"/>
      <c r="H153" s="438"/>
      <c r="I153" s="216">
        <f>'1. SA ABA DE CARREGAMENTO'!$B$105</f>
        <v>0.03</v>
      </c>
      <c r="J153" s="227">
        <f>ROUND(($J$148/(1-$I$149))*I153,2)</f>
        <v>140.91</v>
      </c>
    </row>
    <row r="154" spans="1:12" ht="21" customHeight="1" x14ac:dyDescent="0.2">
      <c r="A154" s="457" t="s">
        <v>684</v>
      </c>
      <c r="B154" s="457"/>
      <c r="C154" s="457"/>
      <c r="D154" s="457"/>
      <c r="E154" s="457"/>
      <c r="F154" s="457"/>
      <c r="G154" s="457"/>
      <c r="H154" s="457"/>
      <c r="I154" s="457"/>
      <c r="J154" s="214">
        <f>SUM(J145+J147+J149)</f>
        <v>1055.9299999999998</v>
      </c>
    </row>
    <row r="155" spans="1:12" ht="21" customHeight="1" x14ac:dyDescent="0.2">
      <c r="A155" s="212" t="s">
        <v>685</v>
      </c>
      <c r="B155" s="458" t="s">
        <v>686</v>
      </c>
      <c r="C155" s="458"/>
      <c r="D155" s="458"/>
      <c r="E155" s="458"/>
      <c r="F155" s="458"/>
      <c r="G155" s="458"/>
      <c r="H155" s="458"/>
      <c r="I155" s="458"/>
      <c r="J155" s="458"/>
    </row>
    <row r="156" spans="1:12" ht="14.25" customHeight="1" x14ac:dyDescent="0.2">
      <c r="A156" s="468" t="s">
        <v>687</v>
      </c>
      <c r="B156" s="469" t="s">
        <v>688</v>
      </c>
      <c r="C156" s="470"/>
      <c r="D156" s="475" t="s">
        <v>881</v>
      </c>
      <c r="E156" s="476"/>
      <c r="F156" s="476"/>
      <c r="G156" s="481" t="s">
        <v>882</v>
      </c>
      <c r="H156" s="482"/>
      <c r="I156" s="318"/>
      <c r="J156" s="487"/>
    </row>
    <row r="157" spans="1:12" ht="14.25" customHeight="1" x14ac:dyDescent="0.2">
      <c r="A157" s="468"/>
      <c r="B157" s="471"/>
      <c r="C157" s="472"/>
      <c r="D157" s="477"/>
      <c r="E157" s="478"/>
      <c r="F157" s="478"/>
      <c r="G157" s="483"/>
      <c r="H157" s="484"/>
      <c r="I157" s="319"/>
      <c r="J157" s="488"/>
    </row>
    <row r="158" spans="1:12" ht="14.25" customHeight="1" x14ac:dyDescent="0.2">
      <c r="A158" s="468"/>
      <c r="B158" s="473"/>
      <c r="C158" s="474"/>
      <c r="D158" s="479"/>
      <c r="E158" s="480"/>
      <c r="F158" s="480"/>
      <c r="G158" s="485"/>
      <c r="H158" s="486"/>
      <c r="I158" s="320"/>
      <c r="J158" s="489"/>
    </row>
    <row r="159" spans="1:12" x14ac:dyDescent="0.2">
      <c r="A159" s="526"/>
      <c r="B159" s="526"/>
      <c r="C159" s="526"/>
      <c r="D159" s="526"/>
      <c r="E159" s="526"/>
      <c r="F159" s="526"/>
      <c r="G159" s="526"/>
      <c r="H159" s="526"/>
      <c r="I159" s="526"/>
      <c r="J159" s="526"/>
    </row>
    <row r="160" spans="1:12" ht="19.5" customHeight="1" x14ac:dyDescent="0.2">
      <c r="A160" s="490" t="s">
        <v>875</v>
      </c>
      <c r="B160" s="490"/>
      <c r="C160" s="490"/>
      <c r="D160" s="490"/>
      <c r="E160" s="490"/>
      <c r="F160" s="490"/>
      <c r="G160" s="490"/>
      <c r="H160" s="490"/>
      <c r="I160" s="490"/>
      <c r="J160" s="490"/>
    </row>
    <row r="161" spans="1:10" ht="19.5" customHeight="1" x14ac:dyDescent="0.2">
      <c r="A161" s="491" t="s">
        <v>690</v>
      </c>
      <c r="B161" s="491"/>
      <c r="C161" s="491"/>
      <c r="D161" s="491"/>
      <c r="E161" s="491"/>
      <c r="F161" s="491"/>
      <c r="G161" s="491"/>
      <c r="H161" s="491"/>
      <c r="I161" s="491"/>
      <c r="J161" s="191" t="s">
        <v>580</v>
      </c>
    </row>
    <row r="162" spans="1:10" ht="19.5" customHeight="1" x14ac:dyDescent="0.2">
      <c r="A162" s="235" t="s">
        <v>525</v>
      </c>
      <c r="B162" s="492" t="s">
        <v>691</v>
      </c>
      <c r="C162" s="492"/>
      <c r="D162" s="492"/>
      <c r="E162" s="492"/>
      <c r="F162" s="492"/>
      <c r="G162" s="492"/>
      <c r="H162" s="492"/>
      <c r="I162" s="492"/>
      <c r="J162" s="202">
        <f>J50</f>
        <v>1576.9099999999999</v>
      </c>
    </row>
    <row r="163" spans="1:10" ht="19.5" customHeight="1" x14ac:dyDescent="0.2">
      <c r="A163" s="235" t="s">
        <v>527</v>
      </c>
      <c r="B163" s="492" t="s">
        <v>692</v>
      </c>
      <c r="C163" s="492"/>
      <c r="D163" s="492"/>
      <c r="E163" s="492"/>
      <c r="F163" s="492"/>
      <c r="G163" s="492"/>
      <c r="H163" s="492"/>
      <c r="I163" s="492"/>
      <c r="J163" s="202">
        <f>J96</f>
        <v>1202.25</v>
      </c>
    </row>
    <row r="164" spans="1:10" ht="19.5" customHeight="1" x14ac:dyDescent="0.2">
      <c r="A164" s="235" t="s">
        <v>528</v>
      </c>
      <c r="B164" s="492" t="s">
        <v>693</v>
      </c>
      <c r="C164" s="492"/>
      <c r="D164" s="492"/>
      <c r="E164" s="492"/>
      <c r="F164" s="492"/>
      <c r="G164" s="492"/>
      <c r="H164" s="492"/>
      <c r="I164" s="492"/>
      <c r="J164" s="202">
        <f>J106</f>
        <v>87.039999999999992</v>
      </c>
    </row>
    <row r="165" spans="1:10" ht="19.5" customHeight="1" x14ac:dyDescent="0.2">
      <c r="A165" s="235" t="s">
        <v>530</v>
      </c>
      <c r="B165" s="492" t="s">
        <v>694</v>
      </c>
      <c r="C165" s="492"/>
      <c r="D165" s="492"/>
      <c r="E165" s="492"/>
      <c r="F165" s="492"/>
      <c r="G165" s="492"/>
      <c r="H165" s="492"/>
      <c r="I165" s="492"/>
      <c r="J165" s="202">
        <f>J130</f>
        <v>192.37</v>
      </c>
    </row>
    <row r="166" spans="1:10" ht="19.5" customHeight="1" x14ac:dyDescent="0.2">
      <c r="A166" s="235" t="s">
        <v>590</v>
      </c>
      <c r="B166" s="492" t="s">
        <v>695</v>
      </c>
      <c r="C166" s="492"/>
      <c r="D166" s="492"/>
      <c r="E166" s="492"/>
      <c r="F166" s="492"/>
      <c r="G166" s="492"/>
      <c r="H166" s="492"/>
      <c r="I166" s="492"/>
      <c r="J166" s="202">
        <f>J139</f>
        <v>582.59917029780399</v>
      </c>
    </row>
    <row r="167" spans="1:10" ht="19.5" customHeight="1" x14ac:dyDescent="0.2">
      <c r="A167" s="493" t="s">
        <v>696</v>
      </c>
      <c r="B167" s="493"/>
      <c r="C167" s="493"/>
      <c r="D167" s="493"/>
      <c r="E167" s="493"/>
      <c r="F167" s="493"/>
      <c r="G167" s="493"/>
      <c r="H167" s="493"/>
      <c r="I167" s="493"/>
      <c r="J167" s="232">
        <f>SUM(J162:J166)</f>
        <v>3641.1691702978037</v>
      </c>
    </row>
    <row r="168" spans="1:10" ht="19.5" customHeight="1" x14ac:dyDescent="0.2">
      <c r="A168" s="235" t="s">
        <v>591</v>
      </c>
      <c r="B168" s="492" t="s">
        <v>697</v>
      </c>
      <c r="C168" s="492"/>
      <c r="D168" s="492"/>
      <c r="E168" s="492"/>
      <c r="F168" s="492"/>
      <c r="G168" s="492"/>
      <c r="H168" s="492"/>
      <c r="I168" s="492"/>
      <c r="J168" s="202">
        <f>J154</f>
        <v>1055.9299999999998</v>
      </c>
    </row>
    <row r="169" spans="1:10" ht="19.5" customHeight="1" x14ac:dyDescent="0.2">
      <c r="A169" s="494" t="s">
        <v>698</v>
      </c>
      <c r="B169" s="494"/>
      <c r="C169" s="494"/>
      <c r="D169" s="494"/>
      <c r="E169" s="494"/>
      <c r="F169" s="494"/>
      <c r="G169" s="494"/>
      <c r="H169" s="236">
        <f>'1. SA ABA DE CARREGAMENTO'!C68</f>
        <v>44</v>
      </c>
      <c r="I169" s="237" t="s">
        <v>571</v>
      </c>
      <c r="J169" s="232">
        <f>SUM(J167:J168)</f>
        <v>4697.0991702978035</v>
      </c>
    </row>
    <row r="170" spans="1:10" ht="19.5" customHeight="1" x14ac:dyDescent="0.2">
      <c r="A170" s="238"/>
      <c r="B170" s="238"/>
      <c r="C170" s="238"/>
      <c r="D170" s="238"/>
      <c r="E170" s="238"/>
      <c r="F170" s="238"/>
      <c r="G170" s="238"/>
      <c r="H170" s="238"/>
      <c r="I170" s="238"/>
      <c r="J170" s="249"/>
    </row>
    <row r="171" spans="1:10" ht="19.5" customHeight="1" x14ac:dyDescent="0.2">
      <c r="A171" s="423" t="s">
        <v>699</v>
      </c>
      <c r="B171" s="423"/>
      <c r="C171" s="423"/>
      <c r="D171" s="423"/>
      <c r="E171" s="423"/>
      <c r="F171" s="423"/>
      <c r="G171" s="423"/>
      <c r="H171" s="423"/>
      <c r="I171" s="423"/>
      <c r="J171" s="423"/>
    </row>
    <row r="172" spans="1:10" ht="14.25" customHeight="1" x14ac:dyDescent="0.2">
      <c r="A172" s="495" t="s">
        <v>700</v>
      </c>
      <c r="B172" s="495"/>
      <c r="C172" s="495"/>
      <c r="D172" s="495"/>
      <c r="E172" s="495"/>
      <c r="F172" s="495"/>
      <c r="G172" s="495"/>
      <c r="H172" s="495"/>
      <c r="I172" s="495"/>
      <c r="J172" s="495"/>
    </row>
    <row r="173" spans="1:10" ht="14.25" customHeight="1" x14ac:dyDescent="0.2">
      <c r="A173" s="466" t="s">
        <v>811</v>
      </c>
      <c r="B173" s="466"/>
      <c r="C173" s="466"/>
      <c r="D173" s="466"/>
      <c r="E173" s="466"/>
      <c r="F173" s="466"/>
      <c r="G173" s="466"/>
      <c r="H173" s="466"/>
      <c r="I173" s="466"/>
      <c r="J173" s="466"/>
    </row>
    <row r="174" spans="1:10" ht="75" customHeight="1" x14ac:dyDescent="0.2">
      <c r="A174" s="191" t="s">
        <v>876</v>
      </c>
      <c r="B174" s="423" t="s">
        <v>812</v>
      </c>
      <c r="C174" s="423"/>
      <c r="D174" s="423"/>
      <c r="E174" s="191" t="s">
        <v>813</v>
      </c>
      <c r="F174" s="423" t="s">
        <v>814</v>
      </c>
      <c r="G174" s="423"/>
      <c r="H174" s="191" t="s">
        <v>815</v>
      </c>
      <c r="I174" s="191" t="s">
        <v>816</v>
      </c>
      <c r="J174" s="191" t="s">
        <v>817</v>
      </c>
    </row>
    <row r="175" spans="1:10" ht="57" x14ac:dyDescent="0.2">
      <c r="A175" s="51" t="s">
        <v>818</v>
      </c>
      <c r="B175" s="250" t="s">
        <v>743</v>
      </c>
      <c r="C175" s="239">
        <v>30</v>
      </c>
      <c r="D175" s="251">
        <f>C176</f>
        <v>160</v>
      </c>
      <c r="E175" s="252">
        <v>188.76</v>
      </c>
      <c r="F175" s="250" t="s">
        <v>743</v>
      </c>
      <c r="G175" s="250" t="s">
        <v>819</v>
      </c>
      <c r="H175" s="253">
        <f>ROUND((B175/(C175*D175))*E175*(F175/G175),7)</f>
        <v>2.0829999999999999E-4</v>
      </c>
      <c r="I175" s="241">
        <v>0</v>
      </c>
      <c r="J175" s="241">
        <f>ROUND(H175*I175,2)</f>
        <v>0</v>
      </c>
    </row>
    <row r="176" spans="1:10" ht="57" x14ac:dyDescent="0.2">
      <c r="A176" s="51" t="s">
        <v>820</v>
      </c>
      <c r="B176" s="250">
        <v>1</v>
      </c>
      <c r="C176" s="535">
        <f>'6. SA Cálc. DEMO Esq. e Fach'!$C$8</f>
        <v>160</v>
      </c>
      <c r="D176" s="535"/>
      <c r="E176" s="239">
        <v>188.76</v>
      </c>
      <c r="F176" s="250" t="s">
        <v>743</v>
      </c>
      <c r="G176" s="250" t="s">
        <v>819</v>
      </c>
      <c r="H176" s="253">
        <f>ROUND((B176/C176)*E176*(F176/G176),7)</f>
        <v>6.2500000000000003E-3</v>
      </c>
      <c r="I176" s="241">
        <f>J169</f>
        <v>4697.0991702978035</v>
      </c>
      <c r="J176" s="241">
        <f>ROUND(H176*I176,2)</f>
        <v>29.36</v>
      </c>
    </row>
    <row r="177" spans="1:26" ht="15" customHeight="1" x14ac:dyDescent="0.2">
      <c r="A177" s="457" t="s">
        <v>707</v>
      </c>
      <c r="B177" s="457"/>
      <c r="C177" s="457"/>
      <c r="D177" s="457"/>
      <c r="E177" s="457"/>
      <c r="F177" s="457"/>
      <c r="G177" s="457"/>
      <c r="H177" s="457"/>
      <c r="I177" s="457"/>
      <c r="J177" s="242">
        <f>J176+J175</f>
        <v>29.36</v>
      </c>
    </row>
    <row r="178" spans="1:26" x14ac:dyDescent="0.2">
      <c r="A178" s="536"/>
      <c r="B178" s="536"/>
      <c r="C178" s="536"/>
      <c r="D178" s="536"/>
      <c r="E178" s="536"/>
      <c r="F178" s="536"/>
      <c r="G178" s="536"/>
      <c r="H178" s="536"/>
      <c r="I178" s="536"/>
      <c r="J178" s="536"/>
      <c r="K178" s="18"/>
      <c r="L178" s="18"/>
      <c r="M178" s="18"/>
      <c r="N178" s="18"/>
      <c r="O178" s="18"/>
      <c r="P178" s="18"/>
      <c r="Q178" s="18"/>
      <c r="R178" s="18"/>
      <c r="S178" s="18"/>
      <c r="T178" s="18"/>
      <c r="U178" s="18"/>
      <c r="V178" s="18"/>
      <c r="W178" s="18"/>
      <c r="X178" s="18"/>
      <c r="Y178" s="18"/>
      <c r="Z178" s="18"/>
    </row>
    <row r="179" spans="1:26" ht="57" x14ac:dyDescent="0.2">
      <c r="A179" s="51" t="s">
        <v>821</v>
      </c>
      <c r="B179" s="250">
        <v>1</v>
      </c>
      <c r="C179" s="239">
        <v>30</v>
      </c>
      <c r="D179" s="251">
        <f>C180</f>
        <v>380</v>
      </c>
      <c r="E179" s="239">
        <v>188.76</v>
      </c>
      <c r="F179" s="250" t="s">
        <v>743</v>
      </c>
      <c r="G179" s="250" t="s">
        <v>819</v>
      </c>
      <c r="H179" s="253">
        <f>ROUND((B179/(C179*D179))*E179*(F179/G179),7)</f>
        <v>8.7700000000000004E-5</v>
      </c>
      <c r="I179" s="241">
        <v>0</v>
      </c>
      <c r="J179" s="241">
        <f>ROUND(H179*I179,2)</f>
        <v>0</v>
      </c>
    </row>
    <row r="180" spans="1:26" ht="57" x14ac:dyDescent="0.2">
      <c r="A180" s="51" t="s">
        <v>822</v>
      </c>
      <c r="B180" s="250">
        <v>1</v>
      </c>
      <c r="C180" s="537">
        <f>'6. SA Cálc. DEMO Esq. e Fach'!$C$9</f>
        <v>380</v>
      </c>
      <c r="D180" s="537"/>
      <c r="E180" s="239">
        <v>188.76</v>
      </c>
      <c r="F180" s="250" t="s">
        <v>743</v>
      </c>
      <c r="G180" s="250" t="s">
        <v>819</v>
      </c>
      <c r="H180" s="253">
        <f>ROUND((B180/C180)*E180*(F180/G180),7)</f>
        <v>2.6316E-3</v>
      </c>
      <c r="I180" s="241">
        <f>J169</f>
        <v>4697.0991702978035</v>
      </c>
      <c r="J180" s="241">
        <f>ROUND(H180*I180,2)</f>
        <v>12.36</v>
      </c>
    </row>
    <row r="181" spans="1:26" ht="15" customHeight="1" x14ac:dyDescent="0.2">
      <c r="A181" s="457" t="s">
        <v>707</v>
      </c>
      <c r="B181" s="457"/>
      <c r="C181" s="457"/>
      <c r="D181" s="457"/>
      <c r="E181" s="457"/>
      <c r="F181" s="457"/>
      <c r="G181" s="457"/>
      <c r="H181" s="457"/>
      <c r="I181" s="457"/>
      <c r="J181" s="242">
        <f>J180+J179</f>
        <v>12.36</v>
      </c>
    </row>
    <row r="182" spans="1:26" ht="28.5" x14ac:dyDescent="0.2">
      <c r="A182" s="51" t="s">
        <v>823</v>
      </c>
      <c r="B182" s="250">
        <v>1</v>
      </c>
      <c r="C182" s="239">
        <v>30</v>
      </c>
      <c r="D182" s="251">
        <f>C183</f>
        <v>380</v>
      </c>
      <c r="E182" s="252">
        <v>188.76</v>
      </c>
      <c r="F182" s="250" t="s">
        <v>743</v>
      </c>
      <c r="G182" s="250" t="s">
        <v>819</v>
      </c>
      <c r="H182" s="253">
        <f>ROUND((B182/(C182*D182))*E182*(F182/G182),7)</f>
        <v>8.7700000000000004E-5</v>
      </c>
      <c r="I182" s="241">
        <v>0</v>
      </c>
      <c r="J182" s="241">
        <f>ROUND(H182*I182,2)</f>
        <v>0</v>
      </c>
    </row>
    <row r="183" spans="1:26" ht="28.5" x14ac:dyDescent="0.2">
      <c r="A183" s="51" t="s">
        <v>824</v>
      </c>
      <c r="B183" s="250">
        <v>1</v>
      </c>
      <c r="C183" s="537">
        <f>'6. SA Cálc. DEMO Esq. e Fach'!$C$10</f>
        <v>380</v>
      </c>
      <c r="D183" s="537"/>
      <c r="E183" s="252">
        <v>188.76</v>
      </c>
      <c r="F183" s="250" t="s">
        <v>743</v>
      </c>
      <c r="G183" s="250" t="s">
        <v>819</v>
      </c>
      <c r="H183" s="253">
        <f>ROUND((B183/C183)*E183*(F183/G183),7)</f>
        <v>2.6316E-3</v>
      </c>
      <c r="I183" s="241">
        <f>J169</f>
        <v>4697.0991702978035</v>
      </c>
      <c r="J183" s="241">
        <f>ROUND(H183*I183,2)</f>
        <v>12.36</v>
      </c>
    </row>
    <row r="184" spans="1:26" ht="15" customHeight="1" x14ac:dyDescent="0.2">
      <c r="A184" s="457" t="s">
        <v>825</v>
      </c>
      <c r="B184" s="457"/>
      <c r="C184" s="457"/>
      <c r="D184" s="457"/>
      <c r="E184" s="457"/>
      <c r="F184" s="457"/>
      <c r="G184" s="457"/>
      <c r="H184" s="457"/>
      <c r="I184" s="457"/>
      <c r="J184" s="254">
        <f>SUM(J182:J183)</f>
        <v>12.36</v>
      </c>
    </row>
    <row r="185" spans="1:26" ht="14.25" customHeight="1" x14ac:dyDescent="0.2">
      <c r="A185" s="538" t="s">
        <v>826</v>
      </c>
      <c r="B185" s="538"/>
      <c r="C185" s="538"/>
      <c r="D185" s="538"/>
      <c r="E185" s="538"/>
      <c r="F185" s="538"/>
      <c r="G185" s="538"/>
      <c r="H185" s="538"/>
      <c r="I185" s="538"/>
      <c r="J185" s="538"/>
    </row>
    <row r="186" spans="1:26" ht="75" customHeight="1" x14ac:dyDescent="0.2">
      <c r="A186" s="191" t="s">
        <v>877</v>
      </c>
      <c r="B186" s="423" t="s">
        <v>827</v>
      </c>
      <c r="C186" s="423"/>
      <c r="D186" s="423"/>
      <c r="E186" s="191" t="s">
        <v>828</v>
      </c>
      <c r="F186" s="423" t="s">
        <v>829</v>
      </c>
      <c r="G186" s="423"/>
      <c r="H186" s="191" t="s">
        <v>830</v>
      </c>
      <c r="I186" s="191" t="s">
        <v>831</v>
      </c>
      <c r="J186" s="191" t="s">
        <v>832</v>
      </c>
    </row>
    <row r="187" spans="1:26" ht="15" x14ac:dyDescent="0.2">
      <c r="A187" s="55" t="s">
        <v>833</v>
      </c>
      <c r="B187" s="250">
        <v>1</v>
      </c>
      <c r="C187" s="239">
        <v>4</v>
      </c>
      <c r="D187" s="251">
        <f>C188</f>
        <v>160</v>
      </c>
      <c r="E187" s="239">
        <v>188.76</v>
      </c>
      <c r="F187" s="239">
        <v>1</v>
      </c>
      <c r="G187" s="255">
        <v>188.76</v>
      </c>
      <c r="H187" s="256">
        <f>ROUND((B187/(C187*D187))*E187*(F187/G187),7)</f>
        <v>1.5625000000000001E-3</v>
      </c>
      <c r="I187" s="257">
        <v>0</v>
      </c>
      <c r="J187" s="241">
        <f>ROUND(H187*I187,2)</f>
        <v>0</v>
      </c>
    </row>
    <row r="188" spans="1:26" ht="15" x14ac:dyDescent="0.2">
      <c r="A188" s="55" t="s">
        <v>750</v>
      </c>
      <c r="B188" s="250">
        <v>1</v>
      </c>
      <c r="C188" s="537">
        <f>'6. SA Cálc. DEMO Esq. e Fach'!$C$11</f>
        <v>160</v>
      </c>
      <c r="D188" s="537"/>
      <c r="E188" s="239">
        <v>188.76</v>
      </c>
      <c r="F188" s="258">
        <v>1</v>
      </c>
      <c r="G188" s="255">
        <v>188.76</v>
      </c>
      <c r="H188" s="256">
        <f>ROUND((B188/C188)*E188*(F188/G188),7)</f>
        <v>6.2500000000000003E-3</v>
      </c>
      <c r="I188" s="257">
        <f>J169</f>
        <v>4697.0991702978035</v>
      </c>
      <c r="J188" s="241">
        <f>ROUND(H188*I188,2)</f>
        <v>29.36</v>
      </c>
    </row>
    <row r="189" spans="1:26" ht="15" customHeight="1" x14ac:dyDescent="0.2">
      <c r="A189" s="457" t="s">
        <v>834</v>
      </c>
      <c r="B189" s="457"/>
      <c r="C189" s="457"/>
      <c r="D189" s="457"/>
      <c r="E189" s="457"/>
      <c r="F189" s="457"/>
      <c r="G189" s="457"/>
      <c r="H189" s="457"/>
      <c r="I189" s="457"/>
      <c r="J189" s="254">
        <f>SUM(J187:J188)</f>
        <v>29.36</v>
      </c>
    </row>
    <row r="190" spans="1:26" ht="110.25" customHeight="1" x14ac:dyDescent="0.2">
      <c r="A190" s="442" t="s">
        <v>790</v>
      </c>
      <c r="B190" s="442"/>
      <c r="C190" s="442"/>
      <c r="D190" s="442"/>
      <c r="E190" s="442"/>
      <c r="F190" s="442"/>
      <c r="G190" s="442"/>
      <c r="H190" s="442"/>
      <c r="I190" s="442"/>
      <c r="J190" s="442"/>
    </row>
    <row r="191" spans="1:26" ht="22.5" customHeight="1" x14ac:dyDescent="0.2">
      <c r="A191" s="423" t="s">
        <v>752</v>
      </c>
      <c r="B191" s="423"/>
      <c r="C191" s="423"/>
      <c r="D191" s="423"/>
      <c r="E191" s="423"/>
      <c r="F191" s="423"/>
      <c r="G191" s="423"/>
      <c r="H191" s="423"/>
      <c r="I191" s="423"/>
      <c r="J191" s="423"/>
    </row>
    <row r="192" spans="1:26" ht="22.5" customHeight="1" x14ac:dyDescent="0.2">
      <c r="A192" s="423" t="s">
        <v>23</v>
      </c>
      <c r="B192" s="423"/>
      <c r="C192" s="423"/>
      <c r="D192" s="423"/>
      <c r="E192" s="423"/>
      <c r="F192" s="423" t="s">
        <v>753</v>
      </c>
      <c r="G192" s="423"/>
      <c r="H192" s="191" t="s">
        <v>754</v>
      </c>
      <c r="I192" s="423" t="s">
        <v>755</v>
      </c>
      <c r="J192" s="423"/>
    </row>
    <row r="193" spans="1:26" ht="22.5" customHeight="1" x14ac:dyDescent="0.2">
      <c r="A193" s="495" t="s">
        <v>801</v>
      </c>
      <c r="B193" s="495"/>
      <c r="C193" s="495"/>
      <c r="D193" s="495"/>
      <c r="E193" s="495"/>
      <c r="F193" s="512">
        <f>$J$177</f>
        <v>29.36</v>
      </c>
      <c r="G193" s="512"/>
      <c r="H193" s="244">
        <f>$I$25</f>
        <v>3.8041363636363639</v>
      </c>
      <c r="I193" s="513">
        <f>ROUND(F193*H193,2)</f>
        <v>111.69</v>
      </c>
      <c r="J193" s="513"/>
    </row>
    <row r="194" spans="1:26" ht="22.5" customHeight="1" x14ac:dyDescent="0.2">
      <c r="A194" s="495" t="s">
        <v>802</v>
      </c>
      <c r="B194" s="495"/>
      <c r="C194" s="495"/>
      <c r="D194" s="495"/>
      <c r="E194" s="495"/>
      <c r="F194" s="512">
        <f>$J$181</f>
        <v>12.36</v>
      </c>
      <c r="G194" s="512"/>
      <c r="H194" s="244">
        <f>$I$26</f>
        <v>9.5592545454545466</v>
      </c>
      <c r="I194" s="513">
        <f>ROUND(F194*H194,2)</f>
        <v>118.15</v>
      </c>
      <c r="J194" s="513"/>
    </row>
    <row r="195" spans="1:26" ht="22.5" customHeight="1" x14ac:dyDescent="0.2">
      <c r="A195" s="495" t="s">
        <v>835</v>
      </c>
      <c r="B195" s="495"/>
      <c r="C195" s="495"/>
      <c r="D195" s="495"/>
      <c r="E195" s="495"/>
      <c r="F195" s="512">
        <f>J184</f>
        <v>12.36</v>
      </c>
      <c r="G195" s="512"/>
      <c r="H195" s="244">
        <f>$I$27</f>
        <v>567.45922727272739</v>
      </c>
      <c r="I195" s="513">
        <f>ROUND(F195*H195,2)</f>
        <v>7013.8</v>
      </c>
      <c r="J195" s="513"/>
    </row>
    <row r="196" spans="1:26" ht="22.5" customHeight="1" x14ac:dyDescent="0.2">
      <c r="A196" s="457" t="s">
        <v>836</v>
      </c>
      <c r="B196" s="457"/>
      <c r="C196" s="457"/>
      <c r="D196" s="457"/>
      <c r="E196" s="457"/>
      <c r="F196" s="457"/>
      <c r="G196" s="457"/>
      <c r="H196" s="245">
        <f>I28</f>
        <v>580.82261818181826</v>
      </c>
      <c r="I196" s="515">
        <f>SUM(I193:I195)</f>
        <v>7243.64</v>
      </c>
      <c r="J196" s="515"/>
    </row>
    <row r="197" spans="1:26" ht="22.5" customHeight="1" x14ac:dyDescent="0.2">
      <c r="A197" s="495" t="s">
        <v>805</v>
      </c>
      <c r="B197" s="495"/>
      <c r="C197" s="495"/>
      <c r="D197" s="495"/>
      <c r="E197" s="495"/>
      <c r="F197" s="512">
        <f>J189</f>
        <v>29.36</v>
      </c>
      <c r="G197" s="512"/>
      <c r="H197" s="246">
        <f>$I$30</f>
        <v>0</v>
      </c>
      <c r="I197" s="513">
        <f>ROUND(F197*H197,2)</f>
        <v>0</v>
      </c>
      <c r="J197" s="513"/>
    </row>
    <row r="198" spans="1:26" ht="22.5" customHeight="1" x14ac:dyDescent="0.2">
      <c r="A198" s="457" t="s">
        <v>837</v>
      </c>
      <c r="B198" s="457"/>
      <c r="C198" s="457"/>
      <c r="D198" s="457"/>
      <c r="E198" s="457"/>
      <c r="F198" s="457"/>
      <c r="G198" s="457"/>
      <c r="H198" s="245">
        <f>I30</f>
        <v>0</v>
      </c>
      <c r="I198" s="515">
        <f>SUM(I197)</f>
        <v>0</v>
      </c>
      <c r="J198" s="515"/>
    </row>
    <row r="199" spans="1:26" ht="22.5" customHeight="1" x14ac:dyDescent="0.2">
      <c r="A199" s="495" t="s">
        <v>558</v>
      </c>
      <c r="B199" s="495"/>
      <c r="C199" s="495"/>
      <c r="D199" s="495"/>
      <c r="E199" s="495"/>
      <c r="F199" s="512">
        <v>0</v>
      </c>
      <c r="G199" s="512"/>
      <c r="H199" s="244">
        <f>I31</f>
        <v>0</v>
      </c>
      <c r="I199" s="513">
        <v>0</v>
      </c>
      <c r="J199" s="513"/>
    </row>
    <row r="200" spans="1:26" ht="22.5" customHeight="1" x14ac:dyDescent="0.2">
      <c r="A200" s="457" t="s">
        <v>838</v>
      </c>
      <c r="B200" s="457"/>
      <c r="C200" s="457"/>
      <c r="D200" s="457"/>
      <c r="E200" s="457"/>
      <c r="F200" s="457"/>
      <c r="G200" s="457"/>
      <c r="H200" s="245">
        <f>H199</f>
        <v>0</v>
      </c>
      <c r="I200" s="515">
        <v>0</v>
      </c>
      <c r="J200" s="515"/>
    </row>
    <row r="201" spans="1:26" ht="22.5" customHeight="1" x14ac:dyDescent="0.2">
      <c r="A201" s="457" t="s">
        <v>839</v>
      </c>
      <c r="B201" s="457"/>
      <c r="C201" s="457"/>
      <c r="D201" s="457"/>
      <c r="E201" s="457"/>
      <c r="F201" s="457"/>
      <c r="G201" s="457"/>
      <c r="H201" s="245">
        <f>H200+H198+H196</f>
        <v>580.82261818181826</v>
      </c>
      <c r="I201" s="515">
        <f>I200+I198+I196</f>
        <v>7243.64</v>
      </c>
      <c r="J201" s="515"/>
    </row>
    <row r="202" spans="1:26" ht="22.5" customHeight="1" x14ac:dyDescent="0.2">
      <c r="A202" s="466" t="s">
        <v>764</v>
      </c>
      <c r="B202" s="466"/>
      <c r="C202" s="466"/>
      <c r="D202" s="466"/>
      <c r="E202" s="466"/>
      <c r="F202" s="466"/>
      <c r="G202" s="466"/>
      <c r="H202" s="466"/>
      <c r="I202" s="518">
        <f>I201</f>
        <v>7243.64</v>
      </c>
      <c r="J202" s="518"/>
      <c r="L202" s="1">
        <f>I202/I188</f>
        <v>1.5421518127199223</v>
      </c>
    </row>
    <row r="203" spans="1:26" ht="22.5" customHeight="1" x14ac:dyDescent="0.2">
      <c r="A203" s="466" t="s">
        <v>765</v>
      </c>
      <c r="B203" s="466"/>
      <c r="C203" s="466"/>
      <c r="D203" s="466"/>
      <c r="E203" s="466"/>
      <c r="F203" s="466"/>
      <c r="G203" s="466"/>
      <c r="H203" s="466"/>
      <c r="I203" s="520">
        <f>H21</f>
        <v>20</v>
      </c>
      <c r="J203" s="520"/>
    </row>
    <row r="204" spans="1:26" ht="22.5" customHeight="1" x14ac:dyDescent="0.2">
      <c r="A204" s="466" t="s">
        <v>766</v>
      </c>
      <c r="B204" s="466"/>
      <c r="C204" s="466"/>
      <c r="D204" s="466"/>
      <c r="E204" s="466"/>
      <c r="F204" s="466"/>
      <c r="G204" s="466"/>
      <c r="H204" s="466"/>
      <c r="I204" s="518">
        <f>ROUND(I201*I203,2)</f>
        <v>144872.79999999999</v>
      </c>
      <c r="J204" s="518"/>
    </row>
    <row r="205" spans="1:26" ht="15" x14ac:dyDescent="0.2">
      <c r="A205" s="533"/>
      <c r="B205" s="533"/>
      <c r="C205" s="533"/>
      <c r="D205" s="533"/>
      <c r="E205" s="533"/>
      <c r="F205" s="533"/>
      <c r="G205" s="533"/>
      <c r="H205" s="533"/>
      <c r="I205" s="533"/>
      <c r="J205" s="533"/>
      <c r="K205" s="18"/>
      <c r="L205" s="18"/>
      <c r="M205" s="18"/>
      <c r="N205" s="18"/>
      <c r="O205" s="18"/>
      <c r="P205" s="18"/>
      <c r="Q205" s="18"/>
      <c r="R205" s="18"/>
      <c r="S205" s="18"/>
      <c r="T205" s="18"/>
      <c r="U205" s="18"/>
      <c r="V205" s="18"/>
      <c r="W205" s="18"/>
      <c r="X205" s="18"/>
      <c r="Y205" s="18"/>
      <c r="Z205" s="18"/>
    </row>
    <row r="206" spans="1:26" ht="22.5" customHeight="1" x14ac:dyDescent="0.2">
      <c r="A206" s="466" t="s">
        <v>767</v>
      </c>
      <c r="B206" s="466"/>
      <c r="C206" s="466"/>
      <c r="D206" s="466"/>
      <c r="E206" s="466"/>
      <c r="F206" s="466"/>
      <c r="G206" s="466"/>
      <c r="H206" s="466"/>
      <c r="I206" s="466"/>
      <c r="J206" s="466"/>
    </row>
    <row r="207" spans="1:26" ht="22.5" customHeight="1" x14ac:dyDescent="0.2">
      <c r="A207" s="423" t="s">
        <v>768</v>
      </c>
      <c r="B207" s="423"/>
      <c r="C207" s="423"/>
      <c r="D207" s="423"/>
      <c r="E207" s="423"/>
      <c r="F207" s="423"/>
      <c r="G207" s="423" t="s">
        <v>769</v>
      </c>
      <c r="H207" s="423"/>
      <c r="I207" s="423"/>
      <c r="J207" s="423"/>
      <c r="L207" s="259"/>
    </row>
    <row r="208" spans="1:26" ht="22.5" customHeight="1" x14ac:dyDescent="0.2">
      <c r="A208" s="521" t="s">
        <v>73</v>
      </c>
      <c r="B208" s="521"/>
      <c r="C208" s="521"/>
      <c r="D208" s="521"/>
      <c r="E208" s="521"/>
      <c r="F208" s="521"/>
      <c r="G208" s="522">
        <f>'6. SA Cálc. DEMO Esq. e Fach'!$L$14</f>
        <v>1.542245541267943</v>
      </c>
      <c r="H208" s="522"/>
      <c r="I208" s="522"/>
      <c r="J208" s="522"/>
    </row>
    <row r="209" spans="1:10" ht="39.75" customHeight="1" x14ac:dyDescent="0.2">
      <c r="A209" s="539" t="s">
        <v>840</v>
      </c>
      <c r="B209" s="539"/>
      <c r="C209" s="539"/>
      <c r="D209" s="539"/>
      <c r="E209" s="539"/>
      <c r="F209" s="539"/>
      <c r="G209" s="539"/>
      <c r="H209" s="539"/>
      <c r="I209" s="539"/>
      <c r="J209" s="539"/>
    </row>
    <row r="210" spans="1:10" ht="12.75" customHeight="1" x14ac:dyDescent="0.2"/>
    <row r="211" spans="1:10" ht="12.75" customHeight="1" x14ac:dyDescent="0.2"/>
    <row r="212" spans="1:10" ht="12.75" customHeight="1" x14ac:dyDescent="0.2"/>
    <row r="213" spans="1:10" ht="12.75" customHeight="1" x14ac:dyDescent="0.2"/>
    <row r="214" spans="1:10" ht="12.75" customHeight="1" x14ac:dyDescent="0.2"/>
    <row r="215" spans="1:10" ht="12.75" customHeight="1" x14ac:dyDescent="0.2"/>
    <row r="216" spans="1:10" ht="12.75" customHeight="1" x14ac:dyDescent="0.2"/>
    <row r="217" spans="1:10" ht="12.75" customHeight="1" x14ac:dyDescent="0.2"/>
    <row r="218" spans="1:10" ht="12.75" customHeight="1" x14ac:dyDescent="0.2"/>
    <row r="219" spans="1:10" ht="12.75" customHeight="1" x14ac:dyDescent="0.2"/>
    <row r="220" spans="1:10" ht="12.75" customHeight="1" x14ac:dyDescent="0.2"/>
    <row r="221" spans="1:10" ht="12.75" customHeight="1" x14ac:dyDescent="0.2"/>
    <row r="222" spans="1:10" ht="12.75" customHeight="1" x14ac:dyDescent="0.2"/>
    <row r="223" spans="1:10" ht="12.75" customHeight="1" x14ac:dyDescent="0.2"/>
    <row r="224" spans="1:10"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sheetData>
  <mergeCells count="270">
    <mergeCell ref="A209:J209"/>
    <mergeCell ref="E81:I81"/>
    <mergeCell ref="E85:I85"/>
    <mergeCell ref="A203:H203"/>
    <mergeCell ref="I203:J203"/>
    <mergeCell ref="A204:H204"/>
    <mergeCell ref="I204:J204"/>
    <mergeCell ref="A205:J205"/>
    <mergeCell ref="A206:J206"/>
    <mergeCell ref="A207:F207"/>
    <mergeCell ref="G207:J207"/>
    <mergeCell ref="A208:F208"/>
    <mergeCell ref="G208:J208"/>
    <mergeCell ref="A199:E199"/>
    <mergeCell ref="F199:G199"/>
    <mergeCell ref="I199:J199"/>
    <mergeCell ref="A200:G200"/>
    <mergeCell ref="I200:J200"/>
    <mergeCell ref="A201:G201"/>
    <mergeCell ref="I201:J201"/>
    <mergeCell ref="A202:H202"/>
    <mergeCell ref="I202:J202"/>
    <mergeCell ref="A195:E195"/>
    <mergeCell ref="F195:G195"/>
    <mergeCell ref="I195:J195"/>
    <mergeCell ref="A196:G196"/>
    <mergeCell ref="I196:J196"/>
    <mergeCell ref="A197:E197"/>
    <mergeCell ref="F197:G197"/>
    <mergeCell ref="I197:J197"/>
    <mergeCell ref="A198:G198"/>
    <mergeCell ref="I198:J198"/>
    <mergeCell ref="A191:J191"/>
    <mergeCell ref="A192:E192"/>
    <mergeCell ref="F192:G192"/>
    <mergeCell ref="I192:J192"/>
    <mergeCell ref="A193:E193"/>
    <mergeCell ref="F193:G193"/>
    <mergeCell ref="I193:J193"/>
    <mergeCell ref="A194:E194"/>
    <mergeCell ref="F194:G194"/>
    <mergeCell ref="I194:J194"/>
    <mergeCell ref="A181:I181"/>
    <mergeCell ref="C183:D183"/>
    <mergeCell ref="A184:I184"/>
    <mergeCell ref="A185:J185"/>
    <mergeCell ref="B186:D186"/>
    <mergeCell ref="F186:G186"/>
    <mergeCell ref="C188:D188"/>
    <mergeCell ref="A189:I189"/>
    <mergeCell ref="A190:J190"/>
    <mergeCell ref="A171:J171"/>
    <mergeCell ref="A172:J172"/>
    <mergeCell ref="A173:J173"/>
    <mergeCell ref="B174:D174"/>
    <mergeCell ref="F174:G174"/>
    <mergeCell ref="C176:D176"/>
    <mergeCell ref="A177:I177"/>
    <mergeCell ref="A178:J178"/>
    <mergeCell ref="C180:D180"/>
    <mergeCell ref="A161:I161"/>
    <mergeCell ref="B162:I162"/>
    <mergeCell ref="B163:I163"/>
    <mergeCell ref="B164:I164"/>
    <mergeCell ref="B165:I165"/>
    <mergeCell ref="B166:I166"/>
    <mergeCell ref="A167:I167"/>
    <mergeCell ref="B168:I168"/>
    <mergeCell ref="A169:G169"/>
    <mergeCell ref="A154:I154"/>
    <mergeCell ref="B155:J155"/>
    <mergeCell ref="A156:A158"/>
    <mergeCell ref="B156:C158"/>
    <mergeCell ref="A159:J159"/>
    <mergeCell ref="A160:J160"/>
    <mergeCell ref="D156:F158"/>
    <mergeCell ref="G156:H158"/>
    <mergeCell ref="J156:J158"/>
    <mergeCell ref="K149:L149"/>
    <mergeCell ref="A150:A151"/>
    <mergeCell ref="B150:E151"/>
    <mergeCell ref="F150:H150"/>
    <mergeCell ref="F151:H151"/>
    <mergeCell ref="B152:E152"/>
    <mergeCell ref="F152:H152"/>
    <mergeCell ref="B153:E153"/>
    <mergeCell ref="F153:H153"/>
    <mergeCell ref="A141:J141"/>
    <mergeCell ref="A142:J142"/>
    <mergeCell ref="B143:H143"/>
    <mergeCell ref="A144:I144"/>
    <mergeCell ref="B145:H145"/>
    <mergeCell ref="A146:I146"/>
    <mergeCell ref="B147:H147"/>
    <mergeCell ref="A148:I148"/>
    <mergeCell ref="B149:H149"/>
    <mergeCell ref="B131:J131"/>
    <mergeCell ref="A133:J133"/>
    <mergeCell ref="B134:I134"/>
    <mergeCell ref="B135:I135"/>
    <mergeCell ref="B136:I136"/>
    <mergeCell ref="B137:I137"/>
    <mergeCell ref="B138:I138"/>
    <mergeCell ref="A139:I139"/>
    <mergeCell ref="B140:J140"/>
    <mergeCell ref="B122:I122"/>
    <mergeCell ref="B123:I123"/>
    <mergeCell ref="A124:I124"/>
    <mergeCell ref="A125:I125"/>
    <mergeCell ref="A126:J126"/>
    <mergeCell ref="B127:I127"/>
    <mergeCell ref="B128:I128"/>
    <mergeCell ref="B129:I129"/>
    <mergeCell ref="A130:I130"/>
    <mergeCell ref="B113:I113"/>
    <mergeCell ref="B114:I114"/>
    <mergeCell ref="B115:I115"/>
    <mergeCell ref="B116:I116"/>
    <mergeCell ref="B117:I117"/>
    <mergeCell ref="B118:I118"/>
    <mergeCell ref="B119:I119"/>
    <mergeCell ref="A120:I120"/>
    <mergeCell ref="A121:I121"/>
    <mergeCell ref="B105:I105"/>
    <mergeCell ref="A106:I106"/>
    <mergeCell ref="A108:J108"/>
    <mergeCell ref="A109:J109"/>
    <mergeCell ref="A110:B110"/>
    <mergeCell ref="D110:E110"/>
    <mergeCell ref="G110:H110"/>
    <mergeCell ref="A111:F111"/>
    <mergeCell ref="G111:I111"/>
    <mergeCell ref="B95:I95"/>
    <mergeCell ref="A96:I96"/>
    <mergeCell ref="A98:J98"/>
    <mergeCell ref="B99:I99"/>
    <mergeCell ref="B100:I100"/>
    <mergeCell ref="B101:I101"/>
    <mergeCell ref="B102:I102"/>
    <mergeCell ref="B103:I103"/>
    <mergeCell ref="B104:I104"/>
    <mergeCell ref="B85:D85"/>
    <mergeCell ref="B86:I86"/>
    <mergeCell ref="A87:I87"/>
    <mergeCell ref="B88:J88"/>
    <mergeCell ref="B89:J89"/>
    <mergeCell ref="A91:J91"/>
    <mergeCell ref="B92:I92"/>
    <mergeCell ref="B93:I93"/>
    <mergeCell ref="B94:I94"/>
    <mergeCell ref="B75:I75"/>
    <mergeCell ref="A76:A80"/>
    <mergeCell ref="B76:I76"/>
    <mergeCell ref="J76:J80"/>
    <mergeCell ref="B77:H77"/>
    <mergeCell ref="B78:H78"/>
    <mergeCell ref="B79:H79"/>
    <mergeCell ref="B80:H80"/>
    <mergeCell ref="A81:A84"/>
    <mergeCell ref="B81:D81"/>
    <mergeCell ref="J81:J84"/>
    <mergeCell ref="B82:H82"/>
    <mergeCell ref="B83:H83"/>
    <mergeCell ref="B84:H84"/>
    <mergeCell ref="B65:H65"/>
    <mergeCell ref="B66:H66"/>
    <mergeCell ref="B67:H67"/>
    <mergeCell ref="B68:H68"/>
    <mergeCell ref="B69:H69"/>
    <mergeCell ref="A70:H70"/>
    <mergeCell ref="B71:J71"/>
    <mergeCell ref="B72:J72"/>
    <mergeCell ref="B74:J74"/>
    <mergeCell ref="B56:I56"/>
    <mergeCell ref="A57:I57"/>
    <mergeCell ref="B58:J58"/>
    <mergeCell ref="A59:I59"/>
    <mergeCell ref="B60:J60"/>
    <mergeCell ref="B61:H61"/>
    <mergeCell ref="B62:H62"/>
    <mergeCell ref="B63:H63"/>
    <mergeCell ref="B64:D64"/>
    <mergeCell ref="B48:C48"/>
    <mergeCell ref="D48:H48"/>
    <mergeCell ref="B49:I49"/>
    <mergeCell ref="A50:I50"/>
    <mergeCell ref="B51:J51"/>
    <mergeCell ref="A52:J52"/>
    <mergeCell ref="A53:J53"/>
    <mergeCell ref="B54:I54"/>
    <mergeCell ref="B55:I55"/>
    <mergeCell ref="B41:G41"/>
    <mergeCell ref="H41:J41"/>
    <mergeCell ref="B42:G42"/>
    <mergeCell ref="H42:J42"/>
    <mergeCell ref="B43:J43"/>
    <mergeCell ref="A44:J44"/>
    <mergeCell ref="A45:J45"/>
    <mergeCell ref="B46:H46"/>
    <mergeCell ref="B47:D47"/>
    <mergeCell ref="G47:I47"/>
    <mergeCell ref="A34:J34"/>
    <mergeCell ref="A35:J35"/>
    <mergeCell ref="A36:J36"/>
    <mergeCell ref="A37:J37"/>
    <mergeCell ref="B38:G38"/>
    <mergeCell ref="H38:J38"/>
    <mergeCell ref="B39:G39"/>
    <mergeCell ref="H39:J39"/>
    <mergeCell ref="B40:G40"/>
    <mergeCell ref="H40:J40"/>
    <mergeCell ref="A30:H30"/>
    <mergeCell ref="I30:J30"/>
    <mergeCell ref="A31:F31"/>
    <mergeCell ref="G31:H31"/>
    <mergeCell ref="I31:J31"/>
    <mergeCell ref="A32:H32"/>
    <mergeCell ref="I32:J32"/>
    <mergeCell ref="A33:H33"/>
    <mergeCell ref="I33:J33"/>
    <mergeCell ref="A26:F26"/>
    <mergeCell ref="G26:H26"/>
    <mergeCell ref="I26:J26"/>
    <mergeCell ref="A27:F27"/>
    <mergeCell ref="G27:H27"/>
    <mergeCell ref="I27:J27"/>
    <mergeCell ref="A28:H28"/>
    <mergeCell ref="I28:J28"/>
    <mergeCell ref="A29:F29"/>
    <mergeCell ref="G29:H29"/>
    <mergeCell ref="I29:J29"/>
    <mergeCell ref="B21:G21"/>
    <mergeCell ref="H21:J21"/>
    <mergeCell ref="A23:J23"/>
    <mergeCell ref="A24:F24"/>
    <mergeCell ref="G24:H24"/>
    <mergeCell ref="I24:J24"/>
    <mergeCell ref="A25:F25"/>
    <mergeCell ref="G25:H25"/>
    <mergeCell ref="I25:J25"/>
    <mergeCell ref="A15:G15"/>
    <mergeCell ref="I15:J15"/>
    <mergeCell ref="A17:J17"/>
    <mergeCell ref="B18:G18"/>
    <mergeCell ref="H18:J18"/>
    <mergeCell ref="B19:G19"/>
    <mergeCell ref="H19:J19"/>
    <mergeCell ref="B20:G20"/>
    <mergeCell ref="H20:J20"/>
    <mergeCell ref="B11:C11"/>
    <mergeCell ref="E11:F11"/>
    <mergeCell ref="B12:G12"/>
    <mergeCell ref="I12:J12"/>
    <mergeCell ref="B13:D13"/>
    <mergeCell ref="F13:G13"/>
    <mergeCell ref="I13:J13"/>
    <mergeCell ref="A14:G14"/>
    <mergeCell ref="H14:J14"/>
    <mergeCell ref="A1:J1"/>
    <mergeCell ref="A2:J2"/>
    <mergeCell ref="A3:J3"/>
    <mergeCell ref="A4:J4"/>
    <mergeCell ref="A5:J5"/>
    <mergeCell ref="A7:J7"/>
    <mergeCell ref="A8:J8"/>
    <mergeCell ref="A9:C10"/>
    <mergeCell ref="D9:H9"/>
    <mergeCell ref="I9:J9"/>
    <mergeCell ref="D10:F10"/>
    <mergeCell ref="I10:J10"/>
  </mergeCells>
  <conditionalFormatting sqref="A14:G14">
    <cfRule type="expression" dxfId="3" priority="2">
      <formula>LEN(TRIM(A14))&gt;0</formula>
    </cfRule>
  </conditionalFormatting>
  <conditionalFormatting sqref="H14:J14">
    <cfRule type="expression" dxfId="2" priority="3">
      <formula>LEN(TRIM(H14))&gt;0</formula>
    </cfRule>
  </conditionalFormatting>
  <printOptions horizontalCentered="1"/>
  <pageMargins left="0" right="0" top="0.39370078740157483" bottom="0" header="0" footer="0.51181102362204722"/>
  <pageSetup paperSize="9" scale="45" firstPageNumber="0" pageOrder="overThenDown" orientation="portrait" r:id="rId1"/>
  <headerFooter>
    <oddHeader>&amp;R&amp;P de &amp;N</oddHeader>
    <oddFooter>&amp;L&amp;F - &amp;A&amp;CPágina &amp;P de &amp;N</oddFooter>
  </headerFooter>
  <rowBreaks count="2" manualBreakCount="2">
    <brk id="80" max="9" man="1"/>
    <brk id="158" max="9" man="1"/>
  </rowBreaks>
  <drawing r:id="rId2"/>
  <legacyDrawing r:id="rId3"/>
</worksheet>
</file>

<file path=docProps/app.xml><?xml version="1.0" encoding="utf-8"?>
<Properties xmlns="http://schemas.openxmlformats.org/officeDocument/2006/extended-properties" xmlns:vt="http://schemas.openxmlformats.org/officeDocument/2006/docPropsVTypes">
  <Template/>
  <TotalTime>4</TotalTime>
  <Application>Microsoft Excel</Application>
  <DocSecurity>0</DocSecurity>
  <ScaleCrop>false</ScaleCrop>
  <HeadingPairs>
    <vt:vector size="4" baseType="variant">
      <vt:variant>
        <vt:lpstr>Planilhas</vt:lpstr>
      </vt:variant>
      <vt:variant>
        <vt:i4>12</vt:i4>
      </vt:variant>
      <vt:variant>
        <vt:lpstr>Intervalos nomeados</vt:lpstr>
      </vt:variant>
      <vt:variant>
        <vt:i4>12</vt:i4>
      </vt:variant>
    </vt:vector>
  </HeadingPairs>
  <TitlesOfParts>
    <vt:vector size="24" baseType="lpstr">
      <vt:lpstr>1. SA ABA DE CARREGAMENTO</vt:lpstr>
      <vt:lpstr>2. SA INSUMOS</vt:lpstr>
      <vt:lpstr>3. SA Área</vt:lpstr>
      <vt:lpstr>4. SA Cál DEMO Limpeza Geral</vt:lpstr>
      <vt:lpstr>5. SA Cál. DEMO Banheiros</vt:lpstr>
      <vt:lpstr>6. SA Cálc. DEMO Esq. e Fach</vt:lpstr>
      <vt:lpstr>7. SA Planilha área geral</vt:lpstr>
      <vt:lpstr>8. SA Planilha área Banheiros</vt:lpstr>
      <vt:lpstr>9. SA Planilha Área Esq e Fach</vt:lpstr>
      <vt:lpstr>10. SA Planilha Encarregado</vt:lpstr>
      <vt:lpstr>11. SA Resumo da Proposta</vt:lpstr>
      <vt:lpstr>Plan1</vt:lpstr>
      <vt:lpstr>'1. SA ABA DE CARREGAMENTO'!Area_de_impressao</vt:lpstr>
      <vt:lpstr>'10. SA Planilha Encarregado'!Area_de_impressao</vt:lpstr>
      <vt:lpstr>'11. SA Resumo da Proposta'!Area_de_impressao</vt:lpstr>
      <vt:lpstr>'2. SA INSUMOS'!Area_de_impressao</vt:lpstr>
      <vt:lpstr>'3. SA Área'!Area_de_impressao</vt:lpstr>
      <vt:lpstr>'4. SA Cál DEMO Limpeza Geral'!Area_de_impressao</vt:lpstr>
      <vt:lpstr>'5. SA Cál. DEMO Banheiros'!Area_de_impressao</vt:lpstr>
      <vt:lpstr>'6. SA Cálc. DEMO Esq. e Fach'!Area_de_impressao</vt:lpstr>
      <vt:lpstr>'7. SA Planilha área geral'!Area_de_impressao</vt:lpstr>
      <vt:lpstr>'8. SA Planilha área Banheiros'!Area_de_impressao</vt:lpstr>
      <vt:lpstr>'9. SA Planilha Área Esq e Fach'!Area_de_impressao</vt:lpstr>
      <vt:lpstr>'7. SA Planilha área geral'!Print_Area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Servidor</dc:creator>
  <cp:lastModifiedBy>thome</cp:lastModifiedBy>
  <cp:revision>1</cp:revision>
  <cp:lastPrinted>2022-02-17T17:32:06Z</cp:lastPrinted>
  <dcterms:created xsi:type="dcterms:W3CDTF">2018-01-29T11:38:17Z</dcterms:created>
  <dcterms:modified xsi:type="dcterms:W3CDTF">2022-02-17T17:32:33Z</dcterms:modified>
  <dc:language>pt-BR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1046-10.2.0.6020</vt:lpwstr>
  </property>
</Properties>
</file>