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0370" yWindow="-120" windowWidth="29040" windowHeight="15990" tabRatio="985"/>
  </bookViews>
  <sheets>
    <sheet name="1. SAn ABA DE CARREGAMENTO" sheetId="1" r:id="rId1"/>
    <sheet name="2. SAn INSUMOS" sheetId="2" r:id="rId2"/>
    <sheet name="3. SAn Área" sheetId="3" r:id="rId3"/>
    <sheet name="4. SAn Cál DEMO Limpeza Geral" sheetId="4" r:id="rId4"/>
    <sheet name="5. SAn Cálc. DEMO Banheiros" sheetId="5" r:id="rId5"/>
    <sheet name="6. SAn Cál DEMO Esq. e Fach" sheetId="6" r:id="rId6"/>
    <sheet name="7. SAn Planilha Área Geral" sheetId="7" r:id="rId7"/>
    <sheet name="8. SAn Planilha Área Banheiros" sheetId="8" r:id="rId8"/>
    <sheet name="9. SAn Planilha Área Esq e Fach" sheetId="9" r:id="rId9"/>
    <sheet name="10. SAn Planilha Encarregado" sheetId="10" r:id="rId10"/>
    <sheet name="11. SAn Resumo da Proposta" sheetId="11" r:id="rId11"/>
    <sheet name="Plan1" sheetId="12" r:id="rId12"/>
  </sheets>
  <definedNames>
    <definedName name="Anexo">#REF!</definedName>
    <definedName name="_xlnm.Print_Area" localSheetId="0">'1. SAn ABA DE CARREGAMENTO'!$A$1:$C$109</definedName>
    <definedName name="_xlnm.Print_Area" localSheetId="9">'10. SAn Planilha Encarregado'!$A$1:$J$172</definedName>
    <definedName name="_xlnm.Print_Area" localSheetId="10">'11. SAn Resumo da Proposta'!$A$1:$G$39</definedName>
    <definedName name="_xlnm.Print_Area" localSheetId="1">'2. SAn INSUMOS'!$A$1:$I$103</definedName>
    <definedName name="_xlnm.Print_Area" localSheetId="3">'4. SAn Cál DEMO Limpeza Geral'!$A$1:$P$35</definedName>
    <definedName name="_xlnm.Print_Area" localSheetId="4">'5. SAn Cálc. DEMO Banheiros'!$A$1:$P$17</definedName>
    <definedName name="_xlnm.Print_Area" localSheetId="5">'6. SAn Cál DEMO Esq. e Fach'!$A$1:$P$19</definedName>
    <definedName name="_xlnm.Print_Area" localSheetId="6">'7. SAn Planilha Área Geral'!$A$1:$J$280</definedName>
    <definedName name="_xlnm.Print_Area" localSheetId="7">'8. SAn Planilha Área Banheiros'!$A$1:$J$203</definedName>
    <definedName name="_xlnm.Print_Area" localSheetId="8">'9. SAn Planilha Área Esq e Fach'!$A$1:$J$209</definedName>
    <definedName name="Excel_BuiltIn_Print_Area" localSheetId="6">#REF!</definedName>
    <definedName name="Print_Area" localSheetId="6">'7. SAn Planilha Área Geral'!$A$7:$J$280</definedName>
    <definedName name="Print_Titles_0" localSheetId="0">'1. SAn ABA DE CARREGAMENTO'!$1:$5</definedName>
    <definedName name="Print_Titles_0" localSheetId="9">'10. SAn Planilha Encarregado'!$1:$5</definedName>
    <definedName name="Print_Titles_0" localSheetId="1">'2. SAn INSUMOS'!$1:$5</definedName>
    <definedName name="Print_Titles_0" localSheetId="3">'4. SAn Cál DEMO Limpeza Geral'!$1:$5</definedName>
    <definedName name="Print_Titles_0" localSheetId="6">'7. SAn Planilha Área Geral'!$1:$5</definedName>
    <definedName name="Print_Titles_0" localSheetId="7">'8. SAn Planilha Área Banheiros'!$1:$5</definedName>
    <definedName name="Print_Titles_0" localSheetId="8">'9. SAn Planilha Área Esq e Fach'!$1:$5</definedName>
    <definedName name="Print_Titles_0_0" localSheetId="0">'1. SAn ABA DE CARREGAMENTO'!$1:$5</definedName>
    <definedName name="Print_Titles_0_0" localSheetId="9">'10. SAn Planilha Encarregado'!$1:$5</definedName>
    <definedName name="Print_Titles_0_0" localSheetId="1">'2. SAn INSUMOS'!$1:$5</definedName>
    <definedName name="Print_Titles_0_0" localSheetId="3">'4. SAn Cál DEMO Limpeza Geral'!$1:$5</definedName>
    <definedName name="Print_Titles_0_0" localSheetId="6">'7. SAn Planilha Área Geral'!$1:$5</definedName>
    <definedName name="Print_Titles_0_0" localSheetId="7">'8. SAn Planilha Área Banheiros'!$1:$5</definedName>
    <definedName name="Print_Titles_0_0" localSheetId="8">'9. SAn Planilha Área Esq e Fach'!$1:$5</definedName>
    <definedName name="Print_Titles_0_0_0" localSheetId="0">'1. SAn ABA DE CARREGAMENTO'!$1:$5</definedName>
    <definedName name="Print_Titles_0_0_0" localSheetId="9">'10. SAn Planilha Encarregado'!$1:$5</definedName>
    <definedName name="Print_Titles_0_0_0" localSheetId="1">'2. SAn INSUMOS'!$1:$5</definedName>
    <definedName name="Print_Titles_0_0_0" localSheetId="3">'4. SAn Cál DEMO Limpeza Geral'!$1:$5</definedName>
    <definedName name="Print_Titles_0_0_0" localSheetId="6">'7. SAn Planilha Área Geral'!$1:$5</definedName>
    <definedName name="Print_Titles_0_0_0" localSheetId="7">'8. SAn Planilha Área Banheiros'!$1:$5</definedName>
    <definedName name="Print_Titles_0_0_0" localSheetId="8">'9. SAn Planilha Área Esq e Fach'!$1:$5</definedName>
    <definedName name="Print_Titles_0_0_0_0" localSheetId="0">'1. SAn ABA DE CARREGAMENTO'!$1:$5</definedName>
    <definedName name="Print_Titles_0_0_0_0" localSheetId="9">'10. SAn Planilha Encarregado'!$1:$5</definedName>
    <definedName name="Print_Titles_0_0_0_0" localSheetId="1">'2. SAn INSUMOS'!$1:$5</definedName>
    <definedName name="Print_Titles_0_0_0_0" localSheetId="3">'4. SAn Cál DEMO Limpeza Geral'!$1:$5</definedName>
    <definedName name="Print_Titles_0_0_0_0" localSheetId="6">'7. SAn Planilha Área Geral'!$1:$5</definedName>
    <definedName name="Print_Titles_0_0_0_0" localSheetId="7">'8. SAn Planilha Área Banheiros'!$1:$5</definedName>
    <definedName name="Print_Titles_0_0_0_0" localSheetId="8">'9. SAn Planilha Área Esq e Fach'!$1:$5</definedName>
    <definedName name="Print_Titles_0_0_0_0_0" localSheetId="0">'1. SAn ABA DE CARREGAMENTO'!$1:$5</definedName>
    <definedName name="Print_Titles_0_0_0_0_0" localSheetId="9">'10. SAn Planilha Encarregado'!$1:$5</definedName>
    <definedName name="Print_Titles_0_0_0_0_0" localSheetId="1">'2. SAn INSUMOS'!$1:$5</definedName>
    <definedName name="Print_Titles_0_0_0_0_0" localSheetId="3">'4. SAn Cál DEMO Limpeza Geral'!$1:$5</definedName>
    <definedName name="Print_Titles_0_0_0_0_0" localSheetId="6">'7. SAn Planilha Área Geral'!$1:$5</definedName>
    <definedName name="Print_Titles_0_0_0_0_0" localSheetId="7">'8. SAn Planilha Área Banheiros'!$1:$5</definedName>
    <definedName name="Print_Titles_0_0_0_0_0" localSheetId="8">'9. SAn Planilha Área Esq e Fach'!$1:$5</definedName>
    <definedName name="Print_Titles_0_0_0_0_0_0" localSheetId="0">'1. SAn ABA DE CARREGAMENTO'!$1:$5</definedName>
    <definedName name="Print_Titles_0_0_0_0_0_0" localSheetId="9">'10. SAn Planilha Encarregado'!$1:$5</definedName>
    <definedName name="Print_Titles_0_0_0_0_0_0" localSheetId="1">'2. SAn INSUMOS'!$1:$5</definedName>
    <definedName name="Print_Titles_0_0_0_0_0_0" localSheetId="3">'4. SAn Cál DEMO Limpeza Geral'!$1:$5</definedName>
    <definedName name="Print_Titles_0_0_0_0_0_0" localSheetId="6">'7. SAn Planilha Área Geral'!$1:$5</definedName>
    <definedName name="Print_Titles_0_0_0_0_0_0" localSheetId="7">'8. SAn Planilha Área Banheiros'!$1:$5</definedName>
    <definedName name="Print_Titles_0_0_0_0_0_0" localSheetId="8">'9. SAn Planilha Área Esq e Fach'!$1:$5</definedName>
    <definedName name="_xlnm.Print_Titles" localSheetId="0">'1. SAn ABA DE CARREGAMENTO'!$1:$5</definedName>
    <definedName name="_xlnm.Print_Titles" localSheetId="9">'10. SAn Planilha Encarregado'!$1:$5</definedName>
    <definedName name="_xlnm.Print_Titles" localSheetId="1">'2. SAn INSUMOS'!$1:$5</definedName>
    <definedName name="_xlnm.Print_Titles" localSheetId="3">'4. SAn Cál DEMO Limpeza Geral'!$1:$5</definedName>
    <definedName name="_xlnm.Print_Titles" localSheetId="6">'7. SAn Planilha Área Geral'!$1:$5</definedName>
    <definedName name="_xlnm.Print_Titles" localSheetId="7">'8. SAn Planilha Área Banheiros'!$1:$5</definedName>
    <definedName name="_xlnm.Print_Titles" localSheetId="8">'9. SAn Planilha Área Esq e Fach'!$1:$5</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7" i="10" l="1"/>
  <c r="A7" i="8"/>
  <c r="A7" i="9"/>
  <c r="D16" i="11" l="1"/>
  <c r="H15" i="9" l="1"/>
  <c r="I151" i="9" l="1"/>
  <c r="I150" i="9"/>
  <c r="I15" i="9"/>
  <c r="D54" i="3"/>
  <c r="E8" i="2"/>
  <c r="B54" i="1"/>
  <c r="F80" i="2"/>
  <c r="AD18" i="3" l="1"/>
  <c r="AD19" i="3"/>
  <c r="AD20" i="3"/>
  <c r="AD21" i="3"/>
  <c r="AD28" i="3"/>
  <c r="AD29" i="3"/>
  <c r="AD37" i="3"/>
  <c r="AD38" i="3"/>
  <c r="AD44" i="3"/>
  <c r="AD45" i="3"/>
  <c r="AD51" i="3"/>
  <c r="AD52" i="3"/>
  <c r="AD58" i="3"/>
  <c r="AD59" i="3"/>
  <c r="AD12" i="3"/>
  <c r="AD13" i="3"/>
  <c r="AD14" i="3"/>
  <c r="AD11" i="3"/>
  <c r="V11" i="3" l="1"/>
  <c r="V61" i="3" s="1"/>
  <c r="D38" i="11"/>
  <c r="D37" i="11"/>
  <c r="D36" i="11"/>
  <c r="D35" i="11"/>
  <c r="D34" i="11"/>
  <c r="D27" i="11"/>
  <c r="D26" i="11"/>
  <c r="C15" i="11"/>
  <c r="C11" i="11"/>
  <c r="C10" i="11"/>
  <c r="C9" i="11"/>
  <c r="C8" i="11"/>
  <c r="C4" i="11"/>
  <c r="G171" i="10"/>
  <c r="D11" i="11" s="1"/>
  <c r="H161" i="10"/>
  <c r="I145" i="10"/>
  <c r="I139" i="10"/>
  <c r="I137" i="10"/>
  <c r="J116" i="10"/>
  <c r="J121" i="10" s="1"/>
  <c r="J77" i="10"/>
  <c r="E77" i="10"/>
  <c r="I76" i="10"/>
  <c r="I75" i="10"/>
  <c r="I74" i="10"/>
  <c r="E73" i="10"/>
  <c r="I72" i="10"/>
  <c r="I71" i="10"/>
  <c r="I70" i="10"/>
  <c r="I69" i="10"/>
  <c r="I61" i="10"/>
  <c r="H56" i="10"/>
  <c r="F56" i="10"/>
  <c r="I54" i="10"/>
  <c r="I40" i="10"/>
  <c r="D40" i="10"/>
  <c r="G39" i="10"/>
  <c r="E39" i="10"/>
  <c r="H34" i="10"/>
  <c r="H33" i="10"/>
  <c r="H32" i="10"/>
  <c r="J39" i="10" s="1"/>
  <c r="H31" i="10"/>
  <c r="H30" i="10"/>
  <c r="H21" i="10"/>
  <c r="I165" i="10" s="1"/>
  <c r="H20" i="10"/>
  <c r="H19" i="10"/>
  <c r="H18" i="10"/>
  <c r="H15" i="10"/>
  <c r="H14" i="10"/>
  <c r="A14" i="10"/>
  <c r="I13" i="10"/>
  <c r="F13" i="10"/>
  <c r="B13" i="10"/>
  <c r="I12" i="10"/>
  <c r="B12" i="10"/>
  <c r="J11" i="10"/>
  <c r="H11" i="10"/>
  <c r="E11" i="10"/>
  <c r="B11" i="10"/>
  <c r="I9" i="10"/>
  <c r="A4" i="10"/>
  <c r="H199" i="9"/>
  <c r="H200" i="9" s="1"/>
  <c r="H169" i="9"/>
  <c r="I153" i="9"/>
  <c r="I147" i="9"/>
  <c r="I145" i="9"/>
  <c r="J124" i="9"/>
  <c r="J129" i="9" s="1"/>
  <c r="J85" i="9"/>
  <c r="E85" i="9"/>
  <c r="I84" i="9"/>
  <c r="I83" i="9"/>
  <c r="I82" i="9"/>
  <c r="E81" i="9"/>
  <c r="I80" i="9"/>
  <c r="I79" i="9"/>
  <c r="I78" i="9"/>
  <c r="I77" i="9"/>
  <c r="I69" i="9"/>
  <c r="I68" i="9"/>
  <c r="I67" i="9"/>
  <c r="I66" i="9"/>
  <c r="I65" i="9"/>
  <c r="H64" i="9"/>
  <c r="F64" i="9"/>
  <c r="I63" i="9"/>
  <c r="I62" i="9"/>
  <c r="I48" i="9"/>
  <c r="D48" i="9"/>
  <c r="G47" i="9"/>
  <c r="E47" i="9"/>
  <c r="H42" i="9"/>
  <c r="H41" i="9"/>
  <c r="H40" i="9"/>
  <c r="J47" i="9" s="1"/>
  <c r="H39" i="9"/>
  <c r="H38" i="9"/>
  <c r="I32" i="9"/>
  <c r="H21" i="9"/>
  <c r="I203" i="9" s="1"/>
  <c r="H20" i="9"/>
  <c r="H19" i="9"/>
  <c r="H18" i="9"/>
  <c r="H14" i="9"/>
  <c r="A14" i="9"/>
  <c r="I13" i="9"/>
  <c r="F13" i="9"/>
  <c r="B13" i="9"/>
  <c r="I12" i="9"/>
  <c r="B12" i="9"/>
  <c r="J11" i="9"/>
  <c r="H11" i="9"/>
  <c r="E11" i="9"/>
  <c r="B11" i="9"/>
  <c r="I9" i="9"/>
  <c r="A4" i="9"/>
  <c r="H192" i="8"/>
  <c r="H193" i="8" s="1"/>
  <c r="G181" i="8"/>
  <c r="G177" i="8"/>
  <c r="H167" i="8"/>
  <c r="I151" i="8"/>
  <c r="I145" i="8"/>
  <c r="I143" i="8"/>
  <c r="J122" i="8"/>
  <c r="J127" i="8" s="1"/>
  <c r="J83" i="8"/>
  <c r="E83" i="8"/>
  <c r="I82" i="8"/>
  <c r="I81" i="8"/>
  <c r="I80" i="8"/>
  <c r="E79" i="8"/>
  <c r="I78" i="8"/>
  <c r="I77" i="8"/>
  <c r="I76" i="8"/>
  <c r="I75" i="8"/>
  <c r="I67" i="8"/>
  <c r="H62" i="8"/>
  <c r="F62" i="8"/>
  <c r="I60" i="8"/>
  <c r="I46" i="8"/>
  <c r="D46" i="8"/>
  <c r="G45" i="8"/>
  <c r="E45" i="8"/>
  <c r="H40" i="8"/>
  <c r="H39" i="8"/>
  <c r="H38" i="8"/>
  <c r="J45" i="8" s="1"/>
  <c r="H37" i="8"/>
  <c r="H36" i="8"/>
  <c r="H21" i="8"/>
  <c r="I196" i="8" s="1"/>
  <c r="H20" i="8"/>
  <c r="H19" i="8"/>
  <c r="H18" i="8"/>
  <c r="H15" i="8"/>
  <c r="H14" i="8"/>
  <c r="A14" i="8"/>
  <c r="I13" i="8"/>
  <c r="F13" i="8"/>
  <c r="B13" i="8"/>
  <c r="I12" i="8"/>
  <c r="B12" i="8"/>
  <c r="J11" i="8"/>
  <c r="H11" i="8"/>
  <c r="E11" i="8"/>
  <c r="B11" i="8"/>
  <c r="I9" i="8"/>
  <c r="A4" i="8"/>
  <c r="H270" i="7"/>
  <c r="H271" i="7" s="1"/>
  <c r="G244" i="7"/>
  <c r="G237" i="7"/>
  <c r="G234" i="7"/>
  <c r="G231" i="7"/>
  <c r="G228" i="7"/>
  <c r="G225" i="7"/>
  <c r="G222" i="7"/>
  <c r="G216" i="7"/>
  <c r="G219" i="7" s="1"/>
  <c r="G210" i="7"/>
  <c r="G207" i="7"/>
  <c r="G204" i="7"/>
  <c r="G201" i="7"/>
  <c r="G198" i="7"/>
  <c r="G195" i="7"/>
  <c r="G192" i="7"/>
  <c r="H183" i="7"/>
  <c r="I167" i="7"/>
  <c r="I161" i="7"/>
  <c r="I159" i="7"/>
  <c r="J138" i="7"/>
  <c r="J143" i="7" s="1"/>
  <c r="J99" i="7"/>
  <c r="E99" i="7"/>
  <c r="I98" i="7"/>
  <c r="I97" i="7"/>
  <c r="I96" i="7"/>
  <c r="E95" i="7"/>
  <c r="I94" i="7"/>
  <c r="I93" i="7"/>
  <c r="I92" i="7"/>
  <c r="I91" i="7"/>
  <c r="I83" i="7"/>
  <c r="H78" i="7"/>
  <c r="F78" i="7"/>
  <c r="I76" i="7"/>
  <c r="I62" i="7"/>
  <c r="D62" i="7"/>
  <c r="G61" i="7"/>
  <c r="E61" i="7"/>
  <c r="H56" i="7"/>
  <c r="H55" i="7"/>
  <c r="H54" i="7"/>
  <c r="J61" i="7" s="1"/>
  <c r="H53" i="7"/>
  <c r="H52" i="7"/>
  <c r="H21" i="7"/>
  <c r="I275" i="7" s="1"/>
  <c r="H20" i="7"/>
  <c r="H19" i="7"/>
  <c r="H18" i="7"/>
  <c r="H15" i="7"/>
  <c r="H14" i="7"/>
  <c r="A14" i="7"/>
  <c r="I13" i="7"/>
  <c r="F13" i="7"/>
  <c r="B13" i="7"/>
  <c r="I12" i="7"/>
  <c r="B12" i="7"/>
  <c r="J11" i="7"/>
  <c r="H11" i="7"/>
  <c r="E11" i="7"/>
  <c r="B11" i="7"/>
  <c r="I9" i="7"/>
  <c r="A4" i="7"/>
  <c r="K12" i="6"/>
  <c r="C11" i="6"/>
  <c r="C188" i="9" s="1"/>
  <c r="D187" i="9" s="1"/>
  <c r="C10" i="6"/>
  <c r="C183" i="9" s="1"/>
  <c r="C9" i="6"/>
  <c r="C180" i="9" s="1"/>
  <c r="C8" i="6"/>
  <c r="C176" i="9" s="1"/>
  <c r="A4" i="6"/>
  <c r="K11" i="5"/>
  <c r="C10" i="5"/>
  <c r="E182" i="8" s="1"/>
  <c r="F181" i="8" s="1"/>
  <c r="C9" i="5"/>
  <c r="E178" i="8" s="1"/>
  <c r="F177" i="8" s="1"/>
  <c r="C8" i="5"/>
  <c r="E174" i="8" s="1"/>
  <c r="A4" i="5"/>
  <c r="K25" i="4"/>
  <c r="K24" i="4"/>
  <c r="C24" i="4"/>
  <c r="E245" i="7" s="1"/>
  <c r="K23" i="4"/>
  <c r="C23" i="4"/>
  <c r="E238" i="7" s="1"/>
  <c r="K22" i="4"/>
  <c r="C22" i="4"/>
  <c r="E235" i="7" s="1"/>
  <c r="F234" i="7" s="1"/>
  <c r="K21" i="4"/>
  <c r="C21" i="4"/>
  <c r="E232" i="7" s="1"/>
  <c r="F231" i="7" s="1"/>
  <c r="K20" i="4"/>
  <c r="C20" i="4"/>
  <c r="E229" i="7" s="1"/>
  <c r="K19" i="4"/>
  <c r="C19" i="4"/>
  <c r="E226" i="7" s="1"/>
  <c r="K18" i="4"/>
  <c r="C18" i="4"/>
  <c r="E223" i="7" s="1"/>
  <c r="F222" i="7" s="1"/>
  <c r="K17" i="4"/>
  <c r="C17" i="4"/>
  <c r="E220" i="7" s="1"/>
  <c r="F219" i="7" s="1"/>
  <c r="K16" i="4"/>
  <c r="C16" i="4"/>
  <c r="E217" i="7" s="1"/>
  <c r="K15" i="4"/>
  <c r="C15" i="4"/>
  <c r="E211" i="7" s="1"/>
  <c r="K14" i="4"/>
  <c r="C14" i="4"/>
  <c r="E208" i="7" s="1"/>
  <c r="F207" i="7" s="1"/>
  <c r="K13" i="4"/>
  <c r="C13" i="4"/>
  <c r="E205" i="7" s="1"/>
  <c r="K12" i="4"/>
  <c r="C12" i="4"/>
  <c r="E202" i="7" s="1"/>
  <c r="K11" i="4"/>
  <c r="C11" i="4"/>
  <c r="E199" i="7" s="1"/>
  <c r="F198" i="7" s="1"/>
  <c r="K10" i="4"/>
  <c r="C10" i="4"/>
  <c r="E196" i="7" s="1"/>
  <c r="F195" i="7" s="1"/>
  <c r="K9" i="4"/>
  <c r="C9" i="4"/>
  <c r="E193" i="7" s="1"/>
  <c r="K8" i="4"/>
  <c r="C8" i="4"/>
  <c r="E190" i="7" s="1"/>
  <c r="A4" i="4"/>
  <c r="AC61" i="3"/>
  <c r="AB61" i="3"/>
  <c r="Y61" i="3"/>
  <c r="X61" i="3"/>
  <c r="W61" i="3"/>
  <c r="U61" i="3"/>
  <c r="T61" i="3"/>
  <c r="S61" i="3"/>
  <c r="R61" i="3"/>
  <c r="Q61" i="3"/>
  <c r="P61" i="3"/>
  <c r="O61" i="3"/>
  <c r="N61" i="3"/>
  <c r="M61" i="3"/>
  <c r="L61" i="3"/>
  <c r="I61" i="3"/>
  <c r="H61" i="3"/>
  <c r="G61" i="3"/>
  <c r="F61" i="3"/>
  <c r="E61" i="3"/>
  <c r="AE60" i="3"/>
  <c r="AE59" i="3"/>
  <c r="BC59" i="3" s="1"/>
  <c r="AE58" i="3"/>
  <c r="BB58" i="3" s="1"/>
  <c r="AE57" i="3"/>
  <c r="AE56" i="3"/>
  <c r="AD56" i="3" s="1"/>
  <c r="AT56" i="3" s="1"/>
  <c r="AE55" i="3"/>
  <c r="D55" i="3"/>
  <c r="AE54" i="3"/>
  <c r="AE53" i="3"/>
  <c r="AE52" i="3"/>
  <c r="BC52" i="3" s="1"/>
  <c r="AE51" i="3"/>
  <c r="BB51" i="3" s="1"/>
  <c r="AE50" i="3"/>
  <c r="AD50" i="3" s="1"/>
  <c r="AE49" i="3"/>
  <c r="AD49" i="3" s="1"/>
  <c r="AE48" i="3"/>
  <c r="AD48" i="3" s="1"/>
  <c r="AE47" i="3"/>
  <c r="AD47" i="3" s="1"/>
  <c r="D47" i="3"/>
  <c r="AE46" i="3"/>
  <c r="AE45" i="3"/>
  <c r="AY45" i="3" s="1"/>
  <c r="AE44" i="3"/>
  <c r="BD44" i="3" s="1"/>
  <c r="AE43" i="3"/>
  <c r="AD43" i="3" s="1"/>
  <c r="AE42" i="3"/>
  <c r="AD42" i="3" s="1"/>
  <c r="AE41" i="3"/>
  <c r="AD41" i="3" s="1"/>
  <c r="AE40" i="3"/>
  <c r="D40" i="3"/>
  <c r="AE39" i="3"/>
  <c r="AD39" i="3" s="1"/>
  <c r="AE38" i="3"/>
  <c r="AT38" i="3" s="1"/>
  <c r="AE37" i="3"/>
  <c r="AN37" i="3" s="1"/>
  <c r="AE36" i="3"/>
  <c r="AE35" i="3"/>
  <c r="AD35" i="3" s="1"/>
  <c r="AE34" i="3"/>
  <c r="AE33" i="3"/>
  <c r="AE32" i="3"/>
  <c r="AD32" i="3" s="1"/>
  <c r="AE31" i="3"/>
  <c r="AD31" i="3" s="1"/>
  <c r="BA31" i="3" s="1"/>
  <c r="D31" i="3"/>
  <c r="AE30" i="3"/>
  <c r="AE29" i="3"/>
  <c r="BC29" i="3" s="1"/>
  <c r="AE28" i="3"/>
  <c r="BD28" i="3" s="1"/>
  <c r="AE27" i="3"/>
  <c r="AD27" i="3" s="1"/>
  <c r="AE26" i="3"/>
  <c r="AE25" i="3"/>
  <c r="AD25" i="3" s="1"/>
  <c r="AE24" i="3"/>
  <c r="AD24" i="3" s="1"/>
  <c r="BC24" i="3" s="1"/>
  <c r="AE23" i="3"/>
  <c r="AD23" i="3" s="1"/>
  <c r="D23" i="3"/>
  <c r="AE22" i="3"/>
  <c r="AD22" i="3" s="1"/>
  <c r="AX22" i="3" s="1"/>
  <c r="AE21" i="3"/>
  <c r="AZ21" i="3" s="1"/>
  <c r="AE20" i="3"/>
  <c r="AT20" i="3" s="1"/>
  <c r="AE19" i="3"/>
  <c r="AI19" i="3" s="1"/>
  <c r="AE18" i="3"/>
  <c r="BC18" i="3" s="1"/>
  <c r="AE17" i="3"/>
  <c r="AE16" i="3"/>
  <c r="AD16" i="3" s="1"/>
  <c r="AQ16" i="3" s="1"/>
  <c r="D16" i="3"/>
  <c r="AE15" i="3"/>
  <c r="AD15" i="3" s="1"/>
  <c r="AE14" i="3"/>
  <c r="BB14" i="3" s="1"/>
  <c r="AE13" i="3"/>
  <c r="BC13" i="3" s="1"/>
  <c r="AE12" i="3"/>
  <c r="BD12" i="3" s="1"/>
  <c r="AE11" i="3"/>
  <c r="BC11" i="3" s="1"/>
  <c r="AE10" i="3"/>
  <c r="AD10" i="3" s="1"/>
  <c r="AE9" i="3"/>
  <c r="AD9" i="3" s="1"/>
  <c r="BC9" i="3" s="1"/>
  <c r="AE8" i="3"/>
  <c r="D8" i="3"/>
  <c r="AN1" i="3"/>
  <c r="T1" i="3"/>
  <c r="F83" i="2"/>
  <c r="F82" i="2"/>
  <c r="F81" i="2"/>
  <c r="F79" i="2"/>
  <c r="F78" i="2"/>
  <c r="F77" i="2"/>
  <c r="F76" i="2"/>
  <c r="F75" i="2"/>
  <c r="F74" i="2"/>
  <c r="F73" i="2"/>
  <c r="F72" i="2"/>
  <c r="F71" i="2"/>
  <c r="F70" i="2"/>
  <c r="F65" i="2"/>
  <c r="H65" i="2" s="1"/>
  <c r="F64" i="2"/>
  <c r="H64" i="2" s="1"/>
  <c r="F63" i="2"/>
  <c r="H63" i="2" s="1"/>
  <c r="F62" i="2"/>
  <c r="H62" i="2" s="1"/>
  <c r="F61" i="2"/>
  <c r="H61" i="2" s="1"/>
  <c r="F60" i="2"/>
  <c r="H60" i="2" s="1"/>
  <c r="F59" i="2"/>
  <c r="H59" i="2" s="1"/>
  <c r="F58" i="2"/>
  <c r="H58" i="2" s="1"/>
  <c r="F53" i="2"/>
  <c r="H53" i="2" s="1"/>
  <c r="F52" i="2"/>
  <c r="H52" i="2" s="1"/>
  <c r="F51" i="2"/>
  <c r="H51" i="2" s="1"/>
  <c r="F50" i="2"/>
  <c r="H50" i="2" s="1"/>
  <c r="F49" i="2"/>
  <c r="H49" i="2" s="1"/>
  <c r="F48" i="2"/>
  <c r="H48" i="2" s="1"/>
  <c r="F47" i="2"/>
  <c r="H47" i="2" s="1"/>
  <c r="F46" i="2"/>
  <c r="H46" i="2" s="1"/>
  <c r="F45" i="2"/>
  <c r="H45" i="2" s="1"/>
  <c r="F44" i="2"/>
  <c r="H44" i="2" s="1"/>
  <c r="F43" i="2"/>
  <c r="H43" i="2" s="1"/>
  <c r="F42" i="2"/>
  <c r="H42" i="2" s="1"/>
  <c r="F41" i="2"/>
  <c r="H41" i="2" s="1"/>
  <c r="F40" i="2"/>
  <c r="H40" i="2" s="1"/>
  <c r="F39" i="2"/>
  <c r="H39" i="2" s="1"/>
  <c r="F38" i="2"/>
  <c r="H38" i="2" s="1"/>
  <c r="F37" i="2"/>
  <c r="H37" i="2" s="1"/>
  <c r="E32" i="2"/>
  <c r="G32" i="2" s="1"/>
  <c r="E31" i="2"/>
  <c r="G31" i="2" s="1"/>
  <c r="E30" i="2"/>
  <c r="G30" i="2" s="1"/>
  <c r="E29" i="2"/>
  <c r="G29" i="2" s="1"/>
  <c r="E28" i="2"/>
  <c r="G28" i="2" s="1"/>
  <c r="E27" i="2"/>
  <c r="G27" i="2" s="1"/>
  <c r="E26" i="2"/>
  <c r="G26" i="2" s="1"/>
  <c r="E25" i="2"/>
  <c r="G25" i="2" s="1"/>
  <c r="E20" i="2"/>
  <c r="G20" i="2" s="1"/>
  <c r="E19" i="2"/>
  <c r="G19" i="2" s="1"/>
  <c r="E18" i="2"/>
  <c r="G18" i="2" s="1"/>
  <c r="E17" i="2"/>
  <c r="G17" i="2" s="1"/>
  <c r="E16" i="2"/>
  <c r="G16" i="2" s="1"/>
  <c r="E15" i="2"/>
  <c r="G15" i="2" s="1"/>
  <c r="E14" i="2"/>
  <c r="G14" i="2" s="1"/>
  <c r="E13" i="2"/>
  <c r="G13" i="2" s="1"/>
  <c r="E12" i="2"/>
  <c r="G12" i="2" s="1"/>
  <c r="E11" i="2"/>
  <c r="G11" i="2" s="1"/>
  <c r="E10" i="2"/>
  <c r="G10" i="2" s="1"/>
  <c r="E9" i="2"/>
  <c r="G9" i="2" s="1"/>
  <c r="G8" i="2"/>
  <c r="A4" i="2"/>
  <c r="C80" i="1"/>
  <c r="I59" i="10" l="1"/>
  <c r="I143" i="10"/>
  <c r="I142" i="10"/>
  <c r="I141" i="10" s="1"/>
  <c r="I15" i="10"/>
  <c r="I165" i="7"/>
  <c r="I164" i="7"/>
  <c r="I15" i="7"/>
  <c r="I149" i="8"/>
  <c r="I148" i="8"/>
  <c r="I15" i="8"/>
  <c r="AS51" i="3"/>
  <c r="BC44" i="3"/>
  <c r="AU51" i="3"/>
  <c r="AG51" i="3"/>
  <c r="AW51" i="3"/>
  <c r="AI51" i="3"/>
  <c r="AY51" i="3"/>
  <c r="AK51" i="3"/>
  <c r="BA51" i="3"/>
  <c r="AO51" i="3"/>
  <c r="BC51" i="3"/>
  <c r="I177" i="8"/>
  <c r="J79" i="8"/>
  <c r="BB41" i="3"/>
  <c r="BC41" i="3"/>
  <c r="BD41" i="3"/>
  <c r="AJ52" i="3"/>
  <c r="AR52" i="3"/>
  <c r="AV52" i="3"/>
  <c r="AZ52" i="3"/>
  <c r="BD52" i="3"/>
  <c r="BD45" i="3"/>
  <c r="AW10" i="3"/>
  <c r="BC10" i="3"/>
  <c r="BB60" i="3"/>
  <c r="AD60" i="3"/>
  <c r="AR60" i="3" s="1"/>
  <c r="BC28" i="3"/>
  <c r="AG52" i="3"/>
  <c r="AK52" i="3"/>
  <c r="AS52" i="3"/>
  <c r="AW52" i="3"/>
  <c r="BA52" i="3"/>
  <c r="BD19" i="3"/>
  <c r="BC14" i="3"/>
  <c r="AJ51" i="3"/>
  <c r="AR51" i="3"/>
  <c r="AV51" i="3"/>
  <c r="AZ51" i="3"/>
  <c r="BD51" i="3"/>
  <c r="AU15" i="3"/>
  <c r="BC15" i="3"/>
  <c r="AX25" i="3"/>
  <c r="BC25" i="3"/>
  <c r="AH52" i="3"/>
  <c r="AN52" i="3"/>
  <c r="AT52" i="3"/>
  <c r="AX52" i="3"/>
  <c r="BB52" i="3"/>
  <c r="BC47" i="3"/>
  <c r="BB47" i="3"/>
  <c r="BA47" i="3"/>
  <c r="AZ47" i="3"/>
  <c r="AY47" i="3"/>
  <c r="AX47" i="3"/>
  <c r="AW47" i="3"/>
  <c r="AV47" i="3"/>
  <c r="AU47" i="3"/>
  <c r="AT47" i="3"/>
  <c r="AS47" i="3"/>
  <c r="AR47" i="3"/>
  <c r="AO47" i="3"/>
  <c r="AN47" i="3"/>
  <c r="AK47" i="3"/>
  <c r="AJ47" i="3"/>
  <c r="AI47" i="3"/>
  <c r="AH47" i="3"/>
  <c r="AG47" i="3"/>
  <c r="BD47" i="3"/>
  <c r="AI52" i="3"/>
  <c r="AO52" i="3"/>
  <c r="AU52" i="3"/>
  <c r="AY52" i="3"/>
  <c r="BC45" i="3"/>
  <c r="AH51" i="3"/>
  <c r="AN51" i="3"/>
  <c r="AT51" i="3"/>
  <c r="AX51" i="3"/>
  <c r="BC12" i="3"/>
  <c r="J62" i="7"/>
  <c r="J95" i="7"/>
  <c r="BD50" i="3"/>
  <c r="BA50" i="3"/>
  <c r="AW50" i="3"/>
  <c r="AS50" i="3"/>
  <c r="AK50" i="3"/>
  <c r="AG50" i="3"/>
  <c r="BB50" i="3"/>
  <c r="AT50" i="3"/>
  <c r="AZ50" i="3"/>
  <c r="AV50" i="3"/>
  <c r="AR50" i="3"/>
  <c r="AJ50" i="3"/>
  <c r="AX50" i="3"/>
  <c r="AN50" i="3"/>
  <c r="AH50" i="3"/>
  <c r="BC50" i="3"/>
  <c r="AY50" i="3"/>
  <c r="AU50" i="3"/>
  <c r="AO50" i="3"/>
  <c r="AI50" i="3"/>
  <c r="BD49" i="3"/>
  <c r="AR49" i="3"/>
  <c r="AJ49" i="3"/>
  <c r="BC49" i="3"/>
  <c r="AY49" i="3"/>
  <c r="AU49" i="3"/>
  <c r="AO49" i="3"/>
  <c r="AI49" i="3"/>
  <c r="BB49" i="3"/>
  <c r="AZ49" i="3"/>
  <c r="AX49" i="3"/>
  <c r="AV49" i="3"/>
  <c r="AT49" i="3"/>
  <c r="AN49" i="3"/>
  <c r="AH49" i="3"/>
  <c r="BA49" i="3"/>
  <c r="AW49" i="3"/>
  <c r="AS49" i="3"/>
  <c r="AK49" i="3"/>
  <c r="AG49" i="3"/>
  <c r="AQ48" i="3"/>
  <c r="BD48" i="3"/>
  <c r="BC48" i="3"/>
  <c r="AY48" i="3"/>
  <c r="AU48" i="3"/>
  <c r="AO48" i="3"/>
  <c r="AI48" i="3"/>
  <c r="BB48" i="3"/>
  <c r="AT48" i="3"/>
  <c r="AZ48" i="3"/>
  <c r="AV48" i="3"/>
  <c r="AR48" i="3"/>
  <c r="AJ48" i="3"/>
  <c r="AX48" i="3"/>
  <c r="AN48" i="3"/>
  <c r="AH48" i="3"/>
  <c r="BA48" i="3"/>
  <c r="AW48" i="3"/>
  <c r="AS48" i="3"/>
  <c r="AK48" i="3"/>
  <c r="AG48" i="3"/>
  <c r="AP43" i="3"/>
  <c r="BD43" i="3"/>
  <c r="BC43" i="3"/>
  <c r="AN42" i="3"/>
  <c r="BD42" i="3"/>
  <c r="BC42" i="3"/>
  <c r="AT27" i="3"/>
  <c r="BD27" i="3"/>
  <c r="BC27" i="3"/>
  <c r="BB23" i="3"/>
  <c r="BC23" i="3"/>
  <c r="AL38" i="3"/>
  <c r="AH43" i="3"/>
  <c r="BD37" i="3"/>
  <c r="AL25" i="3"/>
  <c r="AW31" i="3"/>
  <c r="AJ60" i="3"/>
  <c r="AN21" i="3"/>
  <c r="AL23" i="3"/>
  <c r="AX10" i="3"/>
  <c r="AS59" i="3"/>
  <c r="AH10" i="3"/>
  <c r="BA10" i="3"/>
  <c r="BA22" i="3"/>
  <c r="BC37" i="3"/>
  <c r="AG44" i="3"/>
  <c r="AG59" i="3"/>
  <c r="AO44" i="3"/>
  <c r="AH59" i="3"/>
  <c r="AK10" i="3"/>
  <c r="BD10" i="3"/>
  <c r="AP10" i="3"/>
  <c r="AJ21" i="3"/>
  <c r="BB22" i="3"/>
  <c r="AT23" i="3"/>
  <c r="AP25" i="3"/>
  <c r="AO28" i="3"/>
  <c r="AR37" i="3"/>
  <c r="BB38" i="3"/>
  <c r="AX43" i="3"/>
  <c r="AW44" i="3"/>
  <c r="AK56" i="3"/>
  <c r="AJ58" i="3"/>
  <c r="AP59" i="3"/>
  <c r="AX20" i="3"/>
  <c r="BB27" i="3"/>
  <c r="AH27" i="3"/>
  <c r="AP28" i="3"/>
  <c r="AD53" i="3"/>
  <c r="AS10" i="3"/>
  <c r="AL20" i="3"/>
  <c r="BC21" i="3"/>
  <c r="AR21" i="3"/>
  <c r="AL22" i="3"/>
  <c r="BA25" i="3"/>
  <c r="BB25" i="3"/>
  <c r="AL27" i="3"/>
  <c r="AG28" i="3"/>
  <c r="AW28" i="3"/>
  <c r="AZ39" i="3"/>
  <c r="AN39" i="3"/>
  <c r="AH20" i="3"/>
  <c r="BB20" i="3"/>
  <c r="BA20" i="3"/>
  <c r="AP20" i="3"/>
  <c r="BD21" i="3"/>
  <c r="AP22" i="3"/>
  <c r="AX27" i="3"/>
  <c r="AH28" i="3"/>
  <c r="AX28" i="3"/>
  <c r="AS31" i="3"/>
  <c r="AK31" i="3"/>
  <c r="AG31" i="3"/>
  <c r="AS56" i="3"/>
  <c r="BD59" i="3"/>
  <c r="AK59" i="3"/>
  <c r="AX59" i="3"/>
  <c r="AJ37" i="3"/>
  <c r="BD56" i="3"/>
  <c r="BA56" i="3"/>
  <c r="AO59" i="3"/>
  <c r="BA59" i="3"/>
  <c r="F84" i="2"/>
  <c r="F85" i="2" s="1"/>
  <c r="G33" i="2"/>
  <c r="C89" i="2" s="1"/>
  <c r="E89" i="2" s="1"/>
  <c r="H66" i="2"/>
  <c r="C93" i="2" s="1"/>
  <c r="E93" i="2" s="1"/>
  <c r="AE61" i="3"/>
  <c r="AD8" i="3"/>
  <c r="AQ8" i="3" s="1"/>
  <c r="AG14" i="3"/>
  <c r="AO14" i="3"/>
  <c r="AW14" i="3"/>
  <c r="AY16" i="3"/>
  <c r="AD26" i="3"/>
  <c r="H54" i="2"/>
  <c r="C90" i="2" s="1"/>
  <c r="E90" i="2" s="1"/>
  <c r="G21" i="2"/>
  <c r="C88" i="2" s="1"/>
  <c r="AL10" i="3"/>
  <c r="AT10" i="3"/>
  <c r="BB10" i="3"/>
  <c r="AH14" i="3"/>
  <c r="AP14" i="3"/>
  <c r="AX14" i="3"/>
  <c r="AI16" i="3"/>
  <c r="BC16" i="3"/>
  <c r="AG10" i="3"/>
  <c r="AO10" i="3"/>
  <c r="BD14" i="3"/>
  <c r="AK14" i="3"/>
  <c r="AS14" i="3"/>
  <c r="BA14" i="3"/>
  <c r="AM16" i="3"/>
  <c r="AM29" i="3"/>
  <c r="AL14" i="3"/>
  <c r="AT14" i="3"/>
  <c r="BB16" i="3"/>
  <c r="AD17" i="3"/>
  <c r="AU17" i="3" s="1"/>
  <c r="AD30" i="3"/>
  <c r="AD33" i="3"/>
  <c r="AU33" i="3" s="1"/>
  <c r="AZ37" i="3"/>
  <c r="AH38" i="3"/>
  <c r="AX38" i="3"/>
  <c r="AJ39" i="3"/>
  <c r="BD39" i="3"/>
  <c r="BA41" i="3"/>
  <c r="AP41" i="3"/>
  <c r="AR42" i="3"/>
  <c r="AT43" i="3"/>
  <c r="AL44" i="3"/>
  <c r="AT44" i="3"/>
  <c r="BB44" i="3"/>
  <c r="AD46" i="3"/>
  <c r="AQ50" i="3"/>
  <c r="AQ52" i="3"/>
  <c r="AT41" i="3"/>
  <c r="AZ42" i="3"/>
  <c r="AL51" i="3"/>
  <c r="AT22" i="3"/>
  <c r="AX23" i="3"/>
  <c r="AT25" i="3"/>
  <c r="BA27" i="3"/>
  <c r="AP27" i="3"/>
  <c r="AK28" i="3"/>
  <c r="AS28" i="3"/>
  <c r="BA28" i="3"/>
  <c r="BD31" i="3"/>
  <c r="AO31" i="3"/>
  <c r="AD36" i="3"/>
  <c r="BA38" i="3"/>
  <c r="AP38" i="3"/>
  <c r="BC39" i="3"/>
  <c r="AR39" i="3"/>
  <c r="AH41" i="3"/>
  <c r="AX41" i="3"/>
  <c r="AJ42" i="3"/>
  <c r="AL43" i="3"/>
  <c r="BB43" i="3"/>
  <c r="AH44" i="3"/>
  <c r="AP44" i="3"/>
  <c r="AX44" i="3"/>
  <c r="AM50" i="3"/>
  <c r="AP51" i="3"/>
  <c r="AH22" i="3"/>
  <c r="AH23" i="3"/>
  <c r="AH25" i="3"/>
  <c r="AL28" i="3"/>
  <c r="AT28" i="3"/>
  <c r="BB28" i="3"/>
  <c r="AD34" i="3"/>
  <c r="AD40" i="3"/>
  <c r="AL41" i="3"/>
  <c r="BA43" i="3"/>
  <c r="AK44" i="3"/>
  <c r="AS44" i="3"/>
  <c r="BA44" i="3"/>
  <c r="AP50" i="3"/>
  <c r="AG56" i="3"/>
  <c r="AO56" i="3"/>
  <c r="AW56" i="3"/>
  <c r="BD58" i="3"/>
  <c r="AZ58" i="3"/>
  <c r="AW59" i="3"/>
  <c r="BC60" i="3"/>
  <c r="AD54" i="3"/>
  <c r="AH56" i="3"/>
  <c r="AP56" i="3"/>
  <c r="AX56" i="3"/>
  <c r="AD57" i="3"/>
  <c r="AN57" i="3" s="1"/>
  <c r="BC58" i="3"/>
  <c r="AD55" i="3"/>
  <c r="AX55" i="3" s="1"/>
  <c r="AL56" i="3"/>
  <c r="BB56" i="3"/>
  <c r="AR58" i="3"/>
  <c r="AL59" i="3"/>
  <c r="AT59" i="3"/>
  <c r="BB59" i="3"/>
  <c r="I198" i="7"/>
  <c r="I61" i="8"/>
  <c r="J68" i="10"/>
  <c r="J90" i="7"/>
  <c r="I222" i="7"/>
  <c r="J46" i="8"/>
  <c r="J48" i="8" s="1"/>
  <c r="I149" i="9"/>
  <c r="J73" i="10"/>
  <c r="AM19" i="3"/>
  <c r="BC19" i="3"/>
  <c r="AY19" i="3"/>
  <c r="AO18" i="3"/>
  <c r="AP18" i="3"/>
  <c r="AG18" i="3"/>
  <c r="AW18" i="3"/>
  <c r="AH18" i="3"/>
  <c r="AX18" i="3"/>
  <c r="AK18" i="3"/>
  <c r="AS18" i="3"/>
  <c r="BA18" i="3"/>
  <c r="BD18" i="3"/>
  <c r="AL18" i="3"/>
  <c r="AT18" i="3"/>
  <c r="BB18" i="3"/>
  <c r="AG12" i="3"/>
  <c r="AO12" i="3"/>
  <c r="AW12" i="3"/>
  <c r="AH12" i="3"/>
  <c r="AP12" i="3"/>
  <c r="AX12" i="3"/>
  <c r="AK12" i="3"/>
  <c r="AS12" i="3"/>
  <c r="BA12" i="3"/>
  <c r="AL12" i="3"/>
  <c r="AT12" i="3"/>
  <c r="BB12" i="3"/>
  <c r="BB9" i="3"/>
  <c r="AX9" i="3"/>
  <c r="AT9" i="3"/>
  <c r="AP9" i="3"/>
  <c r="AL9" i="3"/>
  <c r="AH9" i="3"/>
  <c r="BA9" i="3"/>
  <c r="AW9" i="3"/>
  <c r="AS9" i="3"/>
  <c r="AO9" i="3"/>
  <c r="AK9" i="3"/>
  <c r="AG9" i="3"/>
  <c r="AM9" i="3"/>
  <c r="BB11" i="3"/>
  <c r="AX11" i="3"/>
  <c r="AT11" i="3"/>
  <c r="AP11" i="3"/>
  <c r="AL11" i="3"/>
  <c r="AH11" i="3"/>
  <c r="BA11" i="3"/>
  <c r="AW11" i="3"/>
  <c r="AS11" i="3"/>
  <c r="AO11" i="3"/>
  <c r="AK11" i="3"/>
  <c r="AG11" i="3"/>
  <c r="BB13" i="3"/>
  <c r="AX13" i="3"/>
  <c r="AT13" i="3"/>
  <c r="AP13" i="3"/>
  <c r="AL13" i="3"/>
  <c r="AH13" i="3"/>
  <c r="BA13" i="3"/>
  <c r="AW13" i="3"/>
  <c r="AS13" i="3"/>
  <c r="AO13" i="3"/>
  <c r="AK13" i="3"/>
  <c r="AG13" i="3"/>
  <c r="AU13" i="3"/>
  <c r="AM15" i="3"/>
  <c r="AS24" i="3"/>
  <c r="AG24" i="3"/>
  <c r="BA24" i="3"/>
  <c r="AW24" i="3"/>
  <c r="AO24" i="3"/>
  <c r="AK24" i="3"/>
  <c r="BB32" i="3"/>
  <c r="AX32" i="3"/>
  <c r="AT32" i="3"/>
  <c r="AP32" i="3"/>
  <c r="AL32" i="3"/>
  <c r="AH32" i="3"/>
  <c r="AZ32" i="3"/>
  <c r="AR32" i="3"/>
  <c r="AJ32" i="3"/>
  <c r="BA32" i="3"/>
  <c r="AW32" i="3"/>
  <c r="AS32" i="3"/>
  <c r="AO32" i="3"/>
  <c r="AK32" i="3"/>
  <c r="AG32" i="3"/>
  <c r="BD32" i="3"/>
  <c r="AV32" i="3"/>
  <c r="AN32" i="3"/>
  <c r="BB35" i="3"/>
  <c r="AX35" i="3"/>
  <c r="AT35" i="3"/>
  <c r="AP35" i="3"/>
  <c r="AL35" i="3"/>
  <c r="AH35" i="3"/>
  <c r="BD35" i="3"/>
  <c r="AZ35" i="3"/>
  <c r="AR35" i="3"/>
  <c r="AJ35" i="3"/>
  <c r="BA35" i="3"/>
  <c r="AW35" i="3"/>
  <c r="AS35" i="3"/>
  <c r="AO35" i="3"/>
  <c r="AK35" i="3"/>
  <c r="AG35" i="3"/>
  <c r="AV35" i="3"/>
  <c r="AN35" i="3"/>
  <c r="AQ35" i="3"/>
  <c r="AQ45" i="3"/>
  <c r="AV9" i="3"/>
  <c r="BD9" i="3"/>
  <c r="AV11" i="3"/>
  <c r="AN13" i="3"/>
  <c r="AQ15" i="3"/>
  <c r="AJ24" i="3"/>
  <c r="BB29" i="3"/>
  <c r="AX29" i="3"/>
  <c r="AT29" i="3"/>
  <c r="AP29" i="3"/>
  <c r="AL29" i="3"/>
  <c r="AH29" i="3"/>
  <c r="BD29" i="3"/>
  <c r="AV29" i="3"/>
  <c r="AN29" i="3"/>
  <c r="BA29" i="3"/>
  <c r="AW29" i="3"/>
  <c r="AS29" i="3"/>
  <c r="AO29" i="3"/>
  <c r="AK29" i="3"/>
  <c r="AG29" i="3"/>
  <c r="AZ29" i="3"/>
  <c r="AR29" i="3"/>
  <c r="AJ29" i="3"/>
  <c r="AQ29" i="3"/>
  <c r="AU35" i="3"/>
  <c r="AI9" i="3"/>
  <c r="AQ9" i="3"/>
  <c r="AY9" i="3"/>
  <c r="AI11" i="3"/>
  <c r="AQ11" i="3"/>
  <c r="AY11" i="3"/>
  <c r="AI13" i="3"/>
  <c r="AQ13" i="3"/>
  <c r="AY13" i="3"/>
  <c r="AI15" i="3"/>
  <c r="BB19" i="3"/>
  <c r="AX19" i="3"/>
  <c r="AT19" i="3"/>
  <c r="AP19" i="3"/>
  <c r="AL19" i="3"/>
  <c r="AH19" i="3"/>
  <c r="BA19" i="3"/>
  <c r="AW19" i="3"/>
  <c r="AS19" i="3"/>
  <c r="AO19" i="3"/>
  <c r="AK19" i="3"/>
  <c r="AG19" i="3"/>
  <c r="AZ19" i="3"/>
  <c r="AV19" i="3"/>
  <c r="AR19" i="3"/>
  <c r="AN19" i="3"/>
  <c r="AJ19" i="3"/>
  <c r="AQ19" i="3"/>
  <c r="AN24" i="3"/>
  <c r="BD24" i="3"/>
  <c r="AU29" i="3"/>
  <c r="AI32" i="3"/>
  <c r="AY32" i="3"/>
  <c r="AI35" i="3"/>
  <c r="AY35" i="3"/>
  <c r="AI45" i="3"/>
  <c r="AU9" i="3"/>
  <c r="AM11" i="3"/>
  <c r="AU11" i="3"/>
  <c r="AM13" i="3"/>
  <c r="BB15" i="3"/>
  <c r="AX15" i="3"/>
  <c r="AT15" i="3"/>
  <c r="AP15" i="3"/>
  <c r="AL15" i="3"/>
  <c r="AH15" i="3"/>
  <c r="AZ15" i="3"/>
  <c r="AN15" i="3"/>
  <c r="BA15" i="3"/>
  <c r="AW15" i="3"/>
  <c r="AS15" i="3"/>
  <c r="AO15" i="3"/>
  <c r="AK15" i="3"/>
  <c r="AG15" i="3"/>
  <c r="BD15" i="3"/>
  <c r="AV15" i="3"/>
  <c r="AR15" i="3"/>
  <c r="AV24" i="3"/>
  <c r="AQ32" i="3"/>
  <c r="BB45" i="3"/>
  <c r="AX45" i="3"/>
  <c r="AT45" i="3"/>
  <c r="AP45" i="3"/>
  <c r="AL45" i="3"/>
  <c r="AH45" i="3"/>
  <c r="AV45" i="3"/>
  <c r="AN45" i="3"/>
  <c r="BA45" i="3"/>
  <c r="AW45" i="3"/>
  <c r="AS45" i="3"/>
  <c r="AO45" i="3"/>
  <c r="AK45" i="3"/>
  <c r="AG45" i="3"/>
  <c r="AZ45" i="3"/>
  <c r="AR45" i="3"/>
  <c r="AJ45" i="3"/>
  <c r="AN9" i="3"/>
  <c r="AN11" i="3"/>
  <c r="BD11" i="3"/>
  <c r="AV13" i="3"/>
  <c r="BD13" i="3"/>
  <c r="AZ24" i="3"/>
  <c r="AU32" i="3"/>
  <c r="AU45" i="3"/>
  <c r="BB57" i="3"/>
  <c r="AJ9" i="3"/>
  <c r="AR9" i="3"/>
  <c r="AZ9" i="3"/>
  <c r="AJ11" i="3"/>
  <c r="AR11" i="3"/>
  <c r="AZ11" i="3"/>
  <c r="AJ13" i="3"/>
  <c r="AR13" i="3"/>
  <c r="AZ13" i="3"/>
  <c r="AJ15" i="3"/>
  <c r="AY15" i="3"/>
  <c r="BD16" i="3"/>
  <c r="AV16" i="3"/>
  <c r="AN16" i="3"/>
  <c r="AZ16" i="3"/>
  <c r="AR16" i="3"/>
  <c r="AJ16" i="3"/>
  <c r="AU16" i="3"/>
  <c r="AU19" i="3"/>
  <c r="AK21" i="3"/>
  <c r="BA21" i="3"/>
  <c r="AW21" i="3"/>
  <c r="AS21" i="3"/>
  <c r="AO21" i="3"/>
  <c r="AG21" i="3"/>
  <c r="AV21" i="3"/>
  <c r="BA23" i="3"/>
  <c r="AW23" i="3"/>
  <c r="AS23" i="3"/>
  <c r="AO23" i="3"/>
  <c r="AK23" i="3"/>
  <c r="AG23" i="3"/>
  <c r="AY23" i="3"/>
  <c r="AQ23" i="3"/>
  <c r="AI23" i="3"/>
  <c r="BD23" i="3"/>
  <c r="AZ23" i="3"/>
  <c r="AV23" i="3"/>
  <c r="AR23" i="3"/>
  <c r="AN23" i="3"/>
  <c r="AJ23" i="3"/>
  <c r="AU23" i="3"/>
  <c r="AM23" i="3"/>
  <c r="AP23" i="3"/>
  <c r="AR24" i="3"/>
  <c r="AI29" i="3"/>
  <c r="AY29" i="3"/>
  <c r="AM32" i="3"/>
  <c r="BC32" i="3"/>
  <c r="AM35" i="3"/>
  <c r="BC35" i="3"/>
  <c r="BA37" i="3"/>
  <c r="AW37" i="3"/>
  <c r="AS37" i="3"/>
  <c r="AO37" i="3"/>
  <c r="AK37" i="3"/>
  <c r="AG37" i="3"/>
  <c r="AV37" i="3"/>
  <c r="AK39" i="3"/>
  <c r="BA39" i="3"/>
  <c r="AW39" i="3"/>
  <c r="AS39" i="3"/>
  <c r="AO39" i="3"/>
  <c r="AG39" i="3"/>
  <c r="AV39" i="3"/>
  <c r="BA42" i="3"/>
  <c r="AW42" i="3"/>
  <c r="AK42" i="3"/>
  <c r="AS42" i="3"/>
  <c r="AO42" i="3"/>
  <c r="AG42" i="3"/>
  <c r="AV42" i="3"/>
  <c r="AM45" i="3"/>
  <c r="AI20" i="3"/>
  <c r="AQ20" i="3"/>
  <c r="AY20" i="3"/>
  <c r="AI22" i="3"/>
  <c r="AQ22" i="3"/>
  <c r="AY22" i="3"/>
  <c r="AI25" i="3"/>
  <c r="AQ25" i="3"/>
  <c r="AY25" i="3"/>
  <c r="AI27" i="3"/>
  <c r="AQ27" i="3"/>
  <c r="AY27" i="3"/>
  <c r="AH31" i="3"/>
  <c r="AP31" i="3"/>
  <c r="AX31" i="3"/>
  <c r="AI38" i="3"/>
  <c r="AQ38" i="3"/>
  <c r="AY38" i="3"/>
  <c r="AM41" i="3"/>
  <c r="AU41" i="3"/>
  <c r="AM43" i="3"/>
  <c r="AU43" i="3"/>
  <c r="AL47" i="3"/>
  <c r="AM58" i="3"/>
  <c r="I56" i="10"/>
  <c r="I64" i="9"/>
  <c r="I70" i="9" s="1"/>
  <c r="I78" i="7"/>
  <c r="I62" i="8"/>
  <c r="D61" i="3"/>
  <c r="AI10" i="3"/>
  <c r="AM10" i="3"/>
  <c r="AQ10" i="3"/>
  <c r="AU10" i="3"/>
  <c r="AY10" i="3"/>
  <c r="AI12" i="3"/>
  <c r="AM12" i="3"/>
  <c r="AQ12" i="3"/>
  <c r="AU12" i="3"/>
  <c r="AY12" i="3"/>
  <c r="AI14" i="3"/>
  <c r="AM14" i="3"/>
  <c r="AQ14" i="3"/>
  <c r="AU14" i="3"/>
  <c r="AY14" i="3"/>
  <c r="AG16" i="3"/>
  <c r="AK16" i="3"/>
  <c r="AO16" i="3"/>
  <c r="AS16" i="3"/>
  <c r="AW16" i="3"/>
  <c r="BA16" i="3"/>
  <c r="AI18" i="3"/>
  <c r="AM18" i="3"/>
  <c r="AQ18" i="3"/>
  <c r="AU18" i="3"/>
  <c r="AY18" i="3"/>
  <c r="AJ20" i="3"/>
  <c r="AN20" i="3"/>
  <c r="AR20" i="3"/>
  <c r="AV20" i="3"/>
  <c r="AZ20" i="3"/>
  <c r="BD20" i="3"/>
  <c r="AH21" i="3"/>
  <c r="AL21" i="3"/>
  <c r="AP21" i="3"/>
  <c r="AT21" i="3"/>
  <c r="AX21" i="3"/>
  <c r="BB21" i="3"/>
  <c r="AJ22" i="3"/>
  <c r="AN22" i="3"/>
  <c r="AR22" i="3"/>
  <c r="AV22" i="3"/>
  <c r="AZ22" i="3"/>
  <c r="BD22" i="3"/>
  <c r="AH24" i="3"/>
  <c r="AL24" i="3"/>
  <c r="AP24" i="3"/>
  <c r="AT24" i="3"/>
  <c r="AX24" i="3"/>
  <c r="BB24" i="3"/>
  <c r="AJ25" i="3"/>
  <c r="AN25" i="3"/>
  <c r="AR25" i="3"/>
  <c r="AV25" i="3"/>
  <c r="AZ25" i="3"/>
  <c r="BD25" i="3"/>
  <c r="AJ27" i="3"/>
  <c r="AN27" i="3"/>
  <c r="AR27" i="3"/>
  <c r="AV27" i="3"/>
  <c r="AZ27" i="3"/>
  <c r="AI28" i="3"/>
  <c r="AM28" i="3"/>
  <c r="AQ28" i="3"/>
  <c r="AU28" i="3"/>
  <c r="AY28" i="3"/>
  <c r="AI31" i="3"/>
  <c r="AM31" i="3"/>
  <c r="AQ31" i="3"/>
  <c r="AU31" i="3"/>
  <c r="AY31" i="3"/>
  <c r="BC31" i="3"/>
  <c r="AQ34" i="3"/>
  <c r="AU34" i="3"/>
  <c r="AH37" i="3"/>
  <c r="AL37" i="3"/>
  <c r="AP37" i="3"/>
  <c r="AT37" i="3"/>
  <c r="AX37" i="3"/>
  <c r="BB37" i="3"/>
  <c r="AJ38" i="3"/>
  <c r="AN38" i="3"/>
  <c r="AR38" i="3"/>
  <c r="AV38" i="3"/>
  <c r="AZ38" i="3"/>
  <c r="BD38" i="3"/>
  <c r="AH39" i="3"/>
  <c r="AL39" i="3"/>
  <c r="AP39" i="3"/>
  <c r="AT39" i="3"/>
  <c r="AX39" i="3"/>
  <c r="BB39" i="3"/>
  <c r="AJ41" i="3"/>
  <c r="AN41" i="3"/>
  <c r="AR41" i="3"/>
  <c r="AV41" i="3"/>
  <c r="AZ41" i="3"/>
  <c r="AH42" i="3"/>
  <c r="AL42" i="3"/>
  <c r="AP42" i="3"/>
  <c r="AT42" i="3"/>
  <c r="AX42" i="3"/>
  <c r="BB42" i="3"/>
  <c r="AJ43" i="3"/>
  <c r="AN43" i="3"/>
  <c r="AR43" i="3"/>
  <c r="AV43" i="3"/>
  <c r="AZ43" i="3"/>
  <c r="AI44" i="3"/>
  <c r="AM44" i="3"/>
  <c r="AQ44" i="3"/>
  <c r="AU44" i="3"/>
  <c r="AY44" i="3"/>
  <c r="AM47" i="3"/>
  <c r="AQ47" i="3"/>
  <c r="AM48" i="3"/>
  <c r="AL50" i="3"/>
  <c r="AP52" i="3"/>
  <c r="AL52" i="3"/>
  <c r="AM52" i="3"/>
  <c r="AN58" i="3"/>
  <c r="AV58" i="3"/>
  <c r="AN60" i="3"/>
  <c r="AM20" i="3"/>
  <c r="AU20" i="3"/>
  <c r="BC20" i="3"/>
  <c r="AM22" i="3"/>
  <c r="AU22" i="3"/>
  <c r="BC22" i="3"/>
  <c r="AM25" i="3"/>
  <c r="AU25" i="3"/>
  <c r="AM27" i="3"/>
  <c r="AU27" i="3"/>
  <c r="AL31" i="3"/>
  <c r="AT31" i="3"/>
  <c r="BB31" i="3"/>
  <c r="AM38" i="3"/>
  <c r="AU38" i="3"/>
  <c r="BC38" i="3"/>
  <c r="AI41" i="3"/>
  <c r="AQ41" i="3"/>
  <c r="AY41" i="3"/>
  <c r="AI43" i="3"/>
  <c r="AQ43" i="3"/>
  <c r="AY43" i="3"/>
  <c r="AP47" i="3"/>
  <c r="AL48" i="3"/>
  <c r="AX58" i="3"/>
  <c r="AT58" i="3"/>
  <c r="AP58" i="3"/>
  <c r="AL58" i="3"/>
  <c r="AH58" i="3"/>
  <c r="BA58" i="3"/>
  <c r="AW58" i="3"/>
  <c r="AS58" i="3"/>
  <c r="AO58" i="3"/>
  <c r="AK58" i="3"/>
  <c r="AG58" i="3"/>
  <c r="AU58" i="3"/>
  <c r="AJ10" i="3"/>
  <c r="AN10" i="3"/>
  <c r="AR10" i="3"/>
  <c r="AV10" i="3"/>
  <c r="AZ10" i="3"/>
  <c r="AJ12" i="3"/>
  <c r="AN12" i="3"/>
  <c r="AR12" i="3"/>
  <c r="AV12" i="3"/>
  <c r="AZ12" i="3"/>
  <c r="AJ14" i="3"/>
  <c r="AN14" i="3"/>
  <c r="AR14" i="3"/>
  <c r="AV14" i="3"/>
  <c r="AZ14" i="3"/>
  <c r="AH16" i="3"/>
  <c r="AL16" i="3"/>
  <c r="AP16" i="3"/>
  <c r="AT16" i="3"/>
  <c r="AX16" i="3"/>
  <c r="AJ18" i="3"/>
  <c r="AN18" i="3"/>
  <c r="AR18" i="3"/>
  <c r="AV18" i="3"/>
  <c r="AZ18" i="3"/>
  <c r="AG20" i="3"/>
  <c r="AK20" i="3"/>
  <c r="AO20" i="3"/>
  <c r="AS20" i="3"/>
  <c r="AW20" i="3"/>
  <c r="AI21" i="3"/>
  <c r="AM21" i="3"/>
  <c r="AQ21" i="3"/>
  <c r="AU21" i="3"/>
  <c r="AY21" i="3"/>
  <c r="AG22" i="3"/>
  <c r="AK22" i="3"/>
  <c r="AO22" i="3"/>
  <c r="AS22" i="3"/>
  <c r="AW22" i="3"/>
  <c r="AI24" i="3"/>
  <c r="AM24" i="3"/>
  <c r="AQ24" i="3"/>
  <c r="AU24" i="3"/>
  <c r="AY24" i="3"/>
  <c r="AG25" i="3"/>
  <c r="AK25" i="3"/>
  <c r="AO25" i="3"/>
  <c r="AS25" i="3"/>
  <c r="AW25" i="3"/>
  <c r="AG27" i="3"/>
  <c r="AK27" i="3"/>
  <c r="AO27" i="3"/>
  <c r="AS27" i="3"/>
  <c r="AW27" i="3"/>
  <c r="AJ28" i="3"/>
  <c r="AN28" i="3"/>
  <c r="AR28" i="3"/>
  <c r="AV28" i="3"/>
  <c r="AZ28" i="3"/>
  <c r="AJ31" i="3"/>
  <c r="AN31" i="3"/>
  <c r="AR31" i="3"/>
  <c r="AV31" i="3"/>
  <c r="AZ31" i="3"/>
  <c r="AJ34" i="3"/>
  <c r="AN34" i="3"/>
  <c r="AZ34" i="3"/>
  <c r="AI37" i="3"/>
  <c r="AM37" i="3"/>
  <c r="AQ37" i="3"/>
  <c r="AU37" i="3"/>
  <c r="AY37" i="3"/>
  <c r="AG38" i="3"/>
  <c r="AK38" i="3"/>
  <c r="AO38" i="3"/>
  <c r="AS38" i="3"/>
  <c r="AW38" i="3"/>
  <c r="AI39" i="3"/>
  <c r="AM39" i="3"/>
  <c r="AQ39" i="3"/>
  <c r="AU39" i="3"/>
  <c r="AY39" i="3"/>
  <c r="AG41" i="3"/>
  <c r="AK41" i="3"/>
  <c r="AO41" i="3"/>
  <c r="AS41" i="3"/>
  <c r="AW41" i="3"/>
  <c r="AI42" i="3"/>
  <c r="AM42" i="3"/>
  <c r="AQ42" i="3"/>
  <c r="AU42" i="3"/>
  <c r="AY42" i="3"/>
  <c r="AG43" i="3"/>
  <c r="AK43" i="3"/>
  <c r="AO43" i="3"/>
  <c r="AS43" i="3"/>
  <c r="AW43" i="3"/>
  <c r="AJ44" i="3"/>
  <c r="AN44" i="3"/>
  <c r="AR44" i="3"/>
  <c r="AV44" i="3"/>
  <c r="AZ44" i="3"/>
  <c r="AP48" i="3"/>
  <c r="BB55" i="3"/>
  <c r="AI58" i="3"/>
  <c r="AQ58" i="3"/>
  <c r="AY58" i="3"/>
  <c r="AL49" i="3"/>
  <c r="AP49" i="3"/>
  <c r="AM51" i="3"/>
  <c r="AQ51" i="3"/>
  <c r="AI56" i="3"/>
  <c r="AM56" i="3"/>
  <c r="AQ56" i="3"/>
  <c r="AU56" i="3"/>
  <c r="AY56" i="3"/>
  <c r="BC56" i="3"/>
  <c r="AI59" i="3"/>
  <c r="AM59" i="3"/>
  <c r="AQ59" i="3"/>
  <c r="AU59" i="3"/>
  <c r="AY59" i="3"/>
  <c r="F225" i="7"/>
  <c r="I225" i="7" s="1"/>
  <c r="AM49" i="3"/>
  <c r="AQ49" i="3"/>
  <c r="AJ56" i="3"/>
  <c r="AN56" i="3"/>
  <c r="AR56" i="3"/>
  <c r="AV56" i="3"/>
  <c r="AZ56" i="3"/>
  <c r="AJ59" i="3"/>
  <c r="AN59" i="3"/>
  <c r="AR59" i="3"/>
  <c r="AV59" i="3"/>
  <c r="AZ59" i="3"/>
  <c r="F204" i="7"/>
  <c r="I204" i="7" s="1"/>
  <c r="F192" i="7"/>
  <c r="I192" i="7" s="1"/>
  <c r="F228" i="7"/>
  <c r="I228" i="7" s="1"/>
  <c r="I82" i="7"/>
  <c r="I80" i="7"/>
  <c r="I77" i="7"/>
  <c r="I79" i="7"/>
  <c r="F244" i="7"/>
  <c r="I244" i="7" s="1"/>
  <c r="I81" i="7"/>
  <c r="F201" i="7"/>
  <c r="I201" i="7" s="1"/>
  <c r="J64" i="7"/>
  <c r="F216" i="7"/>
  <c r="I216" i="7" s="1"/>
  <c r="F189" i="7"/>
  <c r="I189" i="7" s="1"/>
  <c r="F210" i="7"/>
  <c r="I210" i="7" s="1"/>
  <c r="F237" i="7"/>
  <c r="I237" i="7" s="1"/>
  <c r="F173" i="8"/>
  <c r="I173" i="8" s="1"/>
  <c r="D175" i="9"/>
  <c r="D182" i="9"/>
  <c r="I207" i="7"/>
  <c r="I234" i="7"/>
  <c r="J48" i="9"/>
  <c r="J50" i="9" s="1"/>
  <c r="J76" i="9"/>
  <c r="D179" i="9"/>
  <c r="I195" i="7"/>
  <c r="I219" i="7"/>
  <c r="I231" i="7"/>
  <c r="I65" i="8"/>
  <c r="I63" i="8"/>
  <c r="I66" i="8"/>
  <c r="J74" i="8"/>
  <c r="J85" i="8" s="1"/>
  <c r="J93" i="8" s="1"/>
  <c r="I181" i="8"/>
  <c r="I64" i="8"/>
  <c r="J81" i="9"/>
  <c r="J40" i="10"/>
  <c r="J42" i="10" s="1"/>
  <c r="I55" i="10"/>
  <c r="I58" i="10"/>
  <c r="I60" i="10"/>
  <c r="I57" i="10"/>
  <c r="AJ57" i="3" l="1"/>
  <c r="AO60" i="3"/>
  <c r="C95" i="2"/>
  <c r="E95" i="2" s="1"/>
  <c r="G95" i="2" s="1"/>
  <c r="AH60" i="3"/>
  <c r="AI60" i="3"/>
  <c r="AX60" i="3"/>
  <c r="J106" i="10"/>
  <c r="J48" i="10"/>
  <c r="J56" i="9"/>
  <c r="J114" i="9"/>
  <c r="J112" i="8"/>
  <c r="J54" i="8"/>
  <c r="J70" i="7"/>
  <c r="J128" i="7"/>
  <c r="AM60" i="3"/>
  <c r="AU60" i="3"/>
  <c r="AS60" i="3"/>
  <c r="AL60" i="3"/>
  <c r="G34" i="2"/>
  <c r="AY60" i="3"/>
  <c r="BD60" i="3"/>
  <c r="AG60" i="3"/>
  <c r="AW60" i="3"/>
  <c r="AP60" i="3"/>
  <c r="AZ60" i="3"/>
  <c r="AQ60" i="3"/>
  <c r="AV60" i="3"/>
  <c r="AK60" i="3"/>
  <c r="BA60" i="3"/>
  <c r="AT60" i="3"/>
  <c r="I62" i="10"/>
  <c r="J101" i="7"/>
  <c r="J109" i="7" s="1"/>
  <c r="AL40" i="3"/>
  <c r="BC40" i="3"/>
  <c r="AQ54" i="3"/>
  <c r="BC54" i="3"/>
  <c r="AQ46" i="3"/>
  <c r="BD46" i="3"/>
  <c r="BC46" i="3"/>
  <c r="BD53" i="3"/>
  <c r="BC53" i="3"/>
  <c r="BB53" i="3"/>
  <c r="BA53" i="3"/>
  <c r="AZ53" i="3"/>
  <c r="AY53" i="3"/>
  <c r="AX53" i="3"/>
  <c r="AW53" i="3"/>
  <c r="AV53" i="3"/>
  <c r="AU53" i="3"/>
  <c r="AT53" i="3"/>
  <c r="AS53" i="3"/>
  <c r="AR53" i="3"/>
  <c r="AO53" i="3"/>
  <c r="AN53" i="3"/>
  <c r="AK53" i="3"/>
  <c r="AJ53" i="3"/>
  <c r="AI53" i="3"/>
  <c r="AH53" i="3"/>
  <c r="AG53" i="3"/>
  <c r="AQ36" i="3"/>
  <c r="BD36" i="3"/>
  <c r="BD30" i="3"/>
  <c r="BC30" i="3"/>
  <c r="AT26" i="3"/>
  <c r="BC26" i="3"/>
  <c r="J79" i="10"/>
  <c r="J87" i="10" s="1"/>
  <c r="AN33" i="3"/>
  <c r="AI33" i="3"/>
  <c r="BB8" i="3"/>
  <c r="AZ30" i="3"/>
  <c r="AV30" i="3"/>
  <c r="AJ30" i="3"/>
  <c r="AY30" i="3"/>
  <c r="AJ8" i="3"/>
  <c r="AL55" i="3"/>
  <c r="AL57" i="3"/>
  <c r="AY33" i="3"/>
  <c r="BC55" i="3"/>
  <c r="AR33" i="3"/>
  <c r="AM36" i="3"/>
  <c r="AZ46" i="3"/>
  <c r="AV54" i="3"/>
  <c r="AM54" i="3"/>
  <c r="AR54" i="3"/>
  <c r="AY54" i="3"/>
  <c r="AI54" i="3"/>
  <c r="AJ46" i="3"/>
  <c r="AN54" i="3"/>
  <c r="AU54" i="3"/>
  <c r="AH40" i="3"/>
  <c r="AZ54" i="3"/>
  <c r="AJ54" i="3"/>
  <c r="AQ17" i="3"/>
  <c r="AU30" i="3"/>
  <c r="AI8" i="3"/>
  <c r="BD8" i="3"/>
  <c r="AM57" i="3"/>
  <c r="AK55" i="3"/>
  <c r="AM40" i="3"/>
  <c r="AR30" i="3"/>
  <c r="AL8" i="3"/>
  <c r="AM46" i="3"/>
  <c r="AQ30" i="3"/>
  <c r="AK8" i="3"/>
  <c r="AS57" i="3"/>
  <c r="BA55" i="3"/>
  <c r="AN30" i="3"/>
  <c r="AI30" i="3"/>
  <c r="AV57" i="3"/>
  <c r="AQ57" i="3"/>
  <c r="BC8" i="3"/>
  <c r="AH55" i="3"/>
  <c r="AG57" i="3"/>
  <c r="AW57" i="3"/>
  <c r="AP57" i="3"/>
  <c r="AU55" i="3"/>
  <c r="AO55" i="3"/>
  <c r="AV36" i="3"/>
  <c r="AR55" i="3"/>
  <c r="AI57" i="3"/>
  <c r="AT55" i="3"/>
  <c r="BC57" i="3"/>
  <c r="AK57" i="3"/>
  <c r="BA57" i="3"/>
  <c r="AT57" i="3"/>
  <c r="AM55" i="3"/>
  <c r="AS55" i="3"/>
  <c r="AJ36" i="3"/>
  <c r="AR17" i="3"/>
  <c r="AJ55" i="3"/>
  <c r="AY57" i="3"/>
  <c r="AP55" i="3"/>
  <c r="AU57" i="3"/>
  <c r="AO57" i="3"/>
  <c r="AH57" i="3"/>
  <c r="AX57" i="3"/>
  <c r="AG55" i="3"/>
  <c r="AW55" i="3"/>
  <c r="AN17" i="3"/>
  <c r="AR57" i="3"/>
  <c r="AX40" i="3"/>
  <c r="AM30" i="3"/>
  <c r="AV46" i="3"/>
  <c r="AY40" i="3"/>
  <c r="AI40" i="3"/>
  <c r="AX8" i="3"/>
  <c r="AH8" i="3"/>
  <c r="AY46" i="3"/>
  <c r="AI46" i="3"/>
  <c r="AT40" i="3"/>
  <c r="AW8" i="3"/>
  <c r="AG8" i="3"/>
  <c r="BA8" i="3"/>
  <c r="AU8" i="3"/>
  <c r="AN8" i="3"/>
  <c r="AR46" i="3"/>
  <c r="AU40" i="3"/>
  <c r="AT8" i="3"/>
  <c r="AU46" i="3"/>
  <c r="AP40" i="3"/>
  <c r="AS8" i="3"/>
  <c r="AZ8" i="3"/>
  <c r="AY8" i="3"/>
  <c r="AM8" i="3"/>
  <c r="AN46" i="3"/>
  <c r="AQ40" i="3"/>
  <c r="AP8" i="3"/>
  <c r="AO8" i="3"/>
  <c r="AR8" i="3"/>
  <c r="AV8" i="3"/>
  <c r="AK26" i="3"/>
  <c r="AG26" i="3"/>
  <c r="AZ26" i="3"/>
  <c r="AH26" i="3"/>
  <c r="AX26" i="3"/>
  <c r="AI26" i="3"/>
  <c r="AY26" i="3"/>
  <c r="AV26" i="3"/>
  <c r="BA26" i="3"/>
  <c r="AL26" i="3"/>
  <c r="BB26" i="3"/>
  <c r="AM26" i="3"/>
  <c r="AP53" i="3"/>
  <c r="AL53" i="3"/>
  <c r="AM53" i="3"/>
  <c r="AP26" i="3"/>
  <c r="AR26" i="3"/>
  <c r="AO26" i="3"/>
  <c r="AI34" i="3"/>
  <c r="AY34" i="3"/>
  <c r="AR34" i="3"/>
  <c r="AM34" i="3"/>
  <c r="AV34" i="3"/>
  <c r="BD26" i="3"/>
  <c r="AU26" i="3"/>
  <c r="AD61" i="3"/>
  <c r="AW26" i="3"/>
  <c r="AN26" i="3"/>
  <c r="AU36" i="3"/>
  <c r="AN36" i="3"/>
  <c r="AI36" i="3"/>
  <c r="AY36" i="3"/>
  <c r="AR36" i="3"/>
  <c r="AI17" i="3"/>
  <c r="AY17" i="3"/>
  <c r="AV17" i="3"/>
  <c r="BD17" i="3"/>
  <c r="AM17" i="3"/>
  <c r="AJ17" i="3"/>
  <c r="AZ17" i="3"/>
  <c r="AQ53" i="3"/>
  <c r="AQ26" i="3"/>
  <c r="AS26" i="3"/>
  <c r="AJ26" i="3"/>
  <c r="AM33" i="3"/>
  <c r="AV33" i="3"/>
  <c r="BD33" i="3"/>
  <c r="AQ33" i="3"/>
  <c r="AJ33" i="3"/>
  <c r="AZ33" i="3"/>
  <c r="H67" i="2"/>
  <c r="G22" i="2"/>
  <c r="H55" i="2"/>
  <c r="BB34" i="3"/>
  <c r="AT34" i="3"/>
  <c r="AL34" i="3"/>
  <c r="BA34" i="3"/>
  <c r="AS34" i="3"/>
  <c r="AK34" i="3"/>
  <c r="BC34" i="3"/>
  <c r="AX34" i="3"/>
  <c r="AP34" i="3"/>
  <c r="AH34" i="3"/>
  <c r="AO34" i="3"/>
  <c r="AG34" i="3"/>
  <c r="AW34" i="3"/>
  <c r="BD57" i="3"/>
  <c r="AZ57" i="3"/>
  <c r="BD34" i="3"/>
  <c r="BA33" i="3"/>
  <c r="AS33" i="3"/>
  <c r="AK33" i="3"/>
  <c r="BC33" i="3"/>
  <c r="AX33" i="3"/>
  <c r="AP33" i="3"/>
  <c r="AH33" i="3"/>
  <c r="AW33" i="3"/>
  <c r="AO33" i="3"/>
  <c r="AG33" i="3"/>
  <c r="BB33" i="3"/>
  <c r="AT33" i="3"/>
  <c r="AL33" i="3"/>
  <c r="BA17" i="3"/>
  <c r="AT17" i="3"/>
  <c r="AL17" i="3"/>
  <c r="BB17" i="3"/>
  <c r="AS17" i="3"/>
  <c r="AK17" i="3"/>
  <c r="BC17" i="3"/>
  <c r="AX17" i="3"/>
  <c r="AP17" i="3"/>
  <c r="AH17" i="3"/>
  <c r="AW17" i="3"/>
  <c r="AO17" i="3"/>
  <c r="AG17" i="3"/>
  <c r="AV55" i="3"/>
  <c r="AQ55" i="3"/>
  <c r="BD55" i="3"/>
  <c r="AN55" i="3"/>
  <c r="AY55" i="3"/>
  <c r="AI55" i="3"/>
  <c r="BB54" i="3"/>
  <c r="AT54" i="3"/>
  <c r="AL54" i="3"/>
  <c r="BA54" i="3"/>
  <c r="AS54" i="3"/>
  <c r="AK54" i="3"/>
  <c r="AP54" i="3"/>
  <c r="AO54" i="3"/>
  <c r="AX54" i="3"/>
  <c r="AH54" i="3"/>
  <c r="AW54" i="3"/>
  <c r="AG54" i="3"/>
  <c r="BD40" i="3"/>
  <c r="AV40" i="3"/>
  <c r="AN40" i="3"/>
  <c r="BA40" i="3"/>
  <c r="AS40" i="3"/>
  <c r="AK40" i="3"/>
  <c r="BB40" i="3"/>
  <c r="AZ40" i="3"/>
  <c r="AR40" i="3"/>
  <c r="AJ40" i="3"/>
  <c r="AW40" i="3"/>
  <c r="AO40" i="3"/>
  <c r="AG40" i="3"/>
  <c r="AW36" i="3"/>
  <c r="AO36" i="3"/>
  <c r="AG36" i="3"/>
  <c r="BB36" i="3"/>
  <c r="AT36" i="3"/>
  <c r="AL36" i="3"/>
  <c r="BA36" i="3"/>
  <c r="AS36" i="3"/>
  <c r="AK36" i="3"/>
  <c r="BC36" i="3"/>
  <c r="AX36" i="3"/>
  <c r="AP36" i="3"/>
  <c r="AH36" i="3"/>
  <c r="BA46" i="3"/>
  <c r="AS46" i="3"/>
  <c r="AK46" i="3"/>
  <c r="AX46" i="3"/>
  <c r="AP46" i="3"/>
  <c r="AH46" i="3"/>
  <c r="AW46" i="3"/>
  <c r="AO46" i="3"/>
  <c r="AG46" i="3"/>
  <c r="BB46" i="3"/>
  <c r="AT46" i="3"/>
  <c r="AL46" i="3"/>
  <c r="I68" i="8"/>
  <c r="I84" i="7"/>
  <c r="AZ55" i="3"/>
  <c r="BD54" i="3"/>
  <c r="AZ36" i="3"/>
  <c r="BA30" i="3"/>
  <c r="AS30" i="3"/>
  <c r="AK30" i="3"/>
  <c r="AX30" i="3"/>
  <c r="AP30" i="3"/>
  <c r="AH30" i="3"/>
  <c r="AW30" i="3"/>
  <c r="AO30" i="3"/>
  <c r="BB30" i="3"/>
  <c r="AT30" i="3"/>
  <c r="AL30" i="3"/>
  <c r="AG30" i="3"/>
  <c r="J87" i="9"/>
  <c r="J95" i="9" s="1"/>
  <c r="C102" i="10"/>
  <c r="J95" i="10"/>
  <c r="J154" i="10"/>
  <c r="J47" i="10"/>
  <c r="C91" i="2"/>
  <c r="E88" i="2"/>
  <c r="J160" i="8"/>
  <c r="C108" i="8"/>
  <c r="J101" i="8"/>
  <c r="J53" i="8"/>
  <c r="J162" i="9"/>
  <c r="C110" i="9"/>
  <c r="J103" i="9"/>
  <c r="J104" i="9" s="1"/>
  <c r="J55" i="9"/>
  <c r="J176" i="7"/>
  <c r="C124" i="7"/>
  <c r="J69" i="7"/>
  <c r="J117" i="7"/>
  <c r="I147" i="8"/>
  <c r="I163" i="7"/>
  <c r="J127" i="10"/>
  <c r="J131" i="10" s="1"/>
  <c r="J158" i="10" s="1"/>
  <c r="J135" i="9"/>
  <c r="J133" i="8"/>
  <c r="J149" i="7"/>
  <c r="AF47" i="3" l="1"/>
  <c r="J97" i="10"/>
  <c r="J102" i="8"/>
  <c r="J96" i="10"/>
  <c r="J57" i="9"/>
  <c r="J118" i="7"/>
  <c r="AF54" i="3"/>
  <c r="J114" i="7"/>
  <c r="J115" i="7" s="1"/>
  <c r="BA61" i="3"/>
  <c r="D24" i="4" s="1"/>
  <c r="I43" i="7" s="1"/>
  <c r="I44" i="7" s="1"/>
  <c r="AN61" i="3"/>
  <c r="D13" i="4" s="1"/>
  <c r="E13" i="4" s="1"/>
  <c r="AF8" i="3"/>
  <c r="AM61" i="3"/>
  <c r="D15" i="4" s="1"/>
  <c r="E15" i="4" s="1"/>
  <c r="AF31" i="3"/>
  <c r="AR61" i="3"/>
  <c r="D19" i="4" s="1"/>
  <c r="E19" i="4" s="1"/>
  <c r="AZ61" i="3"/>
  <c r="D11" i="6" s="1"/>
  <c r="I29" i="9" s="1"/>
  <c r="I30" i="9" s="1"/>
  <c r="AH61" i="3"/>
  <c r="D9" i="4" s="1"/>
  <c r="I26" i="7" s="1"/>
  <c r="H251" i="7" s="1"/>
  <c r="AF23" i="3"/>
  <c r="AF55" i="3"/>
  <c r="AT61" i="3"/>
  <c r="D21" i="4" s="1"/>
  <c r="I39" i="7" s="1"/>
  <c r="H264" i="7" s="1"/>
  <c r="BB61" i="3"/>
  <c r="D8" i="5" s="1"/>
  <c r="I25" i="8" s="1"/>
  <c r="AP61" i="3"/>
  <c r="D17" i="4" s="1"/>
  <c r="E17" i="4" s="1"/>
  <c r="AS61" i="3"/>
  <c r="D20" i="4" s="1"/>
  <c r="E20" i="4" s="1"/>
  <c r="AO61" i="3"/>
  <c r="D16" i="4" s="1"/>
  <c r="E16" i="4" s="1"/>
  <c r="AK61" i="3"/>
  <c r="D12" i="4" s="1"/>
  <c r="E12" i="4" s="1"/>
  <c r="AF40" i="3"/>
  <c r="AV61" i="3"/>
  <c r="D23" i="4" s="1"/>
  <c r="I41" i="7" s="1"/>
  <c r="H266" i="7" s="1"/>
  <c r="AU61" i="3"/>
  <c r="D22" i="4" s="1"/>
  <c r="E22" i="4" s="1"/>
  <c r="BD61" i="3"/>
  <c r="D10" i="5" s="1"/>
  <c r="I27" i="8" s="1"/>
  <c r="H190" i="8" s="1"/>
  <c r="AW61" i="3"/>
  <c r="D8" i="6" s="1"/>
  <c r="I25" i="9" s="1"/>
  <c r="BC61" i="3"/>
  <c r="D9" i="5" s="1"/>
  <c r="AL61" i="3"/>
  <c r="D14" i="4" s="1"/>
  <c r="I31" i="7" s="1"/>
  <c r="H256" i="7" s="1"/>
  <c r="AQ61" i="3"/>
  <c r="D18" i="4" s="1"/>
  <c r="I36" i="7" s="1"/>
  <c r="H261" i="7" s="1"/>
  <c r="AG61" i="3"/>
  <c r="AX61" i="3"/>
  <c r="D9" i="6" s="1"/>
  <c r="I26" i="9" s="1"/>
  <c r="H194" i="9" s="1"/>
  <c r="AI61" i="3"/>
  <c r="D10" i="4" s="1"/>
  <c r="E10" i="4" s="1"/>
  <c r="AY61" i="3"/>
  <c r="D10" i="6" s="1"/>
  <c r="I27" i="9" s="1"/>
  <c r="H195" i="9" s="1"/>
  <c r="AF16" i="3"/>
  <c r="AJ61" i="3"/>
  <c r="D11" i="4" s="1"/>
  <c r="E11" i="4" s="1"/>
  <c r="J98" i="8"/>
  <c r="J99" i="8" s="1"/>
  <c r="J92" i="10"/>
  <c r="J94" i="10"/>
  <c r="J49" i="10"/>
  <c r="J102" i="9"/>
  <c r="J100" i="9"/>
  <c r="J55" i="8"/>
  <c r="J71" i="7"/>
  <c r="J116" i="7"/>
  <c r="J119" i="7"/>
  <c r="J105" i="9"/>
  <c r="J100" i="8"/>
  <c r="J103" i="8"/>
  <c r="C97" i="2"/>
  <c r="E97" i="2" s="1"/>
  <c r="E91" i="2"/>
  <c r="J93" i="9" l="1"/>
  <c r="J69" i="9"/>
  <c r="J68" i="9"/>
  <c r="J62" i="9"/>
  <c r="J66" i="9"/>
  <c r="J63" i="9"/>
  <c r="J65" i="9"/>
  <c r="J67" i="9"/>
  <c r="J64" i="9"/>
  <c r="J91" i="8"/>
  <c r="J61" i="8"/>
  <c r="J63" i="8"/>
  <c r="J65" i="8"/>
  <c r="J67" i="8"/>
  <c r="J60" i="8"/>
  <c r="J62" i="8"/>
  <c r="J64" i="8"/>
  <c r="J66" i="8"/>
  <c r="J85" i="10"/>
  <c r="J55" i="10"/>
  <c r="J57" i="10"/>
  <c r="J59" i="10"/>
  <c r="J61" i="10"/>
  <c r="J54" i="10"/>
  <c r="J62" i="10" s="1"/>
  <c r="J86" i="10" s="1"/>
  <c r="J88" i="10" s="1"/>
  <c r="J56" i="10"/>
  <c r="J58" i="10"/>
  <c r="J60" i="10"/>
  <c r="J107" i="7"/>
  <c r="J83" i="7"/>
  <c r="J82" i="7"/>
  <c r="J76" i="7"/>
  <c r="J80" i="7"/>
  <c r="J77" i="7"/>
  <c r="J79" i="7"/>
  <c r="J81" i="7"/>
  <c r="J78" i="7"/>
  <c r="D8" i="4"/>
  <c r="E8" i="4" s="1"/>
  <c r="F8" i="4" s="1"/>
  <c r="I8" i="4" s="1"/>
  <c r="I35" i="7"/>
  <c r="H260" i="7" s="1"/>
  <c r="E24" i="4"/>
  <c r="F24" i="4" s="1"/>
  <c r="I24" i="4" s="1"/>
  <c r="E9" i="6"/>
  <c r="F9" i="6" s="1"/>
  <c r="I9" i="6" s="1"/>
  <c r="I38" i="7"/>
  <c r="H263" i="7" s="1"/>
  <c r="I37" i="7"/>
  <c r="H262" i="7" s="1"/>
  <c r="I30" i="7"/>
  <c r="H255" i="7" s="1"/>
  <c r="E21" i="4"/>
  <c r="F21" i="4" s="1"/>
  <c r="I21" i="4" s="1"/>
  <c r="I32" i="7"/>
  <c r="H257" i="7" s="1"/>
  <c r="E8" i="6"/>
  <c r="F8" i="6" s="1"/>
  <c r="I8" i="6" s="1"/>
  <c r="I34" i="7"/>
  <c r="H259" i="7" s="1"/>
  <c r="E9" i="4"/>
  <c r="F9" i="4" s="1"/>
  <c r="I9" i="4" s="1"/>
  <c r="E8" i="5"/>
  <c r="F8" i="5" s="1"/>
  <c r="E11" i="6"/>
  <c r="F11" i="6" s="1"/>
  <c r="I11" i="6" s="1"/>
  <c r="I25" i="7"/>
  <c r="H250" i="7" s="1"/>
  <c r="E18" i="4"/>
  <c r="F18" i="4" s="1"/>
  <c r="I18" i="4" s="1"/>
  <c r="D12" i="6"/>
  <c r="G10" i="9" s="1"/>
  <c r="E10" i="6"/>
  <c r="F10" i="6" s="1"/>
  <c r="I10" i="6" s="1"/>
  <c r="I29" i="7"/>
  <c r="H254" i="7" s="1"/>
  <c r="I28" i="7"/>
  <c r="H253" i="7" s="1"/>
  <c r="E10" i="5"/>
  <c r="F10" i="5" s="1"/>
  <c r="I10" i="5" s="1"/>
  <c r="D11" i="5"/>
  <c r="G10" i="8" s="1"/>
  <c r="I26" i="8"/>
  <c r="H189" i="8" s="1"/>
  <c r="E9" i="5"/>
  <c r="F9" i="5" s="1"/>
  <c r="I9" i="5" s="1"/>
  <c r="I40" i="7"/>
  <c r="H265" i="7" s="1"/>
  <c r="D25" i="4"/>
  <c r="G10" i="7" s="1"/>
  <c r="AF61" i="3"/>
  <c r="E23" i="4"/>
  <c r="F23" i="4" s="1"/>
  <c r="I23" i="4" s="1"/>
  <c r="E14" i="4"/>
  <c r="I27" i="7"/>
  <c r="H252" i="7" s="1"/>
  <c r="J104" i="8"/>
  <c r="J162" i="8" s="1"/>
  <c r="J120" i="7"/>
  <c r="J178" i="7" s="1"/>
  <c r="F11" i="4"/>
  <c r="I11" i="4" s="1"/>
  <c r="F15" i="4"/>
  <c r="I15" i="4" s="1"/>
  <c r="F12" i="4"/>
  <c r="I12" i="4" s="1"/>
  <c r="H268" i="7"/>
  <c r="H269" i="7" s="1"/>
  <c r="F17" i="4"/>
  <c r="I17" i="4" s="1"/>
  <c r="F16" i="4"/>
  <c r="I16" i="4" s="1"/>
  <c r="H198" i="9"/>
  <c r="H197" i="9"/>
  <c r="F13" i="4"/>
  <c r="I13" i="4" s="1"/>
  <c r="F19" i="4"/>
  <c r="I19" i="4" s="1"/>
  <c r="F20" i="4"/>
  <c r="I20" i="4" s="1"/>
  <c r="F10" i="4"/>
  <c r="I10" i="4" s="1"/>
  <c r="H193" i="9"/>
  <c r="I28" i="9"/>
  <c r="H196" i="9" s="1"/>
  <c r="J101" i="9"/>
  <c r="J106" i="9" s="1"/>
  <c r="F22" i="4"/>
  <c r="I22" i="4" s="1"/>
  <c r="J93" i="10"/>
  <c r="J98" i="10" s="1"/>
  <c r="H188" i="8"/>
  <c r="J70" i="9" l="1"/>
  <c r="J94" i="9" s="1"/>
  <c r="J96" i="9" s="1"/>
  <c r="J84" i="7"/>
  <c r="J108" i="7" s="1"/>
  <c r="J110" i="7" s="1"/>
  <c r="J68" i="8"/>
  <c r="J92" i="8" s="1"/>
  <c r="J94" i="8" s="1"/>
  <c r="F108" i="8" s="1"/>
  <c r="I108" i="8"/>
  <c r="I124" i="7"/>
  <c r="E12" i="6"/>
  <c r="F12" i="6" s="1"/>
  <c r="I33" i="7"/>
  <c r="H258" i="7" s="1"/>
  <c r="I42" i="7"/>
  <c r="H267" i="7" s="1"/>
  <c r="E25" i="4"/>
  <c r="F25" i="4" s="1"/>
  <c r="G10" i="10"/>
  <c r="H191" i="8"/>
  <c r="H194" i="8" s="1"/>
  <c r="E11" i="5"/>
  <c r="I28" i="8"/>
  <c r="I31" i="8" s="1"/>
  <c r="F14" i="4"/>
  <c r="I14" i="4" s="1"/>
  <c r="G23" i="4"/>
  <c r="H23" i="4" s="1"/>
  <c r="O23" i="4" s="1"/>
  <c r="G21" i="4"/>
  <c r="H21" i="4" s="1"/>
  <c r="O21" i="4" s="1"/>
  <c r="G13" i="4"/>
  <c r="H13" i="4" s="1"/>
  <c r="O13" i="4" s="1"/>
  <c r="G8" i="4"/>
  <c r="H8" i="4" s="1"/>
  <c r="O8" i="4" s="1"/>
  <c r="G18" i="4"/>
  <c r="H18" i="4" s="1"/>
  <c r="O18" i="4" s="1"/>
  <c r="G11" i="4"/>
  <c r="H11" i="4" s="1"/>
  <c r="O11" i="4" s="1"/>
  <c r="G15" i="4"/>
  <c r="H15" i="4" s="1"/>
  <c r="O15" i="4" s="1"/>
  <c r="H201" i="9"/>
  <c r="G8" i="6"/>
  <c r="H8" i="6" s="1"/>
  <c r="O8" i="6" s="1"/>
  <c r="H175" i="9" s="1"/>
  <c r="J175" i="9" s="1"/>
  <c r="G22" i="4"/>
  <c r="H22" i="4" s="1"/>
  <c r="O22" i="4" s="1"/>
  <c r="G9" i="4"/>
  <c r="H9" i="4" s="1"/>
  <c r="O9" i="4" s="1"/>
  <c r="J156" i="10"/>
  <c r="I102" i="10"/>
  <c r="J110" i="10"/>
  <c r="J164" i="9"/>
  <c r="I110" i="9"/>
  <c r="J118" i="9"/>
  <c r="J155" i="10"/>
  <c r="F102" i="10"/>
  <c r="J102" i="10"/>
  <c r="G9" i="6"/>
  <c r="H9" i="6" s="1"/>
  <c r="O9" i="6" s="1"/>
  <c r="F11" i="5"/>
  <c r="I8" i="5"/>
  <c r="I11" i="5" s="1"/>
  <c r="G17" i="4"/>
  <c r="H17" i="4" s="1"/>
  <c r="O17" i="4" s="1"/>
  <c r="J177" i="7"/>
  <c r="F124" i="7"/>
  <c r="J124" i="7"/>
  <c r="G10" i="4"/>
  <c r="H10" i="4" s="1"/>
  <c r="O10" i="4" s="1"/>
  <c r="J161" i="8"/>
  <c r="G16" i="4"/>
  <c r="H16" i="4" s="1"/>
  <c r="O16" i="4" s="1"/>
  <c r="F110" i="9"/>
  <c r="J163" i="9"/>
  <c r="J110" i="9"/>
  <c r="G11" i="6"/>
  <c r="H11" i="6" s="1"/>
  <c r="O11" i="6" s="1"/>
  <c r="G9" i="5"/>
  <c r="H9" i="5" s="1"/>
  <c r="O9" i="5" s="1"/>
  <c r="G20" i="4"/>
  <c r="H20" i="4" s="1"/>
  <c r="O20" i="4" s="1"/>
  <c r="G10" i="6"/>
  <c r="H10" i="6" s="1"/>
  <c r="O10" i="6" s="1"/>
  <c r="G19" i="4"/>
  <c r="H19" i="4" s="1"/>
  <c r="O19" i="4" s="1"/>
  <c r="G10" i="5"/>
  <c r="H10" i="5" s="1"/>
  <c r="O10" i="5" s="1"/>
  <c r="G8" i="5"/>
  <c r="I33" i="9"/>
  <c r="G12" i="4"/>
  <c r="H12" i="4" s="1"/>
  <c r="O12" i="4" s="1"/>
  <c r="G24" i="4"/>
  <c r="H24" i="4" s="1"/>
  <c r="O24" i="4" s="1"/>
  <c r="J108" i="8" l="1"/>
  <c r="J114" i="8" s="1"/>
  <c r="J132" i="7"/>
  <c r="J116" i="8"/>
  <c r="H176" i="9"/>
  <c r="H272" i="7"/>
  <c r="I47" i="7"/>
  <c r="G14" i="4"/>
  <c r="H14" i="4" s="1"/>
  <c r="O14" i="4" s="1"/>
  <c r="J115" i="8"/>
  <c r="J109" i="8"/>
  <c r="J117" i="8"/>
  <c r="J113" i="8"/>
  <c r="I25" i="4"/>
  <c r="I12" i="6"/>
  <c r="H180" i="9"/>
  <c r="H179" i="9"/>
  <c r="J179" i="9" s="1"/>
  <c r="J109" i="10"/>
  <c r="J103" i="10"/>
  <c r="J108" i="10"/>
  <c r="J111" i="10"/>
  <c r="J107" i="10"/>
  <c r="G11" i="5"/>
  <c r="H11" i="5" s="1"/>
  <c r="O11" i="5" s="1"/>
  <c r="H8" i="5"/>
  <c r="O8" i="5" s="1"/>
  <c r="J117" i="9"/>
  <c r="J111" i="9"/>
  <c r="J116" i="9"/>
  <c r="J119" i="9"/>
  <c r="J115" i="9"/>
  <c r="G25" i="4"/>
  <c r="H25" i="4" s="1"/>
  <c r="O25" i="4" s="1"/>
  <c r="H188" i="9"/>
  <c r="H187" i="9"/>
  <c r="J187" i="9" s="1"/>
  <c r="G12" i="6"/>
  <c r="H12" i="6" s="1"/>
  <c r="O12" i="6" s="1"/>
  <c r="J133" i="7"/>
  <c r="J129" i="7"/>
  <c r="J125" i="7"/>
  <c r="J131" i="7"/>
  <c r="J130" i="7"/>
  <c r="H183" i="9"/>
  <c r="H182" i="9"/>
  <c r="J182" i="9" s="1"/>
  <c r="J112" i="10" l="1"/>
  <c r="J120" i="10" s="1"/>
  <c r="J122" i="10" s="1"/>
  <c r="J136" i="10" s="1"/>
  <c r="J137" i="10" s="1"/>
  <c r="J138" i="10" s="1"/>
  <c r="J139" i="10" s="1"/>
  <c r="J118" i="8"/>
  <c r="J126" i="8" s="1"/>
  <c r="J128" i="8" s="1"/>
  <c r="J163" i="8" s="1"/>
  <c r="J134" i="7"/>
  <c r="J142" i="7" s="1"/>
  <c r="J144" i="7" s="1"/>
  <c r="J179" i="7" s="1"/>
  <c r="L13" i="5"/>
  <c r="D9" i="11" s="1"/>
  <c r="L14" i="6"/>
  <c r="J120" i="9"/>
  <c r="J128" i="9" s="1"/>
  <c r="J130" i="9" s="1"/>
  <c r="L27" i="4"/>
  <c r="J157" i="10" l="1"/>
  <c r="J159" i="10" s="1"/>
  <c r="G201" i="8"/>
  <c r="D8" i="11"/>
  <c r="G279" i="7"/>
  <c r="G208" i="9"/>
  <c r="D10" i="11"/>
  <c r="J165" i="9"/>
  <c r="J140" i="10"/>
  <c r="F14" i="11" l="1"/>
  <c r="G90" i="2"/>
  <c r="G93" i="2"/>
  <c r="G89" i="2"/>
  <c r="G88" i="2"/>
  <c r="D12" i="11"/>
  <c r="J145" i="10"/>
  <c r="J142" i="10"/>
  <c r="J143" i="10"/>
  <c r="J141" i="10" l="1"/>
  <c r="J146" i="10" s="1"/>
  <c r="J160" i="10" s="1"/>
  <c r="J161" i="10" s="1"/>
  <c r="I163" i="10" s="1"/>
  <c r="E11" i="11" s="1"/>
  <c r="F15" i="11"/>
  <c r="I99" i="2"/>
  <c r="I167" i="10" l="1"/>
  <c r="G11" i="11" s="1"/>
  <c r="G91" i="2" l="1"/>
  <c r="G97" i="2" s="1"/>
  <c r="J137" i="9"/>
  <c r="J135" i="8"/>
  <c r="J151" i="7"/>
  <c r="J134" i="8" l="1"/>
  <c r="J137" i="8" s="1"/>
  <c r="J136" i="9"/>
  <c r="J139" i="9" s="1"/>
  <c r="J150" i="7"/>
  <c r="J153" i="7" s="1"/>
  <c r="J144" i="9" l="1"/>
  <c r="J145" i="9" s="1"/>
  <c r="J146" i="9" s="1"/>
  <c r="J147" i="9" s="1"/>
  <c r="J148" i="9" s="1"/>
  <c r="J166" i="9"/>
  <c r="J167" i="9" s="1"/>
  <c r="J180" i="7"/>
  <c r="J181" i="7" s="1"/>
  <c r="J158" i="7"/>
  <c r="J159" i="7" s="1"/>
  <c r="J160" i="7" s="1"/>
  <c r="J161" i="7" s="1"/>
  <c r="J164" i="8"/>
  <c r="J165" i="8" s="1"/>
  <c r="J142" i="8"/>
  <c r="J143" i="8" s="1"/>
  <c r="J162" i="7" l="1"/>
  <c r="J144" i="8"/>
  <c r="J145" i="8" s="1"/>
  <c r="J146" i="8" s="1"/>
  <c r="J151" i="9"/>
  <c r="J153" i="9"/>
  <c r="J150" i="9"/>
  <c r="J149" i="8" l="1"/>
  <c r="J151" i="8"/>
  <c r="J148" i="8"/>
  <c r="J149" i="9"/>
  <c r="J154" i="9" s="1"/>
  <c r="J168" i="9" s="1"/>
  <c r="J169" i="9" s="1"/>
  <c r="J165" i="7"/>
  <c r="J167" i="7"/>
  <c r="J164" i="7"/>
  <c r="I183" i="9" l="1"/>
  <c r="J183" i="9" s="1"/>
  <c r="J184" i="9" s="1"/>
  <c r="F195" i="9" s="1"/>
  <c r="I195" i="9" s="1"/>
  <c r="I176" i="9"/>
  <c r="J176" i="9" s="1"/>
  <c r="J177" i="9" s="1"/>
  <c r="F193" i="9" s="1"/>
  <c r="I193" i="9" s="1"/>
  <c r="I188" i="9"/>
  <c r="J188" i="9" s="1"/>
  <c r="J189" i="9" s="1"/>
  <c r="F197" i="9" s="1"/>
  <c r="I197" i="9" s="1"/>
  <c r="I198" i="9" s="1"/>
  <c r="I180" i="9"/>
  <c r="J180" i="9" s="1"/>
  <c r="J181" i="9" s="1"/>
  <c r="F194" i="9" s="1"/>
  <c r="I194" i="9" s="1"/>
  <c r="J163" i="7"/>
  <c r="J168" i="7" s="1"/>
  <c r="J182" i="7" s="1"/>
  <c r="J183" i="7" s="1"/>
  <c r="J147" i="8"/>
  <c r="J152" i="8" s="1"/>
  <c r="J166" i="8" s="1"/>
  <c r="J167" i="8" s="1"/>
  <c r="I196" i="9" l="1"/>
  <c r="I201" i="9" s="1"/>
  <c r="G174" i="8"/>
  <c r="I174" i="8" s="1"/>
  <c r="I175" i="8" s="1"/>
  <c r="F188" i="8" s="1"/>
  <c r="I188" i="8" s="1"/>
  <c r="G182" i="8"/>
  <c r="I182" i="8" s="1"/>
  <c r="I183" i="8" s="1"/>
  <c r="F190" i="8" s="1"/>
  <c r="I190" i="8" s="1"/>
  <c r="G178" i="8"/>
  <c r="I178" i="8" s="1"/>
  <c r="I179" i="8" s="1"/>
  <c r="F189" i="8" s="1"/>
  <c r="I189" i="8" s="1"/>
  <c r="G235" i="7"/>
  <c r="I235" i="7" s="1"/>
  <c r="I236" i="7" s="1"/>
  <c r="F265" i="7" s="1"/>
  <c r="I265" i="7" s="1"/>
  <c r="G223" i="7"/>
  <c r="I223" i="7" s="1"/>
  <c r="I224" i="7" s="1"/>
  <c r="F261" i="7" s="1"/>
  <c r="I261" i="7" s="1"/>
  <c r="G208" i="7"/>
  <c r="I208" i="7" s="1"/>
  <c r="I209" i="7" s="1"/>
  <c r="F256" i="7" s="1"/>
  <c r="I256" i="7" s="1"/>
  <c r="G199" i="7"/>
  <c r="I199" i="7" s="1"/>
  <c r="I200" i="7" s="1"/>
  <c r="F253" i="7" s="1"/>
  <c r="I253" i="7" s="1"/>
  <c r="G238" i="7"/>
  <c r="I238" i="7" s="1"/>
  <c r="I239" i="7" s="1"/>
  <c r="F266" i="7" s="1"/>
  <c r="I266" i="7" s="1"/>
  <c r="G226" i="7"/>
  <c r="I226" i="7" s="1"/>
  <c r="I227" i="7" s="1"/>
  <c r="F262" i="7" s="1"/>
  <c r="I262" i="7" s="1"/>
  <c r="G211" i="7"/>
  <c r="I211" i="7" s="1"/>
  <c r="I212" i="7" s="1"/>
  <c r="F257" i="7" s="1"/>
  <c r="I257" i="7" s="1"/>
  <c r="G202" i="7"/>
  <c r="I202" i="7" s="1"/>
  <c r="I203" i="7" s="1"/>
  <c r="F254" i="7" s="1"/>
  <c r="I254" i="7" s="1"/>
  <c r="G190" i="7"/>
  <c r="I190" i="7" s="1"/>
  <c r="I191" i="7" s="1"/>
  <c r="F250" i="7" s="1"/>
  <c r="I250" i="7" s="1"/>
  <c r="G220" i="7"/>
  <c r="I220" i="7" s="1"/>
  <c r="I221" i="7" s="1"/>
  <c r="F260" i="7" s="1"/>
  <c r="I260" i="7" s="1"/>
  <c r="G196" i="7"/>
  <c r="I196" i="7" s="1"/>
  <c r="I197" i="7" s="1"/>
  <c r="F252" i="7" s="1"/>
  <c r="I252" i="7" s="1"/>
  <c r="G193" i="7"/>
  <c r="I193" i="7" s="1"/>
  <c r="I194" i="7" s="1"/>
  <c r="F251" i="7" s="1"/>
  <c r="I251" i="7" s="1"/>
  <c r="G229" i="7"/>
  <c r="I229" i="7" s="1"/>
  <c r="I230" i="7" s="1"/>
  <c r="F263" i="7" s="1"/>
  <c r="I263" i="7" s="1"/>
  <c r="G205" i="7"/>
  <c r="I205" i="7" s="1"/>
  <c r="I206" i="7" s="1"/>
  <c r="F255" i="7" s="1"/>
  <c r="I255" i="7" s="1"/>
  <c r="G217" i="7"/>
  <c r="I217" i="7" s="1"/>
  <c r="I218" i="7" s="1"/>
  <c r="F259" i="7" s="1"/>
  <c r="I259" i="7" s="1"/>
  <c r="G245" i="7"/>
  <c r="I245" i="7" s="1"/>
  <c r="I246" i="7" s="1"/>
  <c r="F268" i="7" s="1"/>
  <c r="I268" i="7" s="1"/>
  <c r="I269" i="7" s="1"/>
  <c r="G232" i="7"/>
  <c r="I232" i="7" s="1"/>
  <c r="I233" i="7" s="1"/>
  <c r="F264" i="7" s="1"/>
  <c r="I264" i="7" s="1"/>
  <c r="I204" i="9" l="1"/>
  <c r="G10" i="11" s="1"/>
  <c r="I202" i="9"/>
  <c r="I267" i="7"/>
  <c r="I191" i="8"/>
  <c r="I194" i="8" s="1"/>
  <c r="I258" i="7"/>
  <c r="E10" i="11" l="1"/>
  <c r="L202" i="9"/>
  <c r="I272" i="7"/>
  <c r="I276" i="7" s="1"/>
  <c r="G8" i="11" s="1"/>
  <c r="I195" i="8"/>
  <c r="E9" i="11" s="1"/>
  <c r="I197" i="8"/>
  <c r="G9" i="11" s="1"/>
  <c r="I274" i="7" l="1"/>
  <c r="E8" i="11" s="1"/>
  <c r="E12" i="11" s="1"/>
  <c r="G12" i="11"/>
  <c r="F16" i="11" s="1"/>
</calcChain>
</file>

<file path=xl/comments1.xml><?xml version="1.0" encoding="utf-8"?>
<comments xmlns="http://schemas.openxmlformats.org/spreadsheetml/2006/main">
  <authors>
    <author/>
  </authors>
  <commentList>
    <comment ref="H20" authorId="0">
      <text>
        <r>
          <rPr>
            <sz val="10"/>
            <color rgb="FF000000"/>
            <rFont val="Arial"/>
            <family val="2"/>
          </rPr>
          <t>======
ID#AAAAMSvrDiU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rPr>
          <t>======
ID#AAAAMSvrDjE
Evandro    (2021-05-05 13:27:52)
Conforme Lei nº 7.418/1985 e atualizações posteriores.</t>
        </r>
      </text>
    </comment>
    <comment ref="B98" authorId="0">
      <text>
        <r>
          <rPr>
            <sz val="10"/>
            <color rgb="FF000000"/>
            <rFont val="Arial"/>
            <family val="2"/>
          </rPr>
          <t>======
ID#AAAAMSvrDiY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rPr>
          <t>======
ID#AAAAMSvrDiE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rPr>
          <t>======
ID#AAAAMSvrDic
Evandro    (2021-05-05 13:27:52)
Negociar extinção/redução na 1ª prorrogação contratual</t>
        </r>
      </text>
    </comment>
  </commentList>
</comments>
</file>

<file path=xl/sharedStrings.xml><?xml version="1.0" encoding="utf-8"?>
<sst xmlns="http://schemas.openxmlformats.org/spreadsheetml/2006/main" count="2020" uniqueCount="703">
  <si>
    <t>Ministério da Educação</t>
  </si>
  <si>
    <t>Secretaria de Educação Tecnológica</t>
  </si>
  <si>
    <t>Instituto Federal de Educação, Ciência e Tecnologia Farroupilha - IFFar</t>
  </si>
  <si>
    <t>CAMPUS SANTO ÂNGELO</t>
  </si>
  <si>
    <t xml:space="preserve">INFORMAÇÕES BÁSICAS PARA FORMAÇÃO DE PREÇO DE SERVIÇOS DE LIMPEZA </t>
  </si>
  <si>
    <t>SERVIÇOS</t>
  </si>
  <si>
    <t>Serviços de Limpeza e Conservação</t>
  </si>
  <si>
    <t>TIPO</t>
  </si>
  <si>
    <t>JORNADA</t>
  </si>
  <si>
    <t>TURNO</t>
  </si>
  <si>
    <t>Processo:</t>
  </si>
  <si>
    <t>Licitação:</t>
  </si>
  <si>
    <t>Data:</t>
  </si>
  <si>
    <t>Hora:</t>
  </si>
  <si>
    <t>Razão Social:</t>
  </si>
  <si>
    <t>CNPJ:</t>
  </si>
  <si>
    <t>Responsável pela Empresa:</t>
  </si>
  <si>
    <t>CPF do Responsável:</t>
  </si>
  <si>
    <t>Cargo ou Função:</t>
  </si>
  <si>
    <t>PRODUTIVIDADES</t>
  </si>
  <si>
    <t>TIPO DE ÁREA</t>
  </si>
  <si>
    <t>Tipo de piso</t>
  </si>
  <si>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</si>
  <si>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</si>
  <si>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</si>
  <si>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</si>
  <si>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</si>
  <si>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</si>
  <si>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</si>
  <si>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</si>
  <si>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</si>
  <si>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</si>
  <si>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</si>
  <si>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</si>
  <si>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</si>
  <si>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</si>
  <si>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</si>
  <si>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</si>
  <si>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</si>
  <si>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</si>
  <si>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</si>
  <si>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</si>
  <si>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</si>
  <si>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</si>
  <si>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</si>
  <si>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</si>
  <si>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externa com exposição a situação de risco</t>
  </si>
  <si>
    <t>Face externa sem exposição a situação de risco</t>
  </si>
  <si>
    <t>Face interna</t>
  </si>
  <si>
    <t>FACHADAS ENVIDRAÇADAS</t>
  </si>
  <si>
    <t>Fachadas envidraçadas</t>
  </si>
  <si>
    <t>ÁREAS HOSPITALARES E ASSEMELHADAS</t>
  </si>
  <si>
    <t>Áreas hospitalares e assemelhadas</t>
  </si>
  <si>
    <t>REGIME DE TRIBUTAÇÃO</t>
  </si>
  <si>
    <t>INFORME AQUI &gt;----&gt;</t>
  </si>
  <si>
    <t>DESCRIÇÃO DO SERVIÇO</t>
  </si>
  <si>
    <t>Data da Proposta</t>
  </si>
  <si>
    <t>Município/UF</t>
  </si>
  <si>
    <t>Santo Ângelo/RS</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</si>
  <si>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</si>
  <si>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</si>
  <si>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</si>
  <si>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</si>
  <si>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</si>
  <si>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</si>
  <si>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</si>
  <si>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</si>
  <si>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</si>
  <si>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</si>
  <si>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</si>
  <si>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</si>
  <si>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</si>
  <si>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</si>
  <si>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</si>
  <si>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</si>
  <si>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</si>
  <si>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</si>
  <si>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</si>
  <si>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</si>
  <si>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</si>
  <si>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</si>
  <si>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</si>
  <si>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</si>
  <si>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</si>
  <si>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</si>
  <si>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</si>
  <si>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</si>
  <si>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</si>
  <si>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</si>
  <si>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</si>
  <si>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</si>
  <si>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</si>
  <si>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</si>
  <si>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</si>
  <si>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</si>
  <si>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</si>
  <si>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</si>
  <si>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</si>
  <si>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</si>
  <si>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</si>
  <si>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</si>
  <si>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INFORMAÇOES TRIBUTOS SIMPLES NACIONAL</t>
  </si>
  <si>
    <t>PIS</t>
  </si>
  <si>
    <t>COFINS</t>
  </si>
  <si>
    <t>INSUMOS DIVERSOS</t>
  </si>
  <si>
    <t>Materiais de Limpeza – SANEANTES DOMISSANITÁRIOS</t>
  </si>
  <si>
    <t>Unidade</t>
  </si>
  <si>
    <t>Quantidade Mensal</t>
  </si>
  <si>
    <t>Quantidade Anual</t>
  </si>
  <si>
    <t>Valor Unitário</t>
  </si>
  <si>
    <t>Custo Anual</t>
  </si>
  <si>
    <t>Sabão Líquido Concentrado Puro P/ Limp. De Piso. Galão de 5 litros</t>
  </si>
  <si>
    <t>Galão</t>
  </si>
  <si>
    <t>Desinfetante perfumado de ação fungicida e bactericida para limpeza eficaz de superfícies diversas, tais como: azulejos, pisos, sanitários, pias, ralos, etc. Galão de 5 litros.</t>
  </si>
  <si>
    <t>SABONETE LÍQUIDO, SABONETE LÍQUIDO, ASPECTO FÍSICO LÍQUIDO CREMOSO PEROLADO, APLICAÇÃO ASSEPSIA DAS MÃOS, CARACTERÍSTICAS ADICIONAIS PH NEUTRO, DENSIDADE 0,9 A 1,05 G/M3, COMPOSIÇÃO AGENTES EMOLIENTES E HIDRATANTES, COMPOSTOS DE SAIS. DEVERÁ APRESENTAR TAMBÉM DATA DE FABRICAÇÃO IMPRESSA NA EMBALAGEM E VALIDADE MÍNIMA DE 06 MESES NO ATO DA ENTREGA. EMBALAGEM DE 5 litros</t>
  </si>
  <si>
    <t>bambona</t>
  </si>
  <si>
    <t>CERA, TIPO LÍQUIDA, COR INCOLOR LEITOSO, COMPOSIÇÃO A BASE DE ÁGUA, ERESINAS METALIZADAS, CARACTERÍSTICAS ADICIONAIS ANTIDERRAPANTE, IMPERMEABILIZANTE, APLICAÇÃO LIMPEZA DE PISOS. Embalagem de 1 litro.</t>
  </si>
  <si>
    <t>litro</t>
  </si>
  <si>
    <t>CERA, TIPO LÍQUIDA, COR preta LEITOSO, COMPOSIÇÃO A BASE DE ÁGUA, ERESINAS METALIZADAS, CARACTERÍSTICAS ADICIONAIS ANTIDERRAPANTE, IMPERMEABILIZANTE, APLICAÇÃO LIMPEZA DE PISOS. Embalagem de 1 litro</t>
  </si>
  <si>
    <t>LIMPA-VIDRO, ASPECTO FÍSICO LÍQUIDO, COMPOSIÇÃO LAURIL ÉTER, SULFATO DE SÓDIO,CARACTERÍSTICAS ADICIONAIS PULVERIZADOR COM GATILHO, VALIDADE MÍNIMA 3 ANOS. Frascos de 500 ML</t>
  </si>
  <si>
    <t>frasco</t>
  </si>
  <si>
    <t>Sabão em pó, Composição: Tensoativo aniônico, tensoativo catiônico, coadjuvante, sinergista, tamponantes, branqueador óptico, corantes, enzimas, alvejante, carga, atenuador de espuma, essência e água. Aplicação: lavar roupas. Embalagem de 1kg.</t>
  </si>
  <si>
    <t>KG</t>
  </si>
  <si>
    <t>Desincrustrante Alcalino, PH alcalino, Desincrusta e limpa superfícies em geral. Embalagem de 1 litro.</t>
  </si>
  <si>
    <t>LIMPADOR MULTIUSO (DESENGORDURANTE). LÍQUIDO, TRADICIONAL (OU NEUTRO). EMBALAGEM COM 500 ML, COM BICO DOSADOR.</t>
  </si>
  <si>
    <t>Descrição: Sapólio líquido 300 ml, composto de tensoativos: aniônico e não aniônico, espessante, alcalinizantes, abrasivo, preservante, fragrância e veículo. Com princípio ativo linear, alquilbenzeno, sulfonato de sódio. Frasco de 300 Ml.</t>
  </si>
  <si>
    <t>Frasco</t>
  </si>
  <si>
    <t>CUSTO MENSAL DOS SANEANTES DOMISSANITÁRIOS</t>
  </si>
  <si>
    <t>PAPEL TOALHA INTERFOLHAS. COR: BRANCA, ALTO GRAU DE ALVURA, RESISTENTE E ABSORVENTE, NÃO DEIXA RESÍDUOS NAS MÃOS. FORMATO 23X27 CM. FARDO COM NO MÍNIMO 1000 FOLHAS</t>
  </si>
  <si>
    <t>fardo</t>
  </si>
  <si>
    <t>papel higienico branco produzido com fibra celulose resistente nao reciclado tipo grofado folha simples sem impureza: rolos 10cm x 500 mt. Rolos de 500 metros</t>
  </si>
  <si>
    <t>Rolo</t>
  </si>
  <si>
    <t>PAPEL HIGIÊNICO, BRANCO, MACIO, PICOTADO E GOFRADO OU TEXTURIZADO, 100% FIBRA CELULÓSICAS, FOLHAS SIMPLES, PACOTE COM 4 ROLOS DE 60 METROS X 10CM CADA.</t>
  </si>
  <si>
    <t>Pacote</t>
  </si>
  <si>
    <t>Descrição: Saco plástico lixo, capacidade 20L, cor preta, largura mínima 39cm, altura 50, características adicionais aplicação coleta de lixo. Pacote COM 100 UM IDADES</t>
  </si>
  <si>
    <t>PACOTE</t>
  </si>
  <si>
    <t>Descrição: Saco plástico lixo, capacidade 40L, cor preta, largura mínima 39cm, altura 50, características adicionais aplicação coleta de lixo. Pacote COM 100 UM IDADES</t>
  </si>
  <si>
    <t>Descrição: Saco plástico lixo, capacidade 60L, cor preta, largura mínima 39cm, altura 50, características adicionais aplicação coleta de lixo. Pacote COM 100 UM IDADES</t>
  </si>
  <si>
    <t>Descrição: Saco plástico lixo, capacidade 100L, cor preta, largura mínima 39cm, altura 50, características adicionais aplicação coleta de lixo. Pacote COM 100 UM IDADES</t>
  </si>
  <si>
    <t xml:space="preserve">Descrição: PEDRA SANITÁRIA (Desodorizador sanitário). Odorizante sanitário. Produto saneante com notificação na ANVISA. Substâncias odorizantes, em aspecto sólido, com furo no meio para engate do suporte plástico. Acompanhada de suporte plástico para prender ao vaso sanitário. Com 30 a 40g. uNIDADE.
</t>
  </si>
  <si>
    <t>UNIDADE</t>
  </si>
  <si>
    <t>CUSTO ANUAL DOS MATERIAIS DE LIMPEZA – COMPLEMENTARES</t>
  </si>
  <si>
    <t>CUSTO MENSAL DOS  MATERIAIS DE LIMPEZA – COMPLEMENTARES</t>
  </si>
  <si>
    <t>UTENSÍLIOS</t>
  </si>
  <si>
    <t>Quantidade a disponibilizar</t>
  </si>
  <si>
    <t>Vida Útil   (em meses)</t>
  </si>
  <si>
    <t>Descrição: Pano de limpeza de chão: saco de algodão. Composição: saco branco duplo, 100% algodão, alvejado, pré-amaciado, medida aproximada 40cm x 70 cm, uso doméstico, Embalagem: pacote contendo 01 unidade.</t>
  </si>
  <si>
    <t>unidade</t>
  </si>
  <si>
    <t>Descrição: Esponja de limpeza, material lã aço fina, textura macia e isenta de oxidação, abrasividade mínima, aplicação limpeza geral, biodegradável, pacote com 8 unidades, peso líquido mínimo 60 gramas.</t>
  </si>
  <si>
    <t>pacote</t>
  </si>
  <si>
    <t>Descrição: PALHA AÇO, MATERIAL AÇO CARBONO, ABRASIVIDADE MÉDIA, APLICAÇÃO LIMPEZA EM GERAL, CARACTERÍSTICAS ADICIONAIS Nº 1</t>
  </si>
  <si>
    <t>Descrição: ESPONJA LIMPEZA, MATERIAL LÃ DE AÇO CARBONO, FORMATO RETANGULAR, APLICAÇÃO UTENSÍLIOS E LIMPEZA EM GERAL. Pacote com 08 unidades.</t>
  </si>
  <si>
    <t>Fibra de limpeza LT uso geral. Pacote com 5 unidades</t>
  </si>
  <si>
    <t>Descrição: Suporte manual para fibra de limpeza. Produzido em Polietileno de alta resistência. Desenvolvido para fixar fibra de limpeza pesada. Moldado com ganchos que garantem a fixação das fibras de limpeza. Indicado para limpeza em chapas, grelhas, churrasqueiras, panelas com crostas diversas e locais de difícil acesso como escadas e rodapés. Unidade</t>
  </si>
  <si>
    <t>Descrição: VASSOURA DE PALHA - VASSOURA TIPO PIAÇAVA, COM CERDAS DE NO MÍNIMO DE 11 CM DE COMPRIMENTO COM BASE DE MADEIRA DE NO MÍNIMO 20 CM E CABO EM MADEIRA OU TUBO METÁLICO REVESTIDO DE PELÍCULA PLÁSTICA COM NO MÍNIMO 1,10 M E NO MÁXIMO 1,25 M DE COMPRIMENTO; Unidade</t>
  </si>
  <si>
    <t>Descrição: Vassoura de nylon com cerdas macias, cepo plástico de 21 cm, cerdas de 11 cm com plumagem nas pontas, com cabo rosqueado de madeira plastificada, para limpeza em geral, tipo doméstica. Unidade</t>
  </si>
  <si>
    <t>Descrição: "LUVA BORRACHA: Luva de látex natural para limpeza em geral, tamanho grande, multiuso, Par.</t>
  </si>
  <si>
    <t>Par</t>
  </si>
  <si>
    <t>Descrição: BORRIFADOR 500ML: em plástico; boa vedação.</t>
  </si>
  <si>
    <t>Descrição: Rodo, com cabo de pelo menos 120 cm, material suporte de plástico, comprimento mínimo do suporte 30 cm, quantidade de borrachas 02 un, características adicionais: cabo com rosca plástica.</t>
  </si>
  <si>
    <t>Descrição: Vassoura sanitária, corpo em plástico, cerdas em nylon com formato redondo, com suporte</t>
  </si>
  <si>
    <t>Descrição: PÁ COLETORA LIXO, MATERIAL COLETOR PLÁSTICO, MATERIAL CABO MADEIRA, COMPRIMENTO CABO 80 CM, COMPRIMENTO 20 CM, LARGURA 18 CM, APLICAÇÃO LIMPEZA, CARACTERÍSTICAS ADICIONAIS CABO REVESTIDO EM PLÁSTICO</t>
  </si>
  <si>
    <t>Descrição: ESCOVA PARA LIMPEZA, MODELO OVAL, BASE DE MADEIRA, ESPESSURA 1,5 CM, BASE MEDINDO (13 X 7) CM, COM CERDAS EM NYLON SINTÉTICO, SEM ALÇA, SEM CABO, NA COR AMARELA, MÍNIMO DE 15 CERDAS POR TUFOS.</t>
  </si>
  <si>
    <t>Combinado Limpa Vidros 2 em 1, s/cabo 45 cm REFIL LIMPADOR VIDRO, MATERIAL BORRACHA, APLICAÇÃO RODO LIMPA-VIDRO</t>
  </si>
  <si>
    <t>Descrição: Cabo aplicação limpeza, tipo extensor, tamanho 2,80 m, material alumínio.</t>
  </si>
  <si>
    <t>Descrição: Balde plástico, capacidade 15 litros, material plástico, com alça de arame galvanizado, cor preta, com reforço no fundo e nas bordas, aplicação limpeza geral</t>
  </si>
  <si>
    <t xml:space="preserve">CUSTO ANUAL DOS UTENSÍLIOS </t>
  </si>
  <si>
    <t xml:space="preserve">CUSTO MENSAL DOS UTENSÍLIOS </t>
  </si>
  <si>
    <t>EQUIPAMENTOS</t>
  </si>
  <si>
    <t>Depreciação (em meses)</t>
  </si>
  <si>
    <t>Aspirador de pó / água</t>
  </si>
  <si>
    <t>Soprador e Aspirador de Folhas a Gasolina com Saco Coletor - soprar, aspirar e triturar, motor de 28CC ou mais - sendo Cilindrada: 28cm3 ou mais; Potência: 0,8kW ou mais; Velocidade máxima na potência encontrada: 8000rpm ou mais; capacidade do tanque de combustível de 0,5 a I litro. Kit de aspiração incluso</t>
  </si>
  <si>
    <t>Carrinho funcional de limpeza</t>
  </si>
  <si>
    <t>Carrinho de mão com caçamba formato GIRICA, fabricado em chapa de aço carbono com estrutura em aço 1020 cantoneira, peças em aço com tratamento anti-corrosão e pintadas com esmalte sintético industrial, com duas rodas, pneus e câmara, capacidade volumétrica 130 litros</t>
  </si>
  <si>
    <t>ESCADA, MATERIAL ALUMÍNIO, TIPO FIXA, QUANTIDADE DEGRAUS 8 UN, CARACTERÍSTICASADICIONAIS CALÇO DE BORRACHA</t>
  </si>
  <si>
    <t>Escada em alumínio. Descrição detalhada: escada em alumínio com 04 degraus. Dimensões aproximadas (largura x altura x profundidade): 420 x 1230 x 720 mm.</t>
  </si>
  <si>
    <t>SECADOR MÃOS, MATERIAL PLÁSTICO ABS, TENSÃO 110/220 V, POTÊNCIA 1.500 w</t>
  </si>
  <si>
    <t>Lavadora de alta pressão</t>
  </si>
  <si>
    <t xml:space="preserve">CUSTO ANUAL DOS EQUIPAMENTOS </t>
  </si>
  <si>
    <t xml:space="preserve">CUSTO MENSAL DOS EQUIPAMENTOS </t>
  </si>
  <si>
    <t>UNIFORMES</t>
  </si>
  <si>
    <t>Bota de borracha cano médio/par</t>
  </si>
  <si>
    <t>Camiseta gola redonda, manga longa, malha 100% algodão</t>
  </si>
  <si>
    <t>Camiseta gola redonda, manga curta, malha 100% algodão</t>
  </si>
  <si>
    <t>conjunto</t>
  </si>
  <si>
    <t>Capa de chuva PVC, forrada, com capuz</t>
  </si>
  <si>
    <t>Luva de borracha, para limpeza, antiderrapante, reforçada</t>
  </si>
  <si>
    <t>par</t>
  </si>
  <si>
    <t>Meias de algodão</t>
  </si>
  <si>
    <t>Descrição: ÓCULOS VISÃO TOTAL EM PLÁSTICO FLEXIVEL, COM LENTE INCOLOR COM TIRA EM ELÁSTICO REAJUSTÁVEL.</t>
  </si>
  <si>
    <t>Descrição: PROTETOR AURICULAR, TIPO CONCHA, MATERIAL silicone , 3 CALOTAs</t>
  </si>
  <si>
    <t xml:space="preserve">Sapato de segurança de couro hidrofugado com fechamento em elástico </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</si>
  <si>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</si>
  <si>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</si>
  <si>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</si>
  <si>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</si>
  <si>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</si>
  <si>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</si>
  <si>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</si>
  <si>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</si>
  <si>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</si>
  <si>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</si>
  <si>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TOTAIS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</si>
  <si>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</si>
  <si>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</si>
  <si>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</si>
  <si>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</si>
  <si>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</si>
  <si>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</si>
  <si>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</si>
  <si>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</si>
  <si>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</si>
  <si>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</si>
  <si>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</si>
  <si>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</si>
  <si>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</si>
  <si>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</si>
  <si>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</si>
  <si>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24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</si>
  <si>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</si>
  <si>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</si>
  <si>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</si>
  <si>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</si>
  <si>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</si>
  <si>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</si>
  <si>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</si>
  <si>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</si>
  <si>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</si>
  <si>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</si>
  <si>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</si>
  <si>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</si>
  <si>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</si>
  <si>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</si>
  <si>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</si>
  <si>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</si>
  <si>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</si>
  <si>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</si>
  <si>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</si>
  <si>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</si>
  <si>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</si>
  <si>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</si>
  <si>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</si>
  <si>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</si>
  <si>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Prédio Administrativo</t>
  </si>
  <si>
    <t>Salas (Professores e Administrativas)</t>
  </si>
  <si>
    <t>DIÁRIA</t>
  </si>
  <si>
    <t>3xDIA</t>
  </si>
  <si>
    <t>Circulação</t>
  </si>
  <si>
    <t>Calçadas, Passeios e Pátios</t>
  </si>
  <si>
    <t>Janelas (Externas)</t>
  </si>
  <si>
    <t>Janelas (Internas)</t>
  </si>
  <si>
    <t>SEMANAL</t>
  </si>
  <si>
    <t>4xDIA</t>
  </si>
  <si>
    <t>Prédio Pedagógico 1</t>
  </si>
  <si>
    <t>Salas de Aula</t>
  </si>
  <si>
    <t>Prédio Pedagógico 2</t>
  </si>
  <si>
    <t>Salas</t>
  </si>
  <si>
    <t>Prédio Centro de Saúde</t>
  </si>
  <si>
    <t>Consultórios</t>
  </si>
  <si>
    <t>Depósitos</t>
  </si>
  <si>
    <t>Almoxarifado Coordenação de Infraestrutura</t>
  </si>
  <si>
    <t>Vestiários</t>
  </si>
  <si>
    <t>Área Externas Centro de Saúde – Almox</t>
  </si>
  <si>
    <t>2xDIA</t>
  </si>
  <si>
    <t>2xSEMANA</t>
  </si>
  <si>
    <t xml:space="preserve">Biblioteca </t>
  </si>
  <si>
    <t>Sala do Acervo</t>
  </si>
  <si>
    <t>Salas de Estudo</t>
  </si>
  <si>
    <t>Protocolo Recepção</t>
  </si>
  <si>
    <t xml:space="preserve">PLANILHA DE CÁLCULO DA MÃO DE OBRA </t>
  </si>
  <si>
    <t>(1)                  Número de empregados necessários para a execução da tarefa</t>
  </si>
  <si>
    <t xml:space="preserve">(2)                             Exclusão dos empregados que cumprem integralmente a jornada diária  </t>
  </si>
  <si>
    <t>(3) Empregado que cumprirá jornada diária menor</t>
  </si>
  <si>
    <t>(4)                   Jornada diária em minutos do empregado que completará a execução da tarefa</t>
  </si>
  <si>
    <t>(5) Número de empregados que a contratada deverá alocar para a prestação dos serviços</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</si>
  <si>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</si>
  <si>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</si>
  <si>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</si>
  <si>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</si>
  <si>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</si>
  <si>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</si>
  <si>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</si>
  <si>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</si>
  <si>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</si>
  <si>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</si>
  <si>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</si>
  <si>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</si>
  <si>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</si>
  <si>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</si>
  <si>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</si>
  <si>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 xml:space="preserve">Produtividade (m² /             serv x mês)    de 40h semanais    (8h diárias) </t>
  </si>
  <si>
    <t>Área (m²) a ser contratada a ser limpa por dia (critério da administração)</t>
  </si>
  <si>
    <t>Piso</t>
  </si>
  <si>
    <t>TOTAL (TODAS AS ÁREAS NO MESMO PRÉDIO)</t>
  </si>
  <si>
    <t>Produtividade (m² /             serv x mês)    de 40h semanais    (8h diárias)</t>
  </si>
  <si>
    <t>ESQUADRIAS</t>
  </si>
  <si>
    <t>TOTAL (TODAS AS ÁREAS)</t>
  </si>
  <si>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</si>
  <si>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</si>
  <si>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</si>
  <si>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</si>
  <si>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</si>
  <si>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</si>
  <si>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</si>
  <si>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</si>
  <si>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</si>
  <si>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</si>
  <si>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</si>
  <si>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</si>
  <si>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</si>
  <si>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</si>
  <si>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</si>
  <si>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</si>
  <si>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</si>
  <si>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</si>
  <si>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</si>
  <si>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</si>
  <si>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</si>
  <si>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</si>
  <si>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</si>
  <si>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</si>
  <si>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</si>
  <si>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</si>
  <si>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</si>
  <si>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</si>
  <si>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</si>
  <si>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</si>
  <si>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</si>
  <si>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</si>
  <si>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</si>
  <si>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</si>
  <si>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</si>
  <si>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</si>
  <si>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</si>
  <si>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</si>
  <si>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</si>
  <si>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</si>
  <si>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</si>
  <si>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</si>
  <si>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</si>
  <si>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</si>
  <si>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</si>
  <si>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</si>
  <si>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</si>
  <si>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</si>
  <si>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</si>
  <si>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</si>
  <si>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</si>
  <si>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</si>
  <si>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</si>
  <si>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</si>
  <si>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</si>
  <si>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t>horas semanais</t>
  </si>
  <si>
    <t>Adicional de Insalubridade</t>
  </si>
  <si>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</si>
  <si>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</si>
  <si>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</si>
  <si>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</si>
  <si>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</si>
  <si>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</si>
  <si>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</si>
  <si>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t>Total do Submódulo 2.1</t>
  </si>
  <si>
    <t>Nota 3</t>
  </si>
  <si>
    <t>Nota 4</t>
  </si>
  <si>
    <t>Submódulo 2.2</t>
  </si>
  <si>
    <t>GPS, FGTS e outras Contribuições</t>
  </si>
  <si>
    <t>RAT =</t>
  </si>
  <si>
    <t xml:space="preserve"> FAP =</t>
  </si>
  <si>
    <t>E</t>
  </si>
  <si>
    <t>F</t>
  </si>
  <si>
    <t>G</t>
  </si>
  <si>
    <t>H</t>
  </si>
  <si>
    <t>Total do Submódulo 2.2</t>
  </si>
  <si>
    <t>Nota 5</t>
  </si>
  <si>
    <t>Os percentuais dos encargos previdenciários, do FGTS e demais contribuições são aqueles estabelecidos pela legislação vigente.</t>
  </si>
  <si>
    <t>Nota 6</t>
  </si>
  <si>
    <t>O SAT, a depender do grau de risco do serviço, irá variar entre 1% para risco leve, 2% para risco médio e 3% para risco grave.</t>
  </si>
  <si>
    <t xml:space="preserve">Submódulo 2.3 </t>
  </si>
  <si>
    <t>Benefícios Mensais e Diários</t>
  </si>
  <si>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</si>
  <si>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</si>
  <si>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</si>
  <si>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</si>
  <si>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</si>
  <si>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</si>
  <si>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</si>
  <si>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</si>
  <si>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t>Total do Submódulo 2.3</t>
  </si>
  <si>
    <t>Nota 7</t>
  </si>
  <si>
    <t>O valor informado deverá ser o custo real do insumo (descontado o valor eventualmente pago pelo empregado).</t>
  </si>
  <si>
    <t>Nota 8</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</si>
  <si>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</si>
  <si>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</si>
  <si>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</si>
  <si>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</si>
  <si>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</si>
  <si>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</si>
  <si>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</si>
  <si>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</si>
  <si>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</si>
  <si>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</si>
  <si>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</si>
  <si>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</si>
  <si>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t>Incidência do FGTS sobre o Aviso Prévio Indenizado</t>
  </si>
  <si>
    <t xml:space="preserve">Incidência do Submódulo 2.2 sobre o Aviso Prévio Trabalhado         </t>
  </si>
  <si>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</si>
  <si>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</si>
  <si>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</si>
  <si>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</si>
  <si>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</si>
  <si>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</si>
  <si>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</si>
  <si>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</si>
  <si>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</si>
  <si>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</si>
  <si>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</si>
  <si>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</si>
  <si>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</si>
  <si>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</si>
  <si>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</si>
  <si>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</si>
  <si>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</si>
  <si>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</si>
  <si>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</si>
  <si>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9</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</si>
  <si>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</si>
  <si>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</si>
  <si>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</si>
  <si>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</si>
  <si>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</si>
  <si>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t>0.00</t>
  </si>
  <si>
    <t>INSUMOS DVERSOS - TOTAL DO MÓDULO 5</t>
  </si>
  <si>
    <t>Nota 10</t>
  </si>
  <si>
    <t>Valores mensais por empregado</t>
  </si>
  <si>
    <t>MODULO 6 - CUSTOS INDIRETOS, LUCRO E TRIBUTOS</t>
  </si>
  <si>
    <t xml:space="preserve">Custos Indiretos, Lucro e Tributos </t>
  </si>
  <si>
    <t>Custos Indiretos</t>
  </si>
  <si>
    <t>Tributos</t>
  </si>
  <si>
    <t>C.1</t>
  </si>
  <si>
    <t>Tributos Federais</t>
  </si>
  <si>
    <t>C.2</t>
  </si>
  <si>
    <t>Tributos Estaduais (especificar)</t>
  </si>
  <si>
    <t>--------------</t>
  </si>
  <si>
    <t>C.3</t>
  </si>
  <si>
    <t>Tributos Municipais</t>
  </si>
  <si>
    <t>ISS</t>
  </si>
  <si>
    <t>CUSTOS INDIRETOS, LUCRO E TRIBUTOS - TOTAL DO MÓDULO 6</t>
  </si>
  <si>
    <t>Nota 11</t>
  </si>
  <si>
    <t>Custos Indiretos, Lucro e Tributos por empregado</t>
  </si>
  <si>
    <t>Cálculo do Tributo:</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</si>
  <si>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</si>
  <si>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</si>
  <si>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</si>
  <si>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</si>
  <si>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</si>
  <si>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</si>
  <si>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</si>
  <si>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</si>
  <si>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</si>
  <si>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</si>
  <si>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t>(1) 
PRODUTIVIDADE
(1/M²)</t>
  </si>
  <si>
    <t>(2)
PREÇO HOMEM-MÊS                   (R$)</t>
  </si>
  <si>
    <t>(1 X 2)
SUBTOTAL
(R$/M²)</t>
  </si>
  <si>
    <t xml:space="preserve">ENC. / Pisos acarpetados </t>
  </si>
  <si>
    <t>TOTAL</t>
  </si>
  <si>
    <t xml:space="preserve">SERV. / Pisos frios </t>
  </si>
  <si>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</si>
  <si>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</si>
  <si>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</si>
  <si>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</si>
  <si>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</si>
  <si>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</si>
  <si>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 xml:space="preserve">TOTAL  </t>
  </si>
  <si>
    <t>ENC. / Paredes</t>
  </si>
  <si>
    <t>SERV. / Paredes</t>
  </si>
  <si>
    <t>ENC. / Teto</t>
  </si>
  <si>
    <t>SERV. / Teto</t>
  </si>
  <si>
    <t xml:space="preserve">TOTAL   </t>
  </si>
  <si>
    <t>(1)
PRODUTIVIDADE
(1/M²)</t>
  </si>
  <si>
    <t>(2)
PREÇO HOMEM-MÊS
(R$)</t>
  </si>
  <si>
    <t>30</t>
  </si>
  <si>
    <t xml:space="preserve">SERV. / Pisos pavimentados adjacentes/contíguos às edificações          </t>
  </si>
  <si>
    <t>ENC. / Passarelas externas (Paredes)</t>
  </si>
  <si>
    <t>SERV. / Passarelas externas (Paredes)</t>
  </si>
  <si>
    <t>ENC. / Passarelas externas (Teto)</t>
  </si>
  <si>
    <t>SERV. / Passarelas externas (Teto)</t>
  </si>
  <si>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</si>
  <si>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</si>
  <si>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</si>
  <si>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</si>
  <si>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</si>
  <si>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</si>
  <si>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</si>
  <si>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</si>
  <si>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</si>
  <si>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</si>
  <si>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</si>
  <si>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(2)
PREÇO HOMEM-MÊS            (R$)</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</si>
  <si>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</si>
  <si>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</si>
  <si>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</si>
  <si>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</si>
  <si>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</si>
  <si>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</si>
  <si>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</si>
  <si>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</si>
  <si>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</si>
  <si>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</si>
  <si>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</si>
  <si>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</si>
  <si>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</si>
  <si>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</si>
  <si>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</si>
  <si>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</si>
  <si>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Valor global da proposta (valor mensal do serviço x nº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</si>
  <si>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</si>
  <si>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</si>
  <si>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</si>
  <si>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</si>
  <si>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</si>
  <si>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</si>
  <si>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</si>
  <si>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</si>
  <si>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</si>
  <si>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</si>
  <si>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</si>
  <si>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</si>
  <si>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Encargos Previdenciários (GPS), Fundo de Garantia por Tempo de Serviço (FGTS) e outras Contribuições                                                 BASE DE CÁLCULO = MÓDULO 1 (Total da Remuneração) + SUBMÓDULO 201</t>
  </si>
  <si>
    <t>Módulo 1         Remuneração</t>
  </si>
  <si>
    <t>Módulo 2                                  Sem VA e VT</t>
  </si>
  <si>
    <t xml:space="preserve">Total </t>
  </si>
  <si>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</si>
  <si>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</si>
  <si>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</si>
  <si>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</si>
  <si>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</si>
  <si>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</si>
  <si>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</si>
  <si>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</si>
  <si>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</si>
  <si>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</si>
  <si>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</si>
  <si>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</si>
  <si>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</si>
  <si>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</si>
  <si>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</si>
  <si>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</si>
  <si>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</si>
  <si>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</si>
  <si>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</si>
  <si>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</si>
  <si>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</si>
  <si>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</si>
  <si>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</si>
  <si>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Encargos Previdenciários (GPS), Fundo de Garantia por Tempo de Serviço (FGTS) e outras Contribuições                                                   BASE DE CÁLCULO = MÓDULO 1 (Total da Remuneração) + SUBMÓDULO 201</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</si>
  <si>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</si>
  <si>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</si>
  <si>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</si>
  <si>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</si>
  <si>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</si>
  <si>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</si>
  <si>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</si>
  <si>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</si>
  <si>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</si>
  <si>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</si>
  <si>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</si>
  <si>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</si>
  <si>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</si>
  <si>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</si>
  <si>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</si>
  <si>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</si>
  <si>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</si>
  <si>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</si>
  <si>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</si>
  <si>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</si>
  <si>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</si>
  <si>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</si>
  <si>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</si>
  <si>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</si>
  <si>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</si>
  <si>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</si>
  <si>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</si>
  <si>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</si>
  <si>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</si>
  <si>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t>TOTAL DAS ESQUADRIAS E FACHADA ENVIDRAÇADA</t>
  </si>
  <si>
    <t>MATERIAIS, MÁQUINAS E EQUIPAMENTOS ALOCADOS NA EXECUÇÃO CONTRATUAL Já previstos na aba de planilha aba geral. Esta planilha prevê apenas uniformes, conforme descrição prevista no ANEXO.</t>
  </si>
  <si>
    <t>SERVIÇO DE LIMPEZA (ENCARREGADO)</t>
  </si>
  <si>
    <t xml:space="preserve">Prestação de serviços de encarregado da limpeza geral para o IFFAR  </t>
  </si>
  <si>
    <t>conforme área determinada total convertida</t>
  </si>
  <si>
    <t>Posto de Trabalho de Encarregado</t>
  </si>
  <si>
    <t>Posto</t>
  </si>
  <si>
    <t>Encargos Previdenciários (GPS), Fundo de Garantia por Tempo de Serviço (FGTS) e outras Contribuições                                                    BASE DE CÁLCULO = MÓDULO 1 (Total da Remuneração) + SUBMÓDULO 201</t>
  </si>
  <si>
    <t>Módulo 2                                Sem VA e VT</t>
  </si>
  <si>
    <t>Encarregado</t>
  </si>
  <si>
    <t>RESUMO DA PROPOSTA</t>
  </si>
  <si>
    <t>TIPO DE SERVIÇO</t>
  </si>
  <si>
    <t>QUANTIDADE DE MÃO DE OBRA A SER ALOCADA</t>
  </si>
  <si>
    <t>VALOR TOTAL POR MÊS EM R$</t>
  </si>
  <si>
    <t>VALOR TOTAL A CONTRATAR</t>
  </si>
  <si>
    <t>TOTALIZADOR</t>
  </si>
  <si>
    <t xml:space="preserve">Postos de trabalho, sendo um deles posto de encarregado. </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</si>
  <si>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</si>
  <si>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</si>
  <si>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</si>
  <si>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</si>
  <si>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</si>
  <si>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</si>
  <si>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</si>
  <si>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</si>
  <si>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</si>
  <si>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</si>
  <si>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</si>
  <si>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</si>
  <si>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</si>
  <si>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</si>
  <si>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SEMESTRAL</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</si>
  <si>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</si>
  <si>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Álcool etílico, teor alcoólico: 70% v,v, composição básica: com emoliente, forma farmacêutica: gel, galão 5 litros.</t>
  </si>
  <si>
    <t>Gl</t>
  </si>
  <si>
    <t>Álcool etílico, aspecto físico líquido límpido, incolor, volátil, teor alcoólico de 70¨gl, fórmula química C2H5OH, peso molecular 46,07, CAS 64-17-5. Prazo de validade mínimo de 12 meses a contar da data da entrega.</t>
  </si>
  <si>
    <t>frasco 1 l</t>
  </si>
  <si>
    <t>CALÇA 100% ALGODÃO, CONFORME A ESTAÇÃO DO ANO</t>
  </si>
  <si>
    <t>Jaqueta confeccionada em tecido 100% poliamida com resina, forrada com manta térmica e acolchoada. Possui bolsos embutidos nas laterais, capuz conjugado, fechamento frontal até o pescoço através de velcro alinhado por botão guia e barra lisa. É ideal para baixas temperaturas até -35°C.</t>
  </si>
  <si>
    <t xml:space="preserve">MOLETOM, Dop Work pesado 100% Algodão, </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</si>
  <si>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</si>
  <si>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CUSTO ANUAL DOS SANEANTES DOMISSANITÁRIOS</t>
  </si>
  <si>
    <t xml:space="preserve">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t>
  </si>
  <si>
    <t>Salas Administrativas</t>
  </si>
  <si>
    <t>6xDIA</t>
  </si>
  <si>
    <t>Como a Planilha de Custos é calculada mensalmente, provisiona-se 1/12 (um doze avos) dos valores referentes à gratificação natalina e adicional de férias.</t>
  </si>
  <si>
    <t>g) Áreas internas - Paredes</t>
  </si>
  <si>
    <t>h) Áreas internas - Teto</t>
  </si>
  <si>
    <t>Banheiros (piso)</t>
  </si>
  <si>
    <t>Quantidade de mão de obra alocada na prestação dos serviços (Limpeza Geral, Limpeza de Banheiros, Limpeza de Esquadrias)</t>
  </si>
  <si>
    <t>Postos de trabalho responsáveis pela execução dos serviços de limpeza.</t>
  </si>
  <si>
    <t xml:space="preserve">VALOR TOTAL DO SERVIÇO PARA </t>
  </si>
  <si>
    <t>MESES</t>
  </si>
  <si>
    <t>LUCRO REAL = 1     LUCRO PRESUMIDO = 2   SIMPLES-Anexo III = 3     SIMPLES-Anexo IV = 4     LR NÃO CUMULATIVO = 5</t>
  </si>
  <si>
    <t>Regime de Tributação: (1) Real (2) Presumido (3 e 4) Simples Nacional (5) Real-PIS/COFINS Não Cumulativo</t>
  </si>
  <si>
    <t>23243.000810-2021-41</t>
  </si>
  <si>
    <t>33 / 2021</t>
  </si>
  <si>
    <t>09h (Horário de Brasília)</t>
  </si>
  <si>
    <t>IN/MPDG Nº 05/2017 - Anexo VII-D</t>
  </si>
  <si>
    <r>
      <t xml:space="preserve">Salário-Base </t>
    </r>
    <r>
      <rPr>
        <sz val="11"/>
        <color rgb="FF000000"/>
        <rFont val="Arial"/>
        <family val="2"/>
        <charset val="1"/>
      </rPr>
      <t>- Jornada de Trabalho de</t>
    </r>
  </si>
  <si>
    <r>
      <t>Outros</t>
    </r>
    <r>
      <rPr>
        <sz val="11"/>
        <color rgb="FF000000"/>
        <rFont val="Arial"/>
        <family val="2"/>
        <charset val="1"/>
      </rPr>
      <t xml:space="preserve"> (especificar)                  </t>
    </r>
    <r>
      <rPr>
        <b/>
        <sz val="11"/>
        <color rgb="FF000000"/>
        <rFont val="Arial"/>
        <family val="2"/>
        <charset val="1"/>
      </rPr>
      <t xml:space="preserve">                        </t>
    </r>
  </si>
  <si>
    <r>
      <t>13º (Décimo Terceiro) Salário</t>
    </r>
    <r>
      <rPr>
        <sz val="11"/>
        <color rgb="FF000000"/>
        <rFont val="Arial"/>
        <family val="2"/>
        <charset val="1"/>
      </rPr>
      <t xml:space="preserve"> - Rem/12     </t>
    </r>
  </si>
  <si>
    <r>
      <t xml:space="preserve">Transporte - </t>
    </r>
    <r>
      <rPr>
        <sz val="11"/>
        <color rgb="FF000000"/>
        <rFont val="Arial"/>
        <family val="2"/>
        <charset val="1"/>
      </rPr>
      <t>[(2xVTx24) – (6%xSB)]</t>
    </r>
  </si>
  <si>
    <r>
      <t>Auxílio-Alimentação</t>
    </r>
    <r>
      <rPr>
        <sz val="11"/>
        <color rgb="FF000000"/>
        <rFont val="Arial"/>
        <family val="2"/>
        <charset val="1"/>
      </rPr>
      <t xml:space="preserve"> - [(24xVA)x(1-0,19)]</t>
    </r>
  </si>
  <si>
    <r>
      <t xml:space="preserve">Outros </t>
    </r>
    <r>
      <rPr>
        <sz val="11"/>
        <color rgb="FF000000"/>
        <rFont val="Arial"/>
        <family val="2"/>
        <charset val="1"/>
      </rPr>
      <t xml:space="preserve">(especificar)            </t>
    </r>
    <r>
      <rPr>
        <b/>
        <sz val="11"/>
        <color rgb="FF000000"/>
        <rFont val="Arial"/>
        <family val="2"/>
        <charset val="1"/>
      </rPr>
      <t xml:space="preserve">                                </t>
    </r>
  </si>
  <si>
    <r>
      <t>Aviso Prévio Indenizado</t>
    </r>
    <r>
      <rPr>
        <sz val="11"/>
        <color rgb="FF000000"/>
        <rFont val="Arial"/>
        <family val="2"/>
        <charset val="1"/>
      </rPr>
      <t xml:space="preserve"> -  [Rem/12 + 13º/12 + Férias/12 + (1/3 x Férias)/12] x (30/30=1) x 5% de rotatividade anual </t>
    </r>
  </si>
  <si>
    <r>
      <t xml:space="preserve">Multa do FGTS sobre o Aviso Prévio Indenizado </t>
    </r>
    <r>
      <rPr>
        <sz val="11"/>
        <color rgb="FF000000"/>
        <rFont val="Arial"/>
        <family val="2"/>
        <charset val="1"/>
      </rPr>
      <t>- [40% x 8% x (Rem + 13º + Férias + 1/3xFérias)] x 5% de rotatividade</t>
    </r>
  </si>
  <si>
    <r>
      <t xml:space="preserve">Aviso Prévio Trabalhado </t>
    </r>
    <r>
      <rPr>
        <sz val="11"/>
        <color rgb="FF000000"/>
        <rFont val="Arial"/>
        <family val="2"/>
        <charset val="1"/>
      </rPr>
      <t>- [(Rem/30)x7]/12x100% dos empregados ao final do contrato</t>
    </r>
  </si>
  <si>
    <r>
      <t xml:space="preserve">Multa do FGTS sobre o Aviso Prévio Trabalhado </t>
    </r>
    <r>
      <rPr>
        <sz val="11"/>
        <color rgb="FF000000"/>
        <rFont val="Arial"/>
        <family val="2"/>
        <charset val="1"/>
      </rPr>
      <t>- [40% x 8% x (Rem + 13º + Férias + 1/3xFérias)]x100% dos empregados</t>
    </r>
  </si>
  <si>
    <r>
      <t>Substituto na cobertura de Ausências Legais -</t>
    </r>
    <r>
      <rPr>
        <sz val="11"/>
        <color rgb="FF000000"/>
        <rFont val="Arial"/>
        <family val="2"/>
        <charset val="1"/>
      </rPr>
      <t xml:space="preserve"> [(BCCPA/30)x1dia]/12</t>
    </r>
  </si>
  <si>
    <r>
      <t>Substituto na cobertura de Licença-Paternidade -</t>
    </r>
    <r>
      <rPr>
        <sz val="11"/>
        <color rgb="FF000000"/>
        <rFont val="Arial"/>
        <family val="2"/>
        <charset val="1"/>
      </rPr>
      <t xml:space="preserve"> {[(BCCPA/30)x5dias]/12}x1,5%</t>
    </r>
  </si>
  <si>
    <r>
      <t>Substituto na cobertura de Ausência por Acidente de Trabalho -</t>
    </r>
    <r>
      <rPr>
        <sz val="11"/>
        <color rgb="FF000000"/>
        <rFont val="Arial"/>
        <family val="2"/>
        <charset val="1"/>
      </rPr>
      <t xml:space="preserve"> {[(BCCPA/30)x15dias]/12}x0,78%</t>
    </r>
  </si>
  <si>
    <r>
      <t>Substituto na cobertura de Afastamento Maternidade -</t>
    </r>
    <r>
      <rPr>
        <sz val="11"/>
        <color rgb="FF000000"/>
        <rFont val="Arial"/>
        <family val="2"/>
        <charset val="1"/>
      </rPr>
      <t xml:space="preserve"> {[(Mód.1+Mód.1/3)/12+(sub.2.2+sub.2.3-VA-VT+Mód.3)]x(4/12)}x2%</t>
    </r>
  </si>
  <si>
    <r>
      <t xml:space="preserve">Substituto na cobertura de Ausência por Doença - </t>
    </r>
    <r>
      <rPr>
        <sz val="11"/>
        <color rgb="FF000000"/>
        <rFont val="Arial"/>
        <family val="2"/>
        <charset val="1"/>
      </rPr>
      <t>[(BCCPA)/30)x5dias]/12</t>
    </r>
  </si>
  <si>
    <r>
      <t xml:space="preserve">BASE DE CÁLCULO DOS CUSTOS INDIRETOS </t>
    </r>
    <r>
      <rPr>
        <sz val="11"/>
        <color rgb="FF000000"/>
        <rFont val="Arial"/>
        <family val="2"/>
        <charset val="1"/>
      </rPr>
      <t xml:space="preserve"> = 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t>
    </r>
  </si>
  <si>
    <r>
      <t xml:space="preserve">BASE DE CÁLCULO DO LUCRO =  </t>
    </r>
    <r>
      <rPr>
        <sz val="11"/>
        <color rgb="FF000000"/>
        <rFont val="Arial"/>
        <family val="2"/>
        <charset val="1"/>
      </rPr>
      <t>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 + Custos Indiretos</t>
    </r>
  </si>
  <si>
    <r>
      <t xml:space="preserve">BASE DE CÁLCULO DOS TRIBUTOS = </t>
    </r>
    <r>
      <rPr>
        <sz val="11"/>
        <color rgb="FF000000"/>
        <rFont val="Arial"/>
        <family val="2"/>
        <charset val="1"/>
      </rPr>
      <t>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 + Custos Indiretos + Lucro</t>
    </r>
  </si>
  <si>
    <r>
      <t xml:space="preserve">PREÇO MENSAL UNITÁRIO POR M² </t>
    </r>
    <r>
      <rPr>
        <sz val="11"/>
        <color rgb="FF000000"/>
        <rFont val="Arial"/>
        <family val="2"/>
        <charset val="1"/>
      </rPr>
      <t>(metro quadrado)</t>
    </r>
  </si>
  <si>
    <r>
      <t xml:space="preserve">TOTAL DAS OUTRAS ÁREAS </t>
    </r>
    <r>
      <rPr>
        <sz val="11"/>
        <color rgb="FF000000"/>
        <rFont val="Arial"/>
        <family val="2"/>
        <charset val="1"/>
      </rPr>
      <t>(ESPECIFICAR)</t>
    </r>
  </si>
  <si>
    <r>
      <t>Outros</t>
    </r>
    <r>
      <rPr>
        <sz val="11"/>
        <color rgb="FF000000"/>
        <rFont val="Arial"/>
        <family val="2"/>
        <charset val="1"/>
      </rPr>
      <t xml:space="preserve"> (especificar) </t>
    </r>
  </si>
  <si>
    <r>
      <t xml:space="preserve">BANHEIROS - </t>
    </r>
    <r>
      <rPr>
        <sz val="11"/>
        <color rgb="FF000000"/>
        <rFont val="Arial"/>
        <family val="2"/>
        <charset val="1"/>
      </rPr>
      <t>Conforme Produtividade de referência prevista no item 3.1 do Anexo VI-B da IN MPOG nº 05/2017 atualizada.</t>
    </r>
  </si>
  <si>
    <r>
      <t>b) Outras áreas</t>
    </r>
    <r>
      <rPr>
        <sz val="11"/>
        <color rgb="FF000000"/>
        <rFont val="Arial"/>
        <family val="2"/>
        <charset val="1"/>
      </rPr>
      <t xml:space="preserve"> (especificar)</t>
    </r>
  </si>
  <si>
    <r>
      <t>SERV. / Pisos acarpetados</t>
    </r>
    <r>
      <rPr>
        <sz val="11"/>
        <color rgb="FFFF0000"/>
        <rFont val="Arial"/>
        <family val="2"/>
        <charset val="1"/>
      </rPr>
      <t xml:space="preserve"> </t>
    </r>
  </si>
  <si>
    <r>
      <t xml:space="preserve">ENC. / Pisos frios </t>
    </r>
    <r>
      <rPr>
        <sz val="11"/>
        <color rgb="FFFF3333"/>
        <rFont val="Arial"/>
        <family val="2"/>
        <charset val="1"/>
      </rPr>
      <t xml:space="preserve"> </t>
    </r>
  </si>
  <si>
    <r>
      <t>ENC. / Laboratórios</t>
    </r>
    <r>
      <rPr>
        <sz val="11"/>
        <color rgb="FFFF0000"/>
        <rFont val="Arial"/>
        <family val="2"/>
        <charset val="1"/>
      </rPr>
      <t xml:space="preserve"> </t>
    </r>
  </si>
  <si>
    <r>
      <t>SERV. / Laboratórios</t>
    </r>
    <r>
      <rPr>
        <sz val="11"/>
        <color rgb="FFFF0000"/>
        <rFont val="Arial"/>
        <family val="2"/>
        <charset val="1"/>
      </rPr>
      <t xml:space="preserve"> </t>
    </r>
  </si>
  <si>
    <r>
      <t xml:space="preserve">ÁREA EXTERNA - </t>
    </r>
    <r>
      <rPr>
        <sz val="11"/>
        <color rgb="FF000000"/>
        <rFont val="Arial"/>
        <family val="2"/>
        <charset val="1"/>
      </rPr>
      <t>Conforme Produtividade de referência prevista no item 3.2 do Anexo VI-B da IN MPOG nº 05/2017 atualizada.</t>
    </r>
  </si>
  <si>
    <r>
      <t xml:space="preserve">ENC. / Pisos pavimentados adjacentes/contíguos às edificações          </t>
    </r>
    <r>
      <rPr>
        <sz val="11"/>
        <color rgb="FFFF0000"/>
        <rFont val="Arial"/>
        <family val="2"/>
        <charset val="1"/>
      </rPr>
      <t xml:space="preserve"> </t>
    </r>
  </si>
  <si>
    <r>
      <t>ENC. / Varrição de passeios e arruamentos</t>
    </r>
    <r>
      <rPr>
        <sz val="11"/>
        <color rgb="FFFF0000"/>
        <rFont val="Arial"/>
        <family val="2"/>
        <charset val="1"/>
      </rPr>
      <t xml:space="preserve">  </t>
    </r>
  </si>
  <si>
    <r>
      <t xml:space="preserve">Face externa </t>
    </r>
    <r>
      <rPr>
        <b/>
        <sz val="11"/>
        <color rgb="FF000000"/>
        <rFont val="Arial"/>
        <family val="2"/>
        <charset val="1"/>
      </rPr>
      <t>com</t>
    </r>
    <r>
      <rPr>
        <sz val="11"/>
        <color rgb="FF000000"/>
        <rFont val="Arial"/>
        <family val="2"/>
        <charset val="1"/>
      </rPr>
      <t xml:space="preserve"> exposição a situação de risco</t>
    </r>
  </si>
  <si>
    <r>
      <t xml:space="preserve">Face externa </t>
    </r>
    <r>
      <rPr>
        <b/>
        <sz val="11"/>
        <color rgb="FF000000"/>
        <rFont val="Arial"/>
        <family val="2"/>
        <charset val="1"/>
      </rPr>
      <t xml:space="preserve">sem </t>
    </r>
    <r>
      <rPr>
        <sz val="11"/>
        <color rgb="FF000000"/>
        <rFont val="Arial"/>
        <family val="2"/>
        <charset val="1"/>
      </rPr>
      <t>exposição a situação de risco</t>
    </r>
  </si>
  <si>
    <r>
      <t xml:space="preserve">3) A produtividade da </t>
    </r>
    <r>
      <rPr>
        <b/>
        <sz val="11"/>
        <color rgb="FF000000"/>
        <rFont val="Arial"/>
        <family val="2"/>
        <charset val="1"/>
      </rPr>
      <t>esquadria externa</t>
    </r>
    <r>
      <rPr>
        <sz val="11"/>
        <color rgb="FF000000"/>
        <rFont val="Arial"/>
        <family val="2"/>
        <charset val="1"/>
      </rPr>
      <t xml:space="preserve"> deve ser calculada considerando a metodologia de trabalho que, no Anexo VII-D da IN 5/17 que prevê incidência </t>
    </r>
    <r>
      <rPr>
        <b/>
        <sz val="11"/>
        <color rgb="FF000000"/>
        <rFont val="Arial"/>
        <family val="2"/>
        <charset val="1"/>
      </rPr>
      <t>quinzenal</t>
    </r>
    <r>
      <rPr>
        <sz val="11"/>
        <color rgb="FF000000"/>
        <rFont val="Arial"/>
        <family val="2"/>
        <charset val="1"/>
      </rPr>
      <t xml:space="preserve"> para a limpeza desse tipo de área. </t>
    </r>
  </si>
  <si>
    <r>
      <t xml:space="preserve">4) A produtividade da </t>
    </r>
    <r>
      <rPr>
        <b/>
        <sz val="11"/>
        <color rgb="FF000000"/>
        <rFont val="Arial"/>
        <family val="2"/>
        <charset val="1"/>
      </rPr>
      <t>fachada envidraçada</t>
    </r>
    <r>
      <rPr>
        <sz val="11"/>
        <color rgb="FF000000"/>
        <rFont val="Arial"/>
        <family val="2"/>
        <charset val="1"/>
      </rPr>
      <t xml:space="preserve"> deve ser calculada considerando a metodologia de trabalho que, no Anexo VII-D da IN 5/17 que prevê incidência </t>
    </r>
    <r>
      <rPr>
        <b/>
        <sz val="11"/>
        <color rgb="FF000000"/>
        <rFont val="Arial"/>
        <family val="2"/>
        <charset val="1"/>
      </rPr>
      <t>semestral</t>
    </r>
    <r>
      <rPr>
        <sz val="11"/>
        <color rgb="FF000000"/>
        <rFont val="Arial"/>
        <family val="2"/>
        <charset val="1"/>
      </rPr>
      <t xml:space="preserve"> para a limpeza desse tipo de área. </t>
    </r>
  </si>
  <si>
    <r>
      <t>Área (m²) a ser contratada a ser limpa por dia (critério da administração -</t>
    </r>
    <r>
      <rPr>
        <b/>
        <sz val="11"/>
        <color rgb="FF333399"/>
        <rFont val="Arial"/>
        <family val="2"/>
        <charset val="1"/>
      </rPr>
      <t xml:space="preserve"> informação extraída da aba Área)</t>
    </r>
  </si>
  <si>
    <r>
      <t xml:space="preserve">INFORMAÇÕES LUCRO REAL - PIS COFINS NÃO CUMULATIVO - </t>
    </r>
    <r>
      <rPr>
        <b/>
        <sz val="11"/>
        <color rgb="FFFF0000"/>
        <rFont val="Arial"/>
        <family val="2"/>
        <charset val="1"/>
      </rPr>
      <t>LEI 10637 DE 30/12/2002 E LEI 10833 DE 29/12/2003</t>
    </r>
  </si>
  <si>
    <r>
      <t xml:space="preserve">produtividade (m² / serv x mês) de 40h semanais (8h diárias) </t>
    </r>
    <r>
      <rPr>
        <b/>
        <sz val="11"/>
        <color rgb="FFFF0000"/>
        <rFont val="Arial"/>
        <family val="2"/>
        <charset val="1"/>
      </rPr>
      <t>PREENCHER</t>
    </r>
  </si>
  <si>
    <r>
      <rPr>
        <b/>
        <u/>
        <sz val="10"/>
        <color rgb="FF000000"/>
        <rFont val="Calibri"/>
        <family val="2"/>
      </rPr>
      <t xml:space="preserve">  Base de Cálculo para os Tributos  
</t>
    </r>
    <r>
      <rPr>
        <b/>
        <sz val="10"/>
        <color rgb="FF000000"/>
        <rFont val="Calibri"/>
        <family val="2"/>
      </rPr>
      <t>1- (Total de Tributos em % dividido por 100)</t>
    </r>
  </si>
  <si>
    <t>x Alíquota do Tributo</t>
  </si>
  <si>
    <t>QUADRO RESUMO DO CUSTO POR EMPREGADO</t>
  </si>
  <si>
    <t>MÃO DE OBRA
ENCARREGADO / SERVENTE</t>
  </si>
  <si>
    <t>MÃO DE OBRA   ENCARREGADO / SERVENTE</t>
  </si>
  <si>
    <t>MÃO DE OBRA
       ENCARREGADO / SERVENTE</t>
  </si>
  <si>
    <t>BCCPA - Base de cálculo para o Custo de Reposição do Profissional Ausente (substituto): Módulo 1 (Total da Remuneração) + Módulo 2 + Módulo 3</t>
  </si>
  <si>
    <r>
      <t xml:space="preserve">ÁREA INTERNA - </t>
    </r>
    <r>
      <rPr>
        <sz val="11"/>
        <color rgb="FF000000"/>
        <rFont val="Arial"/>
        <family val="2"/>
        <charset val="1"/>
      </rPr>
      <t>Conforme Produtividade de referência prevista no item 3.1 do Anexo VI-B da IN MPDG nº 05/2017 atualizada.</t>
    </r>
  </si>
  <si>
    <t xml:space="preserve">Produtividade (m² / serv x mês) de 44h semanais (8h diárias) </t>
  </si>
  <si>
    <t>xxxx xxxx xxxx</t>
  </si>
  <si>
    <t>zz.zzz.zzz/zzzz-zz</t>
  </si>
  <si>
    <t>Nome Completo</t>
  </si>
  <si>
    <t>yyy.yyy.yyy-yy</t>
  </si>
  <si>
    <t>tttt tttt tttt</t>
  </si>
  <si>
    <t xml:space="preserve"> As Produtividades acima são as máximas divulgadas no caderno de encargos do MPDG. Caso o licitante apresente produtividade superior, deverá comprovar, de forma inequívoca e documental, a sua produtividade e a sua capacidade de execução do serviço.</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</si>
  <si>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</si>
  <si>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</si>
  <si>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2.1</t>
  </si>
  <si>
    <t>CCT Sindasseio 2022/2022 - Registro MTE: RS005021/2022</t>
  </si>
  <si>
    <t>Cláusula Décima Sétima da CCT 2022/2022</t>
  </si>
  <si>
    <t>Cláusula Décima Oitava da CCT 2022/2022</t>
  </si>
  <si>
    <t>Cláusula Vigésima Nona da CCT 2022/2022</t>
  </si>
  <si>
    <t>Cláusula Quarta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</si>
</sst>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1" formatCode="_-* #,##0_-;\-* #,##0_-;_-* &quot;-&quot;_-;_-@_-"/>
    <numFmt numFmtId="164" formatCode="d/m/yyyy"/>
    <numFmt numFmtId="165" formatCode="_([$R$ -416]* #,##0.00_);_([$R$ -416]* \(#,##0.00\);_([$R$ -416]* \-??_);_(@_)"/>
    <numFmt numFmtId="166" formatCode="0.0000"/>
    <numFmt numFmtId="167" formatCode="&quot;R$ &quot;#,##0.00"/>
    <numFmt numFmtId="168" formatCode="_(* #,##0.00_);_(* \(#,##0.00\);_(* \-??_);_(@_)"/>
    <numFmt numFmtId="169" formatCode="0.0"/>
    <numFmt numFmtId="170" formatCode="_-* #,##0.00_-;\-* #,##0.00_-;_-* \-??_-;_-@"/>
    <numFmt numFmtId="171" formatCode="0.00000000"/>
    <numFmt numFmtId="172" formatCode="0.000000000"/>
    <numFmt numFmtId="173" formatCode="d/m/yyyy\ hh:mm"/>
    <numFmt numFmtId="174" formatCode="[$R$ -416]#,##0.00"/>
    <numFmt numFmtId="175" formatCode="#,##0.00_);\(#,##0.00\)"/>
    <numFmt numFmtId="176" formatCode="#,##0.0000000"/>
    <numFmt numFmtId="177" formatCode="#,##0.00;[Red]#,##0.00"/>
    <numFmt numFmtId="178" formatCode="#,##0_);[Red]\(#,##0\)"/>
    <numFmt numFmtId="179" formatCode="#,##0.000000"/>
    <numFmt numFmtId="180" formatCode="_-* #,##0.00_-;\-* #,##0.00_-;_-* &quot;-&quot;_-;_-@_-"/>
    <numFmt numFmtId="181" formatCode="_-&quot;R$ &quot;* #,##0.00_-;&quot;-R$ &quot;* #,##0.00_-;_-&quot;R$ &quot;* \-??_-;_-@_-"/>
  </numFmts>
  <fonts count="29" x14ac:knownFonts="1">
    <font>
      <sz val="10"/>
      <color rgb="FF000000"/>
      <name val="Arial"/>
      <charset val="1"/>
    </font>
    <font>
      <b/>
      <sz val="11"/>
      <color rgb="FFFF0000"/>
      <name val="Arial"/>
      <family val="2"/>
      <charset val="1"/>
    </font>
    <font>
      <b/>
      <sz val="11"/>
      <color rgb="FF000000"/>
      <name val="Arial"/>
      <family val="2"/>
      <charset val="1"/>
    </font>
    <font>
      <sz val="11"/>
      <color rgb="FF000000"/>
      <name val="Arial"/>
      <family val="2"/>
      <charset val="1"/>
    </font>
    <font>
      <sz val="10"/>
      <color rgb="FF000000"/>
      <name val="Arial"/>
      <family val="2"/>
    </font>
    <font>
      <b/>
      <sz val="10"/>
      <color rgb="FF000000"/>
      <name val="Arial"/>
      <family val="2"/>
    </font>
    <font>
      <b/>
      <sz val="11"/>
      <color rgb="FFFF0000"/>
      <name val="Arial"/>
      <family val="2"/>
    </font>
    <font>
      <sz val="10"/>
      <color rgb="FF000000"/>
      <name val="Arial"/>
      <family val="2"/>
    </font>
    <font>
      <b/>
      <sz val="11"/>
      <color rgb="FF000000"/>
      <name val="Arial"/>
      <family val="2"/>
    </font>
    <font>
      <sz val="11"/>
      <color rgb="FF000000"/>
      <name val="Arial"/>
      <family val="2"/>
    </font>
    <font>
      <b/>
      <sz val="11"/>
      <color rgb="FF4F6228"/>
      <name val="Arial"/>
      <family val="2"/>
    </font>
    <font>
      <b/>
      <sz val="11"/>
      <color theme="9" tint="-0.499984740745262"/>
      <name val="Arial"/>
      <family val="2"/>
    </font>
    <font>
      <b/>
      <sz val="11"/>
      <color rgb="FF38761D"/>
      <name val="Arial"/>
      <family val="2"/>
      <charset val="1"/>
    </font>
    <font>
      <sz val="11"/>
      <color rgb="FFFF0000"/>
      <name val="Arial"/>
      <family val="2"/>
      <charset val="1"/>
    </font>
    <font>
      <i/>
      <sz val="11"/>
      <color rgb="FF000000"/>
      <name val="Arial"/>
      <family val="2"/>
      <charset val="1"/>
    </font>
    <font>
      <sz val="11"/>
      <color rgb="FFFF3333"/>
      <name val="Arial"/>
      <family val="2"/>
      <charset val="1"/>
    </font>
    <font>
      <b/>
      <sz val="11"/>
      <name val="Arial"/>
      <family val="2"/>
      <charset val="1"/>
    </font>
    <font>
      <b/>
      <sz val="11"/>
      <color rgb="FF0000FF"/>
      <name val="Arial"/>
      <family val="2"/>
      <charset val="1"/>
    </font>
    <font>
      <sz val="11"/>
      <name val="Arial"/>
      <family val="2"/>
      <charset val="1"/>
    </font>
    <font>
      <b/>
      <sz val="11"/>
      <color rgb="FF333399"/>
      <name val="Arial"/>
      <family val="2"/>
      <charset val="1"/>
    </font>
    <font>
      <b/>
      <sz val="10"/>
      <name val="Arial"/>
      <family val="2"/>
    </font>
    <font>
      <b/>
      <sz val="11"/>
      <color rgb="FF4F6228"/>
      <name val="Arial"/>
      <family val="2"/>
      <charset val="1"/>
    </font>
    <font>
      <sz val="11"/>
      <color rgb="FF333333"/>
      <name val="Arial"/>
      <family val="2"/>
      <charset val="1"/>
    </font>
    <font>
      <b/>
      <sz val="11"/>
      <color rgb="FF000080"/>
      <name val="Arial"/>
      <family val="2"/>
      <charset val="1"/>
    </font>
    <font>
      <b/>
      <sz val="11"/>
      <color rgb="FF003366"/>
      <name val="Arial"/>
      <family val="2"/>
      <charset val="1"/>
    </font>
    <font>
      <i/>
      <sz val="11"/>
      <name val="Calibri"/>
      <family val="2"/>
    </font>
    <font>
      <b/>
      <sz val="10"/>
      <color rgb="FF000000"/>
      <name val="Calibri"/>
      <family val="2"/>
    </font>
    <font>
      <b/>
      <u/>
      <sz val="10"/>
      <color rgb="FF000000"/>
      <name val="Calibri"/>
      <family val="2"/>
    </font>
    <font>
      <i/>
      <sz val="8"/>
      <color rgb="FF000000"/>
      <name val="Arial"/>
      <family val="2"/>
    </font>
  </fonts>
  <fills count="34">
    <fill>
      <patternFill patternType="none"/>
    </fill>
    <fill>
      <patternFill patternType="gray125"/>
    </fill>
    <fill>
      <patternFill patternType="solid">
        <fgColor rgb="FFBFBFBF"/>
        <bgColor rgb="FFC0C0C0"/>
      </patternFill>
    </fill>
    <fill>
      <patternFill patternType="solid">
        <fgColor rgb="FFD8D8D8"/>
        <bgColor rgb="FFD9D9D9"/>
      </patternFill>
    </fill>
    <fill>
      <patternFill patternType="solid">
        <fgColor rgb="FFFFFFFF"/>
        <bgColor rgb="FFF3F3F3"/>
      </patternFill>
    </fill>
    <fill>
      <patternFill patternType="solid">
        <fgColor rgb="FFB7B7B7"/>
        <bgColor rgb="FFBFBFBF"/>
      </patternFill>
    </fill>
    <fill>
      <patternFill patternType="solid">
        <fgColor rgb="FFD9D9D9"/>
        <bgColor rgb="FFD8D8D8"/>
      </patternFill>
    </fill>
    <fill>
      <patternFill patternType="solid">
        <fgColor rgb="FFFFFF00"/>
        <bgColor rgb="FFFFFF99"/>
      </patternFill>
    </fill>
    <fill>
      <patternFill patternType="solid">
        <fgColor rgb="FFCCCCCC"/>
        <bgColor rgb="FFC0C0C0"/>
      </patternFill>
    </fill>
    <fill>
      <patternFill patternType="solid">
        <fgColor rgb="FFC3D69B"/>
        <bgColor rgb="FFC2D69B"/>
      </patternFill>
    </fill>
    <fill>
      <patternFill patternType="solid">
        <fgColor rgb="FFD6E3BC"/>
        <bgColor rgb="FFD7E4BD"/>
      </patternFill>
    </fill>
    <fill>
      <patternFill patternType="solid">
        <fgColor rgb="FFC2D69B"/>
        <bgColor rgb="FFC3D69B"/>
      </patternFill>
    </fill>
    <fill>
      <patternFill patternType="solid">
        <fgColor rgb="FFD7E4BD"/>
        <bgColor rgb="FFD6E3BC"/>
      </patternFill>
    </fill>
    <fill>
      <patternFill patternType="solid">
        <fgColor rgb="FFCFE2F3"/>
        <bgColor rgb="FFD9D9D9"/>
      </patternFill>
    </fill>
    <fill>
      <patternFill patternType="solid">
        <fgColor rgb="FF99CC00"/>
        <bgColor rgb="FFC2D69B"/>
      </patternFill>
    </fill>
    <fill>
      <patternFill patternType="solid">
        <fgColor rgb="FFB8CCE4"/>
        <bgColor rgb="FFB6DDE8"/>
      </patternFill>
    </fill>
    <fill>
      <patternFill patternType="solid">
        <fgColor rgb="FF7F7F7F"/>
        <bgColor rgb="FF666699"/>
      </patternFill>
    </fill>
    <fill>
      <patternFill patternType="solid">
        <fgColor rgb="FFFFFF99"/>
        <bgColor rgb="FFF3F3F3"/>
      </patternFill>
    </fill>
    <fill>
      <patternFill patternType="solid">
        <fgColor rgb="FFFBD4B4"/>
        <bgColor rgb="FFDDD9C3"/>
      </patternFill>
    </fill>
    <fill>
      <patternFill patternType="solid">
        <fgColor rgb="FFB6DDE8"/>
        <bgColor rgb="FFB8CCE4"/>
      </patternFill>
    </fill>
    <fill>
      <patternFill patternType="solid">
        <fgColor rgb="FF00FF66"/>
        <bgColor rgb="FF00FFFF"/>
      </patternFill>
    </fill>
    <fill>
      <patternFill patternType="solid">
        <fgColor rgb="FFDDD9C3"/>
        <bgColor rgb="FFD8D8D8"/>
      </patternFill>
    </fill>
    <fill>
      <patternFill patternType="solid">
        <fgColor rgb="FFD9EAD3"/>
        <bgColor rgb="FFD7E4BD"/>
      </patternFill>
    </fill>
    <fill>
      <patternFill patternType="solid">
        <fgColor rgb="FFEFEFEF"/>
        <bgColor rgb="FFF2F2F2"/>
      </patternFill>
    </fill>
    <fill>
      <patternFill patternType="solid">
        <fgColor rgb="FFF3F3F3"/>
        <bgColor rgb="FFF2F2F2"/>
      </patternFill>
    </fill>
    <fill>
      <patternFill patternType="solid">
        <fgColor rgb="FFF2F2F2"/>
        <bgColor rgb="FFF3F3F3"/>
      </patternFill>
    </fill>
    <fill>
      <patternFill patternType="solid">
        <fgColor theme="0" tint="-0.14999847407452621"/>
        <bgColor indexed="64"/>
      </patternFill>
    </fill>
    <fill>
      <patternFill patternType="solid">
        <fgColor theme="0" tint="-0.14999847407452621"/>
        <bgColor rgb="FFBFBFBF"/>
      </patternFill>
    </fill>
    <fill>
      <patternFill patternType="solid">
        <fgColor theme="0" tint="-0.14999847407452621"/>
        <bgColor rgb="FFD8D8D8"/>
      </patternFill>
    </fill>
    <fill>
      <patternFill patternType="solid">
        <fgColor theme="0" tint="-0.14999847407452621"/>
        <bgColor rgb="FFC0C0C0"/>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59999389629810485"/>
        <bgColor rgb="FFC2D69B"/>
      </patternFill>
    </fill>
  </fills>
  <borders count="48">
    <border>
      <left/>
      <right/>
      <top/>
      <bottom/>
      <diagonal/>
    </border>
    <border>
      <left style="medium">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style="thin">
        <color auto="1"/>
      </top>
      <bottom style="thin">
        <color auto="1"/>
      </bottom>
      <diagonal/>
    </border>
    <border>
      <left style="hair">
        <color auto="1"/>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style="hair">
        <color auto="1"/>
      </right>
      <top/>
      <bottom style="hair">
        <color auto="1"/>
      </bottom>
      <diagonal/>
    </border>
    <border>
      <left/>
      <right/>
      <top/>
      <bottom style="thin">
        <color auto="1"/>
      </bottom>
      <diagonal/>
    </border>
    <border>
      <left style="hair">
        <color auto="1"/>
      </left>
      <right style="hair">
        <color auto="1"/>
      </right>
      <top style="thin">
        <color auto="1"/>
      </top>
      <bottom style="hair">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thin">
        <color auto="1"/>
      </top>
      <bottom style="thin">
        <color auto="1"/>
      </bottom>
      <diagonal/>
    </border>
  </borders>
  <cellStyleXfs count="3">
    <xf numFmtId="0" fontId="0" fillId="0" borderId="0"/>
    <xf numFmtId="0" fontId="7" fillId="0" borderId="0"/>
    <xf numFmtId="181" fontId="4" fillId="0" borderId="0" applyBorder="0" applyProtection="0"/>
  </cellStyleXfs>
  <cellXfs count="552">
    <xf numFmtId="0" fontId="0" fillId="0" borderId="0" xfId="0"/>
    <xf numFmtId="0" fontId="1" fillId="4" borderId="11" xfId="0" applyFont="1" applyFill="1" applyBorder="1" applyAlignment="1" applyProtection="1">
      <alignment vertical="center" wrapText="1"/>
      <protection locked="0"/>
    </xf>
    <xf numFmtId="0" fontId="2" fillId="4" borderId="0" xfId="0" applyFont="1" applyFill="1" applyAlignment="1" applyProtection="1">
      <alignment horizontal="center" vertical="center" wrapText="1"/>
    </xf>
    <xf numFmtId="0" fontId="3" fillId="0" borderId="8" xfId="0" applyFont="1" applyBorder="1" applyAlignment="1" applyProtection="1">
      <alignment horizontal="justify" vertical="center" wrapText="1"/>
      <protection locked="0"/>
    </xf>
    <xf numFmtId="0" fontId="1" fillId="7" borderId="22" xfId="0" applyFont="1" applyFill="1" applyBorder="1" applyAlignment="1">
      <alignment horizontal="center" vertical="center" wrapText="1"/>
    </xf>
    <xf numFmtId="0" fontId="2" fillId="22" borderId="0" xfId="0" applyFont="1" applyFill="1" applyAlignment="1">
      <alignment horizontal="left" vertical="center" wrapText="1"/>
    </xf>
    <xf numFmtId="0" fontId="2" fillId="4" borderId="0" xfId="0" applyFont="1" applyFill="1" applyAlignment="1">
      <alignment horizontal="center" vertical="center" wrapText="1"/>
    </xf>
    <xf numFmtId="0" fontId="2" fillId="22" borderId="24" xfId="0" applyFont="1" applyFill="1" applyBorder="1" applyAlignment="1">
      <alignment horizontal="center" vertical="center" wrapText="1"/>
    </xf>
    <xf numFmtId="0" fontId="2" fillId="22" borderId="8" xfId="0" applyFont="1" applyFill="1" applyBorder="1" applyAlignment="1">
      <alignment vertical="center" wrapText="1"/>
    </xf>
    <xf numFmtId="167" fontId="2" fillId="23" borderId="8" xfId="0" applyNumberFormat="1" applyFont="1" applyFill="1" applyBorder="1" applyAlignment="1">
      <alignment horizontal="center" vertical="center" wrapText="1"/>
    </xf>
    <xf numFmtId="167" fontId="2" fillId="22" borderId="8" xfId="0" applyNumberFormat="1" applyFont="1" applyFill="1" applyBorder="1" applyAlignment="1">
      <alignment horizontal="right" vertical="center" wrapText="1"/>
    </xf>
    <xf numFmtId="167" fontId="2" fillId="22" borderId="8" xfId="0" applyNumberFormat="1" applyFont="1" applyFill="1" applyBorder="1" applyAlignment="1">
      <alignment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167" fontId="2" fillId="0" borderId="37" xfId="0" applyNumberFormat="1" applyFont="1" applyBorder="1" applyAlignment="1">
      <alignment vertical="center" wrapText="1"/>
    </xf>
    <xf numFmtId="4" fontId="2" fillId="22" borderId="8" xfId="0" applyNumberFormat="1" applyFont="1" applyFill="1" applyBorder="1" applyAlignment="1">
      <alignment horizontal="center" vertical="center" wrapText="1"/>
    </xf>
    <xf numFmtId="0" fontId="2" fillId="22" borderId="38" xfId="0" applyFont="1" applyFill="1" applyBorder="1" applyAlignment="1">
      <alignment horizontal="left" vertical="center" wrapText="1"/>
    </xf>
    <xf numFmtId="0" fontId="2" fillId="0" borderId="0" xfId="0" applyFont="1" applyAlignment="1">
      <alignment horizontal="center" vertical="center" wrapText="1"/>
    </xf>
    <xf numFmtId="167" fontId="2" fillId="0" borderId="0" xfId="0" applyNumberFormat="1" applyFont="1" applyAlignment="1">
      <alignment vertical="center" wrapText="1"/>
    </xf>
    <xf numFmtId="0" fontId="2" fillId="7" borderId="8" xfId="0" applyFont="1" applyFill="1" applyBorder="1" applyAlignment="1">
      <alignment horizontal="center" vertical="center" wrapText="1"/>
    </xf>
    <xf numFmtId="0" fontId="2" fillId="22" borderId="8" xfId="0" applyFont="1" applyFill="1" applyBorder="1" applyAlignment="1">
      <alignment horizontal="center" vertical="center" wrapText="1"/>
    </xf>
    <xf numFmtId="0" fontId="2" fillId="23" borderId="8" xfId="0" applyFont="1" applyFill="1" applyBorder="1" applyAlignment="1">
      <alignment horizontal="center" vertical="center" wrapText="1"/>
    </xf>
    <xf numFmtId="0" fontId="10" fillId="30" borderId="44" xfId="0" applyFont="1" applyFill="1" applyBorder="1" applyAlignment="1">
      <alignment horizontal="center" vertical="center" wrapText="1"/>
    </xf>
    <xf numFmtId="0" fontId="8" fillId="12" borderId="41" xfId="0" applyFont="1" applyFill="1" applyBorder="1" applyAlignment="1">
      <alignment horizontal="center" vertical="center" wrapText="1"/>
    </xf>
    <xf numFmtId="0" fontId="8" fillId="12" borderId="42" xfId="0" applyFont="1" applyFill="1" applyBorder="1" applyAlignment="1">
      <alignment horizontal="center" vertical="center" wrapText="1"/>
    </xf>
    <xf numFmtId="0" fontId="8" fillId="25" borderId="4" xfId="0" applyFont="1" applyFill="1" applyBorder="1" applyAlignment="1">
      <alignment horizontal="justify" vertical="center" wrapText="1"/>
    </xf>
    <xf numFmtId="0" fontId="8" fillId="6" borderId="6" xfId="0" applyFont="1" applyFill="1" applyBorder="1" applyAlignment="1">
      <alignment horizontal="justify" vertical="center" wrapText="1"/>
    </xf>
    <xf numFmtId="0" fontId="8" fillId="25" borderId="6" xfId="0" applyFont="1" applyFill="1" applyBorder="1" applyAlignment="1">
      <alignment horizontal="justify" vertical="center" wrapText="1"/>
    </xf>
    <xf numFmtId="0" fontId="8" fillId="12" borderId="14" xfId="0" applyFont="1" applyFill="1" applyBorder="1" applyAlignment="1">
      <alignment horizontal="center" vertical="center" wrapText="1"/>
    </xf>
    <xf numFmtId="0" fontId="9" fillId="0" borderId="0" xfId="0" applyFont="1" applyAlignment="1">
      <alignment horizontal="center" vertical="center" wrapText="1"/>
    </xf>
    <xf numFmtId="167" fontId="11" fillId="30" borderId="8" xfId="0" applyNumberFormat="1" applyFont="1" applyFill="1" applyBorder="1" applyAlignment="1">
      <alignment horizontal="center" vertical="center" wrapText="1"/>
    </xf>
    <xf numFmtId="0" fontId="8" fillId="0" borderId="0" xfId="0" applyFont="1" applyAlignment="1">
      <alignment vertical="center" wrapText="1"/>
    </xf>
    <xf numFmtId="0" fontId="8" fillId="12" borderId="40" xfId="0" applyFont="1" applyFill="1" applyBorder="1" applyAlignment="1">
      <alignment horizontal="center" vertical="center" wrapText="1"/>
    </xf>
    <xf numFmtId="179" fontId="9" fillId="25" borderId="22" xfId="0" applyNumberFormat="1" applyFont="1" applyFill="1" applyBorder="1" applyAlignment="1">
      <alignment horizontal="center" vertical="center" wrapText="1"/>
    </xf>
    <xf numFmtId="167" fontId="9" fillId="25" borderId="44" xfId="0" applyNumberFormat="1" applyFont="1" applyFill="1" applyBorder="1" applyAlignment="1">
      <alignment vertical="center" wrapText="1"/>
    </xf>
    <xf numFmtId="179" fontId="9" fillId="6" borderId="8" xfId="0" applyNumberFormat="1" applyFont="1" applyFill="1" applyBorder="1" applyAlignment="1">
      <alignment horizontal="center" vertical="center" wrapText="1"/>
    </xf>
    <xf numFmtId="167" fontId="9" fillId="6" borderId="5" xfId="0" applyNumberFormat="1" applyFont="1" applyFill="1" applyBorder="1" applyAlignment="1">
      <alignment vertical="center" wrapText="1"/>
    </xf>
    <xf numFmtId="179" fontId="9" fillId="25" borderId="8" xfId="0" applyNumberFormat="1" applyFont="1" applyFill="1" applyBorder="1" applyAlignment="1">
      <alignment horizontal="center" vertical="center" wrapText="1"/>
    </xf>
    <xf numFmtId="167" fontId="9" fillId="25" borderId="5" xfId="0" applyNumberFormat="1" applyFont="1" applyFill="1" applyBorder="1" applyAlignment="1">
      <alignment vertical="center" wrapText="1"/>
    </xf>
    <xf numFmtId="179" fontId="9" fillId="12" borderId="45" xfId="0" applyNumberFormat="1" applyFont="1" applyFill="1" applyBorder="1" applyAlignment="1">
      <alignment horizontal="center" vertical="center" wrapText="1"/>
    </xf>
    <xf numFmtId="167" fontId="9" fillId="12" borderId="15" xfId="0" applyNumberFormat="1" applyFont="1" applyFill="1" applyBorder="1" applyAlignment="1">
      <alignment vertical="center" wrapText="1"/>
    </xf>
    <xf numFmtId="167" fontId="9" fillId="0" borderId="0" xfId="0" applyNumberFormat="1" applyFont="1" applyAlignment="1">
      <alignment horizontal="center" vertical="center" wrapText="1"/>
    </xf>
    <xf numFmtId="2" fontId="11" fillId="30" borderId="8" xfId="0" applyNumberFormat="1" applyFont="1" applyFill="1" applyBorder="1" applyAlignment="1">
      <alignment horizontal="center" vertical="center" wrapText="1"/>
    </xf>
    <xf numFmtId="2" fontId="10" fillId="30" borderId="22" xfId="0" applyNumberFormat="1" applyFont="1" applyFill="1" applyBorder="1" applyAlignment="1">
      <alignment horizontal="center" vertical="center" wrapText="1"/>
    </xf>
    <xf numFmtId="0" fontId="9" fillId="0" borderId="0" xfId="0" applyFont="1" applyAlignment="1">
      <alignment vertical="center" wrapText="1"/>
    </xf>
    <xf numFmtId="0" fontId="6" fillId="0" borderId="0" xfId="0" applyFont="1" applyAlignment="1">
      <alignment vertical="center" wrapText="1"/>
    </xf>
    <xf numFmtId="0" fontId="8" fillId="0" borderId="0" xfId="0" applyFont="1" applyAlignment="1">
      <alignment horizontal="left" vertical="center" wrapText="1"/>
    </xf>
    <xf numFmtId="164" fontId="9" fillId="0" borderId="0" xfId="0" applyNumberFormat="1" applyFont="1" applyAlignment="1">
      <alignment vertical="center" wrapText="1"/>
    </xf>
    <xf numFmtId="0" fontId="9" fillId="0" borderId="0" xfId="0" applyFont="1" applyBorder="1" applyAlignment="1">
      <alignment vertical="center" wrapText="1"/>
    </xf>
    <xf numFmtId="4" fontId="2" fillId="22" borderId="38" xfId="0" applyNumberFormat="1" applyFont="1" applyFill="1" applyBorder="1" applyAlignment="1">
      <alignment vertical="center" wrapText="1"/>
    </xf>
    <xf numFmtId="0" fontId="3" fillId="0" borderId="0" xfId="0" applyFont="1" applyAlignment="1">
      <alignment vertical="center" wrapText="1"/>
    </xf>
    <xf numFmtId="0" fontId="3" fillId="4" borderId="0" xfId="0" applyFont="1" applyFill="1" applyAlignment="1">
      <alignment vertical="center" wrapText="1"/>
    </xf>
    <xf numFmtId="0" fontId="2" fillId="22" borderId="29" xfId="0" applyFont="1" applyFill="1" applyBorder="1" applyAlignment="1">
      <alignment horizontal="left" vertical="center" wrapText="1"/>
    </xf>
    <xf numFmtId="164" fontId="1" fillId="22" borderId="31" xfId="0" applyNumberFormat="1" applyFont="1" applyFill="1" applyBorder="1" applyAlignment="1">
      <alignment horizontal="center" vertical="center" wrapText="1"/>
    </xf>
    <xf numFmtId="0" fontId="2" fillId="22" borderId="29" xfId="0" applyFont="1" applyFill="1" applyBorder="1" applyAlignment="1">
      <alignment horizontal="center" vertical="center" wrapText="1"/>
    </xf>
    <xf numFmtId="0" fontId="1" fillId="22" borderId="30" xfId="0" applyFont="1" applyFill="1" applyBorder="1" applyAlignment="1">
      <alignment horizontal="center" vertical="center" wrapText="1"/>
    </xf>
    <xf numFmtId="0" fontId="2" fillId="22" borderId="24" xfId="0" applyFont="1" applyFill="1" applyBorder="1" applyAlignment="1">
      <alignment horizontal="left" vertical="center" wrapText="1"/>
    </xf>
    <xf numFmtId="0" fontId="2" fillId="22" borderId="32" xfId="0" applyFont="1" applyFill="1" applyBorder="1" applyAlignment="1">
      <alignment horizontal="left" vertical="center" wrapText="1"/>
    </xf>
    <xf numFmtId="0" fontId="2" fillId="24" borderId="8" xfId="0" applyFont="1" applyFill="1" applyBorder="1" applyAlignment="1">
      <alignment horizontal="center" vertical="center" wrapText="1"/>
    </xf>
    <xf numFmtId="0" fontId="14" fillId="24" borderId="8" xfId="0" applyFont="1" applyFill="1" applyBorder="1" applyAlignment="1">
      <alignment horizontal="center" vertical="center" wrapText="1"/>
    </xf>
    <xf numFmtId="1" fontId="1" fillId="23" borderId="32" xfId="0" applyNumberFormat="1" applyFont="1" applyFill="1" applyBorder="1" applyAlignment="1">
      <alignment horizontal="center" vertical="center" wrapText="1"/>
    </xf>
    <xf numFmtId="0" fontId="3" fillId="23" borderId="32" xfId="0" applyFont="1" applyFill="1" applyBorder="1" applyAlignment="1">
      <alignment horizontal="left" vertical="center" wrapText="1"/>
    </xf>
    <xf numFmtId="167" fontId="2" fillId="23" borderId="8" xfId="0" applyNumberFormat="1" applyFont="1" applyFill="1" applyBorder="1" applyAlignment="1">
      <alignment vertical="center" wrapText="1"/>
    </xf>
    <xf numFmtId="10" fontId="2" fillId="23" borderId="24" xfId="0" applyNumberFormat="1" applyFont="1" applyFill="1" applyBorder="1" applyAlignment="1">
      <alignment horizontal="center" vertical="center" wrapText="1"/>
    </xf>
    <xf numFmtId="0" fontId="14" fillId="0" borderId="8" xfId="0" applyFont="1" applyBorder="1" applyAlignment="1">
      <alignment horizontal="center" vertical="center" wrapText="1"/>
    </xf>
    <xf numFmtId="167" fontId="2" fillId="23" borderId="8" xfId="0" applyNumberFormat="1" applyFont="1" applyFill="1" applyBorder="1" applyAlignment="1">
      <alignment horizontal="right" vertical="center" wrapText="1"/>
    </xf>
    <xf numFmtId="4" fontId="2" fillId="0" borderId="21" xfId="0" applyNumberFormat="1" applyFont="1" applyBorder="1" applyAlignment="1">
      <alignment horizontal="right" vertical="center" wrapText="1"/>
    </xf>
    <xf numFmtId="10" fontId="2" fillId="23" borderId="8" xfId="0" applyNumberFormat="1" applyFont="1" applyFill="1" applyBorder="1" applyAlignment="1">
      <alignment horizontal="center" vertical="center" wrapText="1"/>
    </xf>
    <xf numFmtId="0" fontId="2" fillId="23" borderId="8" xfId="0" applyFont="1" applyFill="1" applyBorder="1" applyAlignment="1">
      <alignment horizontal="right" vertical="center" wrapText="1"/>
    </xf>
    <xf numFmtId="166" fontId="2" fillId="23" borderId="8" xfId="0" applyNumberFormat="1" applyFont="1" applyFill="1" applyBorder="1" applyAlignment="1">
      <alignment horizontal="center" vertical="center" wrapText="1"/>
    </xf>
    <xf numFmtId="10" fontId="2" fillId="22" borderId="8" xfId="0" applyNumberFormat="1" applyFont="1" applyFill="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left" vertical="center" wrapText="1"/>
    </xf>
    <xf numFmtId="174" fontId="2" fillId="23" borderId="8" xfId="0" applyNumberFormat="1" applyFont="1" applyFill="1" applyBorder="1" applyAlignment="1">
      <alignment vertical="center" wrapText="1"/>
    </xf>
    <xf numFmtId="3" fontId="2" fillId="23" borderId="8" xfId="0" applyNumberFormat="1" applyFont="1" applyFill="1" applyBorder="1" applyAlignment="1">
      <alignment vertical="center" wrapText="1"/>
    </xf>
    <xf numFmtId="9" fontId="2" fillId="23" borderId="8" xfId="0" applyNumberFormat="1" applyFont="1" applyFill="1" applyBorder="1" applyAlignment="1">
      <alignment vertical="center" wrapText="1"/>
    </xf>
    <xf numFmtId="10" fontId="2" fillId="23" borderId="8" xfId="0" applyNumberFormat="1" applyFont="1" applyFill="1" applyBorder="1" applyAlignment="1">
      <alignment vertical="center" wrapText="1"/>
    </xf>
    <xf numFmtId="167" fontId="1" fillId="23" borderId="8" xfId="0" applyNumberFormat="1" applyFont="1" applyFill="1" applyBorder="1" applyAlignment="1">
      <alignment horizontal="right" vertical="center" wrapText="1"/>
    </xf>
    <xf numFmtId="0" fontId="2" fillId="0" borderId="0" xfId="0" applyFont="1" applyAlignment="1">
      <alignment horizontal="right" vertical="center" wrapText="1"/>
    </xf>
    <xf numFmtId="167" fontId="2" fillId="0" borderId="0" xfId="0" applyNumberFormat="1" applyFont="1" applyAlignment="1">
      <alignment horizontal="right" vertical="center" wrapText="1"/>
    </xf>
    <xf numFmtId="167" fontId="1" fillId="23" borderId="21" xfId="0" applyNumberFormat="1" applyFont="1" applyFill="1" applyBorder="1" applyAlignment="1">
      <alignment horizontal="right" vertical="center" wrapText="1"/>
    </xf>
    <xf numFmtId="10" fontId="1" fillId="22" borderId="8" xfId="0" applyNumberFormat="1" applyFont="1" applyFill="1" applyBorder="1" applyAlignment="1">
      <alignment horizontal="center" vertical="center" wrapText="1"/>
    </xf>
    <xf numFmtId="0" fontId="3" fillId="4" borderId="0" xfId="0" applyFont="1" applyFill="1" applyAlignment="1">
      <alignment horizontal="center" vertical="center" wrapText="1"/>
    </xf>
    <xf numFmtId="9" fontId="3" fillId="4" borderId="0" xfId="0" applyNumberFormat="1" applyFont="1" applyFill="1" applyAlignment="1">
      <alignment horizontal="center" vertical="center" wrapText="1"/>
    </xf>
    <xf numFmtId="49" fontId="2" fillId="23" borderId="8" xfId="0" applyNumberFormat="1" applyFont="1" applyFill="1" applyBorder="1" applyAlignment="1">
      <alignment horizontal="center" vertical="center" wrapText="1"/>
    </xf>
    <xf numFmtId="49" fontId="1" fillId="22" borderId="32" xfId="0" applyNumberFormat="1" applyFont="1" applyFill="1" applyBorder="1" applyAlignment="1">
      <alignment horizontal="center" vertical="center" wrapText="1"/>
    </xf>
    <xf numFmtId="49" fontId="2" fillId="22" borderId="20" xfId="0" applyNumberFormat="1" applyFont="1" applyFill="1" applyBorder="1" applyAlignment="1">
      <alignment horizontal="left" vertical="center" wrapText="1"/>
    </xf>
    <xf numFmtId="4" fontId="2" fillId="23" borderId="8" xfId="0" applyNumberFormat="1" applyFont="1" applyFill="1" applyBorder="1" applyAlignment="1">
      <alignment horizontal="right" vertical="center" wrapText="1"/>
    </xf>
    <xf numFmtId="4" fontId="2" fillId="22" borderId="8" xfId="0" applyNumberFormat="1" applyFont="1" applyFill="1" applyBorder="1" applyAlignment="1">
      <alignment horizontal="right" vertical="center" wrapText="1"/>
    </xf>
    <xf numFmtId="49"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3" fillId="0" borderId="8" xfId="0" applyFont="1" applyBorder="1" applyAlignment="1">
      <alignment horizontal="left" vertical="center" wrapText="1"/>
    </xf>
    <xf numFmtId="49" fontId="1" fillId="0" borderId="8" xfId="0" applyNumberFormat="1" applyFont="1" applyBorder="1" applyAlignment="1">
      <alignment horizontal="center" vertical="center" wrapText="1"/>
    </xf>
    <xf numFmtId="0" fontId="1" fillId="0" borderId="8" xfId="0" applyFont="1" applyBorder="1" applyAlignment="1">
      <alignment horizontal="center" vertical="center" wrapText="1"/>
    </xf>
    <xf numFmtId="2" fontId="1" fillId="0" borderId="8" xfId="0" applyNumberFormat="1" applyFont="1" applyBorder="1" applyAlignment="1">
      <alignment horizontal="center" vertical="center" wrapText="1"/>
    </xf>
    <xf numFmtId="171" fontId="1" fillId="0" borderId="8" xfId="0" applyNumberFormat="1" applyFont="1" applyBorder="1" applyAlignment="1">
      <alignment horizontal="center" vertical="center" wrapText="1"/>
    </xf>
    <xf numFmtId="176" fontId="1" fillId="0" borderId="8" xfId="0" applyNumberFormat="1" applyFont="1" applyBorder="1" applyAlignment="1">
      <alignment horizontal="center" vertical="center" wrapText="1"/>
    </xf>
    <xf numFmtId="174" fontId="1" fillId="0" borderId="8" xfId="0" applyNumberFormat="1" applyFont="1" applyBorder="1" applyAlignment="1">
      <alignment horizontal="right" vertical="center" wrapText="1"/>
    </xf>
    <xf numFmtId="174" fontId="2" fillId="22" borderId="8" xfId="0" applyNumberFormat="1" applyFont="1" applyFill="1" applyBorder="1" applyAlignment="1">
      <alignment horizontal="right" vertical="center" wrapText="1"/>
    </xf>
    <xf numFmtId="174" fontId="2" fillId="22" borderId="8" xfId="0" applyNumberFormat="1" applyFont="1" applyFill="1" applyBorder="1" applyAlignment="1">
      <alignment vertical="center" wrapText="1"/>
    </xf>
    <xf numFmtId="0" fontId="3" fillId="0" borderId="8" xfId="0" applyFont="1" applyBorder="1" applyAlignment="1">
      <alignment vertical="center" wrapText="1"/>
    </xf>
    <xf numFmtId="177" fontId="1" fillId="0" borderId="8" xfId="0" applyNumberFormat="1" applyFont="1" applyBorder="1" applyAlignment="1">
      <alignment horizontal="center" vertical="center" wrapText="1"/>
    </xf>
    <xf numFmtId="176" fontId="1" fillId="0" borderId="8" xfId="0" applyNumberFormat="1" applyFont="1" applyBorder="1" applyAlignment="1">
      <alignment vertical="center" wrapText="1"/>
    </xf>
    <xf numFmtId="174" fontId="1" fillId="0" borderId="8" xfId="0" applyNumberFormat="1" applyFont="1" applyBorder="1" applyAlignment="1">
      <alignment vertical="center" wrapText="1"/>
    </xf>
    <xf numFmtId="178" fontId="1" fillId="0" borderId="8" xfId="0" applyNumberFormat="1" applyFont="1" applyBorder="1" applyAlignment="1">
      <alignment horizontal="center" vertical="center" wrapText="1"/>
    </xf>
    <xf numFmtId="175" fontId="2" fillId="0" borderId="8" xfId="0" applyNumberFormat="1" applyFont="1" applyBorder="1" applyAlignment="1">
      <alignment horizontal="right" vertical="center" wrapText="1"/>
    </xf>
    <xf numFmtId="175" fontId="2" fillId="22" borderId="8" xfId="0" applyNumberFormat="1" applyFont="1" applyFill="1" applyBorder="1" applyAlignment="1">
      <alignment horizontal="right" vertical="center" wrapText="1"/>
    </xf>
    <xf numFmtId="4" fontId="2" fillId="0" borderId="8" xfId="0" applyNumberFormat="1" applyFont="1" applyBorder="1" applyAlignment="1">
      <alignment horizontal="right" vertical="center" wrapText="1"/>
    </xf>
    <xf numFmtId="0" fontId="3" fillId="0" borderId="21" xfId="0" applyFont="1" applyBorder="1" applyAlignment="1">
      <alignment horizontal="left" vertical="center" wrapText="1"/>
    </xf>
    <xf numFmtId="0" fontId="2" fillId="0" borderId="21" xfId="0" applyFont="1" applyBorder="1" applyAlignment="1">
      <alignment horizontal="center" vertical="center" wrapText="1"/>
    </xf>
    <xf numFmtId="3" fontId="1" fillId="0" borderId="8" xfId="0" applyNumberFormat="1" applyFont="1" applyBorder="1" applyAlignment="1">
      <alignment horizontal="center" vertical="center" wrapText="1"/>
    </xf>
    <xf numFmtId="174" fontId="2" fillId="0" borderId="0" xfId="0" applyNumberFormat="1" applyFont="1" applyAlignment="1">
      <alignment horizontal="right" vertical="center" wrapText="1"/>
    </xf>
    <xf numFmtId="4" fontId="2" fillId="22" borderId="0" xfId="0" applyNumberFormat="1" applyFont="1" applyFill="1" applyAlignment="1">
      <alignment vertical="center" wrapText="1"/>
    </xf>
    <xf numFmtId="0" fontId="14" fillId="0" borderId="34" xfId="0" applyFont="1" applyBorder="1" applyAlignment="1">
      <alignment horizontal="center" vertical="center" wrapText="1"/>
    </xf>
    <xf numFmtId="0" fontId="14" fillId="0" borderId="35" xfId="0" applyFont="1" applyBorder="1" applyAlignment="1">
      <alignment horizontal="left" vertical="center" wrapText="1"/>
    </xf>
    <xf numFmtId="0" fontId="14" fillId="0" borderId="36" xfId="0" applyFont="1" applyBorder="1" applyAlignment="1">
      <alignment horizontal="left" vertical="center" wrapText="1"/>
    </xf>
    <xf numFmtId="0" fontId="14" fillId="0" borderId="37" xfId="0" applyFont="1" applyBorder="1" applyAlignment="1">
      <alignment horizontal="center" vertical="center" wrapText="1"/>
    </xf>
    <xf numFmtId="0" fontId="14" fillId="0" borderId="34" xfId="0" applyFont="1" applyBorder="1" applyAlignment="1">
      <alignment horizontal="left" vertical="center" wrapText="1"/>
    </xf>
    <xf numFmtId="0" fontId="3" fillId="0" borderId="0" xfId="0" applyFont="1" applyAlignment="1">
      <alignment horizontal="center" vertical="center" wrapText="1"/>
    </xf>
    <xf numFmtId="0" fontId="2" fillId="0" borderId="37" xfId="0" applyFont="1" applyBorder="1" applyAlignment="1">
      <alignment horizontal="right" vertical="center" wrapText="1"/>
    </xf>
    <xf numFmtId="167" fontId="2" fillId="0" borderId="37" xfId="0" applyNumberFormat="1" applyFont="1" applyBorder="1" applyAlignment="1">
      <alignment horizontal="right" vertical="center" wrapText="1"/>
    </xf>
    <xf numFmtId="167" fontId="3" fillId="0" borderId="0" xfId="0" applyNumberFormat="1" applyFont="1" applyAlignment="1">
      <alignment vertical="center" wrapText="1"/>
    </xf>
    <xf numFmtId="4" fontId="14" fillId="0" borderId="37" xfId="0" applyNumberFormat="1" applyFont="1" applyBorder="1" applyAlignment="1">
      <alignment horizontal="center" vertical="center" wrapText="1"/>
    </xf>
    <xf numFmtId="4" fontId="14" fillId="0" borderId="34" xfId="0" applyNumberFormat="1" applyFont="1" applyBorder="1" applyAlignment="1">
      <alignment horizontal="center" vertical="center" wrapText="1"/>
    </xf>
    <xf numFmtId="4" fontId="14" fillId="0" borderId="36" xfId="0" applyNumberFormat="1" applyFont="1" applyBorder="1" applyAlignment="1">
      <alignment horizontal="center" vertical="center" wrapText="1"/>
    </xf>
    <xf numFmtId="0" fontId="14" fillId="0" borderId="37" xfId="0" applyFont="1" applyBorder="1" applyAlignment="1">
      <alignment horizontal="left" vertical="center" wrapText="1"/>
    </xf>
    <xf numFmtId="49" fontId="2" fillId="0" borderId="37" xfId="0" applyNumberFormat="1" applyFont="1" applyBorder="1" applyAlignment="1">
      <alignment horizontal="right" vertical="center" wrapText="1"/>
    </xf>
    <xf numFmtId="0" fontId="1" fillId="4" borderId="8" xfId="0" applyFont="1" applyFill="1" applyBorder="1" applyAlignment="1">
      <alignment horizontal="center" vertical="center" wrapText="1"/>
    </xf>
    <xf numFmtId="3" fontId="1" fillId="4" borderId="8" xfId="0" applyNumberFormat="1" applyFont="1" applyFill="1" applyBorder="1" applyAlignment="1">
      <alignment horizontal="center" vertical="center" wrapText="1"/>
    </xf>
    <xf numFmtId="49" fontId="1" fillId="0" borderId="10" xfId="0" applyNumberFormat="1" applyFont="1" applyBorder="1" applyAlignment="1">
      <alignment horizontal="center" vertical="center" wrapText="1"/>
    </xf>
    <xf numFmtId="0" fontId="2" fillId="4" borderId="0" xfId="0" applyFont="1" applyFill="1" applyBorder="1" applyAlignment="1">
      <alignment horizontal="right" vertical="center" wrapText="1"/>
    </xf>
    <xf numFmtId="4" fontId="2" fillId="4" borderId="0" xfId="0" applyNumberFormat="1" applyFont="1" applyFill="1" applyBorder="1" applyAlignment="1">
      <alignment horizontal="right" vertical="center" wrapText="1"/>
    </xf>
    <xf numFmtId="3" fontId="1" fillId="7" borderId="8" xfId="0" applyNumberFormat="1" applyFont="1" applyFill="1" applyBorder="1" applyAlignment="1">
      <alignment horizontal="center" vertical="center" wrapText="1"/>
    </xf>
    <xf numFmtId="3" fontId="1" fillId="7" borderId="10" xfId="0" applyNumberFormat="1" applyFont="1" applyFill="1" applyBorder="1" applyAlignment="1">
      <alignment horizontal="center" vertical="center" wrapText="1"/>
    </xf>
    <xf numFmtId="0" fontId="1" fillId="7" borderId="8" xfId="0" applyFont="1" applyFill="1" applyBorder="1" applyAlignment="1">
      <alignment horizontal="center" vertical="center" wrapText="1"/>
    </xf>
    <xf numFmtId="0" fontId="16" fillId="4" borderId="0" xfId="0" applyFont="1" applyFill="1" applyAlignment="1">
      <alignment horizontal="center" vertical="center" wrapText="1"/>
    </xf>
    <xf numFmtId="0" fontId="2" fillId="12" borderId="8" xfId="0" applyFont="1" applyFill="1" applyBorder="1" applyAlignment="1">
      <alignment horizontal="center" vertical="center" wrapText="1"/>
    </xf>
    <xf numFmtId="0" fontId="16" fillId="12" borderId="8" xfId="0" applyFont="1" applyFill="1" applyBorder="1" applyAlignment="1">
      <alignment horizontal="center" vertical="center" wrapText="1"/>
    </xf>
    <xf numFmtId="0" fontId="3" fillId="10" borderId="8" xfId="0" applyFont="1" applyFill="1" applyBorder="1" applyAlignment="1">
      <alignment vertical="center" wrapText="1"/>
    </xf>
    <xf numFmtId="4" fontId="17" fillId="10" borderId="8" xfId="0" applyNumberFormat="1" applyFont="1" applyFill="1" applyBorder="1" applyAlignment="1">
      <alignment horizontal="center" vertical="center" wrapText="1"/>
    </xf>
    <xf numFmtId="171" fontId="3" fillId="10" borderId="8" xfId="0" applyNumberFormat="1" applyFont="1" applyFill="1" applyBorder="1" applyAlignment="1">
      <alignment horizontal="center" vertical="center" wrapText="1"/>
    </xf>
    <xf numFmtId="0" fontId="2" fillId="10" borderId="8" xfId="0" applyFont="1" applyFill="1" applyBorder="1" applyAlignment="1">
      <alignment horizontal="center" vertical="center" wrapText="1"/>
    </xf>
    <xf numFmtId="0" fontId="3" fillId="17" borderId="8" xfId="0" applyFont="1" applyFill="1" applyBorder="1" applyAlignment="1">
      <alignment horizontal="center" vertical="center" wrapText="1"/>
    </xf>
    <xf numFmtId="0" fontId="3" fillId="10" borderId="8" xfId="0" applyFont="1" applyFill="1" applyBorder="1" applyAlignment="1">
      <alignment horizontal="center" vertical="center" wrapText="1"/>
    </xf>
    <xf numFmtId="171" fontId="3" fillId="17" borderId="8" xfId="0" applyNumberFormat="1" applyFont="1" applyFill="1" applyBorder="1" applyAlignment="1">
      <alignment horizontal="center" vertical="center" wrapText="1"/>
    </xf>
    <xf numFmtId="0" fontId="3" fillId="10" borderId="10" xfId="0" applyFont="1" applyFill="1" applyBorder="1" applyAlignment="1">
      <alignment vertical="center" wrapText="1"/>
    </xf>
    <xf numFmtId="4" fontId="17" fillId="10" borderId="10" xfId="0" applyNumberFormat="1" applyFont="1" applyFill="1" applyBorder="1" applyAlignment="1">
      <alignment horizontal="center" vertical="center" wrapText="1"/>
    </xf>
    <xf numFmtId="171" fontId="3" fillId="10" borderId="10" xfId="0" applyNumberFormat="1" applyFont="1" applyFill="1" applyBorder="1" applyAlignment="1">
      <alignment horizontal="center" vertical="center" wrapText="1"/>
    </xf>
    <xf numFmtId="0" fontId="2" fillId="10" borderId="10" xfId="0" applyFont="1" applyFill="1" applyBorder="1" applyAlignment="1">
      <alignment horizontal="center" vertical="center" wrapText="1"/>
    </xf>
    <xf numFmtId="0" fontId="3" fillId="17" borderId="10" xfId="0" applyFont="1" applyFill="1" applyBorder="1" applyAlignment="1">
      <alignment horizontal="center" vertical="center" wrapText="1"/>
    </xf>
    <xf numFmtId="0" fontId="3" fillId="10" borderId="10" xfId="0" applyFont="1" applyFill="1" applyBorder="1" applyAlignment="1">
      <alignment horizontal="center" vertical="center" wrapText="1"/>
    </xf>
    <xf numFmtId="171" fontId="3" fillId="17" borderId="10" xfId="0" applyNumberFormat="1" applyFont="1" applyFill="1" applyBorder="1" applyAlignment="1">
      <alignment horizontal="center" vertical="center" wrapText="1"/>
    </xf>
    <xf numFmtId="0" fontId="2" fillId="18" borderId="8" xfId="0" applyFont="1" applyFill="1" applyBorder="1" applyAlignment="1">
      <alignment horizontal="center" vertical="center" wrapText="1"/>
    </xf>
    <xf numFmtId="0" fontId="3" fillId="18" borderId="8" xfId="0" applyFont="1" applyFill="1" applyBorder="1" applyAlignment="1">
      <alignment vertical="center" wrapText="1"/>
    </xf>
    <xf numFmtId="4" fontId="17" fillId="18" borderId="8" xfId="0" applyNumberFormat="1" applyFont="1" applyFill="1" applyBorder="1" applyAlignment="1">
      <alignment horizontal="center" vertical="center" wrapText="1"/>
    </xf>
    <xf numFmtId="171" fontId="3" fillId="18" borderId="8" xfId="0" applyNumberFormat="1" applyFont="1" applyFill="1" applyBorder="1" applyAlignment="1">
      <alignment horizontal="center" vertical="center" wrapText="1"/>
    </xf>
    <xf numFmtId="0" fontId="3" fillId="18" borderId="8" xfId="0" applyFont="1" applyFill="1" applyBorder="1" applyAlignment="1">
      <alignment horizontal="center" vertical="center" wrapText="1"/>
    </xf>
    <xf numFmtId="4" fontId="17" fillId="12" borderId="8" xfId="0" applyNumberFormat="1" applyFont="1" applyFill="1" applyBorder="1" applyAlignment="1">
      <alignment vertical="center" wrapText="1"/>
    </xf>
    <xf numFmtId="171" fontId="3" fillId="12" borderId="8" xfId="0" applyNumberFormat="1" applyFont="1" applyFill="1" applyBorder="1" applyAlignment="1">
      <alignment horizontal="center" vertical="center" wrapText="1"/>
    </xf>
    <xf numFmtId="0" fontId="3" fillId="12" borderId="8" xfId="0" applyFont="1" applyFill="1" applyBorder="1" applyAlignment="1">
      <alignment horizontal="center" vertical="center" wrapText="1"/>
    </xf>
    <xf numFmtId="0" fontId="2" fillId="0" borderId="0" xfId="0" applyFont="1" applyAlignment="1">
      <alignment vertical="center" wrapText="1"/>
    </xf>
    <xf numFmtId="3" fontId="2" fillId="0" borderId="0" xfId="0" applyNumberFormat="1" applyFont="1" applyAlignment="1">
      <alignment vertical="center" wrapText="1"/>
    </xf>
    <xf numFmtId="0" fontId="1" fillId="12" borderId="8" xfId="0" applyFont="1" applyFill="1" applyBorder="1" applyAlignment="1">
      <alignment horizontal="center" vertical="center" wrapText="1"/>
    </xf>
    <xf numFmtId="0" fontId="2" fillId="12" borderId="8" xfId="0" applyFont="1" applyFill="1" applyBorder="1" applyAlignment="1">
      <alignment horizontal="left" vertical="center" wrapText="1"/>
    </xf>
    <xf numFmtId="0" fontId="2" fillId="11" borderId="8" xfId="0" applyFont="1" applyFill="1" applyBorder="1" applyAlignment="1">
      <alignment horizontal="center" vertical="center" wrapText="1"/>
    </xf>
    <xf numFmtId="4" fontId="17" fillId="22" borderId="8" xfId="0" applyNumberFormat="1" applyFont="1" applyFill="1" applyBorder="1" applyAlignment="1">
      <alignment horizontal="center" vertical="center" wrapText="1"/>
    </xf>
    <xf numFmtId="4" fontId="17" fillId="12" borderId="8" xfId="0" applyNumberFormat="1" applyFont="1" applyFill="1" applyBorder="1" applyAlignment="1">
      <alignment horizontal="center" vertical="center" wrapText="1"/>
    </xf>
    <xf numFmtId="171" fontId="1" fillId="12" borderId="8" xfId="0" applyNumberFormat="1" applyFont="1" applyFill="1" applyBorder="1" applyAlignment="1">
      <alignment horizontal="center" vertical="center" wrapText="1"/>
    </xf>
    <xf numFmtId="0" fontId="3" fillId="12" borderId="22" xfId="0" applyFont="1" applyFill="1" applyBorder="1" applyAlignment="1">
      <alignment horizontal="center" vertical="center" wrapText="1"/>
    </xf>
    <xf numFmtId="0" fontId="2" fillId="12" borderId="22" xfId="0" applyFont="1" applyFill="1" applyBorder="1" applyAlignment="1">
      <alignment horizontal="center" vertical="center" wrapText="1"/>
    </xf>
    <xf numFmtId="0" fontId="18" fillId="4" borderId="0" xfId="0" applyFont="1" applyFill="1" applyAlignment="1">
      <alignment horizontal="center" vertical="center" wrapText="1"/>
    </xf>
    <xf numFmtId="0" fontId="3" fillId="11" borderId="8" xfId="0" applyFont="1" applyFill="1" applyBorder="1" applyAlignment="1">
      <alignment vertical="center" wrapText="1"/>
    </xf>
    <xf numFmtId="4" fontId="17" fillId="11" borderId="8" xfId="0" applyNumberFormat="1" applyFont="1" applyFill="1" applyBorder="1" applyAlignment="1">
      <alignment horizontal="center" vertical="center" wrapText="1"/>
    </xf>
    <xf numFmtId="171" fontId="3" fillId="11" borderId="8" xfId="0" applyNumberFormat="1" applyFont="1" applyFill="1" applyBorder="1" applyAlignment="1">
      <alignment horizontal="center" vertical="center" wrapText="1"/>
    </xf>
    <xf numFmtId="0" fontId="3" fillId="11" borderId="8" xfId="0" applyFont="1" applyFill="1" applyBorder="1" applyAlignment="1">
      <alignment horizontal="center" vertical="center" wrapText="1"/>
    </xf>
    <xf numFmtId="1" fontId="3" fillId="0" borderId="0" xfId="0" applyNumberFormat="1" applyFont="1" applyAlignment="1">
      <alignment vertical="center" wrapText="1"/>
    </xf>
    <xf numFmtId="172" fontId="3" fillId="18" borderId="8" xfId="0" applyNumberFormat="1" applyFont="1" applyFill="1" applyBorder="1" applyAlignment="1">
      <alignment horizontal="center" vertical="center" wrapText="1"/>
    </xf>
    <xf numFmtId="172" fontId="3" fillId="17" borderId="8" xfId="0" applyNumberFormat="1" applyFont="1" applyFill="1" applyBorder="1" applyAlignment="1">
      <alignment horizontal="center" vertical="center" wrapText="1"/>
    </xf>
    <xf numFmtId="0" fontId="2" fillId="19" borderId="22" xfId="0" applyFont="1" applyFill="1" applyBorder="1" applyAlignment="1">
      <alignment horizontal="center" vertical="center" wrapText="1"/>
    </xf>
    <xf numFmtId="0" fontId="3" fillId="19" borderId="22" xfId="0" applyFont="1" applyFill="1" applyBorder="1" applyAlignment="1">
      <alignment vertical="center" wrapText="1"/>
    </xf>
    <xf numFmtId="4" fontId="17" fillId="19" borderId="23" xfId="0" applyNumberFormat="1" applyFont="1" applyFill="1" applyBorder="1" applyAlignment="1">
      <alignment horizontal="center" vertical="center" wrapText="1"/>
    </xf>
    <xf numFmtId="171" fontId="3" fillId="19" borderId="22" xfId="0" applyNumberFormat="1" applyFont="1" applyFill="1" applyBorder="1" applyAlignment="1">
      <alignment horizontal="center" vertical="center" wrapText="1"/>
    </xf>
    <xf numFmtId="0" fontId="3" fillId="17" borderId="22" xfId="0" applyFont="1" applyFill="1" applyBorder="1" applyAlignment="1">
      <alignment horizontal="center" vertical="center" wrapText="1"/>
    </xf>
    <xf numFmtId="0" fontId="3" fillId="19" borderId="22" xfId="0" applyFont="1" applyFill="1" applyBorder="1" applyAlignment="1">
      <alignment horizontal="center" vertical="center" wrapText="1"/>
    </xf>
    <xf numFmtId="171" fontId="3" fillId="17" borderId="22" xfId="0" applyNumberFormat="1" applyFont="1" applyFill="1" applyBorder="1" applyAlignment="1">
      <alignment horizontal="center" vertical="center" wrapText="1"/>
    </xf>
    <xf numFmtId="4" fontId="17" fillId="7" borderId="8" xfId="0" applyNumberFormat="1" applyFont="1" applyFill="1" applyBorder="1" applyAlignment="1">
      <alignment horizontal="center" vertical="center" wrapText="1"/>
    </xf>
    <xf numFmtId="171" fontId="3" fillId="7" borderId="8" xfId="0" applyNumberFormat="1" applyFont="1" applyFill="1" applyBorder="1" applyAlignment="1">
      <alignment horizontal="center" vertical="center" wrapText="1"/>
    </xf>
    <xf numFmtId="0" fontId="3" fillId="7" borderId="8" xfId="0" applyFont="1" applyFill="1" applyBorder="1" applyAlignment="1">
      <alignment horizontal="center" vertical="center" wrapText="1"/>
    </xf>
    <xf numFmtId="0" fontId="2" fillId="17" borderId="8" xfId="0" applyFont="1" applyFill="1" applyBorder="1" applyAlignment="1">
      <alignment horizontal="center" vertical="center" wrapText="1"/>
    </xf>
    <xf numFmtId="0" fontId="3" fillId="17" borderId="24" xfId="0" applyFont="1" applyFill="1" applyBorder="1" applyAlignment="1">
      <alignment horizontal="center" vertical="center" wrapText="1"/>
    </xf>
    <xf numFmtId="0" fontId="2" fillId="17" borderId="20" xfId="0" applyFont="1" applyFill="1" applyBorder="1" applyAlignment="1">
      <alignment horizontal="center" vertical="center" wrapText="1"/>
    </xf>
    <xf numFmtId="0" fontId="1" fillId="7" borderId="10"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3" fillId="0" borderId="25" xfId="0" applyFont="1" applyBorder="1" applyAlignment="1">
      <alignment vertical="center" wrapText="1"/>
    </xf>
    <xf numFmtId="0" fontId="3" fillId="0" borderId="26" xfId="0" applyFont="1" applyBorder="1" applyAlignment="1">
      <alignment vertical="center" wrapText="1"/>
    </xf>
    <xf numFmtId="0" fontId="3" fillId="0" borderId="28" xfId="0" applyFont="1" applyBorder="1" applyAlignment="1">
      <alignment vertical="center" wrapText="1"/>
    </xf>
    <xf numFmtId="0" fontId="4" fillId="0" borderId="0" xfId="0" applyFont="1" applyAlignment="1" applyProtection="1">
      <alignment vertical="center" wrapText="1"/>
      <protection locked="0"/>
    </xf>
    <xf numFmtId="0" fontId="4" fillId="0" borderId="0" xfId="0" applyFont="1" applyAlignment="1">
      <alignment vertical="center" wrapText="1"/>
    </xf>
    <xf numFmtId="1" fontId="5" fillId="15" borderId="8" xfId="0" applyNumberFormat="1" applyFont="1" applyFill="1" applyBorder="1" applyAlignment="1" applyProtection="1">
      <alignment horizontal="center" vertical="center" wrapText="1"/>
      <protection locked="0"/>
    </xf>
    <xf numFmtId="170" fontId="5" fillId="15" borderId="8" xfId="0" applyNumberFormat="1" applyFont="1" applyFill="1" applyBorder="1" applyAlignment="1" applyProtection="1">
      <alignment horizontal="center" vertical="center" wrapText="1"/>
      <protection locked="0"/>
    </xf>
    <xf numFmtId="170" fontId="5" fillId="0" borderId="0" xfId="0" applyNumberFormat="1" applyFont="1" applyAlignment="1" applyProtection="1">
      <alignment horizontal="center" vertical="center" wrapText="1"/>
      <protection locked="0"/>
    </xf>
    <xf numFmtId="170" fontId="5" fillId="0" borderId="8" xfId="0" applyNumberFormat="1" applyFont="1" applyBorder="1" applyAlignment="1" applyProtection="1">
      <alignment horizontal="center" vertical="center" wrapText="1"/>
      <protection locked="0"/>
    </xf>
    <xf numFmtId="2" fontId="5" fillId="0" borderId="8" xfId="0" applyNumberFormat="1" applyFont="1" applyBorder="1" applyAlignment="1" applyProtection="1">
      <alignment horizontal="center" vertical="center" wrapText="1"/>
    </xf>
    <xf numFmtId="1" fontId="5" fillId="0" borderId="8" xfId="0" applyNumberFormat="1" applyFont="1" applyBorder="1" applyAlignment="1" applyProtection="1">
      <alignment horizontal="center" vertical="center" wrapText="1"/>
    </xf>
    <xf numFmtId="168" fontId="5" fillId="0" borderId="8" xfId="0" applyNumberFormat="1" applyFont="1" applyBorder="1" applyAlignment="1" applyProtection="1">
      <alignment horizontal="center" vertical="center" wrapText="1"/>
    </xf>
    <xf numFmtId="41" fontId="4" fillId="0" borderId="21" xfId="0" applyNumberFormat="1" applyFont="1" applyBorder="1" applyAlignment="1">
      <alignment vertical="center" wrapText="1"/>
    </xf>
    <xf numFmtId="180" fontId="5" fillId="0" borderId="21" xfId="0" applyNumberFormat="1" applyFont="1" applyBorder="1" applyAlignment="1">
      <alignment vertical="center" wrapText="1"/>
    </xf>
    <xf numFmtId="170" fontId="5" fillId="3" borderId="8" xfId="0" applyNumberFormat="1" applyFont="1" applyFill="1" applyBorder="1" applyAlignment="1" applyProtection="1">
      <alignment horizontal="center" vertical="center" wrapText="1"/>
      <protection locked="0"/>
    </xf>
    <xf numFmtId="170" fontId="5" fillId="6" borderId="8" xfId="0" applyNumberFormat="1" applyFont="1" applyFill="1" applyBorder="1" applyAlignment="1" applyProtection="1">
      <alignment horizontal="center" vertical="center" wrapText="1"/>
      <protection locked="0"/>
    </xf>
    <xf numFmtId="2" fontId="5" fillId="26" borderId="8" xfId="0" applyNumberFormat="1" applyFont="1" applyFill="1" applyBorder="1" applyAlignment="1" applyProtection="1">
      <alignment horizontal="center" vertical="center" wrapText="1"/>
    </xf>
    <xf numFmtId="1" fontId="5" fillId="6" borderId="8" xfId="0" applyNumberFormat="1" applyFont="1" applyFill="1" applyBorder="1" applyAlignment="1" applyProtection="1">
      <alignment horizontal="center" vertical="center" wrapText="1"/>
    </xf>
    <xf numFmtId="168" fontId="5" fillId="3" borderId="8" xfId="0" applyNumberFormat="1" applyFont="1" applyFill="1" applyBorder="1" applyAlignment="1" applyProtection="1">
      <alignment horizontal="center" vertical="center" wrapText="1"/>
    </xf>
    <xf numFmtId="168" fontId="5" fillId="6" borderId="8" xfId="0" applyNumberFormat="1" applyFont="1" applyFill="1" applyBorder="1" applyAlignment="1" applyProtection="1">
      <alignment horizontal="center" vertical="center" wrapText="1"/>
    </xf>
    <xf numFmtId="168" fontId="5" fillId="0" borderId="8" xfId="0" applyNumberFormat="1" applyFont="1" applyFill="1" applyBorder="1" applyAlignment="1" applyProtection="1">
      <alignment horizontal="center" vertical="center" wrapText="1"/>
    </xf>
    <xf numFmtId="170" fontId="5" fillId="28" borderId="8" xfId="0" applyNumberFormat="1" applyFont="1" applyFill="1" applyBorder="1" applyAlignment="1" applyProtection="1">
      <alignment horizontal="center" vertical="center" wrapText="1"/>
      <protection locked="0"/>
    </xf>
    <xf numFmtId="170" fontId="5" fillId="28" borderId="10" xfId="0" applyNumberFormat="1" applyFont="1" applyFill="1" applyBorder="1" applyAlignment="1" applyProtection="1">
      <alignment horizontal="center" vertical="center" wrapText="1"/>
      <protection locked="0"/>
    </xf>
    <xf numFmtId="170" fontId="5" fillId="0" borderId="10" xfId="0" applyNumberFormat="1" applyFont="1" applyBorder="1" applyAlignment="1" applyProtection="1">
      <alignment horizontal="center" vertical="center" wrapText="1"/>
      <protection locked="0"/>
    </xf>
    <xf numFmtId="168" fontId="5" fillId="26" borderId="8" xfId="0" applyNumberFormat="1" applyFont="1" applyFill="1" applyBorder="1" applyAlignment="1" applyProtection="1">
      <alignment horizontal="center" vertical="center" wrapText="1"/>
    </xf>
    <xf numFmtId="168" fontId="5" fillId="27" borderId="8" xfId="0" applyNumberFormat="1" applyFont="1" applyFill="1" applyBorder="1" applyAlignment="1" applyProtection="1">
      <alignment horizontal="center" vertical="center" wrapText="1"/>
    </xf>
    <xf numFmtId="168" fontId="5" fillId="29" borderId="8" xfId="0" applyNumberFormat="1" applyFont="1" applyFill="1" applyBorder="1" applyAlignment="1" applyProtection="1">
      <alignment horizontal="center" vertical="center" wrapText="1"/>
    </xf>
    <xf numFmtId="168" fontId="5" fillId="28" borderId="8" xfId="0" applyNumberFormat="1" applyFont="1" applyFill="1" applyBorder="1" applyAlignment="1" applyProtection="1">
      <alignment horizontal="center" vertical="center" wrapText="1"/>
    </xf>
    <xf numFmtId="1" fontId="5" fillId="0" borderId="8" xfId="0" applyNumberFormat="1" applyFont="1" applyBorder="1" applyAlignment="1" applyProtection="1">
      <alignment horizontal="center" vertical="center" wrapText="1"/>
      <protection locked="0"/>
    </xf>
    <xf numFmtId="170" fontId="5" fillId="16" borderId="8" xfId="0" applyNumberFormat="1" applyFont="1" applyFill="1" applyBorder="1" applyAlignment="1" applyProtection="1">
      <alignment horizontal="center" vertical="center" wrapText="1"/>
    </xf>
    <xf numFmtId="0" fontId="20" fillId="7" borderId="0" xfId="0" applyFont="1" applyFill="1" applyAlignment="1" applyProtection="1">
      <alignment horizontal="center" vertical="center" wrapText="1"/>
      <protection locked="0"/>
    </xf>
    <xf numFmtId="0" fontId="3" fillId="0" borderId="0" xfId="0" applyFont="1" applyAlignment="1" applyProtection="1">
      <alignment vertical="center" wrapText="1"/>
    </xf>
    <xf numFmtId="0" fontId="3" fillId="0" borderId="0" xfId="0" applyFont="1" applyAlignment="1" applyProtection="1">
      <alignment horizontal="justify" vertical="center" wrapText="1"/>
    </xf>
    <xf numFmtId="0" fontId="2" fillId="9" borderId="8" xfId="0" applyFont="1" applyFill="1" applyBorder="1" applyAlignment="1" applyProtection="1">
      <alignment horizontal="justify" vertical="center" wrapText="1"/>
    </xf>
    <xf numFmtId="0" fontId="2" fillId="9" borderId="8" xfId="0" applyFont="1" applyFill="1" applyBorder="1" applyAlignment="1" applyProtection="1">
      <alignment horizontal="center" vertical="center" wrapText="1"/>
    </xf>
    <xf numFmtId="168" fontId="2" fillId="9" borderId="8" xfId="0" applyNumberFormat="1" applyFont="1" applyFill="1" applyBorder="1" applyAlignment="1" applyProtection="1">
      <alignment horizontal="center" vertical="center" wrapText="1"/>
    </xf>
    <xf numFmtId="0" fontId="3" fillId="0" borderId="8" xfId="0" applyFont="1" applyBorder="1" applyAlignment="1" applyProtection="1">
      <alignment horizontal="center" vertical="center" wrapText="1"/>
      <protection locked="0"/>
    </xf>
    <xf numFmtId="167" fontId="1" fillId="0" borderId="8" xfId="0" applyNumberFormat="1" applyFont="1" applyBorder="1" applyAlignment="1" applyProtection="1">
      <alignment horizontal="right" vertical="center" wrapText="1"/>
    </xf>
    <xf numFmtId="167" fontId="3" fillId="10" borderId="8" xfId="0" applyNumberFormat="1" applyFont="1" applyFill="1" applyBorder="1" applyAlignment="1" applyProtection="1">
      <alignment horizontal="right" vertical="center" wrapText="1"/>
    </xf>
    <xf numFmtId="0" fontId="3" fillId="0" borderId="20" xfId="0" applyFont="1" applyBorder="1" applyAlignment="1">
      <alignment vertical="center" wrapText="1"/>
    </xf>
    <xf numFmtId="0" fontId="3" fillId="0" borderId="0" xfId="0" applyFont="1" applyAlignment="1" applyProtection="1">
      <alignment vertical="center" wrapText="1"/>
      <protection locked="0"/>
    </xf>
    <xf numFmtId="167" fontId="2" fillId="11" borderId="8" xfId="0" applyNumberFormat="1" applyFont="1" applyFill="1" applyBorder="1" applyAlignment="1" applyProtection="1">
      <alignment horizontal="right" vertical="center" wrapText="1"/>
    </xf>
    <xf numFmtId="167" fontId="2" fillId="9" borderId="8" xfId="0" applyNumberFormat="1" applyFont="1" applyFill="1" applyBorder="1" applyAlignment="1" applyProtection="1">
      <alignment horizontal="right" vertical="center" wrapText="1"/>
    </xf>
    <xf numFmtId="0" fontId="2" fillId="0" borderId="0" xfId="0" applyFont="1" applyAlignment="1" applyProtection="1">
      <alignment horizontal="justify" vertical="center" wrapText="1"/>
    </xf>
    <xf numFmtId="0" fontId="23" fillId="0" borderId="0" xfId="0" applyFont="1" applyAlignment="1" applyProtection="1">
      <alignment horizontal="center" vertical="center" wrapText="1"/>
    </xf>
    <xf numFmtId="168" fontId="23" fillId="0" borderId="0" xfId="0" applyNumberFormat="1" applyFont="1" applyAlignment="1" applyProtection="1">
      <alignment horizontal="right" vertical="center" wrapText="1"/>
    </xf>
    <xf numFmtId="167" fontId="2" fillId="9" borderId="8" xfId="0" applyNumberFormat="1" applyFont="1" applyFill="1" applyBorder="1" applyAlignment="1" applyProtection="1">
      <alignment vertical="center" wrapText="1"/>
    </xf>
    <xf numFmtId="0" fontId="3" fillId="0" borderId="0" xfId="0" applyFont="1" applyAlignment="1" applyProtection="1">
      <alignment horizontal="center" vertical="center" wrapText="1"/>
    </xf>
    <xf numFmtId="168" fontId="3" fillId="0" borderId="0" xfId="0" applyNumberFormat="1" applyFont="1" applyAlignment="1" applyProtection="1">
      <alignment horizontal="right" vertical="center" wrapText="1"/>
    </xf>
    <xf numFmtId="169" fontId="3" fillId="0" borderId="8" xfId="0" applyNumberFormat="1" applyFont="1" applyBorder="1" applyAlignment="1" applyProtection="1">
      <alignment horizontal="center" vertical="center" wrapText="1"/>
      <protection locked="0"/>
    </xf>
    <xf numFmtId="0" fontId="3" fillId="0" borderId="8" xfId="0" applyFont="1" applyBorder="1" applyAlignment="1" applyProtection="1">
      <alignment horizontal="justify" vertical="center" wrapText="1" shrinkToFit="1"/>
      <protection locked="0"/>
    </xf>
    <xf numFmtId="167" fontId="2" fillId="11" borderId="8" xfId="0" applyNumberFormat="1" applyFont="1" applyFill="1" applyBorder="1" applyAlignment="1" applyProtection="1">
      <alignment vertical="center" wrapText="1"/>
    </xf>
    <xf numFmtId="0" fontId="24" fillId="0" borderId="0" xfId="0" applyFont="1" applyAlignment="1" applyProtection="1">
      <alignment vertical="center" wrapText="1"/>
    </xf>
    <xf numFmtId="1" fontId="3" fillId="0" borderId="8" xfId="0" applyNumberFormat="1" applyFont="1" applyBorder="1" applyAlignment="1" applyProtection="1">
      <alignment horizontal="center" vertical="center" wrapText="1"/>
      <protection locked="0"/>
    </xf>
    <xf numFmtId="0" fontId="21" fillId="9" borderId="8" xfId="0" applyFont="1" applyFill="1" applyBorder="1" applyAlignment="1" applyProtection="1">
      <alignment horizontal="justify" vertical="center" wrapText="1"/>
    </xf>
    <xf numFmtId="4" fontId="3" fillId="12" borderId="8" xfId="0" applyNumberFormat="1" applyFont="1" applyFill="1" applyBorder="1" applyAlignment="1" applyProtection="1">
      <alignment horizontal="justify" vertical="center" wrapText="1"/>
    </xf>
    <xf numFmtId="4" fontId="2" fillId="9" borderId="8" xfId="0" applyNumberFormat="1" applyFont="1" applyFill="1" applyBorder="1" applyAlignment="1" applyProtection="1">
      <alignment horizontal="justify" vertical="center" wrapText="1"/>
    </xf>
    <xf numFmtId="4" fontId="3" fillId="0" borderId="0" xfId="0" applyNumberFormat="1" applyFont="1" applyAlignment="1" applyProtection="1">
      <alignment vertical="center" wrapText="1"/>
    </xf>
    <xf numFmtId="4" fontId="2" fillId="0" borderId="0" xfId="0" applyNumberFormat="1" applyFont="1" applyAlignment="1" applyProtection="1">
      <alignment horizontal="justify" vertical="center" wrapText="1"/>
    </xf>
    <xf numFmtId="4" fontId="23" fillId="0" borderId="0" xfId="0" applyNumberFormat="1" applyFont="1" applyAlignment="1" applyProtection="1">
      <alignment horizontal="right" vertical="center" wrapText="1"/>
    </xf>
    <xf numFmtId="4" fontId="2" fillId="11" borderId="8" xfId="0" applyNumberFormat="1" applyFont="1" applyFill="1" applyBorder="1" applyAlignment="1" applyProtection="1">
      <alignment horizontal="center" vertical="center" wrapText="1"/>
    </xf>
    <xf numFmtId="3" fontId="1" fillId="4" borderId="5" xfId="0" applyNumberFormat="1" applyFont="1" applyFill="1" applyBorder="1" applyAlignment="1" applyProtection="1">
      <alignment vertical="center" wrapText="1"/>
      <protection locked="0"/>
    </xf>
    <xf numFmtId="3" fontId="1" fillId="0" borderId="5" xfId="0" applyNumberFormat="1" applyFont="1" applyBorder="1" applyAlignment="1" applyProtection="1">
      <alignment vertical="center" wrapText="1"/>
      <protection locked="0"/>
    </xf>
    <xf numFmtId="3" fontId="1" fillId="0" borderId="5" xfId="0" applyNumberFormat="1" applyFont="1" applyFill="1" applyBorder="1" applyAlignment="1" applyProtection="1">
      <alignment vertical="center" wrapText="1"/>
      <protection locked="0"/>
    </xf>
    <xf numFmtId="0" fontId="1" fillId="4" borderId="5" xfId="0" applyFont="1" applyFill="1" applyBorder="1" applyAlignment="1" applyProtection="1">
      <alignment vertical="center" wrapText="1"/>
      <protection locked="0"/>
    </xf>
    <xf numFmtId="0" fontId="2" fillId="2" borderId="1" xfId="0" applyFont="1" applyFill="1" applyBorder="1" applyAlignment="1" applyProtection="1">
      <alignment horizontal="center" vertical="center" wrapText="1"/>
    </xf>
    <xf numFmtId="0" fontId="2" fillId="2" borderId="3"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3" fillId="3" borderId="4" xfId="0" applyFont="1" applyFill="1" applyBorder="1" applyAlignment="1" applyProtection="1">
      <alignment horizontal="center" vertical="center" wrapText="1"/>
    </xf>
    <xf numFmtId="0" fontId="3" fillId="3" borderId="6" xfId="0" applyFont="1" applyFill="1" applyBorder="1" applyAlignment="1" applyProtection="1">
      <alignment horizontal="center" vertical="center" wrapText="1"/>
    </xf>
    <xf numFmtId="0" fontId="2" fillId="5" borderId="6" xfId="0" applyFont="1" applyFill="1" applyBorder="1" applyAlignment="1" applyProtection="1">
      <alignment horizontal="center" vertical="center" wrapText="1"/>
    </xf>
    <xf numFmtId="0" fontId="2" fillId="5" borderId="8" xfId="0" applyFont="1" applyFill="1" applyBorder="1" applyAlignment="1" applyProtection="1">
      <alignment horizontal="center" vertical="center" wrapText="1"/>
    </xf>
    <xf numFmtId="0" fontId="2" fillId="5" borderId="5" xfId="0" applyFont="1" applyFill="1" applyBorder="1" applyAlignment="1" applyProtection="1">
      <alignment horizontal="center" vertical="center" wrapText="1"/>
    </xf>
    <xf numFmtId="0" fontId="3" fillId="6" borderId="8" xfId="0" applyFont="1" applyFill="1" applyBorder="1" applyAlignment="1" applyProtection="1">
      <alignment vertical="center" wrapText="1"/>
    </xf>
    <xf numFmtId="0" fontId="2" fillId="5" borderId="9" xfId="0" applyFont="1" applyFill="1" applyBorder="1" applyAlignment="1" applyProtection="1">
      <alignment horizontal="center" vertical="center" wrapText="1"/>
    </xf>
    <xf numFmtId="0" fontId="3" fillId="6" borderId="10" xfId="0" applyFont="1" applyFill="1" applyBorder="1" applyAlignment="1" applyProtection="1">
      <alignment vertical="center" wrapText="1"/>
    </xf>
    <xf numFmtId="0" fontId="3" fillId="4" borderId="0" xfId="0" applyFont="1" applyFill="1" applyAlignment="1" applyProtection="1">
      <alignment vertical="center" wrapText="1"/>
    </xf>
    <xf numFmtId="0" fontId="3" fillId="5" borderId="14" xfId="0"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8" borderId="6"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1" fillId="0" borderId="5" xfId="0" applyFont="1" applyBorder="1" applyAlignment="1" applyProtection="1">
      <alignment horizontal="center" vertical="center" wrapText="1"/>
      <protection locked="0"/>
    </xf>
    <xf numFmtId="165" fontId="1" fillId="0" borderId="5" xfId="0" applyNumberFormat="1" applyFont="1" applyBorder="1" applyAlignment="1" applyProtection="1">
      <alignment horizontal="left" vertical="center" wrapText="1"/>
      <protection locked="0"/>
    </xf>
    <xf numFmtId="164" fontId="1" fillId="0" borderId="15" xfId="0" applyNumberFormat="1" applyFont="1" applyBorder="1" applyAlignment="1" applyProtection="1">
      <alignment horizontal="center" vertical="center" wrapText="1"/>
      <protection locked="0"/>
    </xf>
    <xf numFmtId="1" fontId="1" fillId="4" borderId="17" xfId="0" applyNumberFormat="1" applyFont="1" applyFill="1" applyBorder="1" applyAlignment="1" applyProtection="1">
      <alignment horizontal="center" vertical="center" wrapText="1"/>
      <protection locked="0"/>
    </xf>
    <xf numFmtId="0" fontId="1" fillId="4" borderId="0" xfId="0" applyFont="1" applyFill="1" applyBorder="1" applyAlignment="1" applyProtection="1">
      <alignment vertical="center" wrapText="1"/>
      <protection locked="0"/>
    </xf>
    <xf numFmtId="0" fontId="2" fillId="4" borderId="17" xfId="0" applyFont="1" applyFill="1" applyBorder="1" applyAlignment="1" applyProtection="1">
      <alignment horizontal="center" vertical="center" wrapText="1"/>
      <protection locked="0"/>
    </xf>
    <xf numFmtId="10" fontId="1" fillId="4" borderId="17" xfId="0" applyNumberFormat="1" applyFont="1" applyFill="1" applyBorder="1" applyAlignment="1" applyProtection="1">
      <alignment horizontal="center" vertical="center" wrapText="1"/>
      <protection locked="0"/>
    </xf>
    <xf numFmtId="10" fontId="1" fillId="4" borderId="18" xfId="0" applyNumberFormat="1" applyFont="1" applyFill="1" applyBorder="1" applyAlignment="1" applyProtection="1">
      <alignment horizontal="center" vertical="center" wrapText="1"/>
      <protection locked="0"/>
    </xf>
    <xf numFmtId="10" fontId="1" fillId="0" borderId="5" xfId="0" applyNumberFormat="1" applyFont="1" applyBorder="1" applyAlignment="1" applyProtection="1">
      <alignment horizontal="center" vertical="center" wrapText="1"/>
      <protection locked="0"/>
    </xf>
    <xf numFmtId="10" fontId="2" fillId="8" borderId="5" xfId="0" applyNumberFormat="1" applyFont="1" applyFill="1" applyBorder="1" applyAlignment="1" applyProtection="1">
      <alignment horizontal="center" vertical="center" wrapText="1"/>
    </xf>
    <xf numFmtId="0" fontId="2" fillId="0" borderId="0" xfId="0" applyFont="1" applyAlignment="1" applyProtection="1">
      <alignment horizontal="right" vertical="center" wrapText="1"/>
    </xf>
    <xf numFmtId="10" fontId="2" fillId="0" borderId="0" xfId="0" applyNumberFormat="1" applyFont="1" applyAlignment="1" applyProtection="1">
      <alignment horizontal="center" vertical="center" wrapText="1"/>
    </xf>
    <xf numFmtId="166" fontId="2" fillId="0" borderId="0" xfId="0" applyNumberFormat="1" applyFont="1" applyAlignment="1" applyProtection="1">
      <alignment horizontal="center" vertical="center" wrapText="1"/>
    </xf>
    <xf numFmtId="10" fontId="1" fillId="0" borderId="15" xfId="0" applyNumberFormat="1" applyFont="1" applyBorder="1" applyAlignment="1" applyProtection="1">
      <alignment horizontal="center" vertical="center" wrapText="1"/>
      <protection locked="0"/>
    </xf>
    <xf numFmtId="167" fontId="1" fillId="4" borderId="19" xfId="0" applyNumberFormat="1" applyFont="1" applyFill="1" applyBorder="1" applyAlignment="1" applyProtection="1">
      <alignment horizontal="center" vertical="center" wrapText="1"/>
      <protection locked="0"/>
    </xf>
    <xf numFmtId="167" fontId="1" fillId="4" borderId="18" xfId="0" applyNumberFormat="1" applyFont="1" applyFill="1" applyBorder="1" applyAlignment="1" applyProtection="1">
      <alignment horizontal="center" vertical="center" wrapText="1"/>
      <protection locked="0"/>
    </xf>
    <xf numFmtId="0" fontId="2" fillId="5" borderId="6" xfId="1" applyFont="1" applyFill="1" applyBorder="1" applyAlignment="1" applyProtection="1">
      <alignment horizontal="center" vertical="center" wrapText="1"/>
    </xf>
    <xf numFmtId="0" fontId="2" fillId="5" borderId="14" xfId="1" applyFont="1" applyFill="1" applyBorder="1" applyAlignment="1" applyProtection="1">
      <alignment horizontal="center" vertical="center" wrapText="1"/>
    </xf>
    <xf numFmtId="0" fontId="0" fillId="0" borderId="31" xfId="0" applyFont="1" applyBorder="1" applyAlignment="1">
      <alignment vertical="center" wrapText="1"/>
    </xf>
    <xf numFmtId="0" fontId="0" fillId="0" borderId="0" xfId="0" applyFont="1" applyBorder="1" applyAlignment="1">
      <alignment vertical="center" wrapText="1"/>
    </xf>
    <xf numFmtId="0" fontId="0" fillId="0" borderId="38" xfId="0" applyFont="1" applyBorder="1" applyAlignment="1">
      <alignment vertical="center" wrapText="1"/>
    </xf>
    <xf numFmtId="14" fontId="1" fillId="22" borderId="31" xfId="0" applyNumberFormat="1" applyFont="1" applyFill="1" applyBorder="1" applyAlignment="1">
      <alignment horizontal="center" vertical="center" wrapText="1"/>
    </xf>
    <xf numFmtId="0" fontId="2" fillId="9" borderId="20" xfId="0" applyFont="1" applyFill="1" applyBorder="1" applyAlignment="1" applyProtection="1">
      <alignment horizontal="justify" vertical="center" wrapText="1"/>
    </xf>
    <xf numFmtId="0" fontId="3" fillId="0" borderId="20" xfId="0" applyFont="1" applyBorder="1" applyAlignment="1" applyProtection="1">
      <alignment horizontal="justify" vertical="center" wrapText="1"/>
      <protection locked="0"/>
    </xf>
    <xf numFmtId="0" fontId="22" fillId="0" borderId="20" xfId="0" applyFont="1" applyBorder="1" applyAlignment="1" applyProtection="1">
      <alignment horizontal="justify" vertical="center" wrapText="1"/>
      <protection locked="0"/>
    </xf>
    <xf numFmtId="0" fontId="3" fillId="0" borderId="8" xfId="0" applyFont="1" applyBorder="1" applyAlignment="1">
      <alignment horizontal="center" vertical="center" wrapText="1"/>
    </xf>
    <xf numFmtId="0" fontId="3" fillId="32" borderId="0" xfId="0" applyFont="1" applyFill="1" applyAlignment="1">
      <alignment vertical="center" wrapText="1"/>
    </xf>
    <xf numFmtId="0" fontId="2" fillId="33" borderId="8" xfId="0" applyFont="1" applyFill="1" applyBorder="1" applyAlignment="1" applyProtection="1">
      <alignment horizontal="justify" vertical="center" wrapText="1"/>
    </xf>
    <xf numFmtId="0" fontId="2" fillId="33" borderId="8" xfId="0" applyFont="1" applyFill="1" applyBorder="1" applyAlignment="1" applyProtection="1">
      <alignment horizontal="center" vertical="center" wrapText="1"/>
    </xf>
    <xf numFmtId="168" fontId="2" fillId="33" borderId="8" xfId="0" applyNumberFormat="1" applyFont="1" applyFill="1" applyBorder="1" applyAlignment="1" applyProtection="1">
      <alignment horizontal="center" vertical="center" wrapText="1"/>
    </xf>
    <xf numFmtId="0" fontId="3" fillId="32" borderId="8" xfId="0" applyFont="1" applyFill="1" applyBorder="1" applyAlignment="1">
      <alignment horizontal="center" vertical="center" wrapText="1"/>
    </xf>
    <xf numFmtId="0" fontId="8" fillId="32" borderId="8" xfId="0" applyFont="1" applyFill="1" applyBorder="1" applyAlignment="1">
      <alignment horizontal="center" vertical="center" wrapText="1"/>
    </xf>
    <xf numFmtId="0" fontId="3" fillId="32" borderId="0" xfId="0" applyFont="1" applyFill="1" applyAlignment="1">
      <alignment horizontal="center" vertical="center" wrapText="1"/>
    </xf>
    <xf numFmtId="0" fontId="8" fillId="32" borderId="8" xfId="0" applyFont="1" applyFill="1" applyBorder="1" applyAlignment="1">
      <alignment vertical="center" wrapText="1"/>
    </xf>
    <xf numFmtId="0" fontId="1" fillId="0" borderId="5" xfId="0" applyFont="1" applyBorder="1" applyAlignment="1" applyProtection="1">
      <alignment horizontal="center" vertical="center" wrapText="1"/>
      <protection locked="0"/>
    </xf>
    <xf numFmtId="10" fontId="1" fillId="4" borderId="5" xfId="0" applyNumberFormat="1" applyFont="1" applyFill="1" applyBorder="1" applyAlignment="1" applyProtection="1">
      <alignment horizontal="center" vertical="center" wrapText="1"/>
      <protection locked="0"/>
    </xf>
    <xf numFmtId="10" fontId="1" fillId="4" borderId="15" xfId="0" applyNumberFormat="1"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167" fontId="1" fillId="4" borderId="5" xfId="0" applyNumberFormat="1" applyFont="1" applyFill="1" applyBorder="1" applyAlignment="1" applyProtection="1">
      <alignment horizontal="center" vertical="center" wrapText="1"/>
      <protection locked="0"/>
    </xf>
    <xf numFmtId="0" fontId="1" fillId="4" borderId="15"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9" fontId="1" fillId="4" borderId="15" xfId="0" applyNumberFormat="1" applyFont="1" applyFill="1" applyBorder="1" applyAlignment="1" applyProtection="1">
      <alignment horizontal="center" vertical="center" wrapText="1"/>
      <protection locked="0"/>
    </xf>
    <xf numFmtId="0" fontId="2" fillId="8" borderId="6" xfId="0" applyFont="1" applyFill="1" applyBorder="1" applyAlignment="1" applyProtection="1">
      <alignment horizontal="left" vertical="center" wrapText="1"/>
    </xf>
    <xf numFmtId="0" fontId="2" fillId="8" borderId="14" xfId="0" applyFont="1" applyFill="1" applyBorder="1" applyAlignment="1" applyProtection="1">
      <alignment horizontal="left" vertical="center" wrapText="1"/>
    </xf>
    <xf numFmtId="0" fontId="2" fillId="8" borderId="13" xfId="0" applyFont="1" applyFill="1" applyBorder="1" applyAlignment="1" applyProtection="1">
      <alignment horizontal="center" vertical="center" wrapText="1"/>
    </xf>
    <xf numFmtId="0" fontId="2" fillId="5" borderId="6" xfId="0"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8" borderId="16" xfId="0" applyFont="1" applyFill="1" applyBorder="1" applyAlignment="1" applyProtection="1">
      <alignment horizontal="center" vertical="center" wrapText="1"/>
    </xf>
    <xf numFmtId="0" fontId="1" fillId="0" borderId="5" xfId="0" applyFont="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164" fontId="1" fillId="4" borderId="5" xfId="0" applyNumberFormat="1"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xf>
    <xf numFmtId="0" fontId="1" fillId="5" borderId="12" xfId="0" applyFont="1" applyFill="1" applyBorder="1" applyAlignment="1" applyProtection="1">
      <alignment horizontal="center" vertical="center" wrapText="1"/>
    </xf>
    <xf numFmtId="0" fontId="1" fillId="0" borderId="5" xfId="0" applyFont="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5" borderId="13" xfId="1" applyFont="1" applyFill="1" applyBorder="1" applyAlignment="1" applyProtection="1">
      <alignment horizontal="center" vertical="center" wrapText="1"/>
    </xf>
    <xf numFmtId="10" fontId="1" fillId="4" borderId="5" xfId="1" applyNumberFormat="1" applyFont="1" applyFill="1" applyBorder="1" applyAlignment="1" applyProtection="1">
      <alignment horizontal="center" vertical="center" wrapText="1"/>
      <protection locked="0"/>
    </xf>
    <xf numFmtId="10" fontId="1" fillId="4" borderId="15" xfId="1" applyNumberFormat="1" applyFont="1" applyFill="1" applyBorder="1" applyAlignment="1" applyProtection="1">
      <alignment horizontal="center" vertical="center" wrapText="1"/>
      <protection locked="0"/>
    </xf>
    <xf numFmtId="0" fontId="2" fillId="5" borderId="47" xfId="1" applyFont="1" applyFill="1" applyBorder="1" applyAlignment="1" applyProtection="1">
      <alignment horizontal="center" vertical="center" wrapText="1"/>
    </xf>
    <xf numFmtId="0" fontId="2" fillId="5" borderId="32" xfId="1" applyFont="1" applyFill="1" applyBorder="1" applyAlignment="1" applyProtection="1">
      <alignment horizontal="center" vertical="center" wrapText="1"/>
    </xf>
    <xf numFmtId="0" fontId="2" fillId="5" borderId="17" xfId="1" applyFont="1" applyFill="1" applyBorder="1" applyAlignment="1" applyProtection="1">
      <alignment horizontal="center" vertical="center" wrapText="1"/>
    </xf>
    <xf numFmtId="0" fontId="2" fillId="0" borderId="0" xfId="0" applyFont="1" applyBorder="1" applyAlignment="1" applyProtection="1">
      <alignment horizontal="center" vertical="center" wrapText="1"/>
    </xf>
    <xf numFmtId="0" fontId="1" fillId="0" borderId="0" xfId="0" applyFont="1" applyBorder="1" applyAlignment="1" applyProtection="1">
      <alignment horizontal="center" vertical="center" wrapText="1"/>
      <protection locked="0"/>
    </xf>
    <xf numFmtId="0" fontId="12" fillId="0" borderId="0" xfId="0" applyFont="1" applyBorder="1" applyAlignment="1" applyProtection="1">
      <alignment horizontal="center" vertical="center" wrapText="1"/>
    </xf>
    <xf numFmtId="0" fontId="2" fillId="2" borderId="2" xfId="0" applyFont="1" applyFill="1" applyBorder="1" applyAlignment="1" applyProtection="1">
      <alignment horizontal="center" vertical="center" wrapText="1"/>
    </xf>
    <xf numFmtId="0" fontId="17" fillId="4" borderId="5" xfId="0" applyFont="1" applyFill="1" applyBorder="1" applyAlignment="1" applyProtection="1">
      <alignment horizontal="center" vertical="center" wrapText="1"/>
      <protection locked="0"/>
    </xf>
    <xf numFmtId="49" fontId="1" fillId="4" borderId="5" xfId="0" applyNumberFormat="1" applyFont="1" applyFill="1" applyBorder="1" applyAlignment="1" applyProtection="1">
      <alignment horizontal="center" vertical="center" wrapText="1"/>
      <protection locked="0"/>
    </xf>
    <xf numFmtId="0" fontId="2" fillId="9" borderId="8" xfId="0" applyFont="1" applyFill="1" applyBorder="1" applyAlignment="1" applyProtection="1">
      <alignment horizontal="center" vertical="center" wrapText="1"/>
    </xf>
    <xf numFmtId="0" fontId="3" fillId="3" borderId="8" xfId="0" applyFont="1" applyFill="1" applyBorder="1" applyAlignment="1" applyProtection="1">
      <alignment horizontal="left" vertical="center" wrapText="1"/>
    </xf>
    <xf numFmtId="4" fontId="2" fillId="0" borderId="8" xfId="0" applyNumberFormat="1" applyFont="1" applyBorder="1" applyAlignment="1" applyProtection="1">
      <alignment horizontal="center" vertical="center" wrapText="1"/>
    </xf>
    <xf numFmtId="168" fontId="3" fillId="0" borderId="8" xfId="0" applyNumberFormat="1" applyFont="1" applyBorder="1" applyAlignment="1" applyProtection="1">
      <alignment horizontal="right" vertical="center" wrapText="1"/>
    </xf>
    <xf numFmtId="167" fontId="2" fillId="9" borderId="8" xfId="0" applyNumberFormat="1" applyFont="1" applyFill="1" applyBorder="1" applyAlignment="1" applyProtection="1">
      <alignment horizontal="right" vertical="center" wrapText="1"/>
    </xf>
    <xf numFmtId="4" fontId="3" fillId="0" borderId="8" xfId="0" applyNumberFormat="1" applyFont="1" applyBorder="1" applyAlignment="1" applyProtection="1">
      <alignment horizontal="center" vertical="center" wrapText="1"/>
    </xf>
    <xf numFmtId="167" fontId="3" fillId="12" borderId="8" xfId="0" applyNumberFormat="1" applyFont="1" applyFill="1" applyBorder="1" applyAlignment="1" applyProtection="1">
      <alignment horizontal="right" vertical="center" wrapText="1"/>
    </xf>
    <xf numFmtId="0" fontId="3" fillId="0" borderId="0" xfId="0" applyFont="1" applyBorder="1" applyAlignment="1" applyProtection="1">
      <alignment horizontal="center" vertical="center" wrapText="1"/>
    </xf>
    <xf numFmtId="0" fontId="21" fillId="9" borderId="8" xfId="0" applyFont="1" applyFill="1" applyBorder="1" applyAlignment="1" applyProtection="1">
      <alignment horizontal="center" vertical="center" wrapText="1"/>
    </xf>
    <xf numFmtId="0" fontId="2" fillId="9" borderId="24" xfId="0" applyFont="1" applyFill="1" applyBorder="1" applyAlignment="1" applyProtection="1">
      <alignment horizontal="center" vertical="center" wrapText="1"/>
    </xf>
    <xf numFmtId="0" fontId="2" fillId="9" borderId="32" xfId="0" applyFont="1" applyFill="1" applyBorder="1" applyAlignment="1" applyProtection="1">
      <alignment horizontal="center" vertical="center" wrapText="1"/>
    </xf>
    <xf numFmtId="0" fontId="2" fillId="9" borderId="20" xfId="0" applyFont="1" applyFill="1" applyBorder="1" applyAlignment="1" applyProtection="1">
      <alignment horizontal="center" vertical="center" wrapText="1"/>
    </xf>
    <xf numFmtId="0" fontId="3" fillId="0" borderId="25" xfId="0" applyFont="1" applyBorder="1" applyAlignment="1" applyProtection="1">
      <alignment horizontal="center" vertical="center" wrapText="1"/>
    </xf>
    <xf numFmtId="0" fontId="24" fillId="0" borderId="0" xfId="0" applyFont="1" applyBorder="1" applyAlignment="1" applyProtection="1">
      <alignment horizontal="center" vertical="center" wrapText="1"/>
    </xf>
    <xf numFmtId="0" fontId="2" fillId="11" borderId="24" xfId="0" applyFont="1" applyFill="1" applyBorder="1" applyAlignment="1" applyProtection="1">
      <alignment horizontal="center" vertical="center" wrapText="1"/>
    </xf>
    <xf numFmtId="0" fontId="2" fillId="11" borderId="32" xfId="0" applyFont="1" applyFill="1" applyBorder="1" applyAlignment="1" applyProtection="1">
      <alignment horizontal="center" vertical="center" wrapText="1"/>
    </xf>
    <xf numFmtId="0" fontId="2" fillId="11" borderId="20" xfId="0" applyFont="1" applyFill="1" applyBorder="1" applyAlignment="1" applyProtection="1">
      <alignment horizontal="center" vertical="center" wrapText="1"/>
    </xf>
    <xf numFmtId="0" fontId="2" fillId="11" borderId="31" xfId="0" applyFont="1" applyFill="1" applyBorder="1" applyAlignment="1" applyProtection="1">
      <alignment horizontal="center" vertical="center" wrapText="1"/>
    </xf>
    <xf numFmtId="0" fontId="2" fillId="11" borderId="30" xfId="0" applyFont="1" applyFill="1" applyBorder="1" applyAlignment="1" applyProtection="1">
      <alignment horizontal="center" vertical="center" wrapText="1"/>
    </xf>
    <xf numFmtId="0" fontId="2" fillId="9" borderId="0" xfId="0" applyFont="1" applyFill="1" applyBorder="1" applyAlignment="1" applyProtection="1">
      <alignment horizontal="center" vertical="center" wrapText="1"/>
    </xf>
    <xf numFmtId="0" fontId="2" fillId="9" borderId="26" xfId="0" applyFont="1" applyFill="1" applyBorder="1" applyAlignment="1" applyProtection="1">
      <alignment horizontal="center" vertical="center" wrapText="1"/>
    </xf>
    <xf numFmtId="0" fontId="2" fillId="0" borderId="29"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2" fillId="0" borderId="30" xfId="0" applyFont="1" applyBorder="1" applyAlignment="1" applyProtection="1">
      <alignment horizontal="center" vertical="center" wrapText="1"/>
    </xf>
    <xf numFmtId="0" fontId="2" fillId="0" borderId="25" xfId="0" applyFont="1" applyBorder="1" applyAlignment="1" applyProtection="1">
      <alignment horizontal="center" vertical="center" wrapText="1"/>
    </xf>
    <xf numFmtId="0" fontId="2" fillId="0" borderId="26" xfId="0" applyFont="1" applyBorder="1" applyAlignment="1" applyProtection="1">
      <alignment horizontal="center" vertical="center" wrapText="1"/>
    </xf>
    <xf numFmtId="0" fontId="1" fillId="0" borderId="25"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26" xfId="0" applyFont="1" applyBorder="1" applyAlignment="1" applyProtection="1">
      <alignment horizontal="center" vertical="center" wrapText="1"/>
    </xf>
    <xf numFmtId="0" fontId="21" fillId="0" borderId="27" xfId="0" applyFont="1" applyBorder="1" applyAlignment="1" applyProtection="1">
      <alignment horizontal="center" vertical="center" wrapText="1"/>
    </xf>
    <xf numFmtId="0" fontId="21" fillId="0" borderId="38" xfId="0" applyFont="1" applyBorder="1" applyAlignment="1" applyProtection="1">
      <alignment horizontal="center" vertical="center" wrapText="1"/>
    </xf>
    <xf numFmtId="0" fontId="21" fillId="0" borderId="28" xfId="0" applyFont="1" applyBorder="1" applyAlignment="1" applyProtection="1">
      <alignment horizontal="center" vertical="center" wrapText="1"/>
    </xf>
    <xf numFmtId="1" fontId="5" fillId="8" borderId="8" xfId="0" applyNumberFormat="1" applyFont="1" applyFill="1" applyBorder="1" applyAlignment="1" applyProtection="1">
      <alignment horizontal="center" vertical="center" wrapText="1"/>
      <protection locked="0"/>
    </xf>
    <xf numFmtId="170" fontId="5" fillId="3" borderId="8" xfId="0" applyNumberFormat="1" applyFont="1" applyFill="1" applyBorder="1" applyAlignment="1" applyProtection="1">
      <alignment horizontal="center" vertical="center" wrapText="1"/>
      <protection locked="0"/>
    </xf>
    <xf numFmtId="168" fontId="5" fillId="3" borderId="8" xfId="0" applyNumberFormat="1" applyFont="1" applyFill="1" applyBorder="1" applyAlignment="1" applyProtection="1">
      <alignment horizontal="center" vertical="center" wrapText="1"/>
    </xf>
    <xf numFmtId="1" fontId="5" fillId="16" borderId="8" xfId="0" applyNumberFormat="1" applyFont="1" applyFill="1" applyBorder="1" applyAlignment="1" applyProtection="1">
      <alignment horizontal="center" vertical="center" wrapText="1"/>
      <protection locked="0"/>
    </xf>
    <xf numFmtId="1" fontId="5" fillId="0" borderId="8" xfId="0" applyNumberFormat="1" applyFont="1" applyBorder="1" applyAlignment="1" applyProtection="1">
      <alignment horizontal="center" vertical="center" wrapText="1"/>
      <protection locked="0"/>
    </xf>
    <xf numFmtId="170" fontId="5" fillId="0" borderId="8" xfId="0" applyNumberFormat="1" applyFont="1" applyBorder="1" applyAlignment="1" applyProtection="1">
      <alignment horizontal="center" vertical="center" wrapText="1"/>
      <protection locked="0"/>
    </xf>
    <xf numFmtId="168" fontId="5" fillId="0" borderId="8" xfId="0" applyNumberFormat="1" applyFont="1" applyBorder="1" applyAlignment="1" applyProtection="1">
      <alignment horizontal="center" vertical="center" wrapText="1"/>
    </xf>
    <xf numFmtId="1" fontId="5" fillId="6" borderId="8" xfId="0" applyNumberFormat="1" applyFont="1" applyFill="1" applyBorder="1" applyAlignment="1" applyProtection="1">
      <alignment horizontal="center" vertical="center" wrapText="1"/>
      <protection locked="0"/>
    </xf>
    <xf numFmtId="170" fontId="5" fillId="6" borderId="8" xfId="0" applyNumberFormat="1" applyFont="1" applyFill="1" applyBorder="1" applyAlignment="1" applyProtection="1">
      <alignment horizontal="center" vertical="center" wrapText="1"/>
      <protection locked="0"/>
    </xf>
    <xf numFmtId="168" fontId="5" fillId="6" borderId="8" xfId="0" applyNumberFormat="1" applyFont="1" applyFill="1" applyBorder="1" applyAlignment="1" applyProtection="1">
      <alignment horizontal="center" vertical="center" wrapText="1"/>
    </xf>
    <xf numFmtId="170" fontId="5" fillId="15" borderId="8" xfId="0" applyNumberFormat="1" applyFont="1" applyFill="1" applyBorder="1" applyAlignment="1" applyProtection="1">
      <alignment horizontal="center" vertical="center" wrapText="1"/>
      <protection locked="0"/>
    </xf>
    <xf numFmtId="1" fontId="5" fillId="15" borderId="8" xfId="0" applyNumberFormat="1" applyFont="1" applyFill="1" applyBorder="1" applyAlignment="1" applyProtection="1">
      <alignment horizontal="center" vertical="center" wrapText="1"/>
      <protection locked="0"/>
    </xf>
    <xf numFmtId="0" fontId="4" fillId="13" borderId="8" xfId="0" applyFont="1" applyFill="1" applyBorder="1" applyAlignment="1" applyProtection="1">
      <alignment vertical="center" wrapText="1"/>
      <protection locked="0"/>
    </xf>
    <xf numFmtId="0" fontId="4" fillId="14" borderId="8" xfId="0" applyFont="1" applyFill="1" applyBorder="1" applyAlignment="1" applyProtection="1">
      <alignment horizontal="center" vertical="center" wrapText="1"/>
      <protection locked="0"/>
    </xf>
    <xf numFmtId="0" fontId="4" fillId="7" borderId="8" xfId="0" applyFont="1" applyFill="1" applyBorder="1" applyAlignment="1" applyProtection="1">
      <alignment horizontal="center" vertical="center" wrapText="1"/>
      <protection locked="0"/>
    </xf>
    <xf numFmtId="0" fontId="5" fillId="7" borderId="20" xfId="0" applyFont="1" applyFill="1" applyBorder="1" applyAlignment="1" applyProtection="1">
      <alignment horizontal="center" vertical="center" wrapText="1"/>
      <protection locked="0"/>
    </xf>
    <xf numFmtId="0" fontId="3" fillId="0" borderId="23" xfId="0" applyFont="1" applyBorder="1" applyAlignment="1">
      <alignment horizontal="center" vertical="center" wrapText="1"/>
    </xf>
    <xf numFmtId="0" fontId="3" fillId="0" borderId="27" xfId="0" applyFont="1" applyBorder="1" applyAlignment="1">
      <alignment vertical="center" wrapText="1"/>
    </xf>
    <xf numFmtId="0" fontId="2" fillId="7" borderId="8" xfId="0" applyFont="1" applyFill="1" applyBorder="1" applyAlignment="1">
      <alignment horizontal="center" vertical="center" wrapText="1"/>
    </xf>
    <xf numFmtId="0" fontId="2" fillId="21" borderId="10" xfId="0" applyFont="1" applyFill="1" applyBorder="1" applyAlignment="1">
      <alignment vertical="center" wrapText="1"/>
    </xf>
    <xf numFmtId="0" fontId="3" fillId="0" borderId="23" xfId="0" applyFont="1" applyBorder="1" applyAlignment="1">
      <alignment horizontal="left" vertical="center" wrapText="1"/>
    </xf>
    <xf numFmtId="0" fontId="3" fillId="21" borderId="23" xfId="0" applyFont="1" applyFill="1" applyBorder="1" applyAlignment="1">
      <alignment horizontal="left" vertical="center" wrapText="1"/>
    </xf>
    <xf numFmtId="0" fontId="2" fillId="11" borderId="8" xfId="0" applyFont="1" applyFill="1" applyBorder="1" applyAlignment="1">
      <alignment horizontal="center" vertical="center" wrapText="1"/>
    </xf>
    <xf numFmtId="0" fontId="2" fillId="18" borderId="8" xfId="0" applyFont="1" applyFill="1" applyBorder="1" applyAlignment="1">
      <alignment horizontal="center" vertical="center" wrapText="1"/>
    </xf>
    <xf numFmtId="0" fontId="2" fillId="7" borderId="24" xfId="0" applyFont="1" applyFill="1" applyBorder="1" applyAlignment="1">
      <alignment horizontal="center" vertical="center" wrapText="1"/>
    </xf>
    <xf numFmtId="0" fontId="2" fillId="7" borderId="10" xfId="0" applyFont="1" applyFill="1" applyBorder="1" applyAlignment="1">
      <alignment horizontal="right" vertical="center" wrapText="1"/>
    </xf>
    <xf numFmtId="0" fontId="2" fillId="20" borderId="10" xfId="0" applyFont="1" applyFill="1" applyBorder="1" applyAlignment="1">
      <alignment horizontal="right" vertical="center" wrapText="1"/>
    </xf>
    <xf numFmtId="171" fontId="1" fillId="20" borderId="8" xfId="0" applyNumberFormat="1" applyFont="1" applyFill="1" applyBorder="1" applyAlignment="1">
      <alignment horizontal="center" vertical="center" wrapText="1"/>
    </xf>
    <xf numFmtId="0" fontId="2" fillId="0" borderId="0" xfId="0" applyFont="1" applyBorder="1" applyAlignment="1">
      <alignment horizontal="center" vertical="center" wrapText="1"/>
    </xf>
    <xf numFmtId="0" fontId="1" fillId="0" borderId="0" xfId="0" applyFont="1" applyBorder="1" applyAlignment="1">
      <alignment horizontal="center" vertical="center" wrapText="1"/>
    </xf>
    <xf numFmtId="0" fontId="12" fillId="4" borderId="0" xfId="0" applyFont="1" applyFill="1" applyBorder="1" applyAlignment="1">
      <alignment horizontal="center" vertical="center" wrapText="1"/>
    </xf>
    <xf numFmtId="0" fontId="2" fillId="12" borderId="8" xfId="0" applyFont="1" applyFill="1" applyBorder="1" applyAlignment="1">
      <alignment horizontal="center" vertical="center" wrapText="1"/>
    </xf>
    <xf numFmtId="0" fontId="1" fillId="0" borderId="22" xfId="0" applyFont="1" applyBorder="1" applyAlignment="1">
      <alignment horizontal="left" vertical="center" wrapText="1"/>
    </xf>
    <xf numFmtId="0" fontId="2" fillId="12" borderId="24" xfId="0" applyFont="1" applyFill="1" applyBorder="1" applyAlignment="1">
      <alignment horizontal="center" vertical="center" wrapText="1"/>
    </xf>
    <xf numFmtId="171" fontId="1" fillId="12" borderId="8" xfId="0" applyNumberFormat="1" applyFont="1" applyFill="1" applyBorder="1" applyAlignment="1">
      <alignment horizontal="center" vertical="center" wrapText="1"/>
    </xf>
    <xf numFmtId="0" fontId="3" fillId="0" borderId="22" xfId="0" applyFont="1" applyBorder="1" applyAlignment="1">
      <alignment horizontal="left" vertical="center" wrapText="1"/>
    </xf>
    <xf numFmtId="0" fontId="2" fillId="10" borderId="10" xfId="0" applyFont="1" applyFill="1" applyBorder="1" applyAlignment="1">
      <alignment horizontal="center" vertical="center" wrapText="1"/>
    </xf>
    <xf numFmtId="0" fontId="2" fillId="12" borderId="8" xfId="0" applyFont="1" applyFill="1" applyBorder="1" applyAlignment="1">
      <alignment horizontal="right" vertical="center" wrapText="1"/>
    </xf>
    <xf numFmtId="0" fontId="2" fillId="22" borderId="8" xfId="0" applyFont="1" applyFill="1" applyBorder="1" applyAlignment="1">
      <alignment horizontal="right" vertical="center" wrapText="1"/>
    </xf>
    <xf numFmtId="174" fontId="2" fillId="22" borderId="8" xfId="0" applyNumberFormat="1" applyFont="1" applyFill="1" applyBorder="1" applyAlignment="1">
      <alignment horizontal="right" vertical="center" wrapText="1"/>
    </xf>
    <xf numFmtId="0" fontId="1" fillId="4" borderId="8" xfId="0" applyFont="1" applyFill="1" applyBorder="1" applyAlignment="1">
      <alignment horizontal="center" vertical="center" wrapText="1"/>
    </xf>
    <xf numFmtId="0" fontId="2" fillId="22" borderId="8" xfId="0" applyFont="1" applyFill="1" applyBorder="1" applyAlignment="1">
      <alignment horizontal="left" vertical="center" wrapText="1"/>
    </xf>
    <xf numFmtId="167" fontId="1" fillId="7" borderId="8" xfId="0" applyNumberFormat="1" applyFont="1" applyFill="1" applyBorder="1" applyAlignment="1">
      <alignment horizontal="right" vertical="center" wrapText="1"/>
    </xf>
    <xf numFmtId="0" fontId="1" fillId="0" borderId="8" xfId="0" applyFont="1" applyBorder="1" applyAlignment="1">
      <alignment horizontal="left" vertical="center" wrapText="1"/>
    </xf>
    <xf numFmtId="3" fontId="1" fillId="7" borderId="8" xfId="0" applyNumberFormat="1" applyFont="1" applyFill="1" applyBorder="1" applyAlignment="1">
      <alignment horizontal="right" vertical="center" wrapText="1"/>
    </xf>
    <xf numFmtId="0" fontId="2" fillId="22" borderId="8" xfId="0" applyFont="1" applyFill="1" applyBorder="1" applyAlignment="1">
      <alignment horizontal="center" vertical="center" wrapText="1"/>
    </xf>
    <xf numFmtId="0" fontId="3" fillId="7" borderId="8" xfId="0" applyFont="1" applyFill="1" applyBorder="1" applyAlignment="1">
      <alignment horizontal="left" vertical="center" wrapText="1"/>
    </xf>
    <xf numFmtId="171" fontId="2" fillId="7" borderId="8" xfId="0" applyNumberFormat="1" applyFont="1" applyFill="1" applyBorder="1" applyAlignment="1">
      <alignment horizontal="center" vertical="center" wrapText="1"/>
    </xf>
    <xf numFmtId="167" fontId="2" fillId="22" borderId="8" xfId="0" applyNumberFormat="1" applyFont="1" applyFill="1" applyBorder="1" applyAlignment="1">
      <alignment horizontal="right" vertical="center" wrapText="1"/>
    </xf>
    <xf numFmtId="0" fontId="2" fillId="0" borderId="8" xfId="0" applyFont="1" applyBorder="1" applyAlignment="1">
      <alignment horizontal="left" vertical="center" wrapText="1"/>
    </xf>
    <xf numFmtId="167" fontId="2" fillId="0" borderId="8" xfId="0" applyNumberFormat="1" applyFont="1" applyBorder="1" applyAlignment="1">
      <alignment horizontal="center" vertical="center" wrapText="1"/>
    </xf>
    <xf numFmtId="167" fontId="2" fillId="0" borderId="8" xfId="0" applyNumberFormat="1" applyFont="1" applyBorder="1" applyAlignment="1">
      <alignment horizontal="right" vertical="center" wrapText="1"/>
    </xf>
    <xf numFmtId="174" fontId="2" fillId="0" borderId="8" xfId="0" applyNumberFormat="1" applyFont="1" applyBorder="1" applyAlignment="1">
      <alignment horizontal="right" vertical="center" wrapText="1"/>
    </xf>
    <xf numFmtId="174" fontId="2" fillId="0" borderId="8" xfId="0" applyNumberFormat="1" applyFont="1" applyBorder="1" applyAlignment="1">
      <alignment horizontal="center" vertical="center" wrapText="1"/>
    </xf>
    <xf numFmtId="0" fontId="3" fillId="0" borderId="33" xfId="0" applyFont="1" applyBorder="1" applyAlignment="1">
      <alignment horizontal="left" vertical="center" wrapText="1"/>
    </xf>
    <xf numFmtId="0" fontId="3" fillId="0" borderId="8" xfId="0" applyFont="1" applyBorder="1" applyAlignment="1">
      <alignment horizontal="left" vertical="center" wrapText="1"/>
    </xf>
    <xf numFmtId="174" fontId="1" fillId="0" borderId="8" xfId="0" applyNumberFormat="1" applyFont="1" applyBorder="1" applyAlignment="1">
      <alignment horizontal="center" vertical="center" wrapText="1"/>
    </xf>
    <xf numFmtId="174" fontId="1" fillId="0" borderId="8" xfId="0" applyNumberFormat="1" applyFont="1" applyBorder="1" applyAlignment="1">
      <alignment horizontal="right" vertical="center" wrapText="1"/>
    </xf>
    <xf numFmtId="3" fontId="1" fillId="0" borderId="8" xfId="0" applyNumberFormat="1" applyFont="1" applyBorder="1" applyAlignment="1">
      <alignment horizontal="center" vertical="center" wrapText="1"/>
    </xf>
    <xf numFmtId="0" fontId="3" fillId="0" borderId="10" xfId="0" applyFont="1" applyBorder="1" applyAlignment="1">
      <alignment horizontal="left" vertical="center" wrapText="1"/>
    </xf>
    <xf numFmtId="3" fontId="1" fillId="0" borderId="10" xfId="0" applyNumberFormat="1" applyFont="1" applyBorder="1" applyAlignment="1">
      <alignment horizontal="center" vertical="center" wrapText="1"/>
    </xf>
    <xf numFmtId="174" fontId="1" fillId="0" borderId="10" xfId="0" applyNumberFormat="1" applyFont="1" applyBorder="1" applyAlignment="1">
      <alignment horizontal="center" vertical="center" wrapText="1"/>
    </xf>
    <xf numFmtId="174" fontId="1" fillId="0" borderId="10" xfId="0" applyNumberFormat="1" applyFont="1" applyBorder="1" applyAlignment="1">
      <alignment horizontal="right" vertical="center" wrapText="1"/>
    </xf>
    <xf numFmtId="0" fontId="3" fillId="4" borderId="8" xfId="0" applyFont="1" applyFill="1" applyBorder="1" applyAlignment="1">
      <alignment horizontal="left" vertical="center" wrapText="1"/>
    </xf>
    <xf numFmtId="174" fontId="1" fillId="4" borderId="8" xfId="0" applyNumberFormat="1" applyFont="1" applyFill="1" applyBorder="1" applyAlignment="1">
      <alignment horizontal="center" vertical="center" wrapText="1"/>
    </xf>
    <xf numFmtId="174" fontId="1" fillId="4" borderId="8" xfId="0" applyNumberFormat="1" applyFont="1" applyFill="1" applyBorder="1" applyAlignment="1">
      <alignment horizontal="right" vertical="center" wrapText="1"/>
    </xf>
    <xf numFmtId="3" fontId="1" fillId="4" borderId="8" xfId="0" applyNumberFormat="1" applyFont="1" applyFill="1" applyBorder="1" applyAlignment="1">
      <alignment horizontal="center" vertical="center" wrapText="1"/>
    </xf>
    <xf numFmtId="167" fontId="1" fillId="4" borderId="8" xfId="0" applyNumberFormat="1" applyFont="1" applyFill="1" applyBorder="1" applyAlignment="1">
      <alignment horizontal="center" vertical="center" wrapText="1"/>
    </xf>
    <xf numFmtId="167" fontId="1" fillId="0" borderId="8" xfId="0" applyNumberFormat="1" applyFont="1" applyBorder="1" applyAlignment="1">
      <alignment horizontal="center" vertical="center" wrapText="1"/>
    </xf>
    <xf numFmtId="0" fontId="2" fillId="4" borderId="0" xfId="0" applyFont="1" applyFill="1" applyBorder="1" applyAlignment="1">
      <alignment horizontal="center" vertical="center" wrapText="1"/>
    </xf>
    <xf numFmtId="49" fontId="2" fillId="22" borderId="24" xfId="0" applyNumberFormat="1" applyFont="1" applyFill="1" applyBorder="1" applyAlignment="1">
      <alignment horizontal="right" vertical="center" wrapText="1"/>
    </xf>
    <xf numFmtId="49" fontId="2" fillId="22" borderId="8" xfId="0" applyNumberFormat="1" applyFont="1" applyFill="1" applyBorder="1" applyAlignment="1">
      <alignment horizontal="center" vertical="center" wrapText="1"/>
    </xf>
    <xf numFmtId="49" fontId="2" fillId="22" borderId="8" xfId="0" applyNumberFormat="1" applyFont="1" applyFill="1" applyBorder="1" applyAlignment="1">
      <alignment horizontal="left" vertical="center" wrapText="1"/>
    </xf>
    <xf numFmtId="49" fontId="2" fillId="23" borderId="8" xfId="0" applyNumberFormat="1" applyFont="1" applyFill="1" applyBorder="1" applyAlignment="1">
      <alignment horizontal="left" vertical="center" wrapText="1"/>
    </xf>
    <xf numFmtId="49" fontId="2" fillId="22" borderId="8" xfId="0" applyNumberFormat="1" applyFont="1" applyFill="1" applyBorder="1" applyAlignment="1">
      <alignment horizontal="right" vertical="center" wrapText="1"/>
    </xf>
    <xf numFmtId="0" fontId="2" fillId="23" borderId="8" xfId="0" applyFont="1" applyFill="1" applyBorder="1" applyAlignment="1">
      <alignment horizontal="left" vertical="center" wrapText="1"/>
    </xf>
    <xf numFmtId="0" fontId="14" fillId="0" borderId="8" xfId="0" applyFont="1" applyBorder="1" applyAlignment="1">
      <alignment horizontal="left" vertical="center" wrapText="1"/>
    </xf>
    <xf numFmtId="4" fontId="14" fillId="0" borderId="8" xfId="0" applyNumberFormat="1" applyFont="1" applyBorder="1" applyAlignment="1">
      <alignment horizontal="center" vertical="center" wrapText="1"/>
    </xf>
    <xf numFmtId="0" fontId="25" fillId="31" borderId="29" xfId="0" applyFont="1" applyFill="1" applyBorder="1" applyAlignment="1" applyProtection="1">
      <alignment horizontal="center" vertical="center" wrapText="1"/>
    </xf>
    <xf numFmtId="0" fontId="25" fillId="31" borderId="31" xfId="0" applyFont="1" applyFill="1" applyBorder="1" applyAlignment="1" applyProtection="1">
      <alignment horizontal="center" vertical="center" wrapText="1"/>
    </xf>
    <xf numFmtId="0" fontId="25" fillId="31" borderId="25" xfId="0" applyFont="1" applyFill="1" applyBorder="1" applyAlignment="1" applyProtection="1">
      <alignment horizontal="center" vertical="center" wrapText="1"/>
    </xf>
    <xf numFmtId="0" fontId="25" fillId="31" borderId="0" xfId="0" applyFont="1" applyFill="1" applyBorder="1" applyAlignment="1" applyProtection="1">
      <alignment horizontal="center" vertical="center" wrapText="1"/>
    </xf>
    <xf numFmtId="0" fontId="25" fillId="31" borderId="27" xfId="0" applyFont="1" applyFill="1" applyBorder="1" applyAlignment="1" applyProtection="1">
      <alignment horizontal="center" vertical="center" wrapText="1"/>
    </xf>
    <xf numFmtId="0" fontId="25" fillId="31" borderId="38" xfId="0" applyFont="1" applyFill="1" applyBorder="1" applyAlignment="1" applyProtection="1">
      <alignment horizontal="center" vertical="center" wrapText="1"/>
    </xf>
    <xf numFmtId="0" fontId="26" fillId="31" borderId="29" xfId="0" applyFont="1" applyFill="1" applyBorder="1" applyAlignment="1" applyProtection="1">
      <alignment horizontal="center" vertical="center" wrapText="1"/>
    </xf>
    <xf numFmtId="0" fontId="26" fillId="31" borderId="31" xfId="0" applyFont="1" applyFill="1" applyBorder="1" applyAlignment="1" applyProtection="1">
      <alignment horizontal="center" vertical="center" wrapText="1"/>
    </xf>
    <xf numFmtId="0" fontId="26" fillId="31" borderId="25" xfId="0" applyFont="1" applyFill="1" applyBorder="1" applyAlignment="1" applyProtection="1">
      <alignment horizontal="center" vertical="center" wrapText="1"/>
    </xf>
    <xf numFmtId="0" fontId="26" fillId="31" borderId="0" xfId="0" applyFont="1" applyFill="1" applyBorder="1" applyAlignment="1" applyProtection="1">
      <alignment horizontal="center" vertical="center" wrapText="1"/>
    </xf>
    <xf numFmtId="0" fontId="26" fillId="31" borderId="27" xfId="0" applyFont="1" applyFill="1" applyBorder="1" applyAlignment="1" applyProtection="1">
      <alignment horizontal="center" vertical="center" wrapText="1"/>
    </xf>
    <xf numFmtId="0" fontId="26" fillId="31" borderId="38" xfId="0" applyFont="1" applyFill="1" applyBorder="1" applyAlignment="1" applyProtection="1">
      <alignment horizontal="center" vertical="center" wrapText="1"/>
    </xf>
    <xf numFmtId="0" fontId="25" fillId="31" borderId="31" xfId="0" applyFont="1" applyFill="1" applyBorder="1" applyAlignment="1" applyProtection="1">
      <alignment horizontal="left" vertical="center" wrapText="1"/>
    </xf>
    <xf numFmtId="0" fontId="25" fillId="31" borderId="30" xfId="0" applyFont="1" applyFill="1" applyBorder="1" applyAlignment="1" applyProtection="1">
      <alignment horizontal="left" vertical="center" wrapText="1"/>
    </xf>
    <xf numFmtId="0" fontId="25" fillId="31" borderId="0" xfId="0" applyFont="1" applyFill="1" applyBorder="1" applyAlignment="1" applyProtection="1">
      <alignment horizontal="left" vertical="center" wrapText="1"/>
    </xf>
    <xf numFmtId="0" fontId="25" fillId="31" borderId="26" xfId="0" applyFont="1" applyFill="1" applyBorder="1" applyAlignment="1" applyProtection="1">
      <alignment horizontal="left" vertical="center" wrapText="1"/>
    </xf>
    <xf numFmtId="0" fontId="25" fillId="31" borderId="38" xfId="0" applyFont="1" applyFill="1" applyBorder="1" applyAlignment="1" applyProtection="1">
      <alignment horizontal="left" vertical="center" wrapText="1"/>
    </xf>
    <xf numFmtId="0" fontId="25" fillId="31" borderId="28" xfId="0" applyFont="1" applyFill="1" applyBorder="1" applyAlignment="1" applyProtection="1">
      <alignment horizontal="left" vertical="center" wrapText="1"/>
    </xf>
    <xf numFmtId="4" fontId="28" fillId="0" borderId="10" xfId="0" applyNumberFormat="1" applyFont="1" applyBorder="1" applyAlignment="1">
      <alignment horizontal="center" vertical="center" wrapText="1"/>
    </xf>
    <xf numFmtId="4" fontId="28" fillId="0" borderId="23" xfId="0" applyNumberFormat="1" applyFont="1" applyBorder="1" applyAlignment="1">
      <alignment horizontal="center" vertical="center" wrapText="1"/>
    </xf>
    <xf numFmtId="4" fontId="28" fillId="0" borderId="22" xfId="0" applyNumberFormat="1" applyFont="1" applyBorder="1" applyAlignment="1">
      <alignment horizontal="center" vertical="center" wrapText="1"/>
    </xf>
    <xf numFmtId="0" fontId="3" fillId="4" borderId="0" xfId="0" applyFont="1" applyFill="1" applyBorder="1" applyAlignment="1">
      <alignment horizontal="center" vertical="center" wrapText="1"/>
    </xf>
    <xf numFmtId="0" fontId="2" fillId="23" borderId="8" xfId="0" applyFont="1" applyFill="1" applyBorder="1" applyAlignment="1">
      <alignment horizontal="center" vertical="center" wrapText="1"/>
    </xf>
    <xf numFmtId="0" fontId="3" fillId="0" borderId="37" xfId="0" applyFont="1" applyBorder="1" applyAlignment="1">
      <alignment horizontal="left" vertical="center" wrapText="1"/>
    </xf>
    <xf numFmtId="0" fontId="2" fillId="0" borderId="37" xfId="0" applyFont="1" applyBorder="1" applyAlignment="1">
      <alignment horizontal="center" vertical="center" wrapText="1"/>
    </xf>
    <xf numFmtId="0" fontId="5" fillId="23" borderId="8" xfId="0" applyFont="1" applyFill="1" applyBorder="1" applyAlignment="1">
      <alignment horizontal="left" vertical="center" wrapText="1"/>
    </xf>
    <xf numFmtId="0" fontId="3" fillId="23" borderId="8" xfId="0" applyFont="1" applyFill="1" applyBorder="1" applyAlignment="1">
      <alignment horizontal="left" vertical="center" wrapText="1"/>
    </xf>
    <xf numFmtId="0" fontId="2" fillId="23" borderId="24" xfId="0" applyFont="1" applyFill="1" applyBorder="1" applyAlignment="1">
      <alignment horizontal="left" vertical="center" wrapText="1"/>
    </xf>
    <xf numFmtId="167" fontId="2" fillId="23" borderId="8" xfId="0" applyNumberFormat="1" applyFont="1" applyFill="1" applyBorder="1" applyAlignment="1">
      <alignment horizontal="right" vertical="center" wrapText="1"/>
    </xf>
    <xf numFmtId="167" fontId="1" fillId="23" borderId="32" xfId="0" applyNumberFormat="1" applyFont="1" applyFill="1" applyBorder="1" applyAlignment="1">
      <alignment horizontal="center" vertical="center" wrapText="1"/>
    </xf>
    <xf numFmtId="167" fontId="1" fillId="23" borderId="20" xfId="0" applyNumberFormat="1" applyFont="1" applyFill="1" applyBorder="1" applyAlignment="1">
      <alignment horizontal="center" vertical="center" wrapText="1"/>
    </xf>
    <xf numFmtId="0" fontId="1" fillId="23" borderId="20" xfId="0" applyFont="1" applyFill="1" applyBorder="1" applyAlignment="1">
      <alignment horizontal="left" vertical="center" wrapText="1"/>
    </xf>
    <xf numFmtId="0" fontId="2" fillId="24" borderId="8" xfId="0" applyFont="1" applyFill="1" applyBorder="1" applyAlignment="1">
      <alignment horizontal="left" vertical="center" wrapText="1"/>
    </xf>
    <xf numFmtId="0" fontId="1" fillId="24" borderId="8" xfId="0" applyFont="1" applyFill="1" applyBorder="1" applyAlignment="1">
      <alignment horizontal="right" vertical="center" wrapText="1"/>
    </xf>
    <xf numFmtId="174" fontId="1" fillId="24" borderId="8" xfId="0" applyNumberFormat="1" applyFont="1" applyFill="1" applyBorder="1" applyAlignment="1">
      <alignment horizontal="right" vertical="center" wrapText="1"/>
    </xf>
    <xf numFmtId="164" fontId="1" fillId="24" borderId="8" xfId="0" applyNumberFormat="1" applyFont="1" applyFill="1" applyBorder="1" applyAlignment="1">
      <alignment horizontal="right" vertical="center" wrapText="1"/>
    </xf>
    <xf numFmtId="0" fontId="14" fillId="24" borderId="8" xfId="0" applyFont="1" applyFill="1" applyBorder="1" applyAlignment="1">
      <alignment horizontal="left" vertical="center" wrapText="1"/>
    </xf>
    <xf numFmtId="0" fontId="2" fillId="23" borderId="8" xfId="0" applyFont="1" applyFill="1" applyBorder="1" applyAlignment="1">
      <alignment horizontal="right" vertical="center" wrapText="1"/>
    </xf>
    <xf numFmtId="4" fontId="2" fillId="23" borderId="8" xfId="0" applyNumberFormat="1" applyFont="1" applyFill="1" applyBorder="1" applyAlignment="1">
      <alignment horizontal="right" vertical="center" wrapText="1"/>
    </xf>
    <xf numFmtId="0" fontId="2" fillId="0" borderId="33" xfId="0" applyFont="1" applyBorder="1" applyAlignment="1">
      <alignment horizontal="center" vertical="center" wrapText="1"/>
    </xf>
    <xf numFmtId="0" fontId="3" fillId="0" borderId="8" xfId="0" applyFont="1" applyBorder="1" applyAlignment="1">
      <alignment horizontal="center" vertical="center" wrapText="1"/>
    </xf>
    <xf numFmtId="4" fontId="3" fillId="0" borderId="8" xfId="0" applyNumberFormat="1" applyFont="1" applyBorder="1" applyAlignment="1">
      <alignment horizontal="right" vertical="center" wrapText="1"/>
    </xf>
    <xf numFmtId="4" fontId="2" fillId="0" borderId="8" xfId="0" applyNumberFormat="1" applyFont="1" applyBorder="1" applyAlignment="1">
      <alignment horizontal="right" vertical="center" wrapText="1"/>
    </xf>
    <xf numFmtId="2" fontId="2" fillId="0" borderId="8" xfId="0" applyNumberFormat="1" applyFont="1" applyBorder="1" applyAlignment="1">
      <alignment horizontal="right" vertical="center" wrapText="1"/>
    </xf>
    <xf numFmtId="0" fontId="1" fillId="23" borderId="8" xfId="0" applyFont="1" applyFill="1" applyBorder="1" applyAlignment="1">
      <alignment horizontal="center" vertical="center" wrapText="1"/>
    </xf>
    <xf numFmtId="0" fontId="1" fillId="22" borderId="8" xfId="0" applyFont="1" applyFill="1" applyBorder="1" applyAlignment="1">
      <alignment horizontal="center" vertical="center" wrapText="1"/>
    </xf>
    <xf numFmtId="164" fontId="1" fillId="23" borderId="8" xfId="0" applyNumberFormat="1" applyFont="1" applyFill="1" applyBorder="1" applyAlignment="1">
      <alignment horizontal="center" vertical="center" wrapText="1"/>
    </xf>
    <xf numFmtId="0" fontId="2" fillId="22" borderId="8" xfId="1" applyFont="1" applyFill="1" applyBorder="1" applyAlignment="1">
      <alignment horizontal="center" vertical="center" wrapText="1"/>
    </xf>
    <xf numFmtId="0" fontId="1" fillId="22" borderId="30" xfId="0" applyFont="1" applyFill="1" applyBorder="1" applyAlignment="1">
      <alignment horizontal="left" vertical="center" wrapText="1"/>
    </xf>
    <xf numFmtId="49" fontId="1" fillId="22" borderId="30" xfId="0" applyNumberFormat="1" applyFont="1" applyFill="1" applyBorder="1" applyAlignment="1">
      <alignment horizontal="center" vertical="center" wrapText="1"/>
    </xf>
    <xf numFmtId="0" fontId="1" fillId="22" borderId="20" xfId="0" applyFont="1" applyFill="1" applyBorder="1" applyAlignment="1">
      <alignment horizontal="left" vertical="center" wrapText="1"/>
    </xf>
    <xf numFmtId="0" fontId="1" fillId="22" borderId="20" xfId="0" applyFont="1" applyFill="1" applyBorder="1" applyAlignment="1">
      <alignment horizontal="right" vertical="center" wrapText="1"/>
    </xf>
    <xf numFmtId="0" fontId="1" fillId="22" borderId="20" xfId="0" applyFont="1" applyFill="1" applyBorder="1" applyAlignment="1">
      <alignment vertical="center" wrapText="1"/>
    </xf>
    <xf numFmtId="173" fontId="1" fillId="22" borderId="20" xfId="0" applyNumberFormat="1" applyFont="1" applyFill="1" applyBorder="1" applyAlignment="1">
      <alignment horizontal="right" vertical="center" wrapText="1"/>
    </xf>
    <xf numFmtId="0" fontId="2" fillId="4" borderId="0" xfId="0" applyFont="1" applyFill="1" applyBorder="1" applyAlignment="1">
      <alignment horizontal="right" vertical="center" wrapText="1"/>
    </xf>
    <xf numFmtId="0" fontId="2" fillId="4" borderId="0" xfId="0" applyFont="1" applyFill="1" applyBorder="1" applyAlignment="1">
      <alignment horizontal="left" vertical="center" wrapText="1"/>
    </xf>
    <xf numFmtId="0" fontId="3" fillId="22" borderId="29" xfId="0" applyFont="1" applyFill="1" applyBorder="1" applyAlignment="1">
      <alignment horizontal="right" vertical="center" wrapText="1"/>
    </xf>
    <xf numFmtId="0" fontId="2" fillId="22" borderId="30" xfId="0" applyFont="1" applyFill="1" applyBorder="1" applyAlignment="1">
      <alignment horizontal="left" vertical="center" wrapText="1"/>
    </xf>
    <xf numFmtId="0" fontId="3" fillId="22" borderId="25" xfId="0" applyFont="1" applyFill="1" applyBorder="1" applyAlignment="1">
      <alignment horizontal="right" vertical="center" wrapText="1"/>
    </xf>
    <xf numFmtId="0" fontId="3" fillId="22" borderId="26" xfId="0" applyFont="1" applyFill="1" applyBorder="1" applyAlignment="1">
      <alignment horizontal="left" vertical="center" wrapText="1"/>
    </xf>
    <xf numFmtId="0" fontId="1" fillId="4" borderId="37" xfId="0" applyFont="1" applyFill="1" applyBorder="1" applyAlignment="1">
      <alignment horizontal="center" vertical="center" wrapText="1"/>
    </xf>
    <xf numFmtId="171" fontId="3" fillId="7" borderId="8" xfId="0" applyNumberFormat="1" applyFont="1" applyFill="1" applyBorder="1" applyAlignment="1">
      <alignment horizontal="center" vertical="center" wrapText="1"/>
    </xf>
    <xf numFmtId="0" fontId="2" fillId="0" borderId="24" xfId="0" applyFont="1" applyBorder="1" applyAlignment="1">
      <alignment horizontal="left" vertical="center" wrapText="1"/>
    </xf>
    <xf numFmtId="0" fontId="1" fillId="0" borderId="21" xfId="0" applyFont="1" applyBorder="1" applyAlignment="1">
      <alignment horizontal="center" vertical="center" wrapText="1"/>
    </xf>
    <xf numFmtId="0" fontId="2" fillId="0" borderId="21" xfId="0" applyFont="1" applyBorder="1" applyAlignment="1">
      <alignment horizontal="center" vertical="center" wrapText="1"/>
    </xf>
    <xf numFmtId="0" fontId="3" fillId="0" borderId="21" xfId="0" applyFont="1" applyBorder="1" applyAlignment="1">
      <alignment horizontal="left" vertical="center" wrapText="1"/>
    </xf>
    <xf numFmtId="0" fontId="2" fillId="0" borderId="21" xfId="0" applyFont="1" applyBorder="1" applyAlignment="1">
      <alignment horizontal="right" vertical="center" wrapText="1"/>
    </xf>
    <xf numFmtId="0" fontId="2" fillId="0" borderId="21" xfId="0" applyFont="1" applyBorder="1" applyAlignment="1">
      <alignment horizontal="left" vertical="center" wrapText="1"/>
    </xf>
    <xf numFmtId="0" fontId="3" fillId="4" borderId="21" xfId="0" applyFont="1" applyFill="1" applyBorder="1" applyAlignment="1">
      <alignment horizontal="left" vertical="center" wrapText="1"/>
    </xf>
    <xf numFmtId="0" fontId="13" fillId="0" borderId="21" xfId="0" applyFont="1" applyBorder="1" applyAlignment="1">
      <alignment horizontal="left" vertical="center" wrapText="1"/>
    </xf>
    <xf numFmtId="0" fontId="3" fillId="22" borderId="27" xfId="0" applyFont="1" applyFill="1" applyBorder="1" applyAlignment="1">
      <alignment horizontal="right" vertical="center" wrapText="1"/>
    </xf>
    <xf numFmtId="0" fontId="3" fillId="22" borderId="28" xfId="0" applyFont="1" applyFill="1" applyBorder="1" applyAlignment="1">
      <alignment horizontal="left" vertical="center" wrapText="1"/>
    </xf>
    <xf numFmtId="0" fontId="1" fillId="0" borderId="39" xfId="0" applyFont="1" applyBorder="1" applyAlignment="1">
      <alignment horizontal="justify" vertical="center" wrapText="1"/>
    </xf>
    <xf numFmtId="4" fontId="1" fillId="0" borderId="8" xfId="0" applyNumberFormat="1" applyFont="1" applyBorder="1" applyAlignment="1">
      <alignment horizontal="center" vertical="center" wrapText="1"/>
    </xf>
    <xf numFmtId="0" fontId="2" fillId="22" borderId="33" xfId="0" applyFont="1" applyFill="1" applyBorder="1" applyAlignment="1">
      <alignment horizontal="center" vertical="center" wrapText="1"/>
    </xf>
    <xf numFmtId="2" fontId="1" fillId="0" borderId="8" xfId="0" applyNumberFormat="1" applyFont="1" applyBorder="1" applyAlignment="1">
      <alignment horizontal="center" vertical="center" wrapText="1"/>
    </xf>
    <xf numFmtId="0" fontId="13" fillId="4" borderId="8" xfId="0" applyFont="1" applyFill="1" applyBorder="1" applyAlignment="1">
      <alignment horizontal="center" vertical="center" wrapText="1"/>
    </xf>
    <xf numFmtId="0" fontId="13" fillId="0" borderId="37" xfId="0" applyFont="1" applyBorder="1" applyAlignment="1">
      <alignment horizontal="left" vertical="center" wrapText="1"/>
    </xf>
    <xf numFmtId="0" fontId="3" fillId="4" borderId="8" xfId="0" applyFont="1" applyFill="1" applyBorder="1" applyAlignment="1">
      <alignment horizontal="center" vertical="center" wrapText="1"/>
    </xf>
    <xf numFmtId="0" fontId="3" fillId="7" borderId="8" xfId="0" applyFont="1" applyFill="1" applyBorder="1" applyAlignment="1">
      <alignment horizontal="center" vertical="center" wrapText="1"/>
    </xf>
    <xf numFmtId="49" fontId="2" fillId="4" borderId="8" xfId="0" applyNumberFormat="1" applyFont="1" applyFill="1" applyBorder="1" applyAlignment="1">
      <alignment horizontal="center" vertical="center" wrapText="1"/>
    </xf>
    <xf numFmtId="0" fontId="1" fillId="7" borderId="8" xfId="0" applyFont="1" applyFill="1" applyBorder="1" applyAlignment="1">
      <alignment horizontal="right" vertical="center" wrapText="1"/>
    </xf>
    <xf numFmtId="14" fontId="1" fillId="24" borderId="8" xfId="0" applyNumberFormat="1" applyFont="1" applyFill="1" applyBorder="1" applyAlignment="1">
      <alignment horizontal="right" vertical="center" wrapText="1"/>
    </xf>
    <xf numFmtId="0" fontId="13" fillId="0" borderId="0" xfId="0" applyFont="1" applyBorder="1" applyAlignment="1">
      <alignment horizontal="left" vertical="center" wrapText="1"/>
    </xf>
    <xf numFmtId="14" fontId="1" fillId="23" borderId="8" xfId="0" applyNumberFormat="1" applyFont="1" applyFill="1" applyBorder="1" applyAlignment="1">
      <alignment horizontal="center" vertical="center" wrapText="1"/>
    </xf>
    <xf numFmtId="0" fontId="9" fillId="0" borderId="0" xfId="0" applyFont="1" applyBorder="1" applyAlignment="1">
      <alignment horizontal="left" vertical="center" wrapText="1"/>
    </xf>
    <xf numFmtId="0" fontId="9" fillId="0" borderId="0" xfId="0" applyFont="1" applyBorder="1" applyAlignment="1">
      <alignment horizontal="center" vertical="center" wrapText="1"/>
    </xf>
    <xf numFmtId="0" fontId="9" fillId="0" borderId="46" xfId="0" applyFont="1" applyBorder="1" applyAlignment="1">
      <alignment horizontal="center" vertical="center" wrapText="1"/>
    </xf>
    <xf numFmtId="164" fontId="9" fillId="0" borderId="0" xfId="0" applyNumberFormat="1" applyFont="1" applyBorder="1" applyAlignment="1">
      <alignment horizontal="left" vertical="center" wrapText="1"/>
    </xf>
    <xf numFmtId="167" fontId="9" fillId="12" borderId="45" xfId="0" applyNumberFormat="1" applyFont="1" applyFill="1" applyBorder="1" applyAlignment="1">
      <alignment horizontal="center" vertical="center" wrapText="1"/>
    </xf>
    <xf numFmtId="0" fontId="10" fillId="30" borderId="4" xfId="0" applyFont="1" applyFill="1" applyBorder="1" applyAlignment="1">
      <alignment horizontal="justify" vertical="center" wrapText="1"/>
    </xf>
    <xf numFmtId="167" fontId="8" fillId="12" borderId="15" xfId="0" applyNumberFormat="1" applyFont="1" applyFill="1" applyBorder="1" applyAlignment="1">
      <alignment horizontal="center" vertical="center" wrapText="1"/>
    </xf>
    <xf numFmtId="0" fontId="11" fillId="30" borderId="8" xfId="0" applyFont="1" applyFill="1" applyBorder="1" applyAlignment="1">
      <alignment horizontal="center" vertical="center" wrapText="1"/>
    </xf>
    <xf numFmtId="0" fontId="8" fillId="12" borderId="41" xfId="0" applyFont="1" applyFill="1" applyBorder="1" applyAlignment="1">
      <alignment horizontal="center" vertical="center" wrapText="1"/>
    </xf>
    <xf numFmtId="167" fontId="9" fillId="25" borderId="43" xfId="0" applyNumberFormat="1" applyFont="1" applyFill="1" applyBorder="1" applyAlignment="1">
      <alignment horizontal="center" vertical="center" wrapText="1"/>
    </xf>
    <xf numFmtId="167" fontId="9" fillId="6" borderId="8" xfId="0" applyNumberFormat="1" applyFont="1" applyFill="1" applyBorder="1" applyAlignment="1">
      <alignment horizontal="center" vertical="center" wrapText="1"/>
    </xf>
    <xf numFmtId="167" fontId="9" fillId="25" borderId="8" xfId="0" applyNumberFormat="1" applyFont="1" applyFill="1" applyBorder="1" applyAlignment="1">
      <alignment horizontal="center" vertical="center" wrapText="1"/>
    </xf>
    <xf numFmtId="0" fontId="8" fillId="0" borderId="0" xfId="0" applyFont="1" applyBorder="1" applyAlignment="1">
      <alignment horizontal="center" vertical="center" wrapText="1"/>
    </xf>
    <xf numFmtId="0" fontId="6" fillId="0" borderId="0" xfId="0" applyFont="1" applyBorder="1" applyAlignment="1">
      <alignment horizontal="center" vertical="center" wrapText="1"/>
    </xf>
    <xf numFmtId="0" fontId="10" fillId="0" borderId="0" xfId="0" applyFont="1" applyBorder="1" applyAlignment="1">
      <alignment horizontal="center" vertical="center" wrapText="1"/>
    </xf>
  </cellXfs>
  <cellStyles count="3">
    <cellStyle name="Moeda 2" xfId="2"/>
    <cellStyle name="Normal" xfId="0" builtinId="0"/>
    <cellStyle name="Normal 2" xfId="1"/>
  </cellStyles>
  <dxfs count="8">
    <dxf>
      <fill>
        <patternFill>
          <bgColor rgb="FF00FFFF"/>
        </patternFill>
      </fill>
    </dxf>
    <dxf>
      <font>
        <color rgb="FF000000"/>
      </font>
      <fill>
        <patternFill>
          <bgColor rgb="FF00FFFF"/>
        </patternFill>
      </fill>
    </dxf>
    <dxf>
      <fill>
        <patternFill>
          <bgColor rgb="FF00FFFF"/>
        </patternFill>
      </fill>
    </dxf>
    <dxf>
      <font>
        <color rgb="FF000000"/>
      </font>
      <fill>
        <patternFill>
          <bgColor rgb="FF00FFFF"/>
        </patternFill>
      </fill>
    </dxf>
    <dxf>
      <fill>
        <patternFill>
          <bgColor rgb="FF00FFFF"/>
        </patternFill>
      </fill>
    </dxf>
    <dxf>
      <font>
        <color rgb="FF000000"/>
      </font>
      <fill>
        <patternFill>
          <bgColor rgb="FF00FFFF"/>
        </patternFill>
      </fill>
    </dxf>
    <dxf>
      <fill>
        <patternFill>
          <bgColor rgb="FF00FFFF"/>
        </patternFill>
      </fill>
    </dxf>
    <dxf>
      <font>
        <color rgb="FF000000"/>
      </font>
      <fill>
        <patternFill>
          <bgColor rgb="FF00FFFF"/>
        </patternFill>
      </fill>
    </dxf>
  </dxfs>
  <tableStyles count="0" defaultTableStyle="TableStyleMedium2" defaultPivotStyle="PivotStyleLight16"/>
  <colors>
    <indexedColors>
      <rgbColor rgb="FF000000"/>
      <rgbColor rgb="FFFFFFFF"/>
      <rgbColor rgb="FFFF0000"/>
      <rgbColor rgb="FF00FF66"/>
      <rgbColor rgb="FF0000FF"/>
      <rgbColor rgb="FFFFFF00"/>
      <rgbColor rgb="FFFF00FF"/>
      <rgbColor rgb="FF00FFFF"/>
      <rgbColor rgb="FF800000"/>
      <rgbColor rgb="FF38761D"/>
      <rgbColor rgb="FF000080"/>
      <rgbColor rgb="FF4F6228"/>
      <rgbColor rgb="FF800080"/>
      <rgbColor rgb="FF008080"/>
      <rgbColor rgb="FFC0C0C0"/>
      <rgbColor rgb="FF7F7F7F"/>
      <rgbColor rgb="FFD8D8D8"/>
      <rgbColor rgb="FF993366"/>
      <rgbColor rgb="FFF3F3F3"/>
      <rgbColor rgb="FFCFE2F3"/>
      <rgbColor rgb="FF660066"/>
      <rgbColor rgb="FFDDD9C3"/>
      <rgbColor rgb="FF0066CC"/>
      <rgbColor rgb="FFB8CCE4"/>
      <rgbColor rgb="FF000080"/>
      <rgbColor rgb="FFFF00FF"/>
      <rgbColor rgb="FFC2D69B"/>
      <rgbColor rgb="FFF2F2F2"/>
      <rgbColor rgb="FF800080"/>
      <rgbColor rgb="FF800000"/>
      <rgbColor rgb="FF008080"/>
      <rgbColor rgb="FF0000FF"/>
      <rgbColor rgb="FF00CCFF"/>
      <rgbColor rgb="FFEFEFEF"/>
      <rgbColor rgb="FFD9EAD3"/>
      <rgbColor rgb="FFFFFF99"/>
      <rgbColor rgb="FFB6DDE8"/>
      <rgbColor rgb="FFCCCCCC"/>
      <rgbColor rgb="FFBFBFBF"/>
      <rgbColor rgb="FFFBD4B4"/>
      <rgbColor rgb="FF3366FF"/>
      <rgbColor rgb="FFD9D9D9"/>
      <rgbColor rgb="FF99CC00"/>
      <rgbColor rgb="FFC3D69B"/>
      <rgbColor rgb="FFD6E3BC"/>
      <rgbColor rgb="FFFF3333"/>
      <rgbColor rgb="FF666699"/>
      <rgbColor rgb="FFB7B7B7"/>
      <rgbColor rgb="FF003366"/>
      <rgbColor rgb="FFD7E4BD"/>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76320</xdr:colOff>
      <xdr:row>0</xdr:row>
      <xdr:rowOff>19080</xdr:rowOff>
    </xdr:from>
    <xdr:to>
      <xdr:col>0</xdr:col>
      <xdr:colOff>1140480</xdr:colOff>
      <xdr:row>5</xdr:row>
      <xdr:rowOff>121245</xdr:rowOff>
    </xdr:to>
    <xdr:pic>
      <xdr:nvPicPr>
        <xdr:cNvPr id="2" name="Imagem 7">
          <a:extLst>
            <a:ext uri="{FF2B5EF4-FFF2-40B4-BE49-F238E27FC236}">
              <a16:creationId xmlns="" xmlns:a16="http://schemas.microsoft.com/office/drawing/2014/main" id="{00000000-0008-0000-0000-000002000000}"/>
            </a:ext>
          </a:extLst>
        </xdr:cNvPr>
        <xdr:cNvPicPr/>
      </xdr:nvPicPr>
      <xdr:blipFill>
        <a:blip xmlns:r="http://schemas.openxmlformats.org/officeDocument/2006/relationships" r:embed="rId1" cstate="print"/>
        <a:stretch/>
      </xdr:blipFill>
      <xdr:spPr>
        <a:xfrm>
          <a:off x="76320" y="19080"/>
          <a:ext cx="1064160" cy="1054440"/>
        </a:xfrm>
        <a:prstGeom prst="rect">
          <a:avLst/>
        </a:prstGeom>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47520</xdr:colOff>
      <xdr:row>0</xdr:row>
      <xdr:rowOff>38160</xdr:rowOff>
    </xdr:from>
    <xdr:to>
      <xdr:col>2</xdr:col>
      <xdr:colOff>1140480</xdr:colOff>
      <xdr:row>6</xdr:row>
      <xdr:rowOff>123441</xdr:rowOff>
    </xdr:to>
    <xdr:pic>
      <xdr:nvPicPr>
        <xdr:cNvPr id="9" name="Imagem 3">
          <a:extLst>
            <a:ext uri="{FF2B5EF4-FFF2-40B4-BE49-F238E27FC236}">
              <a16:creationId xmlns="" xmlns:a16="http://schemas.microsoft.com/office/drawing/2014/main" id="{00000000-0008-0000-0A00-000009000000}"/>
            </a:ext>
          </a:extLst>
        </xdr:cNvPr>
        <xdr:cNvPicPr/>
      </xdr:nvPicPr>
      <xdr:blipFill>
        <a:blip xmlns:r="http://schemas.openxmlformats.org/officeDocument/2006/relationships" r:embed="rId1" cstate="print"/>
        <a:stretch/>
      </xdr:blipFill>
      <xdr:spPr>
        <a:xfrm>
          <a:off x="388440" y="38160"/>
          <a:ext cx="1092960" cy="120672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133275</xdr:colOff>
      <xdr:row>0</xdr:row>
      <xdr:rowOff>57015</xdr:rowOff>
    </xdr:from>
    <xdr:to>
      <xdr:col>1</xdr:col>
      <xdr:colOff>390525</xdr:colOff>
      <xdr:row>4</xdr:row>
      <xdr:rowOff>225855</xdr:rowOff>
    </xdr:to>
    <xdr:pic>
      <xdr:nvPicPr>
        <xdr:cNvPr id="2" name="Imagem 2">
          <a:extLst>
            <a:ext uri="{FF2B5EF4-FFF2-40B4-BE49-F238E27FC236}">
              <a16:creationId xmlns="" xmlns:a16="http://schemas.microsoft.com/office/drawing/2014/main" id="{00000000-0008-0000-0100-000002000000}"/>
            </a:ext>
          </a:extLst>
        </xdr:cNvPr>
        <xdr:cNvPicPr/>
      </xdr:nvPicPr>
      <xdr:blipFill>
        <a:blip xmlns:r="http://schemas.openxmlformats.org/officeDocument/2006/relationships" r:embed="rId1" cstate="print"/>
        <a:stretch/>
      </xdr:blipFill>
      <xdr:spPr>
        <a:xfrm>
          <a:off x="133275" y="57015"/>
          <a:ext cx="866850" cy="112134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66600</xdr:colOff>
      <xdr:row>0</xdr:row>
      <xdr:rowOff>19080</xdr:rowOff>
    </xdr:from>
    <xdr:to>
      <xdr:col>0</xdr:col>
      <xdr:colOff>1130760</xdr:colOff>
      <xdr:row>5</xdr:row>
      <xdr:rowOff>120410</xdr:rowOff>
    </xdr:to>
    <xdr:pic>
      <xdr:nvPicPr>
        <xdr:cNvPr id="2" name="Imagem 2">
          <a:extLst>
            <a:ext uri="{FF2B5EF4-FFF2-40B4-BE49-F238E27FC236}">
              <a16:creationId xmlns="" xmlns:a16="http://schemas.microsoft.com/office/drawing/2014/main" id="{00000000-0008-0000-0300-000002000000}"/>
            </a:ext>
          </a:extLst>
        </xdr:cNvPr>
        <xdr:cNvPicPr/>
      </xdr:nvPicPr>
      <xdr:blipFill>
        <a:blip xmlns:r="http://schemas.openxmlformats.org/officeDocument/2006/relationships" r:embed="rId1" cstate="print"/>
        <a:stretch/>
      </xdr:blipFill>
      <xdr:spPr>
        <a:xfrm>
          <a:off x="66600" y="19080"/>
          <a:ext cx="1064160" cy="112140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57240</xdr:colOff>
      <xdr:row>0</xdr:row>
      <xdr:rowOff>9360</xdr:rowOff>
    </xdr:from>
    <xdr:to>
      <xdr:col>0</xdr:col>
      <xdr:colOff>1121400</xdr:colOff>
      <xdr:row>5</xdr:row>
      <xdr:rowOff>110330</xdr:rowOff>
    </xdr:to>
    <xdr:pic>
      <xdr:nvPicPr>
        <xdr:cNvPr id="3" name="Imagem 2">
          <a:extLst>
            <a:ext uri="{FF2B5EF4-FFF2-40B4-BE49-F238E27FC236}">
              <a16:creationId xmlns="" xmlns:a16="http://schemas.microsoft.com/office/drawing/2014/main" id="{00000000-0008-0000-0400-000003000000}"/>
            </a:ext>
          </a:extLst>
        </xdr:cNvPr>
        <xdr:cNvPicPr/>
      </xdr:nvPicPr>
      <xdr:blipFill>
        <a:blip xmlns:r="http://schemas.openxmlformats.org/officeDocument/2006/relationships" r:embed="rId1" cstate="print"/>
        <a:stretch/>
      </xdr:blipFill>
      <xdr:spPr>
        <a:xfrm>
          <a:off x="57240" y="9360"/>
          <a:ext cx="1064160" cy="1121040"/>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66600</xdr:colOff>
      <xdr:row>0</xdr:row>
      <xdr:rowOff>19080</xdr:rowOff>
    </xdr:from>
    <xdr:to>
      <xdr:col>0</xdr:col>
      <xdr:colOff>1130760</xdr:colOff>
      <xdr:row>5</xdr:row>
      <xdr:rowOff>120410</xdr:rowOff>
    </xdr:to>
    <xdr:pic>
      <xdr:nvPicPr>
        <xdr:cNvPr id="4" name="Imagem 2">
          <a:extLst>
            <a:ext uri="{FF2B5EF4-FFF2-40B4-BE49-F238E27FC236}">
              <a16:creationId xmlns="" xmlns:a16="http://schemas.microsoft.com/office/drawing/2014/main" id="{00000000-0008-0000-0500-000004000000}"/>
            </a:ext>
          </a:extLst>
        </xdr:cNvPr>
        <xdr:cNvPicPr/>
      </xdr:nvPicPr>
      <xdr:blipFill>
        <a:blip xmlns:r="http://schemas.openxmlformats.org/officeDocument/2006/relationships" r:embed="rId1" cstate="print"/>
        <a:stretch/>
      </xdr:blipFill>
      <xdr:spPr>
        <a:xfrm>
          <a:off x="66600" y="19080"/>
          <a:ext cx="1064160" cy="1121400"/>
        </a:xfrm>
        <a:prstGeom prst="rect">
          <a:avLst/>
        </a:prstGeom>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47520</xdr:colOff>
      <xdr:row>0</xdr:row>
      <xdr:rowOff>19080</xdr:rowOff>
    </xdr:from>
    <xdr:to>
      <xdr:col>0</xdr:col>
      <xdr:colOff>1111680</xdr:colOff>
      <xdr:row>5</xdr:row>
      <xdr:rowOff>121530</xdr:rowOff>
    </xdr:to>
    <xdr:pic>
      <xdr:nvPicPr>
        <xdr:cNvPr id="5" name="Imagem 2">
          <a:extLst>
            <a:ext uri="{FF2B5EF4-FFF2-40B4-BE49-F238E27FC236}">
              <a16:creationId xmlns="" xmlns:a16="http://schemas.microsoft.com/office/drawing/2014/main" id="{00000000-0008-0000-0600-000005000000}"/>
            </a:ext>
          </a:extLst>
        </xdr:cNvPr>
        <xdr:cNvPicPr/>
      </xdr:nvPicPr>
      <xdr:blipFill>
        <a:blip xmlns:r="http://schemas.openxmlformats.org/officeDocument/2006/relationships" r:embed="rId1" cstate="print"/>
        <a:stretch/>
      </xdr:blipFill>
      <xdr:spPr>
        <a:xfrm>
          <a:off x="47520" y="19080"/>
          <a:ext cx="1064160" cy="1121400"/>
        </a:xfrm>
        <a:prstGeom prst="rect">
          <a:avLst/>
        </a:prstGeom>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66600</xdr:colOff>
      <xdr:row>0</xdr:row>
      <xdr:rowOff>19080</xdr:rowOff>
    </xdr:from>
    <xdr:to>
      <xdr:col>0</xdr:col>
      <xdr:colOff>1130760</xdr:colOff>
      <xdr:row>5</xdr:row>
      <xdr:rowOff>121530</xdr:rowOff>
    </xdr:to>
    <xdr:pic>
      <xdr:nvPicPr>
        <xdr:cNvPr id="6" name="Imagem 2">
          <a:extLst>
            <a:ext uri="{FF2B5EF4-FFF2-40B4-BE49-F238E27FC236}">
              <a16:creationId xmlns="" xmlns:a16="http://schemas.microsoft.com/office/drawing/2014/main" id="{00000000-0008-0000-0700-000006000000}"/>
            </a:ext>
          </a:extLst>
        </xdr:cNvPr>
        <xdr:cNvPicPr/>
      </xdr:nvPicPr>
      <xdr:blipFill>
        <a:blip xmlns:r="http://schemas.openxmlformats.org/officeDocument/2006/relationships" r:embed="rId1" cstate="print"/>
        <a:stretch/>
      </xdr:blipFill>
      <xdr:spPr>
        <a:xfrm>
          <a:off x="66600" y="19080"/>
          <a:ext cx="1064160" cy="1121400"/>
        </a:xfrm>
        <a:prstGeom prst="rect">
          <a:avLst/>
        </a:prstGeom>
        <a:ln>
          <a:noFill/>
        </a:ln>
      </xdr:spPr>
    </xdr:pic>
    <xdr:clientData/>
  </xdr:twoCellAnchor>
  <xdr:twoCellAnchor>
    <xdr:from>
      <xdr:col>0</xdr:col>
      <xdr:colOff>0</xdr:colOff>
      <xdr:row>0</xdr:row>
      <xdr:rowOff>0</xdr:rowOff>
    </xdr:from>
    <xdr:to>
      <xdr:col>9</xdr:col>
      <xdr:colOff>390525</xdr:colOff>
      <xdr:row>56</xdr:row>
      <xdr:rowOff>0</xdr:rowOff>
    </xdr:to>
    <xdr:sp macro="" textlink="">
      <xdr:nvSpPr>
        <xdr:cNvPr id="7178" name="shapetype_202" hidden="1">
          <a:extLst>
            <a:ext uri="{FF2B5EF4-FFF2-40B4-BE49-F238E27FC236}">
              <a16:creationId xmlns="" xmlns:a16="http://schemas.microsoft.com/office/drawing/2014/main" id="{00000000-0008-0000-0700-00000A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390525</xdr:colOff>
      <xdr:row>56</xdr:row>
      <xdr:rowOff>0</xdr:rowOff>
    </xdr:to>
    <xdr:sp macro="" textlink="">
      <xdr:nvSpPr>
        <xdr:cNvPr id="7176" name="shapetype_202" hidden="1">
          <a:extLst>
            <a:ext uri="{FF2B5EF4-FFF2-40B4-BE49-F238E27FC236}">
              <a16:creationId xmlns="" xmlns:a16="http://schemas.microsoft.com/office/drawing/2014/main" id="{00000000-0008-0000-0700-000008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390525</xdr:colOff>
      <xdr:row>56</xdr:row>
      <xdr:rowOff>0</xdr:rowOff>
    </xdr:to>
    <xdr:sp macro="" textlink="">
      <xdr:nvSpPr>
        <xdr:cNvPr id="7174" name="shapetype_202" hidden="1">
          <a:extLst>
            <a:ext uri="{FF2B5EF4-FFF2-40B4-BE49-F238E27FC236}">
              <a16:creationId xmlns="" xmlns:a16="http://schemas.microsoft.com/office/drawing/2014/main" id="{00000000-0008-0000-0700-000006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390525</xdr:colOff>
      <xdr:row>56</xdr:row>
      <xdr:rowOff>0</xdr:rowOff>
    </xdr:to>
    <xdr:sp macro="" textlink="">
      <xdr:nvSpPr>
        <xdr:cNvPr id="7172" name="shapetype_202" hidden="1">
          <a:extLst>
            <a:ext uri="{FF2B5EF4-FFF2-40B4-BE49-F238E27FC236}">
              <a16:creationId xmlns=""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9</xdr:col>
      <xdr:colOff>390525</xdr:colOff>
      <xdr:row>56</xdr:row>
      <xdr:rowOff>0</xdr:rowOff>
    </xdr:to>
    <xdr:sp macro="" textlink="">
      <xdr:nvSpPr>
        <xdr:cNvPr id="7170" name="shapetype_202" hidden="1">
          <a:extLst>
            <a:ext uri="{FF2B5EF4-FFF2-40B4-BE49-F238E27FC236}">
              <a16:creationId xmlns=""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57239</xdr:colOff>
      <xdr:row>0</xdr:row>
      <xdr:rowOff>38160</xdr:rowOff>
    </xdr:from>
    <xdr:to>
      <xdr:col>0</xdr:col>
      <xdr:colOff>1158874</xdr:colOff>
      <xdr:row>5</xdr:row>
      <xdr:rowOff>63500</xdr:rowOff>
    </xdr:to>
    <xdr:pic>
      <xdr:nvPicPr>
        <xdr:cNvPr id="7" name="Imagem 2">
          <a:extLst>
            <a:ext uri="{FF2B5EF4-FFF2-40B4-BE49-F238E27FC236}">
              <a16:creationId xmlns="" xmlns:a16="http://schemas.microsoft.com/office/drawing/2014/main" id="{00000000-0008-0000-0800-000007000000}"/>
            </a:ext>
          </a:extLst>
        </xdr:cNvPr>
        <xdr:cNvPicPr/>
      </xdr:nvPicPr>
      <xdr:blipFill>
        <a:blip xmlns:r="http://schemas.openxmlformats.org/officeDocument/2006/relationships" r:embed="rId1" cstate="print"/>
        <a:stretch/>
      </xdr:blipFill>
      <xdr:spPr>
        <a:xfrm>
          <a:off x="57239" y="38160"/>
          <a:ext cx="1101635" cy="1041340"/>
        </a:xfrm>
        <a:prstGeom prst="rect">
          <a:avLst/>
        </a:prstGeom>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66600</xdr:colOff>
      <xdr:row>0</xdr:row>
      <xdr:rowOff>57240</xdr:rowOff>
    </xdr:from>
    <xdr:to>
      <xdr:col>1</xdr:col>
      <xdr:colOff>6840</xdr:colOff>
      <xdr:row>5</xdr:row>
      <xdr:rowOff>121530</xdr:rowOff>
    </xdr:to>
    <xdr:pic>
      <xdr:nvPicPr>
        <xdr:cNvPr id="8" name="Imagem 1">
          <a:extLst>
            <a:ext uri="{FF2B5EF4-FFF2-40B4-BE49-F238E27FC236}">
              <a16:creationId xmlns="" xmlns:a16="http://schemas.microsoft.com/office/drawing/2014/main" id="{00000000-0008-0000-0900-000008000000}"/>
            </a:ext>
          </a:extLst>
        </xdr:cNvPr>
        <xdr:cNvPicPr/>
      </xdr:nvPicPr>
      <xdr:blipFill>
        <a:blip xmlns:r="http://schemas.openxmlformats.org/officeDocument/2006/relationships" r:embed="rId1" cstate="print"/>
        <a:stretch/>
      </xdr:blipFill>
      <xdr:spPr>
        <a:xfrm>
          <a:off x="66600" y="57240"/>
          <a:ext cx="1159920" cy="1083240"/>
        </a:xfrm>
        <a:prstGeom prst="rect">
          <a:avLst/>
        </a:prstGeom>
        <a:ln>
          <a:noFill/>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1040"/>
  <sheetViews>
    <sheetView showGridLines="0" tabSelected="1" topLeftCell="A46" zoomScaleNormal="100" workbookViewId="0">
      <selection activeCell="B57" sqref="B57:C57"/>
    </sheetView>
  </sheetViews>
  <sheetFormatPr defaultRowHeight="14.25" x14ac:dyDescent="0.2"/>
  <cols>
    <col min="1" max="1" width="26.7109375" style="225" customWidth="1"/>
    <col min="2" max="2" width="81" style="225" customWidth="1"/>
    <col min="3" max="3" width="20.85546875" style="225" customWidth="1"/>
    <col min="4" max="26" width="8" style="225" customWidth="1"/>
    <col min="27" max="1025" width="14.42578125" style="225" customWidth="1"/>
    <col min="1026" max="16384" width="9.140625" style="51"/>
  </cols>
  <sheetData>
    <row r="1" spans="1:3" ht="15" x14ac:dyDescent="0.2">
      <c r="A1" s="336" t="s">
        <v>0</v>
      </c>
      <c r="B1" s="336"/>
      <c r="C1" s="336"/>
    </row>
    <row r="2" spans="1:3" ht="15" x14ac:dyDescent="0.2">
      <c r="A2" s="336" t="s">
        <v>1</v>
      </c>
      <c r="B2" s="336"/>
      <c r="C2" s="336"/>
    </row>
    <row r="3" spans="1:3" ht="15" x14ac:dyDescent="0.2">
      <c r="A3" s="336" t="s">
        <v>2</v>
      </c>
      <c r="B3" s="336"/>
      <c r="C3" s="336"/>
    </row>
    <row r="4" spans="1:3" ht="15" x14ac:dyDescent="0.2">
      <c r="A4" s="337" t="s">
        <v>3</v>
      </c>
      <c r="B4" s="337"/>
      <c r="C4" s="337"/>
    </row>
    <row r="5" spans="1:3" ht="15" x14ac:dyDescent="0.2">
      <c r="A5" s="338" t="s">
        <v>4</v>
      </c>
      <c r="B5" s="338"/>
      <c r="C5" s="338"/>
    </row>
    <row r="6" spans="1:3" ht="12.75" customHeight="1" x14ac:dyDescent="0.2">
      <c r="A6" s="241"/>
      <c r="B6" s="241"/>
    </row>
    <row r="7" spans="1:3" ht="12.75" customHeight="1" x14ac:dyDescent="0.2">
      <c r="A7" s="259" t="s">
        <v>5</v>
      </c>
      <c r="B7" s="339" t="s">
        <v>6</v>
      </c>
      <c r="C7" s="339"/>
    </row>
    <row r="8" spans="1:3" ht="12.75" customHeight="1" x14ac:dyDescent="0.2">
      <c r="A8" s="260" t="s">
        <v>7</v>
      </c>
      <c r="B8" s="339"/>
      <c r="C8" s="339"/>
    </row>
    <row r="9" spans="1:3" ht="12.75" customHeight="1" x14ac:dyDescent="0.2">
      <c r="A9" s="260" t="s">
        <v>8</v>
      </c>
      <c r="B9" s="339"/>
      <c r="C9" s="339"/>
    </row>
    <row r="10" spans="1:3" ht="12.75" customHeight="1" x14ac:dyDescent="0.2">
      <c r="A10" s="261" t="s">
        <v>9</v>
      </c>
      <c r="B10" s="339"/>
      <c r="C10" s="339"/>
    </row>
    <row r="11" spans="1:3" ht="12.75" customHeight="1" x14ac:dyDescent="0.2">
      <c r="A11" s="262" t="s">
        <v>10</v>
      </c>
      <c r="B11" s="340" t="s">
        <v>639</v>
      </c>
      <c r="C11" s="340"/>
    </row>
    <row r="12" spans="1:3" ht="12.75" customHeight="1" x14ac:dyDescent="0.2">
      <c r="A12" s="263" t="s">
        <v>11</v>
      </c>
      <c r="B12" s="341" t="s">
        <v>640</v>
      </c>
      <c r="C12" s="341"/>
    </row>
    <row r="13" spans="1:3" ht="12.75" customHeight="1" x14ac:dyDescent="0.2">
      <c r="A13" s="263" t="s">
        <v>12</v>
      </c>
      <c r="B13" s="325"/>
      <c r="C13" s="325"/>
    </row>
    <row r="14" spans="1:3" ht="12.75" customHeight="1" x14ac:dyDescent="0.2">
      <c r="A14" s="263" t="s">
        <v>13</v>
      </c>
      <c r="B14" s="328" t="s">
        <v>641</v>
      </c>
      <c r="C14" s="328"/>
    </row>
    <row r="15" spans="1:3" ht="12.75" customHeight="1" x14ac:dyDescent="0.2">
      <c r="A15" s="263" t="s">
        <v>14</v>
      </c>
      <c r="B15" s="328" t="s">
        <v>689</v>
      </c>
      <c r="C15" s="328"/>
    </row>
    <row r="16" spans="1:3" ht="12.75" customHeight="1" x14ac:dyDescent="0.2">
      <c r="A16" s="263" t="s">
        <v>15</v>
      </c>
      <c r="B16" s="328" t="s">
        <v>690</v>
      </c>
      <c r="C16" s="328"/>
    </row>
    <row r="17" spans="1:3" ht="12.75" customHeight="1" x14ac:dyDescent="0.2">
      <c r="A17" s="263" t="s">
        <v>16</v>
      </c>
      <c r="B17" s="328" t="s">
        <v>691</v>
      </c>
      <c r="C17" s="328"/>
    </row>
    <row r="18" spans="1:3" ht="12.75" customHeight="1" x14ac:dyDescent="0.2">
      <c r="A18" s="263" t="s">
        <v>17</v>
      </c>
      <c r="B18" s="328" t="s">
        <v>692</v>
      </c>
      <c r="C18" s="328"/>
    </row>
    <row r="19" spans="1:3" ht="12.75" customHeight="1" x14ac:dyDescent="0.2">
      <c r="A19" s="263" t="s">
        <v>18</v>
      </c>
      <c r="B19" s="328" t="s">
        <v>693</v>
      </c>
      <c r="C19" s="328"/>
    </row>
    <row r="20" spans="1:3" ht="15.75" customHeight="1" x14ac:dyDescent="0.2">
      <c r="A20" s="329" t="s">
        <v>19</v>
      </c>
      <c r="B20" s="329"/>
      <c r="C20" s="329"/>
    </row>
    <row r="21" spans="1:3" ht="94.5" customHeight="1" x14ac:dyDescent="0.2">
      <c r="A21" s="264" t="s">
        <v>20</v>
      </c>
      <c r="B21" s="265" t="s">
        <v>21</v>
      </c>
      <c r="C21" s="266" t="s">
        <v>679</v>
      </c>
    </row>
    <row r="22" spans="1:3" ht="15" customHeight="1" x14ac:dyDescent="0.2">
      <c r="A22" s="320" t="s">
        <v>22</v>
      </c>
      <c r="B22" s="267" t="s">
        <v>23</v>
      </c>
      <c r="C22" s="255">
        <v>1200</v>
      </c>
    </row>
    <row r="23" spans="1:3" ht="15" customHeight="1" x14ac:dyDescent="0.2">
      <c r="A23" s="320"/>
      <c r="B23" s="267" t="s">
        <v>24</v>
      </c>
      <c r="C23" s="255">
        <v>1200</v>
      </c>
    </row>
    <row r="24" spans="1:3" ht="15" customHeight="1" x14ac:dyDescent="0.2">
      <c r="A24" s="320"/>
      <c r="B24" s="267" t="s">
        <v>25</v>
      </c>
      <c r="C24" s="255">
        <v>450</v>
      </c>
    </row>
    <row r="25" spans="1:3" ht="15" customHeight="1" x14ac:dyDescent="0.2">
      <c r="A25" s="320"/>
      <c r="B25" s="267" t="s">
        <v>26</v>
      </c>
      <c r="C25" s="255">
        <v>2500</v>
      </c>
    </row>
    <row r="26" spans="1:3" ht="15" customHeight="1" x14ac:dyDescent="0.2">
      <c r="A26" s="320"/>
      <c r="B26" s="267" t="s">
        <v>27</v>
      </c>
      <c r="C26" s="255">
        <v>1800</v>
      </c>
    </row>
    <row r="27" spans="1:3" ht="15" customHeight="1" x14ac:dyDescent="0.2">
      <c r="A27" s="320"/>
      <c r="B27" s="267" t="s">
        <v>28</v>
      </c>
      <c r="C27" s="255">
        <v>1500</v>
      </c>
    </row>
    <row r="28" spans="1:3" ht="15" customHeight="1" x14ac:dyDescent="0.2">
      <c r="A28" s="320"/>
      <c r="B28" s="267" t="s">
        <v>29</v>
      </c>
      <c r="C28" s="255">
        <v>1200</v>
      </c>
    </row>
    <row r="29" spans="1:3" ht="15" hidden="1" customHeight="1" x14ac:dyDescent="0.2">
      <c r="A29" s="320"/>
      <c r="B29" s="267" t="s">
        <v>30</v>
      </c>
      <c r="C29" s="256">
        <v>800</v>
      </c>
    </row>
    <row r="30" spans="1:3" ht="15" hidden="1" customHeight="1" x14ac:dyDescent="0.2">
      <c r="A30" s="320"/>
      <c r="B30" s="267" t="s">
        <v>31</v>
      </c>
      <c r="C30" s="257">
        <v>450</v>
      </c>
    </row>
    <row r="31" spans="1:3" ht="15" customHeight="1" x14ac:dyDescent="0.2">
      <c r="A31" s="320" t="s">
        <v>32</v>
      </c>
      <c r="B31" s="267" t="s">
        <v>33</v>
      </c>
      <c r="C31" s="257">
        <v>2700</v>
      </c>
    </row>
    <row r="32" spans="1:3" ht="15" hidden="1" customHeight="1" x14ac:dyDescent="0.2">
      <c r="A32" s="320"/>
      <c r="B32" s="267" t="s">
        <v>34</v>
      </c>
      <c r="C32" s="257">
        <v>800</v>
      </c>
    </row>
    <row r="33" spans="1:3" ht="15" hidden="1" customHeight="1" x14ac:dyDescent="0.2">
      <c r="A33" s="320"/>
      <c r="B33" s="267" t="s">
        <v>35</v>
      </c>
      <c r="C33" s="257">
        <v>450</v>
      </c>
    </row>
    <row r="34" spans="1:3" ht="15" customHeight="1" x14ac:dyDescent="0.2">
      <c r="A34" s="320"/>
      <c r="B34" s="267" t="s">
        <v>36</v>
      </c>
      <c r="C34" s="257">
        <v>9000</v>
      </c>
    </row>
    <row r="35" spans="1:3" ht="15" customHeight="1" x14ac:dyDescent="0.2">
      <c r="A35" s="320"/>
      <c r="B35" s="267" t="s">
        <v>37</v>
      </c>
      <c r="C35" s="257">
        <v>2700</v>
      </c>
    </row>
    <row r="36" spans="1:3" ht="15" customHeight="1" x14ac:dyDescent="0.2">
      <c r="A36" s="320"/>
      <c r="B36" s="267" t="s">
        <v>38</v>
      </c>
      <c r="C36" s="257">
        <v>2700</v>
      </c>
    </row>
    <row r="37" spans="1:3" ht="15" customHeight="1" x14ac:dyDescent="0.2">
      <c r="A37" s="320"/>
      <c r="B37" s="267" t="s">
        <v>39</v>
      </c>
      <c r="C37" s="257">
        <v>2700</v>
      </c>
    </row>
    <row r="38" spans="1:3" ht="15" customHeight="1" x14ac:dyDescent="0.2">
      <c r="A38" s="320"/>
      <c r="B38" s="267" t="s">
        <v>40</v>
      </c>
      <c r="C38" s="257">
        <v>100000</v>
      </c>
    </row>
    <row r="39" spans="1:3" ht="15" customHeight="1" x14ac:dyDescent="0.2">
      <c r="A39" s="326" t="s">
        <v>41</v>
      </c>
      <c r="B39" s="267" t="s">
        <v>42</v>
      </c>
      <c r="C39" s="257">
        <v>300</v>
      </c>
    </row>
    <row r="40" spans="1:3" ht="15" customHeight="1" x14ac:dyDescent="0.2">
      <c r="A40" s="326"/>
      <c r="B40" s="267" t="s">
        <v>43</v>
      </c>
      <c r="C40" s="257">
        <v>800</v>
      </c>
    </row>
    <row r="41" spans="1:3" ht="15" customHeight="1" x14ac:dyDescent="0.2">
      <c r="A41" s="326"/>
      <c r="B41" s="267" t="s">
        <v>44</v>
      </c>
      <c r="C41" s="257">
        <v>450</v>
      </c>
    </row>
    <row r="42" spans="1:3" ht="15" customHeight="1" x14ac:dyDescent="0.2">
      <c r="A42" s="320" t="s">
        <v>45</v>
      </c>
      <c r="B42" s="267" t="s">
        <v>46</v>
      </c>
      <c r="C42" s="257">
        <v>160</v>
      </c>
    </row>
    <row r="43" spans="1:3" ht="15" customHeight="1" x14ac:dyDescent="0.2">
      <c r="A43" s="320"/>
      <c r="B43" s="267" t="s">
        <v>47</v>
      </c>
      <c r="C43" s="255">
        <v>380</v>
      </c>
    </row>
    <row r="44" spans="1:3" ht="15" customHeight="1" x14ac:dyDescent="0.2">
      <c r="A44" s="320"/>
      <c r="B44" s="267" t="s">
        <v>48</v>
      </c>
      <c r="C44" s="255">
        <v>380</v>
      </c>
    </row>
    <row r="45" spans="1:3" ht="25.5" customHeight="1" x14ac:dyDescent="0.2">
      <c r="A45" s="264" t="s">
        <v>49</v>
      </c>
      <c r="B45" s="267" t="s">
        <v>50</v>
      </c>
      <c r="C45" s="258">
        <v>160</v>
      </c>
    </row>
    <row r="46" spans="1:3" ht="33" customHeight="1" x14ac:dyDescent="0.2">
      <c r="A46" s="268" t="s">
        <v>51</v>
      </c>
      <c r="B46" s="269" t="s">
        <v>52</v>
      </c>
      <c r="C46" s="1">
        <v>450</v>
      </c>
    </row>
    <row r="47" spans="1:3" ht="42.75" customHeight="1" x14ac:dyDescent="0.2">
      <c r="A47" s="327" t="s">
        <v>694</v>
      </c>
      <c r="B47" s="327"/>
      <c r="C47" s="327"/>
    </row>
    <row r="48" spans="1:3" ht="12.75" customHeight="1" x14ac:dyDescent="0.2"/>
    <row r="49" spans="1:26" ht="15" x14ac:dyDescent="0.2">
      <c r="A49" s="312" t="s">
        <v>53</v>
      </c>
      <c r="B49" s="312"/>
      <c r="C49" s="312"/>
      <c r="D49" s="270"/>
      <c r="E49" s="270"/>
      <c r="F49" s="270"/>
      <c r="G49" s="270"/>
      <c r="H49" s="270"/>
      <c r="I49" s="270"/>
      <c r="J49" s="270"/>
      <c r="K49" s="270"/>
      <c r="L49" s="270"/>
      <c r="M49" s="270"/>
      <c r="N49" s="270"/>
      <c r="O49" s="270"/>
      <c r="P49" s="270"/>
      <c r="Q49" s="270"/>
      <c r="R49" s="270"/>
      <c r="S49" s="270"/>
      <c r="T49" s="270"/>
      <c r="U49" s="270"/>
      <c r="V49" s="270"/>
      <c r="W49" s="270"/>
      <c r="X49" s="270"/>
      <c r="Y49" s="270"/>
      <c r="Z49" s="270"/>
    </row>
    <row r="50" spans="1:26" ht="21" customHeight="1" x14ac:dyDescent="0.2">
      <c r="A50" s="333" t="s">
        <v>637</v>
      </c>
      <c r="B50" s="334"/>
      <c r="C50" s="335"/>
      <c r="D50" s="270"/>
      <c r="E50" s="270"/>
      <c r="F50" s="270"/>
      <c r="G50" s="270"/>
      <c r="H50" s="270"/>
      <c r="I50" s="270"/>
      <c r="J50" s="270"/>
      <c r="K50" s="270"/>
      <c r="L50" s="270"/>
      <c r="M50" s="270"/>
      <c r="N50" s="270"/>
      <c r="O50" s="270"/>
      <c r="P50" s="270"/>
      <c r="Q50" s="270"/>
      <c r="R50" s="270"/>
      <c r="S50" s="270"/>
      <c r="T50" s="270"/>
      <c r="U50" s="270"/>
      <c r="V50" s="270"/>
      <c r="W50" s="270"/>
      <c r="X50" s="270"/>
      <c r="Y50" s="270"/>
      <c r="Z50" s="270"/>
    </row>
    <row r="51" spans="1:26" ht="15.75" thickBot="1" x14ac:dyDescent="0.25">
      <c r="A51" s="271" t="s">
        <v>54</v>
      </c>
      <c r="B51" s="314">
        <v>1</v>
      </c>
      <c r="C51" s="314"/>
      <c r="D51" s="270"/>
      <c r="E51" s="270"/>
      <c r="F51" s="270"/>
      <c r="G51" s="270"/>
      <c r="H51" s="270"/>
      <c r="I51" s="270"/>
      <c r="J51" s="270"/>
      <c r="K51" s="270"/>
      <c r="L51" s="270"/>
      <c r="M51" s="270"/>
      <c r="N51" s="270"/>
      <c r="O51" s="270"/>
      <c r="P51" s="270"/>
      <c r="Q51" s="270"/>
      <c r="R51" s="270"/>
      <c r="S51" s="270"/>
      <c r="T51" s="270"/>
      <c r="U51" s="270"/>
      <c r="V51" s="270"/>
      <c r="W51" s="270"/>
      <c r="X51" s="270"/>
      <c r="Y51" s="270"/>
      <c r="Z51" s="270"/>
    </row>
    <row r="52" spans="1:26" ht="15.75" thickBot="1" x14ac:dyDescent="0.25">
      <c r="A52" s="2"/>
      <c r="B52" s="2"/>
      <c r="C52" s="2"/>
      <c r="D52" s="270"/>
      <c r="E52" s="270"/>
      <c r="F52" s="270"/>
      <c r="G52" s="270"/>
      <c r="H52" s="270"/>
      <c r="I52" s="270"/>
      <c r="J52" s="270"/>
      <c r="K52" s="270"/>
      <c r="L52" s="270"/>
      <c r="M52" s="270"/>
      <c r="N52" s="270"/>
      <c r="O52" s="270"/>
      <c r="P52" s="270"/>
      <c r="Q52" s="270"/>
      <c r="R52" s="270"/>
      <c r="S52" s="270"/>
      <c r="T52" s="270"/>
      <c r="U52" s="270"/>
      <c r="V52" s="270"/>
      <c r="W52" s="270"/>
      <c r="X52" s="270"/>
      <c r="Y52" s="270"/>
      <c r="Z52" s="270"/>
    </row>
    <row r="53" spans="1:26" ht="15" x14ac:dyDescent="0.2">
      <c r="A53" s="312" t="s">
        <v>55</v>
      </c>
      <c r="B53" s="312"/>
      <c r="C53" s="312"/>
      <c r="D53" s="270"/>
      <c r="E53" s="270"/>
      <c r="F53" s="270"/>
      <c r="G53" s="270"/>
      <c r="H53" s="270"/>
      <c r="I53" s="270"/>
      <c r="J53" s="270"/>
      <c r="K53" s="270"/>
      <c r="L53" s="270"/>
      <c r="M53" s="270"/>
      <c r="N53" s="270"/>
      <c r="O53" s="270"/>
      <c r="P53" s="270"/>
      <c r="Q53" s="270"/>
      <c r="R53" s="270"/>
      <c r="S53" s="270"/>
      <c r="T53" s="270"/>
      <c r="U53" s="270"/>
      <c r="V53" s="270"/>
      <c r="W53" s="270"/>
      <c r="X53" s="270"/>
      <c r="Y53" s="270"/>
      <c r="Z53" s="270"/>
    </row>
    <row r="54" spans="1:26" ht="15" x14ac:dyDescent="0.2">
      <c r="A54" s="264" t="s">
        <v>56</v>
      </c>
      <c r="B54" s="325">
        <f ca="1">TODAY()</f>
        <v>44609</v>
      </c>
      <c r="C54" s="325"/>
      <c r="D54" s="270"/>
      <c r="E54" s="270"/>
      <c r="F54" s="270"/>
      <c r="G54" s="270"/>
      <c r="H54" s="270"/>
      <c r="I54" s="270"/>
      <c r="J54" s="270"/>
      <c r="K54" s="270"/>
      <c r="L54" s="270"/>
      <c r="M54" s="270"/>
      <c r="N54" s="270"/>
      <c r="O54" s="270"/>
      <c r="P54" s="270"/>
      <c r="Q54" s="270"/>
      <c r="R54" s="270"/>
      <c r="S54" s="270"/>
      <c r="T54" s="270"/>
      <c r="U54" s="270"/>
      <c r="V54" s="270"/>
      <c r="W54" s="270"/>
      <c r="X54" s="270"/>
      <c r="Y54" s="270"/>
      <c r="Z54" s="270"/>
    </row>
    <row r="55" spans="1:26" ht="15" x14ac:dyDescent="0.2">
      <c r="A55" s="264" t="s">
        <v>57</v>
      </c>
      <c r="B55" s="315" t="s">
        <v>58</v>
      </c>
      <c r="C55" s="315"/>
      <c r="D55" s="270"/>
      <c r="E55" s="270"/>
      <c r="F55" s="270"/>
      <c r="G55" s="270"/>
      <c r="H55" s="270"/>
      <c r="I55" s="270"/>
      <c r="J55" s="270"/>
      <c r="K55" s="270"/>
      <c r="L55" s="270"/>
      <c r="M55" s="270"/>
      <c r="N55" s="270"/>
      <c r="O55" s="270"/>
      <c r="P55" s="270"/>
      <c r="Q55" s="270"/>
      <c r="R55" s="270"/>
      <c r="S55" s="270"/>
      <c r="T55" s="270"/>
      <c r="U55" s="270"/>
      <c r="V55" s="270"/>
      <c r="W55" s="270"/>
      <c r="X55" s="270"/>
      <c r="Y55" s="270"/>
      <c r="Z55" s="270"/>
    </row>
    <row r="56" spans="1:26" ht="30" x14ac:dyDescent="0.2">
      <c r="A56" s="264" t="s">
        <v>59</v>
      </c>
      <c r="B56" s="315" t="s">
        <v>698</v>
      </c>
      <c r="C56" s="315"/>
      <c r="D56" s="270"/>
      <c r="E56" s="270"/>
      <c r="F56" s="270"/>
      <c r="G56" s="270"/>
      <c r="H56" s="270"/>
      <c r="I56" s="270"/>
      <c r="J56" s="270"/>
      <c r="K56" s="270"/>
      <c r="L56" s="270"/>
      <c r="M56" s="270"/>
      <c r="N56" s="270"/>
      <c r="O56" s="270"/>
      <c r="P56" s="270"/>
      <c r="Q56" s="270"/>
      <c r="R56" s="270"/>
      <c r="S56" s="270"/>
      <c r="T56" s="270"/>
      <c r="U56" s="270"/>
      <c r="V56" s="270"/>
      <c r="W56" s="270"/>
      <c r="X56" s="270"/>
      <c r="Y56" s="270"/>
      <c r="Z56" s="270"/>
    </row>
    <row r="57" spans="1:26" ht="30" x14ac:dyDescent="0.2">
      <c r="A57" s="272" t="s">
        <v>60</v>
      </c>
      <c r="B57" s="314">
        <v>20</v>
      </c>
      <c r="C57" s="314"/>
      <c r="D57" s="270"/>
      <c r="E57" s="270"/>
      <c r="F57" s="270"/>
      <c r="G57" s="270"/>
      <c r="H57" s="270"/>
      <c r="I57" s="270"/>
      <c r="J57" s="270"/>
      <c r="K57" s="270"/>
      <c r="L57" s="270"/>
      <c r="M57" s="270"/>
      <c r="N57" s="270"/>
      <c r="O57" s="270"/>
      <c r="P57" s="270"/>
      <c r="Q57" s="270"/>
      <c r="R57" s="270"/>
      <c r="S57" s="270"/>
      <c r="T57" s="270"/>
      <c r="U57" s="270"/>
      <c r="V57" s="270"/>
      <c r="W57" s="270"/>
      <c r="X57" s="270"/>
      <c r="Y57" s="270"/>
      <c r="Z57" s="270"/>
    </row>
    <row r="58" spans="1:26" ht="15" x14ac:dyDescent="0.2">
      <c r="A58" s="2"/>
      <c r="B58" s="2"/>
      <c r="C58" s="2"/>
      <c r="D58" s="270"/>
      <c r="E58" s="270"/>
      <c r="F58" s="270"/>
      <c r="G58" s="270"/>
      <c r="H58" s="270"/>
      <c r="I58" s="270"/>
      <c r="J58" s="270"/>
      <c r="K58" s="270"/>
      <c r="L58" s="270"/>
      <c r="M58" s="270"/>
      <c r="N58" s="270"/>
      <c r="O58" s="270"/>
      <c r="P58" s="270"/>
      <c r="Q58" s="270"/>
      <c r="R58" s="270"/>
      <c r="S58" s="270"/>
      <c r="T58" s="270"/>
      <c r="U58" s="270"/>
      <c r="V58" s="270"/>
      <c r="W58" s="270"/>
      <c r="X58" s="270"/>
      <c r="Y58" s="270"/>
      <c r="Z58" s="270"/>
    </row>
    <row r="59" spans="1:26" ht="12.75" customHeight="1" x14ac:dyDescent="0.2">
      <c r="A59" s="322" t="s">
        <v>61</v>
      </c>
      <c r="B59" s="322"/>
      <c r="C59" s="322"/>
      <c r="D59" s="270"/>
      <c r="E59" s="270"/>
      <c r="F59" s="270"/>
      <c r="G59" s="270"/>
      <c r="H59" s="270"/>
      <c r="I59" s="270"/>
      <c r="J59" s="270"/>
      <c r="K59" s="270"/>
      <c r="L59" s="270"/>
      <c r="M59" s="270"/>
      <c r="N59" s="270"/>
      <c r="O59" s="270"/>
      <c r="P59" s="270"/>
      <c r="Q59" s="270"/>
      <c r="R59" s="270"/>
      <c r="S59" s="270"/>
      <c r="T59" s="270"/>
      <c r="U59" s="270"/>
      <c r="V59" s="270"/>
      <c r="W59" s="270"/>
      <c r="X59" s="270"/>
      <c r="Y59" s="270"/>
      <c r="Z59" s="270"/>
    </row>
    <row r="60" spans="1:26" ht="15" customHeight="1" x14ac:dyDescent="0.2">
      <c r="A60" s="273" t="s">
        <v>62</v>
      </c>
      <c r="B60" s="323" t="s">
        <v>63</v>
      </c>
      <c r="C60" s="323"/>
      <c r="D60" s="274"/>
      <c r="E60" s="274"/>
      <c r="F60" s="274"/>
      <c r="G60" s="274"/>
      <c r="H60" s="2"/>
      <c r="I60" s="2"/>
      <c r="J60" s="2"/>
      <c r="K60" s="270"/>
      <c r="L60" s="270"/>
      <c r="M60" s="270"/>
      <c r="N60" s="270"/>
      <c r="O60" s="270"/>
      <c r="P60" s="270"/>
      <c r="Q60" s="270"/>
      <c r="R60" s="270"/>
      <c r="S60" s="270"/>
      <c r="T60" s="270"/>
      <c r="U60" s="270"/>
      <c r="V60" s="270"/>
      <c r="W60" s="270"/>
      <c r="X60" s="270"/>
      <c r="Y60" s="270"/>
      <c r="Z60" s="270"/>
    </row>
    <row r="61" spans="1:26" ht="12.75" customHeight="1" x14ac:dyDescent="0.2">
      <c r="A61" s="317" t="s">
        <v>64</v>
      </c>
      <c r="B61" s="317"/>
      <c r="C61" s="275">
        <v>5143</v>
      </c>
      <c r="D61" s="274"/>
      <c r="E61" s="274"/>
      <c r="F61" s="274"/>
      <c r="G61" s="274"/>
      <c r="H61" s="270"/>
      <c r="I61" s="270"/>
      <c r="J61" s="270"/>
      <c r="K61" s="270"/>
      <c r="L61" s="270"/>
      <c r="M61" s="270"/>
      <c r="N61" s="270"/>
      <c r="O61" s="270"/>
      <c r="P61" s="270"/>
      <c r="Q61" s="270"/>
      <c r="R61" s="270"/>
      <c r="S61" s="270"/>
      <c r="T61" s="270"/>
      <c r="U61" s="270"/>
      <c r="V61" s="270"/>
      <c r="W61" s="270"/>
      <c r="X61" s="270"/>
      <c r="Y61" s="270"/>
      <c r="Z61" s="270"/>
    </row>
    <row r="62" spans="1:26" ht="12.75" customHeight="1" x14ac:dyDescent="0.2">
      <c r="A62" s="273" t="s">
        <v>65</v>
      </c>
      <c r="B62" s="324" t="s">
        <v>702</v>
      </c>
      <c r="C62" s="324"/>
      <c r="D62" s="274"/>
      <c r="E62" s="274"/>
      <c r="F62" s="274"/>
      <c r="G62" s="274"/>
      <c r="H62" s="270"/>
      <c r="I62" s="270"/>
      <c r="J62" s="270"/>
      <c r="K62" s="270"/>
      <c r="L62" s="270"/>
      <c r="M62" s="270"/>
      <c r="N62" s="270"/>
      <c r="O62" s="270"/>
      <c r="P62" s="270"/>
      <c r="Q62" s="270"/>
      <c r="R62" s="270"/>
      <c r="S62" s="270"/>
      <c r="T62" s="270"/>
      <c r="U62" s="270"/>
      <c r="V62" s="270"/>
      <c r="W62" s="270"/>
      <c r="X62" s="270"/>
      <c r="Y62" s="270"/>
      <c r="Z62" s="270"/>
    </row>
    <row r="63" spans="1:26" ht="12.75" customHeight="1" x14ac:dyDescent="0.2">
      <c r="A63" s="317" t="s">
        <v>66</v>
      </c>
      <c r="B63" s="317"/>
      <c r="C63" s="276">
        <v>1314.09</v>
      </c>
      <c r="D63" s="274"/>
      <c r="E63" s="274"/>
      <c r="F63" s="274"/>
      <c r="G63" s="274"/>
      <c r="H63" s="270"/>
      <c r="I63" s="270"/>
      <c r="J63" s="270"/>
      <c r="K63" s="270"/>
      <c r="L63" s="270"/>
      <c r="M63" s="270"/>
      <c r="N63" s="270"/>
      <c r="O63" s="270"/>
      <c r="P63" s="270"/>
      <c r="Q63" s="270"/>
      <c r="R63" s="270"/>
      <c r="S63" s="270"/>
      <c r="T63" s="270"/>
      <c r="U63" s="270"/>
      <c r="V63" s="270"/>
      <c r="W63" s="270"/>
      <c r="X63" s="270"/>
      <c r="Y63" s="270"/>
      <c r="Z63" s="270"/>
    </row>
    <row r="64" spans="1:26" ht="33" customHeight="1" x14ac:dyDescent="0.2">
      <c r="A64" s="317" t="s">
        <v>67</v>
      </c>
      <c r="B64" s="317"/>
      <c r="C64" s="309" t="s">
        <v>68</v>
      </c>
      <c r="D64" s="274"/>
      <c r="E64" s="274"/>
      <c r="F64" s="274"/>
      <c r="G64" s="274"/>
      <c r="H64" s="270"/>
      <c r="I64" s="270"/>
      <c r="J64" s="270"/>
      <c r="K64" s="270"/>
      <c r="L64" s="270"/>
      <c r="M64" s="270"/>
      <c r="N64" s="270"/>
      <c r="O64" s="270"/>
      <c r="P64" s="270"/>
      <c r="Q64" s="270"/>
      <c r="R64" s="270"/>
      <c r="S64" s="270"/>
      <c r="T64" s="270"/>
      <c r="U64" s="270"/>
      <c r="V64" s="270"/>
      <c r="W64" s="270"/>
      <c r="X64" s="270"/>
      <c r="Y64" s="270"/>
      <c r="Z64" s="270"/>
    </row>
    <row r="65" spans="1:26" ht="13.5" customHeight="1" thickBot="1" x14ac:dyDescent="0.25">
      <c r="A65" s="318" t="s">
        <v>69</v>
      </c>
      <c r="B65" s="318"/>
      <c r="C65" s="277">
        <v>44562</v>
      </c>
      <c r="D65" s="274"/>
      <c r="E65" s="274"/>
      <c r="F65" s="274"/>
      <c r="G65" s="274"/>
      <c r="H65" s="270"/>
      <c r="I65" s="270"/>
      <c r="J65" s="270"/>
      <c r="K65" s="270"/>
      <c r="L65" s="270"/>
      <c r="M65" s="270"/>
      <c r="N65" s="270"/>
      <c r="O65" s="270"/>
      <c r="P65" s="270"/>
      <c r="Q65" s="270"/>
      <c r="R65" s="270"/>
      <c r="S65" s="270"/>
      <c r="T65" s="270"/>
      <c r="U65" s="270"/>
      <c r="V65" s="270"/>
      <c r="W65" s="270"/>
      <c r="X65" s="270"/>
      <c r="Y65" s="270"/>
      <c r="Z65" s="270"/>
    </row>
    <row r="66" spans="1:26" ht="15" x14ac:dyDescent="0.2">
      <c r="A66" s="2"/>
      <c r="B66" s="2"/>
      <c r="C66" s="2"/>
      <c r="D66" s="270"/>
      <c r="E66" s="270"/>
      <c r="F66" s="270"/>
      <c r="G66" s="270"/>
      <c r="H66" s="270"/>
      <c r="I66" s="270"/>
      <c r="J66" s="270"/>
      <c r="K66" s="270"/>
      <c r="L66" s="270"/>
      <c r="M66" s="270"/>
      <c r="N66" s="270"/>
      <c r="O66" s="270"/>
      <c r="P66" s="270"/>
      <c r="Q66" s="270"/>
      <c r="R66" s="270"/>
      <c r="S66" s="270"/>
      <c r="T66" s="270"/>
      <c r="U66" s="270"/>
      <c r="V66" s="270"/>
      <c r="W66" s="270"/>
      <c r="X66" s="270"/>
      <c r="Y66" s="270"/>
      <c r="Z66" s="270"/>
    </row>
    <row r="67" spans="1:26" ht="15" x14ac:dyDescent="0.2">
      <c r="A67" s="312" t="s">
        <v>70</v>
      </c>
      <c r="B67" s="312"/>
      <c r="C67" s="312"/>
      <c r="D67" s="270"/>
      <c r="E67" s="270"/>
      <c r="F67" s="270"/>
      <c r="G67" s="270"/>
      <c r="H67" s="270"/>
      <c r="I67" s="270"/>
      <c r="J67" s="270"/>
      <c r="K67" s="270"/>
      <c r="L67" s="270"/>
      <c r="M67" s="270"/>
      <c r="N67" s="270"/>
      <c r="O67" s="270"/>
      <c r="P67" s="270"/>
      <c r="Q67" s="270"/>
      <c r="R67" s="270"/>
      <c r="S67" s="270"/>
      <c r="T67" s="270"/>
      <c r="U67" s="270"/>
      <c r="V67" s="270"/>
      <c r="W67" s="270"/>
      <c r="X67" s="270"/>
      <c r="Y67" s="270"/>
      <c r="Z67" s="270"/>
    </row>
    <row r="68" spans="1:26" ht="15" x14ac:dyDescent="0.2">
      <c r="A68" s="320" t="s">
        <v>71</v>
      </c>
      <c r="B68" s="320"/>
      <c r="C68" s="278">
        <v>44</v>
      </c>
      <c r="D68" s="270"/>
      <c r="E68" s="270"/>
      <c r="F68" s="270"/>
      <c r="G68" s="270"/>
      <c r="H68" s="270"/>
      <c r="I68" s="270"/>
      <c r="J68" s="270"/>
      <c r="K68" s="270"/>
      <c r="L68" s="270"/>
      <c r="M68" s="270"/>
      <c r="N68" s="270"/>
      <c r="O68" s="270"/>
      <c r="P68" s="270"/>
      <c r="Q68" s="270"/>
      <c r="R68" s="270"/>
      <c r="S68" s="270"/>
      <c r="T68" s="270"/>
      <c r="U68" s="270"/>
      <c r="V68" s="270"/>
      <c r="W68" s="270"/>
      <c r="X68" s="270"/>
      <c r="Y68" s="270"/>
      <c r="Z68" s="270"/>
    </row>
    <row r="69" spans="1:26" ht="30" x14ac:dyDescent="0.2">
      <c r="A69" s="264" t="s">
        <v>72</v>
      </c>
      <c r="B69" s="279" t="s">
        <v>699</v>
      </c>
      <c r="C69" s="280"/>
      <c r="D69" s="270"/>
      <c r="E69" s="270"/>
      <c r="F69" s="270"/>
      <c r="G69" s="270"/>
      <c r="H69" s="270"/>
      <c r="I69" s="270"/>
      <c r="J69" s="270"/>
      <c r="K69" s="270"/>
      <c r="L69" s="270"/>
      <c r="M69" s="270"/>
      <c r="N69" s="270"/>
      <c r="O69" s="270"/>
      <c r="P69" s="270"/>
      <c r="Q69" s="270"/>
      <c r="R69" s="270"/>
      <c r="S69" s="270"/>
      <c r="T69" s="270"/>
      <c r="U69" s="270"/>
      <c r="V69" s="270"/>
      <c r="W69" s="270"/>
      <c r="X69" s="270"/>
      <c r="Y69" s="270"/>
      <c r="Z69" s="270"/>
    </row>
    <row r="70" spans="1:26" ht="15" x14ac:dyDescent="0.2">
      <c r="A70" s="320" t="s">
        <v>73</v>
      </c>
      <c r="B70" s="320"/>
      <c r="C70" s="281">
        <v>0.4</v>
      </c>
      <c r="D70" s="270"/>
      <c r="E70" s="270"/>
      <c r="F70" s="270"/>
      <c r="G70" s="270"/>
      <c r="H70" s="270"/>
      <c r="I70" s="270"/>
      <c r="J70" s="270"/>
      <c r="K70" s="270"/>
      <c r="L70" s="270"/>
      <c r="M70" s="270"/>
      <c r="N70" s="270"/>
      <c r="O70" s="270"/>
      <c r="P70" s="270"/>
      <c r="Q70" s="270"/>
      <c r="R70" s="270"/>
      <c r="S70" s="270"/>
      <c r="T70" s="270"/>
      <c r="U70" s="270"/>
      <c r="V70" s="270"/>
      <c r="W70" s="270"/>
      <c r="X70" s="270"/>
      <c r="Y70" s="270"/>
      <c r="Z70" s="270"/>
    </row>
    <row r="71" spans="1:26" ht="15" x14ac:dyDescent="0.2">
      <c r="A71" s="321" t="s">
        <v>74</v>
      </c>
      <c r="B71" s="321"/>
      <c r="C71" s="282">
        <v>0.2</v>
      </c>
      <c r="D71" s="270"/>
      <c r="E71" s="270"/>
      <c r="F71" s="270"/>
      <c r="G71" s="270"/>
      <c r="H71" s="270"/>
      <c r="I71" s="270"/>
      <c r="J71" s="270"/>
      <c r="K71" s="270"/>
      <c r="L71" s="270"/>
      <c r="M71" s="270"/>
      <c r="N71" s="270"/>
      <c r="O71" s="270"/>
      <c r="P71" s="270"/>
      <c r="Q71" s="270"/>
      <c r="R71" s="270"/>
      <c r="S71" s="270"/>
      <c r="T71" s="270"/>
      <c r="U71" s="270"/>
      <c r="V71" s="270"/>
      <c r="W71" s="270"/>
      <c r="X71" s="270"/>
      <c r="Y71" s="270"/>
      <c r="Z71" s="270"/>
    </row>
    <row r="72" spans="1:26" ht="15" x14ac:dyDescent="0.2">
      <c r="A72" s="2"/>
      <c r="B72" s="2"/>
      <c r="C72" s="2"/>
      <c r="D72" s="270"/>
      <c r="E72" s="270"/>
      <c r="F72" s="270"/>
      <c r="G72" s="270"/>
      <c r="H72" s="270"/>
      <c r="I72" s="270"/>
      <c r="J72" s="270"/>
      <c r="K72" s="270"/>
      <c r="L72" s="270"/>
      <c r="M72" s="270"/>
      <c r="N72" s="270"/>
      <c r="O72" s="270"/>
      <c r="P72" s="270"/>
      <c r="Q72" s="270"/>
      <c r="R72" s="270"/>
      <c r="S72" s="270"/>
      <c r="T72" s="270"/>
      <c r="U72" s="270"/>
      <c r="V72" s="270"/>
      <c r="W72" s="270"/>
      <c r="X72" s="270"/>
      <c r="Y72" s="270"/>
      <c r="Z72" s="270"/>
    </row>
    <row r="73" spans="1:26" ht="15" x14ac:dyDescent="0.2">
      <c r="A73" s="312" t="s">
        <v>75</v>
      </c>
      <c r="B73" s="312"/>
      <c r="C73" s="312"/>
      <c r="D73" s="2"/>
      <c r="E73" s="2"/>
      <c r="F73" s="2"/>
      <c r="G73" s="2"/>
      <c r="H73" s="2"/>
      <c r="I73" s="2"/>
      <c r="J73" s="270"/>
      <c r="K73" s="270"/>
      <c r="L73" s="270"/>
      <c r="M73" s="270"/>
      <c r="N73" s="270"/>
      <c r="O73" s="270"/>
      <c r="P73" s="270"/>
      <c r="Q73" s="270"/>
      <c r="R73" s="270"/>
      <c r="S73" s="270"/>
      <c r="T73" s="270"/>
      <c r="U73" s="270"/>
      <c r="V73" s="270"/>
      <c r="W73" s="270"/>
      <c r="X73" s="270"/>
      <c r="Y73" s="270"/>
      <c r="Z73" s="270"/>
    </row>
    <row r="74" spans="1:26" ht="15" x14ac:dyDescent="0.2">
      <c r="A74" s="264" t="s">
        <v>76</v>
      </c>
      <c r="B74" s="310">
        <v>0.03</v>
      </c>
      <c r="C74" s="310"/>
      <c r="D74" s="270"/>
      <c r="E74" s="270"/>
      <c r="F74" s="270"/>
      <c r="G74" s="270"/>
      <c r="H74" s="270"/>
      <c r="I74" s="270"/>
      <c r="J74" s="270"/>
      <c r="K74" s="270"/>
      <c r="L74" s="270"/>
      <c r="M74" s="270"/>
      <c r="N74" s="270"/>
      <c r="O74" s="270"/>
      <c r="P74" s="270"/>
      <c r="Q74" s="270"/>
      <c r="R74" s="270"/>
      <c r="S74" s="270"/>
      <c r="T74" s="270"/>
      <c r="U74" s="270"/>
      <c r="V74" s="270"/>
      <c r="W74" s="270"/>
      <c r="X74" s="270"/>
      <c r="Y74" s="270"/>
      <c r="Z74" s="270"/>
    </row>
    <row r="75" spans="1:26" ht="15" x14ac:dyDescent="0.2">
      <c r="A75" s="272" t="s">
        <v>77</v>
      </c>
      <c r="B75" s="314">
        <v>1</v>
      </c>
      <c r="C75" s="314"/>
      <c r="D75" s="270"/>
      <c r="E75" s="270"/>
      <c r="F75" s="270"/>
      <c r="G75" s="270"/>
      <c r="H75" s="270"/>
      <c r="I75" s="270"/>
      <c r="J75" s="270"/>
      <c r="K75" s="270"/>
      <c r="L75" s="270"/>
      <c r="M75" s="270"/>
      <c r="N75" s="270"/>
      <c r="O75" s="270"/>
      <c r="P75" s="270"/>
      <c r="Q75" s="270"/>
      <c r="R75" s="270"/>
      <c r="S75" s="270"/>
      <c r="T75" s="270"/>
      <c r="U75" s="270"/>
      <c r="V75" s="270"/>
      <c r="W75" s="270"/>
      <c r="X75" s="270"/>
      <c r="Y75" s="270"/>
      <c r="Z75" s="270"/>
    </row>
    <row r="76" spans="1:26" ht="15" x14ac:dyDescent="0.2">
      <c r="A76" s="2"/>
      <c r="B76" s="2"/>
      <c r="C76" s="2"/>
      <c r="D76" s="270"/>
      <c r="E76" s="270"/>
      <c r="F76" s="270"/>
      <c r="G76" s="270"/>
      <c r="H76" s="270"/>
      <c r="I76" s="270"/>
      <c r="J76" s="270"/>
      <c r="K76" s="270"/>
      <c r="L76" s="270"/>
      <c r="M76" s="270"/>
      <c r="N76" s="270"/>
      <c r="O76" s="270"/>
      <c r="P76" s="270"/>
      <c r="Q76" s="270"/>
      <c r="R76" s="270"/>
      <c r="S76" s="270"/>
      <c r="T76" s="270"/>
      <c r="U76" s="270"/>
      <c r="V76" s="270"/>
      <c r="W76" s="270"/>
      <c r="X76" s="270"/>
      <c r="Y76" s="270"/>
      <c r="Z76" s="270"/>
    </row>
    <row r="77" spans="1:26" ht="12.75" customHeight="1" x14ac:dyDescent="0.2">
      <c r="A77" s="319" t="s">
        <v>78</v>
      </c>
      <c r="B77" s="319"/>
      <c r="C77" s="319"/>
      <c r="D77" s="270"/>
      <c r="E77" s="270"/>
      <c r="F77" s="270"/>
      <c r="G77" s="270"/>
      <c r="H77" s="270"/>
      <c r="I77" s="270"/>
      <c r="J77" s="270"/>
      <c r="K77" s="270"/>
      <c r="L77" s="270"/>
      <c r="M77" s="270"/>
      <c r="N77" s="270"/>
      <c r="O77" s="270"/>
      <c r="P77" s="270"/>
      <c r="Q77" s="270"/>
      <c r="R77" s="270"/>
      <c r="S77" s="270"/>
      <c r="T77" s="270"/>
      <c r="U77" s="270"/>
      <c r="V77" s="270"/>
      <c r="W77" s="270"/>
      <c r="X77" s="270"/>
      <c r="Y77" s="270"/>
      <c r="Z77" s="270"/>
    </row>
    <row r="78" spans="1:26" ht="15" x14ac:dyDescent="0.2">
      <c r="A78" s="317" t="s">
        <v>79</v>
      </c>
      <c r="B78" s="317"/>
      <c r="C78" s="283">
        <v>0.2</v>
      </c>
      <c r="D78" s="274"/>
      <c r="E78" s="274"/>
      <c r="F78" s="274"/>
      <c r="G78" s="274"/>
      <c r="H78" s="270"/>
      <c r="I78" s="270"/>
      <c r="J78" s="270"/>
      <c r="K78" s="270"/>
      <c r="L78" s="270"/>
      <c r="M78" s="270"/>
      <c r="N78" s="270"/>
      <c r="O78" s="270"/>
      <c r="P78" s="270"/>
      <c r="Q78" s="270"/>
      <c r="R78" s="270"/>
      <c r="S78" s="270"/>
      <c r="T78" s="270"/>
      <c r="U78" s="270"/>
      <c r="V78" s="270"/>
      <c r="W78" s="270"/>
      <c r="X78" s="270"/>
      <c r="Y78" s="270"/>
      <c r="Z78" s="270"/>
    </row>
    <row r="79" spans="1:26" ht="15" x14ac:dyDescent="0.2">
      <c r="A79" s="317" t="s">
        <v>80</v>
      </c>
      <c r="B79" s="317"/>
      <c r="C79" s="283">
        <v>2.5000000000000001E-2</v>
      </c>
      <c r="D79" s="274"/>
      <c r="E79" s="274"/>
      <c r="F79" s="274"/>
      <c r="G79" s="274"/>
      <c r="H79" s="270"/>
      <c r="I79" s="270"/>
      <c r="J79" s="270"/>
      <c r="K79" s="270"/>
      <c r="L79" s="270"/>
      <c r="M79" s="270"/>
      <c r="N79" s="270"/>
      <c r="O79" s="270"/>
      <c r="P79" s="270"/>
      <c r="Q79" s="270"/>
      <c r="R79" s="270"/>
      <c r="S79" s="270"/>
      <c r="T79" s="270"/>
      <c r="U79" s="270"/>
      <c r="V79" s="270"/>
      <c r="W79" s="270"/>
      <c r="X79" s="270"/>
      <c r="Y79" s="270"/>
      <c r="Z79" s="270"/>
    </row>
    <row r="80" spans="1:26" ht="15" x14ac:dyDescent="0.2">
      <c r="A80" s="317" t="s">
        <v>81</v>
      </c>
      <c r="B80" s="317"/>
      <c r="C80" s="284">
        <f>B74*B75</f>
        <v>0.03</v>
      </c>
      <c r="D80" s="285"/>
      <c r="E80" s="286"/>
      <c r="F80" s="285"/>
      <c r="G80" s="287"/>
      <c r="H80" s="270"/>
      <c r="I80" s="270"/>
      <c r="J80" s="270"/>
      <c r="K80" s="270"/>
      <c r="L80" s="270"/>
      <c r="M80" s="270"/>
      <c r="N80" s="270"/>
      <c r="O80" s="270"/>
      <c r="P80" s="270"/>
      <c r="Q80" s="270"/>
      <c r="R80" s="270"/>
      <c r="S80" s="270"/>
      <c r="T80" s="270"/>
      <c r="U80" s="270"/>
      <c r="V80" s="270"/>
      <c r="W80" s="270"/>
      <c r="X80" s="270"/>
      <c r="Y80" s="270"/>
      <c r="Z80" s="270"/>
    </row>
    <row r="81" spans="1:26" ht="15" x14ac:dyDescent="0.2">
      <c r="A81" s="317" t="s">
        <v>82</v>
      </c>
      <c r="B81" s="317"/>
      <c r="C81" s="283">
        <v>1.4999999999999999E-2</v>
      </c>
      <c r="D81" s="274"/>
      <c r="E81" s="274"/>
      <c r="F81" s="274"/>
      <c r="G81" s="274"/>
      <c r="H81" s="270"/>
      <c r="I81" s="270"/>
      <c r="J81" s="270"/>
      <c r="K81" s="270"/>
      <c r="L81" s="270"/>
      <c r="M81" s="270"/>
      <c r="N81" s="270"/>
      <c r="O81" s="270"/>
      <c r="P81" s="270"/>
      <c r="Q81" s="270"/>
      <c r="R81" s="270"/>
      <c r="S81" s="270"/>
      <c r="T81" s="270"/>
      <c r="U81" s="270"/>
      <c r="V81" s="270"/>
      <c r="W81" s="270"/>
      <c r="X81" s="270"/>
      <c r="Y81" s="270"/>
      <c r="Z81" s="270"/>
    </row>
    <row r="82" spans="1:26" ht="15" x14ac:dyDescent="0.2">
      <c r="A82" s="317" t="s">
        <v>83</v>
      </c>
      <c r="B82" s="317"/>
      <c r="C82" s="283">
        <v>0.01</v>
      </c>
      <c r="D82" s="274"/>
      <c r="E82" s="274"/>
      <c r="F82" s="274"/>
      <c r="G82" s="274"/>
      <c r="H82" s="270"/>
      <c r="I82" s="270"/>
      <c r="J82" s="270"/>
      <c r="K82" s="270"/>
      <c r="L82" s="270"/>
      <c r="M82" s="270"/>
      <c r="N82" s="270"/>
      <c r="O82" s="270"/>
      <c r="P82" s="270"/>
      <c r="Q82" s="270"/>
      <c r="R82" s="270"/>
      <c r="S82" s="270"/>
      <c r="T82" s="270"/>
      <c r="U82" s="270"/>
      <c r="V82" s="270"/>
      <c r="W82" s="270"/>
      <c r="X82" s="270"/>
      <c r="Y82" s="270"/>
      <c r="Z82" s="270"/>
    </row>
    <row r="83" spans="1:26" ht="15" x14ac:dyDescent="0.2">
      <c r="A83" s="317" t="s">
        <v>84</v>
      </c>
      <c r="B83" s="317"/>
      <c r="C83" s="283">
        <v>6.0000000000000001E-3</v>
      </c>
      <c r="D83" s="274"/>
      <c r="E83" s="274"/>
      <c r="F83" s="274"/>
      <c r="G83" s="274"/>
      <c r="H83" s="270"/>
      <c r="I83" s="270"/>
      <c r="J83" s="270"/>
      <c r="K83" s="270"/>
      <c r="L83" s="270"/>
      <c r="M83" s="270"/>
      <c r="N83" s="270"/>
      <c r="O83" s="270"/>
      <c r="P83" s="270"/>
      <c r="Q83" s="270"/>
      <c r="R83" s="270"/>
      <c r="S83" s="270"/>
      <c r="T83" s="270"/>
      <c r="U83" s="270"/>
      <c r="V83" s="270"/>
      <c r="W83" s="270"/>
      <c r="X83" s="270"/>
      <c r="Y83" s="270"/>
      <c r="Z83" s="270"/>
    </row>
    <row r="84" spans="1:26" ht="15" x14ac:dyDescent="0.2">
      <c r="A84" s="317" t="s">
        <v>85</v>
      </c>
      <c r="B84" s="317"/>
      <c r="C84" s="283">
        <v>2E-3</v>
      </c>
      <c r="D84" s="274"/>
      <c r="E84" s="274"/>
      <c r="F84" s="274"/>
      <c r="G84" s="274"/>
      <c r="H84" s="270"/>
      <c r="I84" s="270"/>
      <c r="J84" s="270"/>
      <c r="K84" s="270"/>
      <c r="L84" s="270"/>
      <c r="M84" s="270"/>
      <c r="N84" s="270"/>
      <c r="O84" s="270"/>
      <c r="P84" s="270"/>
      <c r="Q84" s="270"/>
      <c r="R84" s="270"/>
      <c r="S84" s="270"/>
      <c r="T84" s="270"/>
      <c r="U84" s="270"/>
      <c r="V84" s="270"/>
      <c r="W84" s="270"/>
      <c r="X84" s="270"/>
      <c r="Y84" s="270"/>
      <c r="Z84" s="270"/>
    </row>
    <row r="85" spans="1:26" ht="15" x14ac:dyDescent="0.2">
      <c r="A85" s="318" t="s">
        <v>86</v>
      </c>
      <c r="B85" s="318"/>
      <c r="C85" s="288">
        <v>0.08</v>
      </c>
      <c r="D85" s="274"/>
      <c r="E85" s="274"/>
      <c r="F85" s="274"/>
      <c r="G85" s="274"/>
    </row>
    <row r="86" spans="1:26" ht="12.75" customHeight="1" x14ac:dyDescent="0.2"/>
    <row r="87" spans="1:26" ht="12.75" customHeight="1" x14ac:dyDescent="0.2">
      <c r="A87" s="312" t="s">
        <v>87</v>
      </c>
      <c r="B87" s="312"/>
      <c r="C87" s="312"/>
    </row>
    <row r="88" spans="1:26" ht="12.75" customHeight="1" x14ac:dyDescent="0.2">
      <c r="A88" s="264" t="s">
        <v>88</v>
      </c>
      <c r="B88" s="313">
        <v>3.75</v>
      </c>
      <c r="C88" s="313"/>
    </row>
    <row r="89" spans="1:26" ht="12.75" customHeight="1" x14ac:dyDescent="0.2">
      <c r="A89" s="264" t="s">
        <v>89</v>
      </c>
      <c r="B89" s="315">
        <v>2</v>
      </c>
      <c r="C89" s="315"/>
    </row>
    <row r="90" spans="1:26" ht="12.75" customHeight="1" x14ac:dyDescent="0.2">
      <c r="A90" s="264" t="s">
        <v>90</v>
      </c>
      <c r="B90" s="315">
        <v>24</v>
      </c>
      <c r="C90" s="315"/>
    </row>
    <row r="91" spans="1:26" ht="27" customHeight="1" x14ac:dyDescent="0.2">
      <c r="A91" s="272" t="s">
        <v>91</v>
      </c>
      <c r="B91" s="316">
        <v>0.06</v>
      </c>
      <c r="C91" s="316"/>
    </row>
    <row r="92" spans="1:26" ht="12.75" customHeight="1" x14ac:dyDescent="0.2"/>
    <row r="93" spans="1:26" ht="12.75" customHeight="1" x14ac:dyDescent="0.2">
      <c r="A93" s="312" t="s">
        <v>92</v>
      </c>
      <c r="B93" s="312"/>
      <c r="C93" s="312"/>
    </row>
    <row r="94" spans="1:26" ht="12.75" customHeight="1" x14ac:dyDescent="0.2">
      <c r="A94" s="264" t="s">
        <v>93</v>
      </c>
      <c r="B94" s="313" t="s">
        <v>700</v>
      </c>
      <c r="C94" s="313"/>
    </row>
    <row r="95" spans="1:26" ht="12.75" customHeight="1" x14ac:dyDescent="0.2">
      <c r="A95" s="264" t="s">
        <v>94</v>
      </c>
      <c r="B95" s="313">
        <v>20.18</v>
      </c>
      <c r="C95" s="313"/>
    </row>
    <row r="96" spans="1:26" ht="12.75" customHeight="1" x14ac:dyDescent="0.2">
      <c r="A96" s="264" t="s">
        <v>95</v>
      </c>
      <c r="B96" s="310">
        <v>0.19</v>
      </c>
      <c r="C96" s="310"/>
    </row>
    <row r="97" spans="1:3" ht="12.75" customHeight="1" x14ac:dyDescent="0.2">
      <c r="A97" s="272" t="s">
        <v>90</v>
      </c>
      <c r="B97" s="314">
        <v>24</v>
      </c>
      <c r="C97" s="314"/>
    </row>
    <row r="98" spans="1:3" ht="12.75" customHeight="1" x14ac:dyDescent="0.2"/>
    <row r="99" spans="1:3" ht="12.75" customHeight="1" x14ac:dyDescent="0.2">
      <c r="A99" s="312" t="s">
        <v>96</v>
      </c>
      <c r="B99" s="312"/>
      <c r="C99" s="312"/>
    </row>
    <row r="100" spans="1:3" ht="12.75" customHeight="1" x14ac:dyDescent="0.2">
      <c r="A100" s="272" t="s">
        <v>93</v>
      </c>
      <c r="B100" s="289" t="s">
        <v>701</v>
      </c>
      <c r="C100" s="290">
        <v>17.32</v>
      </c>
    </row>
    <row r="101" spans="1:3" ht="12.75" customHeight="1" x14ac:dyDescent="0.2"/>
    <row r="102" spans="1:3" ht="15" x14ac:dyDescent="0.2">
      <c r="A102" s="312" t="s">
        <v>97</v>
      </c>
      <c r="B102" s="312"/>
      <c r="C102" s="312"/>
    </row>
    <row r="103" spans="1:3" ht="15" x14ac:dyDescent="0.2">
      <c r="A103" s="264" t="s">
        <v>98</v>
      </c>
      <c r="B103" s="310">
        <v>0.06</v>
      </c>
      <c r="C103" s="310"/>
    </row>
    <row r="104" spans="1:3" ht="15" x14ac:dyDescent="0.2">
      <c r="A104" s="264" t="s">
        <v>99</v>
      </c>
      <c r="B104" s="310">
        <v>6.7900000000000002E-2</v>
      </c>
      <c r="C104" s="310"/>
    </row>
    <row r="105" spans="1:3" ht="15" x14ac:dyDescent="0.2">
      <c r="A105" s="272" t="s">
        <v>100</v>
      </c>
      <c r="B105" s="311">
        <v>0.03</v>
      </c>
      <c r="C105" s="311"/>
    </row>
    <row r="106" spans="1:3" ht="12.75" customHeight="1" x14ac:dyDescent="0.2"/>
    <row r="107" spans="1:3" ht="15" x14ac:dyDescent="0.2">
      <c r="A107" s="312" t="s">
        <v>101</v>
      </c>
      <c r="B107" s="312"/>
      <c r="C107" s="312"/>
    </row>
    <row r="108" spans="1:3" ht="15" x14ac:dyDescent="0.2">
      <c r="A108" s="264" t="s">
        <v>102</v>
      </c>
      <c r="B108" s="310">
        <v>0</v>
      </c>
      <c r="C108" s="310"/>
    </row>
    <row r="109" spans="1:3" ht="15" x14ac:dyDescent="0.2">
      <c r="A109" s="272" t="s">
        <v>103</v>
      </c>
      <c r="B109" s="311">
        <v>0</v>
      </c>
      <c r="C109" s="311"/>
    </row>
    <row r="110" spans="1:3" ht="12.75" customHeight="1" thickBot="1" x14ac:dyDescent="0.25"/>
    <row r="111" spans="1:3" ht="12.75" customHeight="1" x14ac:dyDescent="0.2">
      <c r="A111" s="330" t="s">
        <v>678</v>
      </c>
      <c r="B111" s="330"/>
      <c r="C111" s="330"/>
    </row>
    <row r="112" spans="1:3" ht="12.75" customHeight="1" x14ac:dyDescent="0.2">
      <c r="A112" s="291" t="s">
        <v>102</v>
      </c>
      <c r="B112" s="331">
        <v>0</v>
      </c>
      <c r="C112" s="331"/>
    </row>
    <row r="113" spans="1:3" ht="12.75" customHeight="1" thickBot="1" x14ac:dyDescent="0.25">
      <c r="A113" s="292" t="s">
        <v>103</v>
      </c>
      <c r="B113" s="332">
        <v>0</v>
      </c>
      <c r="C113" s="332"/>
    </row>
    <row r="114" spans="1:3" ht="12.75" customHeight="1" x14ac:dyDescent="0.2"/>
    <row r="115" spans="1:3" ht="12.75" customHeight="1" x14ac:dyDescent="0.2"/>
    <row r="116" spans="1:3" ht="12.75" customHeight="1" x14ac:dyDescent="0.2"/>
    <row r="117" spans="1:3" ht="12.75" customHeight="1" x14ac:dyDescent="0.2"/>
    <row r="118" spans="1:3" ht="12.75" customHeight="1" x14ac:dyDescent="0.2"/>
    <row r="119" spans="1:3" ht="12.75" customHeight="1" x14ac:dyDescent="0.2"/>
    <row r="120" spans="1:3" ht="12.75" customHeight="1" x14ac:dyDescent="0.2"/>
    <row r="121" spans="1:3" ht="12.75" customHeight="1" x14ac:dyDescent="0.2"/>
    <row r="122" spans="1:3" ht="12.75" customHeight="1" x14ac:dyDescent="0.2"/>
    <row r="123" spans="1:3" ht="12.75" customHeight="1" x14ac:dyDescent="0.2"/>
    <row r="124" spans="1:3" ht="12.75" customHeight="1" x14ac:dyDescent="0.2"/>
    <row r="125" spans="1:3" ht="12.75" customHeight="1" x14ac:dyDescent="0.2"/>
    <row r="126" spans="1:3" ht="12.75" customHeight="1" x14ac:dyDescent="0.2"/>
    <row r="127" spans="1:3" ht="12.75" customHeight="1" x14ac:dyDescent="0.2"/>
    <row r="128" spans="1:3"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row r="1027" ht="12.75" customHeight="1" x14ac:dyDescent="0.2"/>
    <row r="1028" ht="12.75" customHeight="1" x14ac:dyDescent="0.2"/>
    <row r="1029" ht="12.75" customHeight="1" x14ac:dyDescent="0.2"/>
    <row r="1030" ht="12.75" customHeight="1" x14ac:dyDescent="0.2"/>
    <row r="1031" ht="12.75" customHeight="1" x14ac:dyDescent="0.2"/>
    <row r="1032" ht="12.75" customHeight="1" x14ac:dyDescent="0.2"/>
    <row r="1033" ht="12.75" customHeight="1" x14ac:dyDescent="0.2"/>
    <row r="1034" ht="12.75" customHeight="1" x14ac:dyDescent="0.2"/>
    <row r="1035" ht="12.75" customHeight="1" x14ac:dyDescent="0.2"/>
    <row r="1036" ht="12.75" customHeight="1" x14ac:dyDescent="0.2"/>
    <row r="1037" ht="12.75" customHeight="1" x14ac:dyDescent="0.2"/>
    <row r="1038" ht="12.75" customHeight="1" x14ac:dyDescent="0.2"/>
    <row r="1039" ht="12.75" customHeight="1" x14ac:dyDescent="0.2"/>
    <row r="1040" ht="12.75" customHeight="1" x14ac:dyDescent="0.2"/>
  </sheetData>
  <mergeCells count="73">
    <mergeCell ref="A111:C111"/>
    <mergeCell ref="B112:C112"/>
    <mergeCell ref="B113:C113"/>
    <mergeCell ref="A50:C50"/>
    <mergeCell ref="A1:C1"/>
    <mergeCell ref="A2:C2"/>
    <mergeCell ref="A3:C3"/>
    <mergeCell ref="A4:C4"/>
    <mergeCell ref="A5:C5"/>
    <mergeCell ref="B7:C10"/>
    <mergeCell ref="B11:C11"/>
    <mergeCell ref="B12:C12"/>
    <mergeCell ref="B13:C13"/>
    <mergeCell ref="B14:C14"/>
    <mergeCell ref="B15:C15"/>
    <mergeCell ref="B16:C16"/>
    <mergeCell ref="B17:C17"/>
    <mergeCell ref="B18:C18"/>
    <mergeCell ref="B19:C19"/>
    <mergeCell ref="A20:C20"/>
    <mergeCell ref="A22:A30"/>
    <mergeCell ref="A31:A38"/>
    <mergeCell ref="A39:A41"/>
    <mergeCell ref="A42:A44"/>
    <mergeCell ref="A47:C47"/>
    <mergeCell ref="A49:C49"/>
    <mergeCell ref="B51:C51"/>
    <mergeCell ref="A53:C53"/>
    <mergeCell ref="B54:C54"/>
    <mergeCell ref="B55:C55"/>
    <mergeCell ref="B56:C56"/>
    <mergeCell ref="B57:C57"/>
    <mergeCell ref="A59:C59"/>
    <mergeCell ref="B60:C60"/>
    <mergeCell ref="A61:B61"/>
    <mergeCell ref="B62:C62"/>
    <mergeCell ref="A63:B63"/>
    <mergeCell ref="A64:B64"/>
    <mergeCell ref="A65:B65"/>
    <mergeCell ref="A67:C67"/>
    <mergeCell ref="A68:B68"/>
    <mergeCell ref="A70:B70"/>
    <mergeCell ref="A71:B71"/>
    <mergeCell ref="A73:C73"/>
    <mergeCell ref="B74:C74"/>
    <mergeCell ref="B75:C75"/>
    <mergeCell ref="A77:C77"/>
    <mergeCell ref="A78:B78"/>
    <mergeCell ref="A79:B79"/>
    <mergeCell ref="A80:B80"/>
    <mergeCell ref="A81:B81"/>
    <mergeCell ref="A82:B82"/>
    <mergeCell ref="A83:B83"/>
    <mergeCell ref="A84:B84"/>
    <mergeCell ref="A85:B85"/>
    <mergeCell ref="A87:C87"/>
    <mergeCell ref="B88:C88"/>
    <mergeCell ref="B89:C89"/>
    <mergeCell ref="B90:C90"/>
    <mergeCell ref="B91:C91"/>
    <mergeCell ref="A93:C93"/>
    <mergeCell ref="B94:C94"/>
    <mergeCell ref="B95:C95"/>
    <mergeCell ref="B96:C96"/>
    <mergeCell ref="B97:C97"/>
    <mergeCell ref="A99:C99"/>
    <mergeCell ref="B108:C108"/>
    <mergeCell ref="B109:C109"/>
    <mergeCell ref="A102:C102"/>
    <mergeCell ref="B103:C103"/>
    <mergeCell ref="B104:C104"/>
    <mergeCell ref="B105:C105"/>
    <mergeCell ref="A107:C107"/>
  </mergeCells>
  <printOptions horizontalCentered="1"/>
  <pageMargins left="0" right="0" top="0.39370078740157483" bottom="0" header="0" footer="0.51181102362204722"/>
  <pageSetup paperSize="9" scale="65" firstPageNumber="0" orientation="portrait" r:id="rId1"/>
  <headerFooter>
    <oddHeader>&amp;R&amp;P de &amp;N</oddHeader>
  </headerFooter>
  <rowBreaks count="1" manualBreakCount="1">
    <brk id="75"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Z993"/>
  <sheetViews>
    <sheetView showGridLines="0" topLeftCell="A40" zoomScaleNormal="100" workbookViewId="0">
      <selection activeCell="A63" sqref="A63:B63"/>
    </sheetView>
  </sheetViews>
  <sheetFormatPr defaultRowHeight="14.25" x14ac:dyDescent="0.2"/>
  <cols>
    <col min="1" max="1" width="17.28515625" style="51" customWidth="1"/>
    <col min="2" max="2" width="8" style="51" customWidth="1"/>
    <col min="3" max="3" width="17.28515625" style="51" customWidth="1"/>
    <col min="4" max="7" width="15.42578125" style="51" customWidth="1"/>
    <col min="8" max="8" width="12.28515625" style="51" customWidth="1"/>
    <col min="9" max="10" width="20.42578125" style="51" customWidth="1"/>
    <col min="11" max="11" width="11.42578125" style="51" customWidth="1"/>
    <col min="12" max="12" width="11.7109375" style="51" customWidth="1"/>
    <col min="13" max="26" width="8" style="51" customWidth="1"/>
    <col min="27" max="1025" width="14.42578125" style="51" customWidth="1"/>
    <col min="1026" max="16384" width="9.140625" style="51"/>
  </cols>
  <sheetData>
    <row r="1" spans="1:26" ht="15" x14ac:dyDescent="0.2">
      <c r="A1" s="402" t="s">
        <v>0</v>
      </c>
      <c r="B1" s="402"/>
      <c r="C1" s="402"/>
      <c r="D1" s="402"/>
      <c r="E1" s="402"/>
      <c r="F1" s="402"/>
      <c r="G1" s="402"/>
      <c r="H1" s="402"/>
      <c r="I1" s="402"/>
      <c r="J1" s="402"/>
    </row>
    <row r="2" spans="1:26" ht="15" x14ac:dyDescent="0.2">
      <c r="A2" s="402" t="s">
        <v>1</v>
      </c>
      <c r="B2" s="402"/>
      <c r="C2" s="402"/>
      <c r="D2" s="402"/>
      <c r="E2" s="402"/>
      <c r="F2" s="402"/>
      <c r="G2" s="402"/>
      <c r="H2" s="402"/>
      <c r="I2" s="402"/>
      <c r="J2" s="402"/>
    </row>
    <row r="3" spans="1:26" ht="15" x14ac:dyDescent="0.2">
      <c r="A3" s="402" t="s">
        <v>2</v>
      </c>
      <c r="B3" s="402"/>
      <c r="C3" s="402"/>
      <c r="D3" s="402"/>
      <c r="E3" s="402"/>
      <c r="F3" s="402"/>
      <c r="G3" s="402"/>
      <c r="H3" s="402"/>
      <c r="I3" s="402"/>
      <c r="J3" s="402"/>
    </row>
    <row r="4" spans="1:26" ht="15" x14ac:dyDescent="0.2">
      <c r="A4" s="403" t="str">
        <f>'1. SAn ABA DE CARREGAMENTO'!A4</f>
        <v>CAMPUS SANTO ÂNGELO</v>
      </c>
      <c r="B4" s="403"/>
      <c r="C4" s="403"/>
      <c r="D4" s="403"/>
      <c r="E4" s="403"/>
      <c r="F4" s="403"/>
      <c r="G4" s="403"/>
      <c r="H4" s="403"/>
      <c r="I4" s="403"/>
      <c r="J4" s="403"/>
    </row>
    <row r="5" spans="1:26" ht="20.25" customHeight="1" x14ac:dyDescent="0.2">
      <c r="A5" s="404" t="s">
        <v>297</v>
      </c>
      <c r="B5" s="404"/>
      <c r="C5" s="404"/>
      <c r="D5" s="404"/>
      <c r="E5" s="404"/>
      <c r="F5" s="404"/>
      <c r="G5" s="404"/>
      <c r="H5" s="404"/>
      <c r="I5" s="404"/>
      <c r="J5" s="404"/>
    </row>
    <row r="6" spans="1:26" ht="9.9499999999999993" customHeight="1" x14ac:dyDescent="0.2">
      <c r="A6" s="6"/>
      <c r="B6" s="6"/>
      <c r="C6" s="6"/>
      <c r="D6" s="6"/>
      <c r="E6" s="6"/>
      <c r="F6" s="6"/>
      <c r="G6" s="6"/>
      <c r="H6" s="6"/>
      <c r="I6" s="6"/>
      <c r="J6" s="6"/>
      <c r="K6" s="52"/>
      <c r="L6" s="52"/>
      <c r="M6" s="52"/>
      <c r="N6" s="52"/>
      <c r="O6" s="52"/>
      <c r="P6" s="52"/>
      <c r="Q6" s="52"/>
      <c r="R6" s="52"/>
      <c r="S6" s="52"/>
      <c r="T6" s="52"/>
      <c r="U6" s="52"/>
      <c r="V6" s="52"/>
      <c r="W6" s="52"/>
      <c r="X6" s="52"/>
      <c r="Y6" s="52"/>
      <c r="Z6" s="52"/>
    </row>
    <row r="7" spans="1:26" ht="20.25" customHeight="1" x14ac:dyDescent="0.2">
      <c r="A7" s="419" t="str">
        <f>'7. SAn Planilha Área Geral'!A7:J7</f>
        <v>IN/MPDG Nº 05/2017 - Anexo VII-D</v>
      </c>
      <c r="B7" s="419"/>
      <c r="C7" s="419"/>
      <c r="D7" s="419"/>
      <c r="E7" s="419"/>
      <c r="F7" s="419"/>
      <c r="G7" s="419"/>
      <c r="H7" s="419"/>
      <c r="I7" s="419"/>
      <c r="J7" s="419"/>
    </row>
    <row r="8" spans="1:26" ht="9.9499999999999993" customHeight="1" x14ac:dyDescent="0.2">
      <c r="A8" s="443"/>
      <c r="B8" s="443"/>
      <c r="C8" s="443"/>
      <c r="D8" s="443"/>
      <c r="E8" s="443"/>
      <c r="F8" s="443"/>
      <c r="G8" s="443"/>
      <c r="H8" s="443"/>
      <c r="I8" s="443"/>
      <c r="J8" s="443"/>
      <c r="K8" s="52"/>
      <c r="L8" s="52"/>
      <c r="M8" s="52"/>
      <c r="N8" s="52"/>
      <c r="O8" s="52"/>
      <c r="P8" s="52"/>
      <c r="Q8" s="52"/>
      <c r="R8" s="52"/>
      <c r="S8" s="52"/>
      <c r="T8" s="52"/>
      <c r="U8" s="52"/>
      <c r="V8" s="52"/>
      <c r="W8" s="52"/>
      <c r="X8" s="52"/>
      <c r="Y8" s="52"/>
      <c r="Z8" s="52"/>
    </row>
    <row r="9" spans="1:26" ht="15" x14ac:dyDescent="0.2">
      <c r="A9" s="419" t="s">
        <v>586</v>
      </c>
      <c r="B9" s="419"/>
      <c r="C9" s="419"/>
      <c r="D9" s="508" t="s">
        <v>587</v>
      </c>
      <c r="E9" s="508"/>
      <c r="F9" s="508"/>
      <c r="G9" s="508"/>
      <c r="H9" s="508"/>
      <c r="I9" s="509" t="str">
        <f>'1. SAn ABA DE CARREGAMENTO'!A4</f>
        <v>CAMPUS SANTO ÂNGELO</v>
      </c>
      <c r="J9" s="509"/>
    </row>
    <row r="10" spans="1:26" ht="15" x14ac:dyDescent="0.2">
      <c r="A10" s="419"/>
      <c r="B10" s="419"/>
      <c r="C10" s="419"/>
      <c r="D10" s="522" t="s">
        <v>588</v>
      </c>
      <c r="E10" s="522"/>
      <c r="F10" s="522"/>
      <c r="G10" s="50">
        <f>'4. SAn Cál DEMO Limpeza Geral'!D25+'5. SAn Cálc. DEMO Banheiros'!D11+'6. SAn Cál DEMO Esq. e Fach'!D12</f>
        <v>13286.671008333335</v>
      </c>
      <c r="H10" s="17" t="s">
        <v>301</v>
      </c>
      <c r="I10" s="523" t="s">
        <v>302</v>
      </c>
      <c r="J10" s="523"/>
    </row>
    <row r="11" spans="1:26" ht="30" x14ac:dyDescent="0.2">
      <c r="A11" s="53" t="s">
        <v>303</v>
      </c>
      <c r="B11" s="500" t="str">
        <f>'1. SAn ABA DE CARREGAMENTO'!B11</f>
        <v>23243.000810-2021-41</v>
      </c>
      <c r="C11" s="500"/>
      <c r="D11" s="53" t="s">
        <v>304</v>
      </c>
      <c r="E11" s="501" t="str">
        <f>'1. SAn ABA DE CARREGAMENTO'!B12</f>
        <v>33 / 2021</v>
      </c>
      <c r="F11" s="501"/>
      <c r="G11" s="53" t="s">
        <v>12</v>
      </c>
      <c r="H11" s="296">
        <f>'1. SAn ABA DE CARREGAMENTO'!B13</f>
        <v>0</v>
      </c>
      <c r="I11" s="55" t="s">
        <v>13</v>
      </c>
      <c r="J11" s="56" t="str">
        <f>'1. SAn ABA DE CARREGAMENTO'!B14</f>
        <v>09h (Horário de Brasília)</v>
      </c>
    </row>
    <row r="12" spans="1:26" ht="15" x14ac:dyDescent="0.2">
      <c r="A12" s="57" t="s">
        <v>14</v>
      </c>
      <c r="B12" s="502" t="str">
        <f>'1. SAn ABA DE CARREGAMENTO'!B15</f>
        <v>xxxx xxxx xxxx</v>
      </c>
      <c r="C12" s="502"/>
      <c r="D12" s="502"/>
      <c r="E12" s="502"/>
      <c r="F12" s="502"/>
      <c r="G12" s="502"/>
      <c r="H12" s="58" t="s">
        <v>305</v>
      </c>
      <c r="I12" s="503" t="str">
        <f>'1. SAn ABA DE CARREGAMENTO'!B16</f>
        <v>zz.zzz.zzz/zzzz-zz</v>
      </c>
      <c r="J12" s="503"/>
    </row>
    <row r="13" spans="1:26" ht="15" x14ac:dyDescent="0.2">
      <c r="A13" s="57" t="s">
        <v>306</v>
      </c>
      <c r="B13" s="502" t="str">
        <f>'1. SAn ABA DE CARREGAMENTO'!B17</f>
        <v>Nome Completo</v>
      </c>
      <c r="C13" s="502"/>
      <c r="D13" s="502"/>
      <c r="E13" s="57" t="s">
        <v>307</v>
      </c>
      <c r="F13" s="504" t="str">
        <f>'1. SAn ABA DE CARREGAMENTO'!B18</f>
        <v>yyy.yyy.yyy-yy</v>
      </c>
      <c r="G13" s="504"/>
      <c r="H13" s="57" t="s">
        <v>308</v>
      </c>
      <c r="I13" s="505" t="str">
        <f>'1. SAn ABA DE CARREGAMENTO'!B19</f>
        <v>tttt tttt tttt</v>
      </c>
      <c r="J13" s="505"/>
    </row>
    <row r="14" spans="1:26" ht="15" x14ac:dyDescent="0.2">
      <c r="A14" s="506" t="str">
        <f>IF('1. SAn ABA DE CARREGAMENTO'!B15="","PLANILHA CUSTOS E FORMAÇÃO DE PREÇOS DA ADMINISTRAÇÃO DO","")</f>
        <v/>
      </c>
      <c r="B14" s="506"/>
      <c r="C14" s="506"/>
      <c r="D14" s="506"/>
      <c r="E14" s="506"/>
      <c r="F14" s="506"/>
      <c r="G14" s="506"/>
      <c r="H14" s="507" t="str">
        <f>IF('1. SAn ABA DE CARREGAMENTO'!B15="",'1. SAn ABA DE CARREGAMENTO'!A4,"")</f>
        <v/>
      </c>
      <c r="I14" s="507"/>
      <c r="J14" s="507"/>
    </row>
    <row r="15" spans="1:26" ht="15" x14ac:dyDescent="0.2">
      <c r="A15" s="499" t="s">
        <v>638</v>
      </c>
      <c r="B15" s="499"/>
      <c r="C15" s="499"/>
      <c r="D15" s="499"/>
      <c r="E15" s="499"/>
      <c r="F15" s="499"/>
      <c r="G15" s="499"/>
      <c r="H15" s="21">
        <f>'1. SAn ABA DE CARREGAMENTO'!B51</f>
        <v>1</v>
      </c>
      <c r="I15" s="497" t="str">
        <f>IF(H15=1,"LUCRO REAL",IF(H15=2,"LUCRO PRESUMIDO",IF(H15=3,"SIMPLES-Anexo III",IF(H15=4,"SIMPLES-Anexo IV",IF(H15=5,"LUCRO REAL - PIS/COFINS Não Cumulativo","RT Inválido")))))</f>
        <v>LUCRO REAL</v>
      </c>
      <c r="J15" s="497"/>
    </row>
    <row r="16" spans="1:26" ht="15" x14ac:dyDescent="0.2">
      <c r="A16" s="6"/>
      <c r="B16" s="6"/>
      <c r="C16" s="6"/>
      <c r="D16" s="6"/>
      <c r="E16" s="6"/>
      <c r="F16" s="6"/>
      <c r="G16" s="6"/>
      <c r="H16" s="6"/>
      <c r="I16" s="6"/>
      <c r="J16" s="6"/>
      <c r="K16" s="52"/>
      <c r="L16" s="52"/>
      <c r="M16" s="52"/>
      <c r="N16" s="52"/>
      <c r="O16" s="52"/>
      <c r="P16" s="52"/>
      <c r="Q16" s="52"/>
      <c r="R16" s="52"/>
      <c r="S16" s="52"/>
      <c r="T16" s="52"/>
      <c r="U16" s="52"/>
      <c r="V16" s="52"/>
      <c r="W16" s="52"/>
      <c r="X16" s="52"/>
      <c r="Y16" s="52"/>
      <c r="Z16" s="52"/>
    </row>
    <row r="17" spans="1:26" ht="15" x14ac:dyDescent="0.2">
      <c r="A17" s="419" t="s">
        <v>309</v>
      </c>
      <c r="B17" s="419"/>
      <c r="C17" s="419"/>
      <c r="D17" s="419"/>
      <c r="E17" s="419"/>
      <c r="F17" s="419"/>
      <c r="G17" s="419"/>
      <c r="H17" s="419"/>
      <c r="I17" s="419"/>
      <c r="J17" s="419"/>
    </row>
    <row r="18" spans="1:26" ht="15" x14ac:dyDescent="0.2">
      <c r="A18" s="22" t="s">
        <v>310</v>
      </c>
      <c r="B18" s="449" t="s">
        <v>311</v>
      </c>
      <c r="C18" s="449"/>
      <c r="D18" s="449"/>
      <c r="E18" s="449"/>
      <c r="F18" s="449"/>
      <c r="G18" s="449"/>
      <c r="H18" s="536">
        <f ca="1">'1. SAn ABA DE CARREGAMENTO'!B54</f>
        <v>44609</v>
      </c>
      <c r="I18" s="536"/>
      <c r="J18" s="536"/>
    </row>
    <row r="19" spans="1:26" ht="15" x14ac:dyDescent="0.2">
      <c r="A19" s="22" t="s">
        <v>312</v>
      </c>
      <c r="B19" s="449" t="s">
        <v>57</v>
      </c>
      <c r="C19" s="449"/>
      <c r="D19" s="449"/>
      <c r="E19" s="449"/>
      <c r="F19" s="449"/>
      <c r="G19" s="449"/>
      <c r="H19" s="498" t="str">
        <f>'1. SAn ABA DE CARREGAMENTO'!B55</f>
        <v>Santo Ângelo/RS</v>
      </c>
      <c r="I19" s="498"/>
      <c r="J19" s="498"/>
    </row>
    <row r="20" spans="1:26" ht="33" customHeight="1" x14ac:dyDescent="0.2">
      <c r="A20" s="22" t="s">
        <v>313</v>
      </c>
      <c r="B20" s="449" t="s">
        <v>314</v>
      </c>
      <c r="C20" s="449"/>
      <c r="D20" s="449"/>
      <c r="E20" s="449"/>
      <c r="F20" s="449"/>
      <c r="G20" s="449"/>
      <c r="H20" s="498" t="str">
        <f>'1. SAn ABA DE CARREGAMENTO'!B56</f>
        <v>CCT Sindasseio 2022/2022 - Registro MTE: RS005021/2022</v>
      </c>
      <c r="I20" s="498"/>
      <c r="J20" s="498"/>
    </row>
    <row r="21" spans="1:26" ht="15" x14ac:dyDescent="0.2">
      <c r="A21" s="22" t="s">
        <v>315</v>
      </c>
      <c r="B21" s="449" t="s">
        <v>316</v>
      </c>
      <c r="C21" s="449"/>
      <c r="D21" s="449"/>
      <c r="E21" s="449"/>
      <c r="F21" s="449"/>
      <c r="G21" s="449"/>
      <c r="H21" s="496">
        <f>'1. SAn ABA DE CARREGAMENTO'!B57</f>
        <v>20</v>
      </c>
      <c r="I21" s="496"/>
      <c r="J21" s="496"/>
    </row>
    <row r="22" spans="1:26" ht="15" x14ac:dyDescent="0.2">
      <c r="A22" s="6"/>
      <c r="B22" s="6"/>
      <c r="C22" s="6"/>
      <c r="D22" s="6"/>
      <c r="E22" s="6"/>
      <c r="F22" s="6"/>
      <c r="G22" s="6"/>
      <c r="H22" s="6"/>
      <c r="I22" s="6"/>
      <c r="J22" s="6"/>
      <c r="K22" s="52"/>
      <c r="L22" s="52"/>
      <c r="M22" s="52"/>
      <c r="N22" s="52"/>
      <c r="O22" s="52"/>
      <c r="P22" s="52"/>
      <c r="Q22" s="52"/>
      <c r="R22" s="52"/>
      <c r="S22" s="52"/>
      <c r="T22" s="52"/>
      <c r="U22" s="52"/>
      <c r="V22" s="52"/>
      <c r="W22" s="52"/>
      <c r="X22" s="52"/>
      <c r="Y22" s="52"/>
      <c r="Z22" s="52"/>
    </row>
    <row r="23" spans="1:26" ht="15" x14ac:dyDescent="0.2">
      <c r="A23" s="419" t="s">
        <v>317</v>
      </c>
      <c r="B23" s="419"/>
      <c r="C23" s="419"/>
      <c r="D23" s="419"/>
      <c r="E23" s="419"/>
      <c r="F23" s="419"/>
      <c r="G23" s="419"/>
      <c r="H23" s="419"/>
      <c r="I23" s="419"/>
      <c r="J23" s="419"/>
    </row>
    <row r="24" spans="1:26" ht="15" x14ac:dyDescent="0.2">
      <c r="A24" s="419" t="s">
        <v>318</v>
      </c>
      <c r="B24" s="419"/>
      <c r="C24" s="419"/>
      <c r="D24" s="419"/>
      <c r="E24" s="419"/>
      <c r="F24" s="419"/>
      <c r="G24" s="419" t="s">
        <v>319</v>
      </c>
      <c r="H24" s="419"/>
      <c r="I24" s="419" t="s">
        <v>320</v>
      </c>
      <c r="J24" s="419"/>
    </row>
    <row r="25" spans="1:26" ht="15" x14ac:dyDescent="0.2">
      <c r="A25" s="415" t="s">
        <v>589</v>
      </c>
      <c r="B25" s="415"/>
      <c r="C25" s="415"/>
      <c r="D25" s="415"/>
      <c r="E25" s="415"/>
      <c r="F25" s="415"/>
      <c r="G25" s="419" t="s">
        <v>590</v>
      </c>
      <c r="H25" s="419"/>
      <c r="I25" s="419">
        <v>1</v>
      </c>
      <c r="J25" s="419"/>
    </row>
    <row r="26" spans="1:26" x14ac:dyDescent="0.2">
      <c r="A26" s="535"/>
      <c r="B26" s="535"/>
      <c r="C26" s="535"/>
      <c r="D26" s="535"/>
      <c r="E26" s="535"/>
      <c r="F26" s="535"/>
      <c r="G26" s="535"/>
      <c r="H26" s="535"/>
      <c r="I26" s="535"/>
      <c r="J26" s="535"/>
    </row>
    <row r="27" spans="1:26" ht="15" x14ac:dyDescent="0.2">
      <c r="A27" s="419" t="s">
        <v>343</v>
      </c>
      <c r="B27" s="419"/>
      <c r="C27" s="419"/>
      <c r="D27" s="419"/>
      <c r="E27" s="419"/>
      <c r="F27" s="419"/>
      <c r="G27" s="419"/>
      <c r="H27" s="419"/>
      <c r="I27" s="419"/>
      <c r="J27" s="419"/>
    </row>
    <row r="28" spans="1:26" ht="15" x14ac:dyDescent="0.2">
      <c r="A28" s="419" t="s">
        <v>344</v>
      </c>
      <c r="B28" s="419"/>
      <c r="C28" s="419"/>
      <c r="D28" s="419"/>
      <c r="E28" s="419"/>
      <c r="F28" s="419"/>
      <c r="G28" s="419"/>
      <c r="H28" s="419"/>
      <c r="I28" s="419"/>
      <c r="J28" s="419"/>
    </row>
    <row r="29" spans="1:26" ht="15" x14ac:dyDescent="0.2">
      <c r="A29" s="419" t="s">
        <v>345</v>
      </c>
      <c r="B29" s="419"/>
      <c r="C29" s="419"/>
      <c r="D29" s="419"/>
      <c r="E29" s="419"/>
      <c r="F29" s="419"/>
      <c r="G29" s="419"/>
      <c r="H29" s="419"/>
      <c r="I29" s="419"/>
      <c r="J29" s="419"/>
    </row>
    <row r="30" spans="1:26" ht="15" x14ac:dyDescent="0.2">
      <c r="A30" s="59">
        <v>1</v>
      </c>
      <c r="B30" s="484" t="s">
        <v>62</v>
      </c>
      <c r="C30" s="484"/>
      <c r="D30" s="484"/>
      <c r="E30" s="484"/>
      <c r="F30" s="484"/>
      <c r="G30" s="484"/>
      <c r="H30" s="485" t="str">
        <f>'1. SAn ABA DE CARREGAMENTO'!B60</f>
        <v>Limpeza, Asseio e Conservação</v>
      </c>
      <c r="I30" s="485"/>
      <c r="J30" s="485"/>
    </row>
    <row r="31" spans="1:26" ht="15" x14ac:dyDescent="0.2">
      <c r="A31" s="59">
        <v>2</v>
      </c>
      <c r="B31" s="484" t="s">
        <v>64</v>
      </c>
      <c r="C31" s="484"/>
      <c r="D31" s="484"/>
      <c r="E31" s="484"/>
      <c r="F31" s="484"/>
      <c r="G31" s="484"/>
      <c r="H31" s="485">
        <f>'1. SAn ABA DE CARREGAMENTO'!C61</f>
        <v>5143</v>
      </c>
      <c r="I31" s="485"/>
      <c r="J31" s="485"/>
    </row>
    <row r="32" spans="1:26" ht="15" x14ac:dyDescent="0.2">
      <c r="A32" s="59">
        <v>3</v>
      </c>
      <c r="B32" s="484" t="s">
        <v>66</v>
      </c>
      <c r="C32" s="484"/>
      <c r="D32" s="484"/>
      <c r="E32" s="484"/>
      <c r="F32" s="484"/>
      <c r="G32" s="484"/>
      <c r="H32" s="486">
        <f>'1. SAn ABA DE CARREGAMENTO'!C63</f>
        <v>1314.09</v>
      </c>
      <c r="I32" s="486"/>
      <c r="J32" s="486"/>
    </row>
    <row r="33" spans="1:10" ht="15" x14ac:dyDescent="0.2">
      <c r="A33" s="59">
        <v>4</v>
      </c>
      <c r="B33" s="484" t="s">
        <v>67</v>
      </c>
      <c r="C33" s="484"/>
      <c r="D33" s="484"/>
      <c r="E33" s="484"/>
      <c r="F33" s="484"/>
      <c r="G33" s="484"/>
      <c r="H33" s="485" t="str">
        <f>'1. SAn ABA DE CARREGAMENTO'!C64</f>
        <v>Servente de Limpeza</v>
      </c>
      <c r="I33" s="485"/>
      <c r="J33" s="485"/>
    </row>
    <row r="34" spans="1:10" ht="15" x14ac:dyDescent="0.2">
      <c r="A34" s="59">
        <v>5</v>
      </c>
      <c r="B34" s="484" t="s">
        <v>69</v>
      </c>
      <c r="C34" s="484"/>
      <c r="D34" s="484"/>
      <c r="E34" s="484"/>
      <c r="F34" s="484"/>
      <c r="G34" s="484"/>
      <c r="H34" s="534">
        <f>'1. SAn ABA DE CARREGAMENTO'!C65</f>
        <v>44562</v>
      </c>
      <c r="I34" s="534"/>
      <c r="J34" s="534"/>
    </row>
    <row r="35" spans="1:10" x14ac:dyDescent="0.2">
      <c r="A35" s="60" t="s">
        <v>346</v>
      </c>
      <c r="B35" s="488" t="s">
        <v>347</v>
      </c>
      <c r="C35" s="488"/>
      <c r="D35" s="488"/>
      <c r="E35" s="488"/>
      <c r="F35" s="488"/>
      <c r="G35" s="488"/>
      <c r="H35" s="488"/>
      <c r="I35" s="488"/>
      <c r="J35" s="488"/>
    </row>
    <row r="36" spans="1:10" x14ac:dyDescent="0.2">
      <c r="A36" s="517"/>
      <c r="B36" s="517"/>
      <c r="C36" s="517"/>
      <c r="D36" s="517"/>
      <c r="E36" s="517"/>
      <c r="F36" s="517"/>
      <c r="G36" s="517"/>
      <c r="H36" s="517"/>
      <c r="I36" s="517"/>
      <c r="J36" s="517"/>
    </row>
    <row r="37" spans="1:10" ht="15" x14ac:dyDescent="0.2">
      <c r="A37" s="419" t="s">
        <v>348</v>
      </c>
      <c r="B37" s="419"/>
      <c r="C37" s="419"/>
      <c r="D37" s="419"/>
      <c r="E37" s="419"/>
      <c r="F37" s="419"/>
      <c r="G37" s="419"/>
      <c r="H37" s="419"/>
      <c r="I37" s="419"/>
      <c r="J37" s="419"/>
    </row>
    <row r="38" spans="1:10" ht="15" x14ac:dyDescent="0.2">
      <c r="A38" s="21">
        <v>1</v>
      </c>
      <c r="B38" s="419" t="s">
        <v>349</v>
      </c>
      <c r="C38" s="419"/>
      <c r="D38" s="419"/>
      <c r="E38" s="419"/>
      <c r="F38" s="419"/>
      <c r="G38" s="419"/>
      <c r="H38" s="419"/>
      <c r="I38" s="7" t="s">
        <v>350</v>
      </c>
      <c r="J38" s="21" t="s">
        <v>351</v>
      </c>
    </row>
    <row r="39" spans="1:10" ht="28.5" x14ac:dyDescent="0.2">
      <c r="A39" s="22" t="s">
        <v>310</v>
      </c>
      <c r="B39" s="479" t="s">
        <v>643</v>
      </c>
      <c r="C39" s="479"/>
      <c r="D39" s="479"/>
      <c r="E39" s="61">
        <f>'1. SAn ABA DE CARREGAMENTO'!C68</f>
        <v>44</v>
      </c>
      <c r="F39" s="62" t="s">
        <v>352</v>
      </c>
      <c r="G39" s="483" t="str">
        <f>'1. SAn ABA DE CARREGAMENTO'!B62</f>
        <v>Cláusula Quarta da CCT 2022/2022</v>
      </c>
      <c r="H39" s="483"/>
      <c r="I39" s="483"/>
      <c r="J39" s="63">
        <f>H32/44*'1. SAn ABA DE CARREGAMENTO'!C68</f>
        <v>1314.09</v>
      </c>
    </row>
    <row r="40" spans="1:10" ht="15" x14ac:dyDescent="0.2">
      <c r="A40" s="22" t="s">
        <v>312</v>
      </c>
      <c r="B40" s="479" t="s">
        <v>353</v>
      </c>
      <c r="C40" s="479"/>
      <c r="D40" s="483" t="str">
        <f>'1. SAn ABA DE CARREGAMENTO'!B69</f>
        <v>Cláusula Décima Sétima da CCT 2022/2022</v>
      </c>
      <c r="E40" s="483"/>
      <c r="F40" s="483"/>
      <c r="G40" s="483"/>
      <c r="H40" s="483"/>
      <c r="I40" s="64">
        <f>'1. SAn ABA DE CARREGAMENTO'!C71</f>
        <v>0.2</v>
      </c>
      <c r="J40" s="63">
        <f>ROUND(I40*J39,2)</f>
        <v>262.82</v>
      </c>
    </row>
    <row r="41" spans="1:10" ht="15" x14ac:dyDescent="0.2">
      <c r="A41" s="22" t="s">
        <v>313</v>
      </c>
      <c r="B41" s="449" t="s">
        <v>644</v>
      </c>
      <c r="C41" s="449"/>
      <c r="D41" s="449"/>
      <c r="E41" s="449"/>
      <c r="F41" s="449"/>
      <c r="G41" s="449"/>
      <c r="H41" s="449"/>
      <c r="I41" s="449"/>
      <c r="J41" s="63">
        <v>0</v>
      </c>
    </row>
    <row r="42" spans="1:10" ht="15" x14ac:dyDescent="0.2">
      <c r="A42" s="412" t="s">
        <v>354</v>
      </c>
      <c r="B42" s="412"/>
      <c r="C42" s="412"/>
      <c r="D42" s="412"/>
      <c r="E42" s="412"/>
      <c r="F42" s="412"/>
      <c r="G42" s="412"/>
      <c r="H42" s="412"/>
      <c r="I42" s="412"/>
      <c r="J42" s="11">
        <f>SUM(J39:J41)</f>
        <v>1576.9099999999999</v>
      </c>
    </row>
    <row r="43" spans="1:10" x14ac:dyDescent="0.2">
      <c r="A43" s="65" t="s">
        <v>355</v>
      </c>
      <c r="B43" s="450" t="s">
        <v>526</v>
      </c>
      <c r="C43" s="450"/>
      <c r="D43" s="450"/>
      <c r="E43" s="450"/>
      <c r="F43" s="450"/>
      <c r="G43" s="450"/>
      <c r="H43" s="450"/>
      <c r="I43" s="450"/>
      <c r="J43" s="450"/>
    </row>
    <row r="44" spans="1:10" ht="15" x14ac:dyDescent="0.2">
      <c r="A44" s="516"/>
      <c r="B44" s="516"/>
      <c r="C44" s="516"/>
      <c r="D44" s="516"/>
      <c r="E44" s="516"/>
      <c r="F44" s="516"/>
      <c r="G44" s="516"/>
      <c r="H44" s="516"/>
      <c r="I44" s="516"/>
      <c r="J44" s="516"/>
    </row>
    <row r="45" spans="1:10" ht="15" x14ac:dyDescent="0.2">
      <c r="A45" s="419" t="s">
        <v>357</v>
      </c>
      <c r="B45" s="419"/>
      <c r="C45" s="419"/>
      <c r="D45" s="419"/>
      <c r="E45" s="419"/>
      <c r="F45" s="419"/>
      <c r="G45" s="419"/>
      <c r="H45" s="419"/>
      <c r="I45" s="419"/>
      <c r="J45" s="419"/>
    </row>
    <row r="46" spans="1:10" ht="15" x14ac:dyDescent="0.2">
      <c r="A46" s="21" t="s">
        <v>358</v>
      </c>
      <c r="B46" s="419" t="s">
        <v>359</v>
      </c>
      <c r="C46" s="419"/>
      <c r="D46" s="419"/>
      <c r="E46" s="419"/>
      <c r="F46" s="419"/>
      <c r="G46" s="419"/>
      <c r="H46" s="419"/>
      <c r="I46" s="419"/>
      <c r="J46" s="21" t="s">
        <v>360</v>
      </c>
    </row>
    <row r="47" spans="1:10" ht="15" x14ac:dyDescent="0.2">
      <c r="A47" s="22" t="s">
        <v>310</v>
      </c>
      <c r="B47" s="449" t="s">
        <v>645</v>
      </c>
      <c r="C47" s="449"/>
      <c r="D47" s="449"/>
      <c r="E47" s="449"/>
      <c r="F47" s="449"/>
      <c r="G47" s="449"/>
      <c r="H47" s="449"/>
      <c r="I47" s="449"/>
      <c r="J47" s="66">
        <f>ROUND(J42/12,2)</f>
        <v>131.41</v>
      </c>
    </row>
    <row r="48" spans="1:10" ht="15" customHeight="1" x14ac:dyDescent="0.2">
      <c r="A48" s="22" t="s">
        <v>312</v>
      </c>
      <c r="B48" s="477" t="s">
        <v>695</v>
      </c>
      <c r="C48" s="477"/>
      <c r="D48" s="477"/>
      <c r="E48" s="477"/>
      <c r="F48" s="477"/>
      <c r="G48" s="477"/>
      <c r="H48" s="477"/>
      <c r="I48" s="477"/>
      <c r="J48" s="66">
        <f>ROUND(J42*3.025%,2)</f>
        <v>47.7</v>
      </c>
    </row>
    <row r="49" spans="1:10" ht="15" x14ac:dyDescent="0.2">
      <c r="A49" s="412" t="s">
        <v>361</v>
      </c>
      <c r="B49" s="412"/>
      <c r="C49" s="412"/>
      <c r="D49" s="412"/>
      <c r="E49" s="412"/>
      <c r="F49" s="412"/>
      <c r="G49" s="412"/>
      <c r="H49" s="412"/>
      <c r="I49" s="412"/>
      <c r="J49" s="10">
        <f>SUM(J47:J48)</f>
        <v>179.11</v>
      </c>
    </row>
    <row r="50" spans="1:10" ht="28.5" customHeight="1" x14ac:dyDescent="0.2">
      <c r="A50" s="65" t="s">
        <v>362</v>
      </c>
      <c r="B50" s="450" t="s">
        <v>629</v>
      </c>
      <c r="C50" s="450"/>
      <c r="D50" s="450"/>
      <c r="E50" s="450"/>
      <c r="F50" s="450"/>
      <c r="G50" s="450"/>
      <c r="H50" s="450"/>
      <c r="I50" s="450"/>
      <c r="J50" s="450"/>
    </row>
    <row r="51" spans="1:10" ht="15" x14ac:dyDescent="0.2">
      <c r="A51" s="518"/>
      <c r="B51" s="518"/>
      <c r="C51" s="518"/>
      <c r="D51" s="518"/>
      <c r="E51" s="518"/>
      <c r="F51" s="518"/>
      <c r="G51" s="518"/>
      <c r="H51" s="518"/>
      <c r="I51" s="518"/>
      <c r="J51" s="67"/>
    </row>
    <row r="52" spans="1:10" ht="36.75" customHeight="1" x14ac:dyDescent="0.2">
      <c r="A52" s="21" t="s">
        <v>364</v>
      </c>
      <c r="B52" s="419" t="s">
        <v>591</v>
      </c>
      <c r="C52" s="419"/>
      <c r="D52" s="419"/>
      <c r="E52" s="419"/>
      <c r="F52" s="419"/>
      <c r="G52" s="419"/>
      <c r="H52" s="419"/>
      <c r="I52" s="419"/>
      <c r="J52" s="419"/>
    </row>
    <row r="53" spans="1:10" ht="15" x14ac:dyDescent="0.2">
      <c r="A53" s="21"/>
      <c r="B53" s="419" t="s">
        <v>365</v>
      </c>
      <c r="C53" s="419"/>
      <c r="D53" s="419"/>
      <c r="E53" s="419"/>
      <c r="F53" s="419"/>
      <c r="G53" s="419"/>
      <c r="H53" s="419"/>
      <c r="I53" s="21" t="s">
        <v>350</v>
      </c>
      <c r="J53" s="21" t="s">
        <v>360</v>
      </c>
    </row>
    <row r="54" spans="1:10" ht="15" x14ac:dyDescent="0.2">
      <c r="A54" s="22" t="s">
        <v>310</v>
      </c>
      <c r="B54" s="449" t="s">
        <v>79</v>
      </c>
      <c r="C54" s="449"/>
      <c r="D54" s="449"/>
      <c r="E54" s="449"/>
      <c r="F54" s="449"/>
      <c r="G54" s="449"/>
      <c r="H54" s="449"/>
      <c r="I54" s="68">
        <f>'1. SAn ABA DE CARREGAMENTO'!C78</f>
        <v>0.2</v>
      </c>
      <c r="J54" s="66">
        <f>ROUND((J42+J49)*I54,2)</f>
        <v>351.2</v>
      </c>
    </row>
    <row r="55" spans="1:10" ht="15" x14ac:dyDescent="0.2">
      <c r="A55" s="22" t="s">
        <v>312</v>
      </c>
      <c r="B55" s="449" t="s">
        <v>80</v>
      </c>
      <c r="C55" s="449"/>
      <c r="D55" s="449"/>
      <c r="E55" s="449"/>
      <c r="F55" s="449"/>
      <c r="G55" s="449"/>
      <c r="H55" s="449"/>
      <c r="I55" s="68">
        <f>IF($H$15=1,'1. SAn ABA DE CARREGAMENTO'!C79,IF($H$15=2,'1. SAn ABA DE CARREGAMENTO'!C79,0))</f>
        <v>2.5000000000000001E-2</v>
      </c>
      <c r="J55" s="66">
        <f>ROUND((J42+J49)*I55,2)</f>
        <v>43.9</v>
      </c>
    </row>
    <row r="56" spans="1:10" ht="32.25" customHeight="1" x14ac:dyDescent="0.2">
      <c r="A56" s="22" t="s">
        <v>313</v>
      </c>
      <c r="B56" s="449" t="s">
        <v>81</v>
      </c>
      <c r="C56" s="449"/>
      <c r="D56" s="449"/>
      <c r="E56" s="69" t="s">
        <v>366</v>
      </c>
      <c r="F56" s="68">
        <f>'1. SAn ABA DE CARREGAMENTO'!$B$74</f>
        <v>0.03</v>
      </c>
      <c r="G56" s="69" t="s">
        <v>367</v>
      </c>
      <c r="H56" s="70">
        <f>'1. SAn ABA DE CARREGAMENTO'!$B$75</f>
        <v>1</v>
      </c>
      <c r="I56" s="68">
        <f>'1. SAn ABA DE CARREGAMENTO'!C80</f>
        <v>0.03</v>
      </c>
      <c r="J56" s="66">
        <f>ROUND((J42+J49)*I56,2)</f>
        <v>52.68</v>
      </c>
    </row>
    <row r="57" spans="1:10" ht="15" x14ac:dyDescent="0.2">
      <c r="A57" s="22" t="s">
        <v>315</v>
      </c>
      <c r="B57" s="449" t="s">
        <v>82</v>
      </c>
      <c r="C57" s="449"/>
      <c r="D57" s="449"/>
      <c r="E57" s="449"/>
      <c r="F57" s="449"/>
      <c r="G57" s="449"/>
      <c r="H57" s="449"/>
      <c r="I57" s="68">
        <f>IF($H$15=1,'1. SAn ABA DE CARREGAMENTO'!C81,IF($H$15=2,'1. SAn ABA DE CARREGAMENTO'!C81,0))</f>
        <v>1.4999999999999999E-2</v>
      </c>
      <c r="J57" s="66">
        <f>ROUND((J42+J49)*I57,2)</f>
        <v>26.34</v>
      </c>
    </row>
    <row r="58" spans="1:10" ht="15" x14ac:dyDescent="0.2">
      <c r="A58" s="22" t="s">
        <v>368</v>
      </c>
      <c r="B58" s="449" t="s">
        <v>83</v>
      </c>
      <c r="C58" s="449"/>
      <c r="D58" s="449"/>
      <c r="E58" s="449"/>
      <c r="F58" s="449"/>
      <c r="G58" s="449"/>
      <c r="H58" s="449"/>
      <c r="I58" s="68">
        <f>IF($H$15=1,'1. SAn ABA DE CARREGAMENTO'!C82,IF($H$15=2,'1. SAn ABA DE CARREGAMENTO'!C82,0))</f>
        <v>0.01</v>
      </c>
      <c r="J58" s="66">
        <f>ROUND((J42+J49)*I58,2)</f>
        <v>17.559999999999999</v>
      </c>
    </row>
    <row r="59" spans="1:10" ht="15" x14ac:dyDescent="0.2">
      <c r="A59" s="22" t="s">
        <v>369</v>
      </c>
      <c r="B59" s="449" t="s">
        <v>84</v>
      </c>
      <c r="C59" s="449"/>
      <c r="D59" s="449"/>
      <c r="E59" s="449"/>
      <c r="F59" s="449"/>
      <c r="G59" s="449"/>
      <c r="H59" s="449"/>
      <c r="I59" s="68">
        <f>IF($H$15=1,'1. SAn ABA DE CARREGAMENTO'!C83,IF($H$15=2,'1. SAn ABA DE CARREGAMENTO'!C83,0))</f>
        <v>6.0000000000000001E-3</v>
      </c>
      <c r="J59" s="66">
        <f>ROUND((J42+J49)*I59,2)</f>
        <v>10.54</v>
      </c>
    </row>
    <row r="60" spans="1:10" ht="15" x14ac:dyDescent="0.2">
      <c r="A60" s="22" t="s">
        <v>370</v>
      </c>
      <c r="B60" s="449" t="s">
        <v>85</v>
      </c>
      <c r="C60" s="449"/>
      <c r="D60" s="449"/>
      <c r="E60" s="449"/>
      <c r="F60" s="449"/>
      <c r="G60" s="449"/>
      <c r="H60" s="449"/>
      <c r="I60" s="68">
        <f>IF($H$15=1,'1. SAn ABA DE CARREGAMENTO'!C84,IF($H$15=2,'1. SAn ABA DE CARREGAMENTO'!C84,0))</f>
        <v>2E-3</v>
      </c>
      <c r="J60" s="66">
        <f>ROUND((J42+J49)*I60,2)</f>
        <v>3.51</v>
      </c>
    </row>
    <row r="61" spans="1:10" ht="15" x14ac:dyDescent="0.2">
      <c r="A61" s="22" t="s">
        <v>371</v>
      </c>
      <c r="B61" s="449" t="s">
        <v>86</v>
      </c>
      <c r="C61" s="449"/>
      <c r="D61" s="449"/>
      <c r="E61" s="449"/>
      <c r="F61" s="449"/>
      <c r="G61" s="449"/>
      <c r="H61" s="449"/>
      <c r="I61" s="68">
        <f>'1. SAn ABA DE CARREGAMENTO'!C85</f>
        <v>0.08</v>
      </c>
      <c r="J61" s="66">
        <f>ROUND((J42+J49)*I61,2)</f>
        <v>140.47999999999999</v>
      </c>
    </row>
    <row r="62" spans="1:10" ht="15" x14ac:dyDescent="0.2">
      <c r="A62" s="412" t="s">
        <v>372</v>
      </c>
      <c r="B62" s="412"/>
      <c r="C62" s="412"/>
      <c r="D62" s="412"/>
      <c r="E62" s="412"/>
      <c r="F62" s="412"/>
      <c r="G62" s="412"/>
      <c r="H62" s="412"/>
      <c r="I62" s="71">
        <f>SUM(I54:I61)</f>
        <v>0.36800000000000005</v>
      </c>
      <c r="J62" s="10">
        <f>SUM(J54:J61)</f>
        <v>646.20999999999992</v>
      </c>
    </row>
    <row r="63" spans="1:10" x14ac:dyDescent="0.2">
      <c r="A63" s="65" t="s">
        <v>363</v>
      </c>
      <c r="B63" s="450" t="s">
        <v>374</v>
      </c>
      <c r="C63" s="450"/>
      <c r="D63" s="450"/>
      <c r="E63" s="450"/>
      <c r="F63" s="450"/>
      <c r="G63" s="450"/>
      <c r="H63" s="450"/>
      <c r="I63" s="450"/>
      <c r="J63" s="450"/>
    </row>
    <row r="64" spans="1:10" x14ac:dyDescent="0.2">
      <c r="A64" s="65" t="s">
        <v>373</v>
      </c>
      <c r="B64" s="450" t="s">
        <v>376</v>
      </c>
      <c r="C64" s="450"/>
      <c r="D64" s="450"/>
      <c r="E64" s="450"/>
      <c r="F64" s="450"/>
      <c r="G64" s="450"/>
      <c r="H64" s="450"/>
      <c r="I64" s="450"/>
      <c r="J64" s="450"/>
    </row>
    <row r="65" spans="1:10" x14ac:dyDescent="0.2">
      <c r="A65" s="72"/>
      <c r="B65" s="73"/>
      <c r="C65" s="73"/>
      <c r="D65" s="73"/>
      <c r="E65" s="73"/>
      <c r="F65" s="73"/>
      <c r="G65" s="73"/>
      <c r="H65" s="73"/>
      <c r="I65" s="73"/>
      <c r="J65" s="73"/>
    </row>
    <row r="66" spans="1:10" ht="15" x14ac:dyDescent="0.2">
      <c r="A66" s="8" t="s">
        <v>377</v>
      </c>
      <c r="B66" s="419" t="s">
        <v>378</v>
      </c>
      <c r="C66" s="419"/>
      <c r="D66" s="419"/>
      <c r="E66" s="419"/>
      <c r="F66" s="419"/>
      <c r="G66" s="419"/>
      <c r="H66" s="419"/>
      <c r="I66" s="419"/>
      <c r="J66" s="419"/>
    </row>
    <row r="67" spans="1:10" ht="15" x14ac:dyDescent="0.2">
      <c r="A67" s="21"/>
      <c r="B67" s="419" t="s">
        <v>378</v>
      </c>
      <c r="C67" s="419"/>
      <c r="D67" s="419"/>
      <c r="E67" s="419"/>
      <c r="F67" s="419"/>
      <c r="G67" s="419"/>
      <c r="H67" s="419"/>
      <c r="I67" s="419"/>
      <c r="J67" s="21" t="s">
        <v>360</v>
      </c>
    </row>
    <row r="68" spans="1:10" ht="15" x14ac:dyDescent="0.2">
      <c r="A68" s="474" t="s">
        <v>310</v>
      </c>
      <c r="B68" s="449" t="s">
        <v>646</v>
      </c>
      <c r="C68" s="449"/>
      <c r="D68" s="449"/>
      <c r="E68" s="449"/>
      <c r="F68" s="449"/>
      <c r="G68" s="449"/>
      <c r="H68" s="449"/>
      <c r="I68" s="449"/>
      <c r="J68" s="480">
        <f>IF(ROUND((I71*I69*I70)-(J39*0.06),2)&lt;0,0,ROUND((I71*I69*I70)-(J39*0.06),2))*1+(I69*I70*21.726-0.06*J39)*0</f>
        <v>101.15</v>
      </c>
    </row>
    <row r="69" spans="1:10" ht="24" customHeight="1" x14ac:dyDescent="0.2">
      <c r="A69" s="474"/>
      <c r="B69" s="478" t="s">
        <v>379</v>
      </c>
      <c r="C69" s="478"/>
      <c r="D69" s="478"/>
      <c r="E69" s="478"/>
      <c r="F69" s="478"/>
      <c r="G69" s="478"/>
      <c r="H69" s="478"/>
      <c r="I69" s="74">
        <f>'1. SAn ABA DE CARREGAMENTO'!$B$88</f>
        <v>3.75</v>
      </c>
      <c r="J69" s="480"/>
    </row>
    <row r="70" spans="1:10" ht="18.75" customHeight="1" x14ac:dyDescent="0.2">
      <c r="A70" s="474"/>
      <c r="B70" s="478" t="s">
        <v>380</v>
      </c>
      <c r="C70" s="478"/>
      <c r="D70" s="478"/>
      <c r="E70" s="478"/>
      <c r="F70" s="478"/>
      <c r="G70" s="478"/>
      <c r="H70" s="478"/>
      <c r="I70" s="75">
        <f>'1. SAn ABA DE CARREGAMENTO'!$B$89</f>
        <v>2</v>
      </c>
      <c r="J70" s="480"/>
    </row>
    <row r="71" spans="1:10" ht="15" x14ac:dyDescent="0.2">
      <c r="A71" s="474"/>
      <c r="B71" s="478" t="s">
        <v>381</v>
      </c>
      <c r="C71" s="478"/>
      <c r="D71" s="478"/>
      <c r="E71" s="478"/>
      <c r="F71" s="478"/>
      <c r="G71" s="478"/>
      <c r="H71" s="478"/>
      <c r="I71" s="75">
        <f>'1. SAn ABA DE CARREGAMENTO'!$B$90</f>
        <v>24</v>
      </c>
      <c r="J71" s="480"/>
    </row>
    <row r="72" spans="1:10" ht="15" x14ac:dyDescent="0.2">
      <c r="A72" s="474"/>
      <c r="B72" s="478" t="s">
        <v>382</v>
      </c>
      <c r="C72" s="478"/>
      <c r="D72" s="478"/>
      <c r="E72" s="478"/>
      <c r="F72" s="478"/>
      <c r="G72" s="478"/>
      <c r="H72" s="478"/>
      <c r="I72" s="76">
        <f>'1. SAn ABA DE CARREGAMENTO'!B91</f>
        <v>0.06</v>
      </c>
      <c r="J72" s="480"/>
    </row>
    <row r="73" spans="1:10" ht="15" x14ac:dyDescent="0.2">
      <c r="A73" s="474" t="s">
        <v>312</v>
      </c>
      <c r="B73" s="479" t="s">
        <v>647</v>
      </c>
      <c r="C73" s="479"/>
      <c r="D73" s="479"/>
      <c r="E73" s="481" t="str">
        <f>'1. SAn ABA DE CARREGAMENTO'!B94</f>
        <v>Cláusula Décima Oitava da CCT 2022/2022</v>
      </c>
      <c r="F73" s="481"/>
      <c r="G73" s="481"/>
      <c r="H73" s="481"/>
      <c r="I73" s="482"/>
      <c r="J73" s="480">
        <f>ROUND((I74*I75)-((I74*I75)*I76),2)</f>
        <v>392.3</v>
      </c>
    </row>
    <row r="74" spans="1:10" ht="15" x14ac:dyDescent="0.2">
      <c r="A74" s="474"/>
      <c r="B74" s="478" t="s">
        <v>383</v>
      </c>
      <c r="C74" s="478"/>
      <c r="D74" s="478"/>
      <c r="E74" s="478"/>
      <c r="F74" s="478"/>
      <c r="G74" s="478"/>
      <c r="H74" s="478"/>
      <c r="I74" s="63">
        <f>'1. SAn ABA DE CARREGAMENTO'!B95</f>
        <v>20.18</v>
      </c>
      <c r="J74" s="480"/>
    </row>
    <row r="75" spans="1:10" ht="15" x14ac:dyDescent="0.2">
      <c r="A75" s="474"/>
      <c r="B75" s="478" t="s">
        <v>384</v>
      </c>
      <c r="C75" s="478"/>
      <c r="D75" s="478"/>
      <c r="E75" s="478"/>
      <c r="F75" s="478"/>
      <c r="G75" s="478"/>
      <c r="H75" s="478"/>
      <c r="I75" s="75">
        <f>'1. SAn ABA DE CARREGAMENTO'!B97</f>
        <v>24</v>
      </c>
      <c r="J75" s="480"/>
    </row>
    <row r="76" spans="1:10" ht="15" x14ac:dyDescent="0.2">
      <c r="A76" s="474"/>
      <c r="B76" s="478" t="s">
        <v>385</v>
      </c>
      <c r="C76" s="478"/>
      <c r="D76" s="478"/>
      <c r="E76" s="478"/>
      <c r="F76" s="478"/>
      <c r="G76" s="478"/>
      <c r="H76" s="478"/>
      <c r="I76" s="77">
        <f>'1. SAn ABA DE CARREGAMENTO'!B96</f>
        <v>0.19</v>
      </c>
      <c r="J76" s="480"/>
    </row>
    <row r="77" spans="1:10" ht="15" x14ac:dyDescent="0.2">
      <c r="A77" s="22" t="s">
        <v>313</v>
      </c>
      <c r="B77" s="479" t="s">
        <v>386</v>
      </c>
      <c r="C77" s="479"/>
      <c r="D77" s="479"/>
      <c r="E77" s="481" t="str">
        <f>'1. SAn ABA DE CARREGAMENTO'!B100</f>
        <v>Cláusula Vigésima Nona da CCT 2022/2022</v>
      </c>
      <c r="F77" s="481"/>
      <c r="G77" s="481"/>
      <c r="H77" s="481"/>
      <c r="I77" s="482"/>
      <c r="J77" s="78">
        <f>'1. SAn ABA DE CARREGAMENTO'!C100</f>
        <v>17.32</v>
      </c>
    </row>
    <row r="78" spans="1:10" ht="15" x14ac:dyDescent="0.2">
      <c r="A78" s="22" t="s">
        <v>315</v>
      </c>
      <c r="B78" s="449" t="s">
        <v>648</v>
      </c>
      <c r="C78" s="449"/>
      <c r="D78" s="449"/>
      <c r="E78" s="449"/>
      <c r="F78" s="449"/>
      <c r="G78" s="449"/>
      <c r="H78" s="449"/>
      <c r="I78" s="449"/>
      <c r="J78" s="66">
        <v>0</v>
      </c>
    </row>
    <row r="79" spans="1:10" ht="15" x14ac:dyDescent="0.2">
      <c r="A79" s="412" t="s">
        <v>387</v>
      </c>
      <c r="B79" s="412"/>
      <c r="C79" s="412"/>
      <c r="D79" s="412"/>
      <c r="E79" s="412"/>
      <c r="F79" s="412"/>
      <c r="G79" s="412"/>
      <c r="H79" s="412"/>
      <c r="I79" s="412"/>
      <c r="J79" s="10">
        <f>SUM(J68:J77)</f>
        <v>510.77000000000004</v>
      </c>
    </row>
    <row r="80" spans="1:10" x14ac:dyDescent="0.2">
      <c r="A80" s="65" t="s">
        <v>375</v>
      </c>
      <c r="B80" s="450" t="s">
        <v>389</v>
      </c>
      <c r="C80" s="450"/>
      <c r="D80" s="450"/>
      <c r="E80" s="450"/>
      <c r="F80" s="450"/>
      <c r="G80" s="450"/>
      <c r="H80" s="450"/>
      <c r="I80" s="450"/>
      <c r="J80" s="450"/>
    </row>
    <row r="81" spans="1:10" ht="30.75" customHeight="1" x14ac:dyDescent="0.2">
      <c r="A81" s="65" t="s">
        <v>388</v>
      </c>
      <c r="B81" s="450" t="s">
        <v>391</v>
      </c>
      <c r="C81" s="450"/>
      <c r="D81" s="450"/>
      <c r="E81" s="450"/>
      <c r="F81" s="450"/>
      <c r="G81" s="450"/>
      <c r="H81" s="450"/>
      <c r="I81" s="450"/>
      <c r="J81" s="450"/>
    </row>
    <row r="82" spans="1:10" x14ac:dyDescent="0.2">
      <c r="A82" s="72"/>
      <c r="B82" s="73"/>
      <c r="C82" s="73"/>
      <c r="D82" s="73"/>
      <c r="E82" s="73"/>
      <c r="F82" s="73"/>
      <c r="G82" s="73"/>
      <c r="H82" s="73"/>
      <c r="I82" s="73"/>
      <c r="J82" s="73"/>
    </row>
    <row r="83" spans="1:10" ht="15" x14ac:dyDescent="0.2">
      <c r="A83" s="419" t="s">
        <v>392</v>
      </c>
      <c r="B83" s="419"/>
      <c r="C83" s="419"/>
      <c r="D83" s="419"/>
      <c r="E83" s="419"/>
      <c r="F83" s="419"/>
      <c r="G83" s="419"/>
      <c r="H83" s="419"/>
      <c r="I83" s="419"/>
      <c r="J83" s="419"/>
    </row>
    <row r="84" spans="1:10" ht="15" x14ac:dyDescent="0.2">
      <c r="A84" s="21" t="s">
        <v>393</v>
      </c>
      <c r="B84" s="419" t="s">
        <v>394</v>
      </c>
      <c r="C84" s="419"/>
      <c r="D84" s="419"/>
      <c r="E84" s="419"/>
      <c r="F84" s="419"/>
      <c r="G84" s="419"/>
      <c r="H84" s="419"/>
      <c r="I84" s="419"/>
      <c r="J84" s="21" t="s">
        <v>360</v>
      </c>
    </row>
    <row r="85" spans="1:10" ht="15" x14ac:dyDescent="0.2">
      <c r="A85" s="22" t="s">
        <v>395</v>
      </c>
      <c r="B85" s="478" t="s">
        <v>396</v>
      </c>
      <c r="C85" s="478"/>
      <c r="D85" s="478"/>
      <c r="E85" s="478"/>
      <c r="F85" s="478"/>
      <c r="G85" s="478"/>
      <c r="H85" s="478"/>
      <c r="I85" s="478"/>
      <c r="J85" s="66">
        <f>J49</f>
        <v>179.11</v>
      </c>
    </row>
    <row r="86" spans="1:10" ht="15" x14ac:dyDescent="0.2">
      <c r="A86" s="22" t="s">
        <v>364</v>
      </c>
      <c r="B86" s="478" t="s">
        <v>397</v>
      </c>
      <c r="C86" s="478"/>
      <c r="D86" s="478"/>
      <c r="E86" s="478"/>
      <c r="F86" s="478"/>
      <c r="G86" s="478"/>
      <c r="H86" s="478"/>
      <c r="I86" s="478"/>
      <c r="J86" s="66">
        <f>J62</f>
        <v>646.20999999999992</v>
      </c>
    </row>
    <row r="87" spans="1:10" ht="15" x14ac:dyDescent="0.2">
      <c r="A87" s="22" t="s">
        <v>398</v>
      </c>
      <c r="B87" s="478" t="s">
        <v>399</v>
      </c>
      <c r="C87" s="478"/>
      <c r="D87" s="478"/>
      <c r="E87" s="478"/>
      <c r="F87" s="478"/>
      <c r="G87" s="478"/>
      <c r="H87" s="478"/>
      <c r="I87" s="478"/>
      <c r="J87" s="66">
        <f>J79</f>
        <v>510.77000000000004</v>
      </c>
    </row>
    <row r="88" spans="1:10" ht="15" x14ac:dyDescent="0.2">
      <c r="A88" s="412" t="s">
        <v>400</v>
      </c>
      <c r="B88" s="412"/>
      <c r="C88" s="412"/>
      <c r="D88" s="412"/>
      <c r="E88" s="412"/>
      <c r="F88" s="412"/>
      <c r="G88" s="412"/>
      <c r="H88" s="412"/>
      <c r="I88" s="412"/>
      <c r="J88" s="10">
        <f>SUM(J85+J86+J87)</f>
        <v>1336.09</v>
      </c>
    </row>
    <row r="89" spans="1:10" ht="15" x14ac:dyDescent="0.2">
      <c r="A89" s="79"/>
      <c r="B89" s="79"/>
      <c r="C89" s="79"/>
      <c r="D89" s="79"/>
      <c r="E89" s="79"/>
      <c r="F89" s="79"/>
      <c r="G89" s="79"/>
      <c r="H89" s="79"/>
      <c r="I89" s="79"/>
      <c r="J89" s="80"/>
    </row>
    <row r="90" spans="1:10" ht="15" x14ac:dyDescent="0.2">
      <c r="A90" s="419" t="s">
        <v>401</v>
      </c>
      <c r="B90" s="419"/>
      <c r="C90" s="419"/>
      <c r="D90" s="419"/>
      <c r="E90" s="419"/>
      <c r="F90" s="419"/>
      <c r="G90" s="419"/>
      <c r="H90" s="419"/>
      <c r="I90" s="419"/>
      <c r="J90" s="419"/>
    </row>
    <row r="91" spans="1:10" ht="15" x14ac:dyDescent="0.2">
      <c r="A91" s="21"/>
      <c r="B91" s="419" t="s">
        <v>394</v>
      </c>
      <c r="C91" s="419"/>
      <c r="D91" s="419"/>
      <c r="E91" s="419"/>
      <c r="F91" s="419"/>
      <c r="G91" s="419"/>
      <c r="H91" s="419"/>
      <c r="I91" s="419"/>
      <c r="J91" s="21" t="s">
        <v>402</v>
      </c>
    </row>
    <row r="92" spans="1:10" ht="24.75" customHeight="1" x14ac:dyDescent="0.2">
      <c r="A92" s="22" t="s">
        <v>310</v>
      </c>
      <c r="B92" s="449" t="s">
        <v>649</v>
      </c>
      <c r="C92" s="449"/>
      <c r="D92" s="449"/>
      <c r="E92" s="449"/>
      <c r="F92" s="449"/>
      <c r="G92" s="449"/>
      <c r="H92" s="449"/>
      <c r="I92" s="449"/>
      <c r="J92" s="66">
        <f>ROUND((($J$42/12)+($J$47/12)+($J$42/12/12)+($J$48/12))*(30/30)*0.05,2)</f>
        <v>7.86</v>
      </c>
    </row>
    <row r="93" spans="1:10" ht="24.75" customHeight="1" x14ac:dyDescent="0.2">
      <c r="A93" s="22" t="s">
        <v>312</v>
      </c>
      <c r="B93" s="449" t="s">
        <v>403</v>
      </c>
      <c r="C93" s="449"/>
      <c r="D93" s="449"/>
      <c r="E93" s="449"/>
      <c r="F93" s="449"/>
      <c r="G93" s="449"/>
      <c r="H93" s="449"/>
      <c r="I93" s="449"/>
      <c r="J93" s="66">
        <f>ROUND($J$92*I61,2)</f>
        <v>0.63</v>
      </c>
    </row>
    <row r="94" spans="1:10" ht="24.75" customHeight="1" x14ac:dyDescent="0.2">
      <c r="A94" s="22" t="s">
        <v>313</v>
      </c>
      <c r="B94" s="449" t="s">
        <v>650</v>
      </c>
      <c r="C94" s="449"/>
      <c r="D94" s="449"/>
      <c r="E94" s="449"/>
      <c r="F94" s="449"/>
      <c r="G94" s="449"/>
      <c r="H94" s="449"/>
      <c r="I94" s="449"/>
      <c r="J94" s="66">
        <f>ROUND(0.08*0.4*($J$42+$J$47+$J$48)*0.05,2)</f>
        <v>2.81</v>
      </c>
    </row>
    <row r="95" spans="1:10" ht="24.75" customHeight="1" x14ac:dyDescent="0.2">
      <c r="A95" s="22" t="s">
        <v>315</v>
      </c>
      <c r="B95" s="449" t="s">
        <v>651</v>
      </c>
      <c r="C95" s="449"/>
      <c r="D95" s="449"/>
      <c r="E95" s="449"/>
      <c r="F95" s="449"/>
      <c r="G95" s="449"/>
      <c r="H95" s="449"/>
      <c r="I95" s="449"/>
      <c r="J95" s="66">
        <f>ROUND(((($J$42/30)*7)/$H$21)*1,2)</f>
        <v>18.399999999999999</v>
      </c>
    </row>
    <row r="96" spans="1:10" ht="24.75" customHeight="1" x14ac:dyDescent="0.2">
      <c r="A96" s="22" t="s">
        <v>368</v>
      </c>
      <c r="B96" s="449" t="s">
        <v>404</v>
      </c>
      <c r="C96" s="449"/>
      <c r="D96" s="449"/>
      <c r="E96" s="449"/>
      <c r="F96" s="449"/>
      <c r="G96" s="449"/>
      <c r="H96" s="449"/>
      <c r="I96" s="449"/>
      <c r="J96" s="66">
        <f>ROUND($I$62*J95,2)</f>
        <v>6.77</v>
      </c>
    </row>
    <row r="97" spans="1:10" ht="24.75" customHeight="1" x14ac:dyDescent="0.2">
      <c r="A97" s="22" t="s">
        <v>369</v>
      </c>
      <c r="B97" s="449" t="s">
        <v>652</v>
      </c>
      <c r="C97" s="449"/>
      <c r="D97" s="449"/>
      <c r="E97" s="449"/>
      <c r="F97" s="449"/>
      <c r="G97" s="449"/>
      <c r="H97" s="449"/>
      <c r="I97" s="449"/>
      <c r="J97" s="66">
        <f>ROUND(0.08*0.4*($J$42+$J$47+$J$48)*0.9,2)</f>
        <v>50.57</v>
      </c>
    </row>
    <row r="98" spans="1:10" ht="15" x14ac:dyDescent="0.2">
      <c r="A98" s="412" t="s">
        <v>405</v>
      </c>
      <c r="B98" s="412"/>
      <c r="C98" s="412"/>
      <c r="D98" s="412"/>
      <c r="E98" s="412"/>
      <c r="F98" s="412"/>
      <c r="G98" s="412"/>
      <c r="H98" s="412"/>
      <c r="I98" s="412"/>
      <c r="J98" s="10">
        <f>SUM(J92:J97)</f>
        <v>87.039999999999992</v>
      </c>
    </row>
    <row r="99" spans="1:10" ht="15" x14ac:dyDescent="0.2">
      <c r="A99" s="79"/>
      <c r="B99" s="79"/>
      <c r="C99" s="79"/>
      <c r="D99" s="79"/>
      <c r="E99" s="79"/>
      <c r="F99" s="79"/>
      <c r="G99" s="79"/>
      <c r="H99" s="79"/>
      <c r="I99" s="79"/>
      <c r="J99" s="80"/>
    </row>
    <row r="100" spans="1:10" ht="15" x14ac:dyDescent="0.2">
      <c r="A100" s="419" t="s">
        <v>406</v>
      </c>
      <c r="B100" s="419"/>
      <c r="C100" s="419"/>
      <c r="D100" s="419"/>
      <c r="E100" s="419"/>
      <c r="F100" s="419"/>
      <c r="G100" s="419"/>
      <c r="H100" s="419"/>
      <c r="I100" s="419"/>
      <c r="J100" s="419"/>
    </row>
    <row r="101" spans="1:10" ht="15" x14ac:dyDescent="0.2">
      <c r="A101" s="419" t="s">
        <v>407</v>
      </c>
      <c r="B101" s="419"/>
      <c r="C101" s="419"/>
      <c r="D101" s="419"/>
      <c r="E101" s="419"/>
      <c r="F101" s="419"/>
      <c r="G101" s="419"/>
      <c r="H101" s="419"/>
      <c r="I101" s="419"/>
      <c r="J101" s="419"/>
    </row>
    <row r="102" spans="1:10" ht="15" x14ac:dyDescent="0.2">
      <c r="A102" s="419" t="s">
        <v>408</v>
      </c>
      <c r="B102" s="419"/>
      <c r="C102" s="9">
        <f>J42</f>
        <v>1576.9099999999999</v>
      </c>
      <c r="D102" s="419" t="s">
        <v>592</v>
      </c>
      <c r="E102" s="419"/>
      <c r="F102" s="9">
        <f>J88-J73-J68</f>
        <v>842.64</v>
      </c>
      <c r="G102" s="419" t="s">
        <v>410</v>
      </c>
      <c r="H102" s="419"/>
      <c r="I102" s="9">
        <f>J98</f>
        <v>87.039999999999992</v>
      </c>
      <c r="J102" s="10">
        <f>ROUND((J42+(J88-J73-J68)+J98),2)</f>
        <v>2506.59</v>
      </c>
    </row>
    <row r="103" spans="1:10" ht="15" x14ac:dyDescent="0.2">
      <c r="A103" s="419" t="s">
        <v>411</v>
      </c>
      <c r="B103" s="419"/>
      <c r="C103" s="419"/>
      <c r="D103" s="419"/>
      <c r="E103" s="419"/>
      <c r="F103" s="419"/>
      <c r="G103" s="419" t="s">
        <v>412</v>
      </c>
      <c r="H103" s="419"/>
      <c r="I103" s="419"/>
      <c r="J103" s="11">
        <f>ROUND(J102/30,2)</f>
        <v>83.55</v>
      </c>
    </row>
    <row r="104" spans="1:10" ht="15" x14ac:dyDescent="0.2">
      <c r="A104" s="18"/>
      <c r="B104" s="18"/>
      <c r="C104" s="18"/>
      <c r="D104" s="18"/>
      <c r="E104" s="18"/>
      <c r="F104" s="18"/>
      <c r="G104" s="18"/>
      <c r="H104" s="18"/>
      <c r="I104" s="18"/>
      <c r="J104" s="19"/>
    </row>
    <row r="105" spans="1:10" ht="15" x14ac:dyDescent="0.2">
      <c r="A105" s="21" t="s">
        <v>413</v>
      </c>
      <c r="B105" s="419" t="s">
        <v>414</v>
      </c>
      <c r="C105" s="419"/>
      <c r="D105" s="419"/>
      <c r="E105" s="419"/>
      <c r="F105" s="419"/>
      <c r="G105" s="419"/>
      <c r="H105" s="419"/>
      <c r="I105" s="419"/>
      <c r="J105" s="21" t="s">
        <v>360</v>
      </c>
    </row>
    <row r="106" spans="1:10" ht="29.25" customHeight="1" x14ac:dyDescent="0.2">
      <c r="A106" s="22" t="s">
        <v>310</v>
      </c>
      <c r="B106" s="477" t="s">
        <v>696</v>
      </c>
      <c r="C106" s="477"/>
      <c r="D106" s="477"/>
      <c r="E106" s="477"/>
      <c r="F106" s="477"/>
      <c r="G106" s="477"/>
      <c r="H106" s="477"/>
      <c r="I106" s="477"/>
      <c r="J106" s="66">
        <f>ROUND(J42*9.075%,2)</f>
        <v>143.1</v>
      </c>
    </row>
    <row r="107" spans="1:10" ht="29.25" customHeight="1" x14ac:dyDescent="0.2">
      <c r="A107" s="22" t="s">
        <v>312</v>
      </c>
      <c r="B107" s="449" t="s">
        <v>653</v>
      </c>
      <c r="C107" s="449"/>
      <c r="D107" s="449"/>
      <c r="E107" s="449"/>
      <c r="F107" s="449"/>
      <c r="G107" s="449"/>
      <c r="H107" s="449"/>
      <c r="I107" s="449"/>
      <c r="J107" s="63">
        <f>ROUND((($J$102/30)*1)/12,2)</f>
        <v>6.96</v>
      </c>
    </row>
    <row r="108" spans="1:10" ht="29.25" customHeight="1" x14ac:dyDescent="0.2">
      <c r="A108" s="22" t="s">
        <v>313</v>
      </c>
      <c r="B108" s="449" t="s">
        <v>654</v>
      </c>
      <c r="C108" s="449"/>
      <c r="D108" s="449"/>
      <c r="E108" s="449"/>
      <c r="F108" s="449"/>
      <c r="G108" s="449"/>
      <c r="H108" s="449"/>
      <c r="I108" s="449"/>
      <c r="J108" s="63">
        <f>ROUND((($J$102/30)*5)/12*0.015,2)</f>
        <v>0.52</v>
      </c>
    </row>
    <row r="109" spans="1:10" ht="29.25" customHeight="1" x14ac:dyDescent="0.2">
      <c r="A109" s="22" t="s">
        <v>315</v>
      </c>
      <c r="B109" s="449" t="s">
        <v>655</v>
      </c>
      <c r="C109" s="449"/>
      <c r="D109" s="449"/>
      <c r="E109" s="449"/>
      <c r="F109" s="449"/>
      <c r="G109" s="449"/>
      <c r="H109" s="449"/>
      <c r="I109" s="449"/>
      <c r="J109" s="66">
        <f>ROUND(((($J$102/30)*15)/12)*0.0078,2)</f>
        <v>0.81</v>
      </c>
    </row>
    <row r="110" spans="1:10" ht="29.25" customHeight="1" x14ac:dyDescent="0.2">
      <c r="A110" s="22" t="s">
        <v>368</v>
      </c>
      <c r="B110" s="449" t="s">
        <v>656</v>
      </c>
      <c r="C110" s="449"/>
      <c r="D110" s="449"/>
      <c r="E110" s="449"/>
      <c r="F110" s="449"/>
      <c r="G110" s="449"/>
      <c r="H110" s="449"/>
      <c r="I110" s="449"/>
      <c r="J110" s="66">
        <f>ROUND((((J42+J42/3)/12+(J62+J79-J73-J68+J98))*4/12)*0.02,2)</f>
        <v>6.17</v>
      </c>
    </row>
    <row r="111" spans="1:10" ht="29.25" customHeight="1" x14ac:dyDescent="0.2">
      <c r="A111" s="22" t="s">
        <v>369</v>
      </c>
      <c r="B111" s="449" t="s">
        <v>657</v>
      </c>
      <c r="C111" s="449"/>
      <c r="D111" s="449"/>
      <c r="E111" s="449"/>
      <c r="F111" s="449"/>
      <c r="G111" s="449"/>
      <c r="H111" s="449"/>
      <c r="I111" s="449"/>
      <c r="J111" s="66">
        <f>ROUND(((($J$102/30)*5)/12),2)</f>
        <v>34.81</v>
      </c>
    </row>
    <row r="112" spans="1:10" ht="15" x14ac:dyDescent="0.2">
      <c r="A112" s="412" t="s">
        <v>415</v>
      </c>
      <c r="B112" s="412"/>
      <c r="C112" s="412"/>
      <c r="D112" s="412"/>
      <c r="E112" s="412"/>
      <c r="F112" s="412"/>
      <c r="G112" s="412"/>
      <c r="H112" s="412"/>
      <c r="I112" s="412"/>
      <c r="J112" s="10">
        <f>SUM(J106:J111)</f>
        <v>192.37</v>
      </c>
    </row>
    <row r="113" spans="1:10" ht="15" x14ac:dyDescent="0.2">
      <c r="A113" s="518"/>
      <c r="B113" s="518"/>
      <c r="C113" s="518"/>
      <c r="D113" s="518"/>
      <c r="E113" s="518"/>
      <c r="F113" s="518"/>
      <c r="G113" s="518"/>
      <c r="H113" s="518"/>
      <c r="I113" s="518"/>
      <c r="J113" s="67"/>
    </row>
    <row r="114" spans="1:10" ht="15" x14ac:dyDescent="0.2">
      <c r="A114" s="21" t="s">
        <v>416</v>
      </c>
      <c r="B114" s="419" t="s">
        <v>417</v>
      </c>
      <c r="C114" s="419"/>
      <c r="D114" s="419"/>
      <c r="E114" s="419"/>
      <c r="F114" s="419"/>
      <c r="G114" s="419"/>
      <c r="H114" s="419"/>
      <c r="I114" s="419"/>
      <c r="J114" s="21" t="s">
        <v>360</v>
      </c>
    </row>
    <row r="115" spans="1:10" ht="15" x14ac:dyDescent="0.2">
      <c r="A115" s="22" t="s">
        <v>310</v>
      </c>
      <c r="B115" s="449" t="s">
        <v>418</v>
      </c>
      <c r="C115" s="449"/>
      <c r="D115" s="449"/>
      <c r="E115" s="449"/>
      <c r="F115" s="449"/>
      <c r="G115" s="449"/>
      <c r="H115" s="449"/>
      <c r="I115" s="449"/>
      <c r="J115" s="66">
        <v>0</v>
      </c>
    </row>
    <row r="116" spans="1:10" ht="15" x14ac:dyDescent="0.2">
      <c r="A116" s="412" t="s">
        <v>419</v>
      </c>
      <c r="B116" s="412"/>
      <c r="C116" s="412"/>
      <c r="D116" s="412"/>
      <c r="E116" s="412"/>
      <c r="F116" s="412"/>
      <c r="G116" s="412"/>
      <c r="H116" s="412"/>
      <c r="I116" s="412"/>
      <c r="J116" s="10">
        <f>SUM(J115)</f>
        <v>0</v>
      </c>
    </row>
    <row r="117" spans="1:10" ht="15" x14ac:dyDescent="0.2">
      <c r="A117" s="518"/>
      <c r="B117" s="518"/>
      <c r="C117" s="518"/>
      <c r="D117" s="518"/>
      <c r="E117" s="518"/>
      <c r="F117" s="518"/>
      <c r="G117" s="518"/>
      <c r="H117" s="518"/>
      <c r="I117" s="518"/>
      <c r="J117" s="67"/>
    </row>
    <row r="118" spans="1:10" ht="15" x14ac:dyDescent="0.2">
      <c r="A118" s="419" t="s">
        <v>420</v>
      </c>
      <c r="B118" s="419"/>
      <c r="C118" s="419"/>
      <c r="D118" s="419"/>
      <c r="E118" s="419"/>
      <c r="F118" s="419"/>
      <c r="G118" s="419"/>
      <c r="H118" s="419"/>
      <c r="I118" s="419"/>
      <c r="J118" s="419"/>
    </row>
    <row r="119" spans="1:10" ht="15" x14ac:dyDescent="0.2">
      <c r="A119" s="21" t="s">
        <v>421</v>
      </c>
      <c r="B119" s="419" t="s">
        <v>394</v>
      </c>
      <c r="C119" s="419"/>
      <c r="D119" s="419"/>
      <c r="E119" s="419"/>
      <c r="F119" s="419"/>
      <c r="G119" s="419"/>
      <c r="H119" s="419"/>
      <c r="I119" s="419"/>
      <c r="J119" s="16" t="s">
        <v>360</v>
      </c>
    </row>
    <row r="120" spans="1:10" ht="15" x14ac:dyDescent="0.2">
      <c r="A120" s="22" t="s">
        <v>413</v>
      </c>
      <c r="B120" s="449" t="s">
        <v>414</v>
      </c>
      <c r="C120" s="449"/>
      <c r="D120" s="449"/>
      <c r="E120" s="449"/>
      <c r="F120" s="449"/>
      <c r="G120" s="449"/>
      <c r="H120" s="449"/>
      <c r="I120" s="449"/>
      <c r="J120" s="66">
        <f>J112</f>
        <v>192.37</v>
      </c>
    </row>
    <row r="121" spans="1:10" ht="15" x14ac:dyDescent="0.2">
      <c r="A121" s="22" t="s">
        <v>422</v>
      </c>
      <c r="B121" s="449" t="s">
        <v>417</v>
      </c>
      <c r="C121" s="449"/>
      <c r="D121" s="449"/>
      <c r="E121" s="449"/>
      <c r="F121" s="449"/>
      <c r="G121" s="449"/>
      <c r="H121" s="449"/>
      <c r="I121" s="449"/>
      <c r="J121" s="66">
        <f>J116</f>
        <v>0</v>
      </c>
    </row>
    <row r="122" spans="1:10" ht="15" x14ac:dyDescent="0.2">
      <c r="A122" s="412" t="s">
        <v>423</v>
      </c>
      <c r="B122" s="412"/>
      <c r="C122" s="412"/>
      <c r="D122" s="412"/>
      <c r="E122" s="412"/>
      <c r="F122" s="412"/>
      <c r="G122" s="412"/>
      <c r="H122" s="412"/>
      <c r="I122" s="412"/>
      <c r="J122" s="10">
        <f>SUM(J120+J121)</f>
        <v>192.37</v>
      </c>
    </row>
    <row r="123" spans="1:10" ht="30" customHeight="1" x14ac:dyDescent="0.2">
      <c r="A123" s="65" t="s">
        <v>390</v>
      </c>
      <c r="B123" s="450" t="s">
        <v>425</v>
      </c>
      <c r="C123" s="450"/>
      <c r="D123" s="450"/>
      <c r="E123" s="450"/>
      <c r="F123" s="450"/>
      <c r="G123" s="450"/>
      <c r="H123" s="450"/>
      <c r="I123" s="450"/>
      <c r="J123" s="450"/>
    </row>
    <row r="124" spans="1:10" x14ac:dyDescent="0.2">
      <c r="A124" s="72"/>
      <c r="B124" s="73"/>
      <c r="C124" s="73"/>
      <c r="D124" s="73"/>
      <c r="E124" s="73"/>
      <c r="F124" s="73"/>
      <c r="G124" s="73"/>
      <c r="H124" s="73"/>
      <c r="I124" s="73"/>
      <c r="J124" s="73"/>
    </row>
    <row r="125" spans="1:10" ht="15" x14ac:dyDescent="0.2">
      <c r="A125" s="419" t="s">
        <v>426</v>
      </c>
      <c r="B125" s="419"/>
      <c r="C125" s="419"/>
      <c r="D125" s="419"/>
      <c r="E125" s="419"/>
      <c r="F125" s="419"/>
      <c r="G125" s="419"/>
      <c r="H125" s="419"/>
      <c r="I125" s="419"/>
      <c r="J125" s="419"/>
    </row>
    <row r="126" spans="1:10" ht="15" x14ac:dyDescent="0.2">
      <c r="A126" s="21"/>
      <c r="B126" s="419" t="s">
        <v>394</v>
      </c>
      <c r="C126" s="419"/>
      <c r="D126" s="419"/>
      <c r="E126" s="419"/>
      <c r="F126" s="419"/>
      <c r="G126" s="419"/>
      <c r="H126" s="419"/>
      <c r="I126" s="419"/>
      <c r="J126" s="21" t="s">
        <v>360</v>
      </c>
    </row>
    <row r="127" spans="1:10" ht="15" x14ac:dyDescent="0.2">
      <c r="A127" s="22" t="s">
        <v>310</v>
      </c>
      <c r="B127" s="449" t="s">
        <v>427</v>
      </c>
      <c r="C127" s="449"/>
      <c r="D127" s="449"/>
      <c r="E127" s="449"/>
      <c r="F127" s="449"/>
      <c r="G127" s="449"/>
      <c r="H127" s="449"/>
      <c r="I127" s="449"/>
      <c r="J127" s="66">
        <f>'2. SAn INSUMOS'!G95</f>
        <v>110.10250000000002</v>
      </c>
    </row>
    <row r="128" spans="1:10" ht="15" x14ac:dyDescent="0.2">
      <c r="A128" s="22" t="s">
        <v>312</v>
      </c>
      <c r="B128" s="449" t="s">
        <v>428</v>
      </c>
      <c r="C128" s="449"/>
      <c r="D128" s="449"/>
      <c r="E128" s="449"/>
      <c r="F128" s="449"/>
      <c r="G128" s="449"/>
      <c r="H128" s="449"/>
      <c r="I128" s="449"/>
      <c r="J128" s="66">
        <v>0</v>
      </c>
    </row>
    <row r="129" spans="1:12" ht="15" x14ac:dyDescent="0.2">
      <c r="A129" s="22" t="s">
        <v>313</v>
      </c>
      <c r="B129" s="449" t="s">
        <v>429</v>
      </c>
      <c r="C129" s="449"/>
      <c r="D129" s="449"/>
      <c r="E129" s="449"/>
      <c r="F129" s="449"/>
      <c r="G129" s="449"/>
      <c r="H129" s="449"/>
      <c r="I129" s="449"/>
      <c r="J129" s="66">
        <v>0</v>
      </c>
    </row>
    <row r="130" spans="1:12" ht="15" x14ac:dyDescent="0.2">
      <c r="A130" s="22" t="s">
        <v>315</v>
      </c>
      <c r="B130" s="449" t="s">
        <v>556</v>
      </c>
      <c r="C130" s="449"/>
      <c r="D130" s="449"/>
      <c r="E130" s="449"/>
      <c r="F130" s="449"/>
      <c r="G130" s="449"/>
      <c r="H130" s="449"/>
      <c r="I130" s="449"/>
      <c r="J130" s="66" t="s">
        <v>430</v>
      </c>
    </row>
    <row r="131" spans="1:12" ht="15" x14ac:dyDescent="0.2">
      <c r="A131" s="412" t="s">
        <v>530</v>
      </c>
      <c r="B131" s="412"/>
      <c r="C131" s="412"/>
      <c r="D131" s="412"/>
      <c r="E131" s="412"/>
      <c r="F131" s="412"/>
      <c r="G131" s="412"/>
      <c r="H131" s="412"/>
      <c r="I131" s="412"/>
      <c r="J131" s="10">
        <f>SUM(J127:J130)</f>
        <v>110.10250000000002</v>
      </c>
    </row>
    <row r="132" spans="1:12" x14ac:dyDescent="0.2">
      <c r="A132" s="65" t="s">
        <v>424</v>
      </c>
      <c r="B132" s="450" t="s">
        <v>433</v>
      </c>
      <c r="C132" s="450"/>
      <c r="D132" s="450"/>
      <c r="E132" s="450"/>
      <c r="F132" s="450"/>
      <c r="G132" s="450"/>
      <c r="H132" s="450"/>
      <c r="I132" s="450"/>
      <c r="J132" s="450"/>
    </row>
    <row r="133" spans="1:12" x14ac:dyDescent="0.2">
      <c r="A133" s="517"/>
      <c r="B133" s="517"/>
      <c r="C133" s="517"/>
      <c r="D133" s="517"/>
      <c r="E133" s="517"/>
      <c r="F133" s="517"/>
      <c r="G133" s="517"/>
      <c r="H133" s="517"/>
      <c r="I133" s="517"/>
      <c r="J133" s="517"/>
    </row>
    <row r="134" spans="1:12" ht="15" x14ac:dyDescent="0.2">
      <c r="A134" s="419" t="s">
        <v>434</v>
      </c>
      <c r="B134" s="419"/>
      <c r="C134" s="419"/>
      <c r="D134" s="419"/>
      <c r="E134" s="419"/>
      <c r="F134" s="419"/>
      <c r="G134" s="419"/>
      <c r="H134" s="419"/>
      <c r="I134" s="419"/>
      <c r="J134" s="419"/>
    </row>
    <row r="135" spans="1:12" ht="15" x14ac:dyDescent="0.2">
      <c r="A135" s="21"/>
      <c r="B135" s="419" t="s">
        <v>435</v>
      </c>
      <c r="C135" s="419"/>
      <c r="D135" s="419"/>
      <c r="E135" s="419"/>
      <c r="F135" s="419"/>
      <c r="G135" s="419"/>
      <c r="H135" s="419"/>
      <c r="I135" s="21" t="s">
        <v>350</v>
      </c>
      <c r="J135" s="16" t="s">
        <v>360</v>
      </c>
    </row>
    <row r="136" spans="1:12" ht="47.25" customHeight="1" x14ac:dyDescent="0.2">
      <c r="A136" s="449" t="s">
        <v>658</v>
      </c>
      <c r="B136" s="449"/>
      <c r="C136" s="449"/>
      <c r="D136" s="449"/>
      <c r="E136" s="449"/>
      <c r="F136" s="449"/>
      <c r="G136" s="449"/>
      <c r="H136" s="449"/>
      <c r="I136" s="449"/>
      <c r="J136" s="81">
        <f>SUM(J42+J88+J98+J122+J131)</f>
        <v>3302.5124999999998</v>
      </c>
    </row>
    <row r="137" spans="1:12" ht="15" x14ac:dyDescent="0.2">
      <c r="A137" s="21" t="s">
        <v>310</v>
      </c>
      <c r="B137" s="415" t="s">
        <v>436</v>
      </c>
      <c r="C137" s="415"/>
      <c r="D137" s="415"/>
      <c r="E137" s="415"/>
      <c r="F137" s="415"/>
      <c r="G137" s="415"/>
      <c r="H137" s="415"/>
      <c r="I137" s="82">
        <f>'1. SAn ABA DE CARREGAMENTO'!$B$103</f>
        <v>0.06</v>
      </c>
      <c r="J137" s="10">
        <f>ROUND(I137*J136,2)</f>
        <v>198.15</v>
      </c>
    </row>
    <row r="138" spans="1:12" ht="47.25" customHeight="1" x14ac:dyDescent="0.2">
      <c r="A138" s="449" t="s">
        <v>659</v>
      </c>
      <c r="B138" s="449"/>
      <c r="C138" s="449"/>
      <c r="D138" s="449"/>
      <c r="E138" s="449"/>
      <c r="F138" s="449"/>
      <c r="G138" s="449"/>
      <c r="H138" s="449"/>
      <c r="I138" s="449"/>
      <c r="J138" s="78">
        <f>SUM(J42+J88+J98+J122+J131+J137)</f>
        <v>3500.6624999999999</v>
      </c>
    </row>
    <row r="139" spans="1:12" ht="15" x14ac:dyDescent="0.2">
      <c r="A139" s="21" t="s">
        <v>312</v>
      </c>
      <c r="B139" s="415" t="s">
        <v>99</v>
      </c>
      <c r="C139" s="415"/>
      <c r="D139" s="415"/>
      <c r="E139" s="415"/>
      <c r="F139" s="415"/>
      <c r="G139" s="415"/>
      <c r="H139" s="415"/>
      <c r="I139" s="82">
        <f>'1. SAn ABA DE CARREGAMENTO'!$B$104</f>
        <v>6.7900000000000002E-2</v>
      </c>
      <c r="J139" s="10">
        <f>ROUND(I139*J138,2)</f>
        <v>237.69</v>
      </c>
    </row>
    <row r="140" spans="1:12" ht="43.5" customHeight="1" x14ac:dyDescent="0.2">
      <c r="A140" s="449" t="s">
        <v>660</v>
      </c>
      <c r="B140" s="449"/>
      <c r="C140" s="449"/>
      <c r="D140" s="449"/>
      <c r="E140" s="449"/>
      <c r="F140" s="449"/>
      <c r="G140" s="449"/>
      <c r="H140" s="449"/>
      <c r="I140" s="449"/>
      <c r="J140" s="78">
        <f>SUM(J42+J88+J98+J122+J131+J137+J139)</f>
        <v>3738.3525</v>
      </c>
    </row>
    <row r="141" spans="1:12" ht="15" x14ac:dyDescent="0.2">
      <c r="A141" s="21" t="s">
        <v>313</v>
      </c>
      <c r="B141" s="415" t="s">
        <v>437</v>
      </c>
      <c r="C141" s="415"/>
      <c r="D141" s="415"/>
      <c r="E141" s="415"/>
      <c r="F141" s="415"/>
      <c r="G141" s="415"/>
      <c r="H141" s="415"/>
      <c r="I141" s="82">
        <f>SUM(I142:I145)</f>
        <v>0.1225</v>
      </c>
      <c r="J141" s="10">
        <f>SUM(J142:J145)</f>
        <v>521.88</v>
      </c>
      <c r="K141" s="473"/>
      <c r="L141" s="473"/>
    </row>
    <row r="142" spans="1:12" ht="15" x14ac:dyDescent="0.2">
      <c r="A142" s="474" t="s">
        <v>438</v>
      </c>
      <c r="B142" s="449" t="s">
        <v>439</v>
      </c>
      <c r="C142" s="449"/>
      <c r="D142" s="449"/>
      <c r="E142" s="449"/>
      <c r="F142" s="449" t="s">
        <v>102</v>
      </c>
      <c r="G142" s="449"/>
      <c r="H142" s="449"/>
      <c r="I142" s="68">
        <f>IF(H15=1,0.0165,IF(H15=2,0.0065,IF(H15=3,'1. SAn ABA DE CARREGAMENTO'!B108,IF(H15=4,'1. SAn ABA DE CARREGAMENTO'!B108,IF(H15=5,'1. SAn ABA DE CARREGAMENTO'!B112,"RT Indefinido")))))</f>
        <v>1.6500000000000001E-2</v>
      </c>
      <c r="J142" s="78">
        <f>ROUND(($J$140/(1-$I$141))*I142,2)</f>
        <v>70.290000000000006</v>
      </c>
      <c r="K142" s="83"/>
      <c r="L142" s="84"/>
    </row>
    <row r="143" spans="1:12" ht="15" x14ac:dyDescent="0.2">
      <c r="A143" s="474"/>
      <c r="B143" s="449"/>
      <c r="C143" s="449"/>
      <c r="D143" s="449"/>
      <c r="E143" s="449"/>
      <c r="F143" s="449" t="s">
        <v>103</v>
      </c>
      <c r="G143" s="449"/>
      <c r="H143" s="449"/>
      <c r="I143" s="68">
        <f>IF(H15=1,0.076,IF(H15=2,0.03,IF(H15=3,'1. SAn ABA DE CARREGAMENTO'!B109,IF(H15=4,'1. SAn ABA DE CARREGAMENTO'!B109,IF(H15=5,'1. SAn ABA DE CARREGAMENTO'!B113,"RT Indefinido")))))</f>
        <v>7.5999999999999998E-2</v>
      </c>
      <c r="J143" s="78">
        <f>ROUND(($J$140/(1-$I$141))*I143,2)</f>
        <v>323.77999999999997</v>
      </c>
      <c r="K143" s="83"/>
      <c r="L143" s="84"/>
    </row>
    <row r="144" spans="1:12" ht="15" x14ac:dyDescent="0.2">
      <c r="A144" s="22" t="s">
        <v>440</v>
      </c>
      <c r="B144" s="449" t="s">
        <v>441</v>
      </c>
      <c r="C144" s="449"/>
      <c r="D144" s="449"/>
      <c r="E144" s="449"/>
      <c r="F144" s="449" t="s">
        <v>442</v>
      </c>
      <c r="G144" s="449"/>
      <c r="H144" s="449"/>
      <c r="I144" s="68">
        <v>0</v>
      </c>
      <c r="J144" s="66">
        <v>0</v>
      </c>
      <c r="K144" s="83"/>
      <c r="L144" s="84"/>
    </row>
    <row r="145" spans="1:10" ht="15" x14ac:dyDescent="0.2">
      <c r="A145" s="22" t="s">
        <v>443</v>
      </c>
      <c r="B145" s="449" t="s">
        <v>444</v>
      </c>
      <c r="C145" s="449"/>
      <c r="D145" s="449"/>
      <c r="E145" s="449"/>
      <c r="F145" s="449" t="s">
        <v>445</v>
      </c>
      <c r="G145" s="449"/>
      <c r="H145" s="449"/>
      <c r="I145" s="68">
        <f>'1. SAn ABA DE CARREGAMENTO'!$B$105</f>
        <v>0.03</v>
      </c>
      <c r="J145" s="78">
        <f>ROUND(($J$140/(1-$I$141))*I145,2)</f>
        <v>127.81</v>
      </c>
    </row>
    <row r="146" spans="1:10" ht="15" x14ac:dyDescent="0.2">
      <c r="A146" s="412" t="s">
        <v>446</v>
      </c>
      <c r="B146" s="412"/>
      <c r="C146" s="412"/>
      <c r="D146" s="412"/>
      <c r="E146" s="412"/>
      <c r="F146" s="412"/>
      <c r="G146" s="412"/>
      <c r="H146" s="412"/>
      <c r="I146" s="412"/>
      <c r="J146" s="10">
        <f>SUM(J137+J139+J141)</f>
        <v>957.72</v>
      </c>
    </row>
    <row r="147" spans="1:10" x14ac:dyDescent="0.2">
      <c r="A147" s="65" t="s">
        <v>432</v>
      </c>
      <c r="B147" s="450" t="s">
        <v>448</v>
      </c>
      <c r="C147" s="450"/>
      <c r="D147" s="450"/>
      <c r="E147" s="450"/>
      <c r="F147" s="450"/>
      <c r="G147" s="450"/>
      <c r="H147" s="450"/>
      <c r="I147" s="450"/>
      <c r="J147" s="450"/>
    </row>
    <row r="148" spans="1:10" x14ac:dyDescent="0.2">
      <c r="A148" s="451" t="s">
        <v>447</v>
      </c>
      <c r="B148" s="452" t="s">
        <v>449</v>
      </c>
      <c r="C148" s="453"/>
      <c r="D148" s="458" t="s">
        <v>680</v>
      </c>
      <c r="E148" s="459"/>
      <c r="F148" s="459"/>
      <c r="G148" s="464" t="s">
        <v>681</v>
      </c>
      <c r="H148" s="465"/>
      <c r="I148" s="293"/>
      <c r="J148" s="470"/>
    </row>
    <row r="149" spans="1:10" x14ac:dyDescent="0.2">
      <c r="A149" s="451"/>
      <c r="B149" s="454"/>
      <c r="C149" s="455"/>
      <c r="D149" s="460"/>
      <c r="E149" s="461"/>
      <c r="F149" s="461"/>
      <c r="G149" s="466"/>
      <c r="H149" s="467"/>
      <c r="I149" s="294"/>
      <c r="J149" s="471"/>
    </row>
    <row r="150" spans="1:10" x14ac:dyDescent="0.2">
      <c r="A150" s="451"/>
      <c r="B150" s="456"/>
      <c r="C150" s="457"/>
      <c r="D150" s="462"/>
      <c r="E150" s="463"/>
      <c r="F150" s="463"/>
      <c r="G150" s="468"/>
      <c r="H150" s="469"/>
      <c r="I150" s="295"/>
      <c r="J150" s="472"/>
    </row>
    <row r="151" spans="1:10" x14ac:dyDescent="0.2">
      <c r="A151" s="517"/>
      <c r="B151" s="517"/>
      <c r="C151" s="517"/>
      <c r="D151" s="517"/>
      <c r="E151" s="517"/>
      <c r="F151" s="517"/>
      <c r="G151" s="517"/>
      <c r="H151" s="517"/>
      <c r="I151" s="517"/>
      <c r="J151" s="517"/>
    </row>
    <row r="152" spans="1:10" ht="15" x14ac:dyDescent="0.2">
      <c r="A152" s="445" t="s">
        <v>682</v>
      </c>
      <c r="B152" s="445"/>
      <c r="C152" s="445"/>
      <c r="D152" s="445"/>
      <c r="E152" s="445"/>
      <c r="F152" s="445"/>
      <c r="G152" s="445"/>
      <c r="H152" s="445"/>
      <c r="I152" s="445"/>
      <c r="J152" s="445"/>
    </row>
    <row r="153" spans="1:10" ht="15" x14ac:dyDescent="0.2">
      <c r="A153" s="446" t="s">
        <v>450</v>
      </c>
      <c r="B153" s="446"/>
      <c r="C153" s="446"/>
      <c r="D153" s="446"/>
      <c r="E153" s="446"/>
      <c r="F153" s="446"/>
      <c r="G153" s="446"/>
      <c r="H153" s="446"/>
      <c r="I153" s="446"/>
      <c r="J153" s="21" t="s">
        <v>360</v>
      </c>
    </row>
    <row r="154" spans="1:10" ht="15" x14ac:dyDescent="0.2">
      <c r="A154" s="85" t="s">
        <v>310</v>
      </c>
      <c r="B154" s="447" t="s">
        <v>451</v>
      </c>
      <c r="C154" s="447"/>
      <c r="D154" s="447"/>
      <c r="E154" s="447"/>
      <c r="F154" s="447"/>
      <c r="G154" s="447"/>
      <c r="H154" s="447"/>
      <c r="I154" s="447"/>
      <c r="J154" s="66">
        <f>J42</f>
        <v>1576.9099999999999</v>
      </c>
    </row>
    <row r="155" spans="1:10" ht="15" x14ac:dyDescent="0.2">
      <c r="A155" s="85" t="s">
        <v>312</v>
      </c>
      <c r="B155" s="447" t="s">
        <v>452</v>
      </c>
      <c r="C155" s="447"/>
      <c r="D155" s="447"/>
      <c r="E155" s="447"/>
      <c r="F155" s="447"/>
      <c r="G155" s="447"/>
      <c r="H155" s="447"/>
      <c r="I155" s="447"/>
      <c r="J155" s="66">
        <f>J88</f>
        <v>1336.09</v>
      </c>
    </row>
    <row r="156" spans="1:10" ht="15" x14ac:dyDescent="0.2">
      <c r="A156" s="85" t="s">
        <v>313</v>
      </c>
      <c r="B156" s="447" t="s">
        <v>453</v>
      </c>
      <c r="C156" s="447"/>
      <c r="D156" s="447"/>
      <c r="E156" s="447"/>
      <c r="F156" s="447"/>
      <c r="G156" s="447"/>
      <c r="H156" s="447"/>
      <c r="I156" s="447"/>
      <c r="J156" s="66">
        <f>J98</f>
        <v>87.039999999999992</v>
      </c>
    </row>
    <row r="157" spans="1:10" ht="15" x14ac:dyDescent="0.2">
      <c r="A157" s="85" t="s">
        <v>315</v>
      </c>
      <c r="B157" s="447" t="s">
        <v>454</v>
      </c>
      <c r="C157" s="447"/>
      <c r="D157" s="447"/>
      <c r="E157" s="447"/>
      <c r="F157" s="447"/>
      <c r="G157" s="447"/>
      <c r="H157" s="447"/>
      <c r="I157" s="447"/>
      <c r="J157" s="66">
        <f>J122</f>
        <v>192.37</v>
      </c>
    </row>
    <row r="158" spans="1:10" ht="15" x14ac:dyDescent="0.2">
      <c r="A158" s="85" t="s">
        <v>368</v>
      </c>
      <c r="B158" s="447" t="s">
        <v>455</v>
      </c>
      <c r="C158" s="447"/>
      <c r="D158" s="447"/>
      <c r="E158" s="447"/>
      <c r="F158" s="447"/>
      <c r="G158" s="447"/>
      <c r="H158" s="447"/>
      <c r="I158" s="447"/>
      <c r="J158" s="66">
        <f>J131</f>
        <v>110.10250000000002</v>
      </c>
    </row>
    <row r="159" spans="1:10" ht="15" x14ac:dyDescent="0.2">
      <c r="A159" s="448" t="s">
        <v>456</v>
      </c>
      <c r="B159" s="448"/>
      <c r="C159" s="448"/>
      <c r="D159" s="448"/>
      <c r="E159" s="448"/>
      <c r="F159" s="448"/>
      <c r="G159" s="448"/>
      <c r="H159" s="448"/>
      <c r="I159" s="448"/>
      <c r="J159" s="10">
        <f>SUM(J154:J158)</f>
        <v>3302.5124999999998</v>
      </c>
    </row>
    <row r="160" spans="1:10" ht="15" x14ac:dyDescent="0.2">
      <c r="A160" s="85" t="s">
        <v>369</v>
      </c>
      <c r="B160" s="447" t="s">
        <v>457</v>
      </c>
      <c r="C160" s="447"/>
      <c r="D160" s="447"/>
      <c r="E160" s="447"/>
      <c r="F160" s="447"/>
      <c r="G160" s="447"/>
      <c r="H160" s="447"/>
      <c r="I160" s="447"/>
      <c r="J160" s="66">
        <f>J146</f>
        <v>957.72</v>
      </c>
    </row>
    <row r="161" spans="1:26" ht="15" x14ac:dyDescent="0.2">
      <c r="A161" s="444" t="s">
        <v>458</v>
      </c>
      <c r="B161" s="444"/>
      <c r="C161" s="444"/>
      <c r="D161" s="444"/>
      <c r="E161" s="444"/>
      <c r="F161" s="444"/>
      <c r="G161" s="444"/>
      <c r="H161" s="86">
        <f>'1. SAn ABA DE CARREGAMENTO'!C68</f>
        <v>44</v>
      </c>
      <c r="I161" s="87" t="s">
        <v>352</v>
      </c>
      <c r="J161" s="10">
        <f>SUM(J159:J160)</f>
        <v>4260.2325000000001</v>
      </c>
    </row>
    <row r="162" spans="1:26" ht="15" x14ac:dyDescent="0.2">
      <c r="A162" s="532"/>
      <c r="B162" s="532"/>
      <c r="C162" s="532"/>
      <c r="D162" s="532"/>
      <c r="E162" s="532"/>
      <c r="F162" s="532"/>
      <c r="G162" s="532"/>
      <c r="H162" s="532"/>
      <c r="I162" s="532"/>
      <c r="J162" s="532"/>
      <c r="K162" s="52"/>
      <c r="L162" s="52"/>
      <c r="M162" s="52"/>
      <c r="N162" s="52"/>
      <c r="O162" s="52"/>
      <c r="P162" s="52"/>
      <c r="Q162" s="52"/>
      <c r="R162" s="52"/>
      <c r="S162" s="52"/>
      <c r="T162" s="52"/>
      <c r="U162" s="52"/>
      <c r="V162" s="52"/>
      <c r="W162" s="52"/>
      <c r="X162" s="52"/>
      <c r="Y162" s="52"/>
      <c r="Z162" s="52"/>
    </row>
    <row r="163" spans="1:26" ht="15" x14ac:dyDescent="0.2">
      <c r="A163" s="415" t="s">
        <v>512</v>
      </c>
      <c r="B163" s="415"/>
      <c r="C163" s="415"/>
      <c r="D163" s="415"/>
      <c r="E163" s="415"/>
      <c r="F163" s="415"/>
      <c r="G163" s="415"/>
      <c r="H163" s="415"/>
      <c r="I163" s="416">
        <f>J161</f>
        <v>4260.2325000000001</v>
      </c>
      <c r="J163" s="416"/>
    </row>
    <row r="164" spans="1:26" x14ac:dyDescent="0.2">
      <c r="A164" s="530"/>
      <c r="B164" s="530"/>
      <c r="C164" s="530"/>
      <c r="D164" s="530"/>
      <c r="E164" s="530"/>
      <c r="F164" s="530"/>
      <c r="G164" s="530"/>
      <c r="H164" s="530"/>
      <c r="I164" s="530"/>
      <c r="J164" s="530"/>
      <c r="K164" s="52"/>
      <c r="L164" s="52"/>
      <c r="M164" s="52"/>
      <c r="N164" s="52"/>
      <c r="O164" s="52"/>
      <c r="P164" s="52"/>
      <c r="Q164" s="52"/>
      <c r="R164" s="52"/>
      <c r="S164" s="52"/>
      <c r="T164" s="52"/>
      <c r="U164" s="52"/>
      <c r="V164" s="52"/>
      <c r="W164" s="52"/>
      <c r="X164" s="52"/>
      <c r="Y164" s="52"/>
      <c r="Z164" s="52"/>
    </row>
    <row r="165" spans="1:26" ht="15" x14ac:dyDescent="0.2">
      <c r="A165" s="415" t="s">
        <v>513</v>
      </c>
      <c r="B165" s="415"/>
      <c r="C165" s="415"/>
      <c r="D165" s="415"/>
      <c r="E165" s="415"/>
      <c r="F165" s="415"/>
      <c r="G165" s="415"/>
      <c r="H165" s="415"/>
      <c r="I165" s="533">
        <f>H21</f>
        <v>20</v>
      </c>
      <c r="J165" s="533"/>
    </row>
    <row r="166" spans="1:26" x14ac:dyDescent="0.2">
      <c r="A166" s="530"/>
      <c r="B166" s="530"/>
      <c r="C166" s="530"/>
      <c r="D166" s="530"/>
      <c r="E166" s="530"/>
      <c r="F166" s="530"/>
      <c r="G166" s="530"/>
      <c r="H166" s="530"/>
      <c r="I166" s="530"/>
      <c r="J166" s="530"/>
      <c r="K166" s="52"/>
      <c r="L166" s="52"/>
      <c r="M166" s="52"/>
      <c r="N166" s="52"/>
      <c r="O166" s="52"/>
      <c r="P166" s="52"/>
      <c r="Q166" s="52"/>
      <c r="R166" s="52"/>
      <c r="S166" s="52"/>
      <c r="T166" s="52"/>
      <c r="U166" s="52"/>
      <c r="V166" s="52"/>
      <c r="W166" s="52"/>
      <c r="X166" s="52"/>
      <c r="Y166" s="52"/>
      <c r="Z166" s="52"/>
    </row>
    <row r="167" spans="1:26" ht="15" x14ac:dyDescent="0.2">
      <c r="A167" s="415" t="s">
        <v>514</v>
      </c>
      <c r="B167" s="415"/>
      <c r="C167" s="415"/>
      <c r="D167" s="415"/>
      <c r="E167" s="415"/>
      <c r="F167" s="415"/>
      <c r="G167" s="415"/>
      <c r="H167" s="415"/>
      <c r="I167" s="416">
        <f>ROUND(I163*I165,2)</f>
        <v>85204.65</v>
      </c>
      <c r="J167" s="416"/>
    </row>
    <row r="168" spans="1:26" x14ac:dyDescent="0.2">
      <c r="A168" s="530"/>
      <c r="B168" s="530"/>
      <c r="C168" s="530"/>
      <c r="D168" s="530"/>
      <c r="E168" s="530"/>
      <c r="F168" s="530"/>
      <c r="G168" s="530"/>
      <c r="H168" s="530"/>
      <c r="I168" s="530"/>
      <c r="J168" s="530"/>
      <c r="K168" s="52"/>
      <c r="L168" s="52"/>
      <c r="M168" s="52"/>
      <c r="N168" s="52"/>
      <c r="O168" s="52"/>
      <c r="P168" s="52"/>
      <c r="Q168" s="52"/>
      <c r="R168" s="52"/>
      <c r="S168" s="52"/>
      <c r="T168" s="52"/>
      <c r="U168" s="52"/>
      <c r="V168" s="52"/>
      <c r="W168" s="52"/>
      <c r="X168" s="52"/>
      <c r="Y168" s="52"/>
      <c r="Z168" s="52"/>
    </row>
    <row r="169" spans="1:26" ht="15" x14ac:dyDescent="0.2">
      <c r="A169" s="415" t="s">
        <v>515</v>
      </c>
      <c r="B169" s="415"/>
      <c r="C169" s="415"/>
      <c r="D169" s="415"/>
      <c r="E169" s="415"/>
      <c r="F169" s="415"/>
      <c r="G169" s="415"/>
      <c r="H169" s="415"/>
      <c r="I169" s="415"/>
      <c r="J169" s="415"/>
    </row>
    <row r="170" spans="1:26" ht="15" x14ac:dyDescent="0.2">
      <c r="A170" s="419" t="s">
        <v>516</v>
      </c>
      <c r="B170" s="419"/>
      <c r="C170" s="419"/>
      <c r="D170" s="419"/>
      <c r="E170" s="419"/>
      <c r="F170" s="419"/>
      <c r="G170" s="419" t="s">
        <v>517</v>
      </c>
      <c r="H170" s="419"/>
      <c r="I170" s="419"/>
      <c r="J170" s="419"/>
    </row>
    <row r="171" spans="1:26" x14ac:dyDescent="0.2">
      <c r="A171" s="420" t="s">
        <v>593</v>
      </c>
      <c r="B171" s="420"/>
      <c r="C171" s="420"/>
      <c r="D171" s="420"/>
      <c r="E171" s="420"/>
      <c r="F171" s="420"/>
      <c r="G171" s="531">
        <f>I25</f>
        <v>1</v>
      </c>
      <c r="H171" s="531"/>
      <c r="I171" s="531"/>
      <c r="J171" s="531"/>
    </row>
    <row r="172" spans="1:26" ht="15" x14ac:dyDescent="0.2">
      <c r="A172" s="524" t="s">
        <v>585</v>
      </c>
      <c r="B172" s="524"/>
      <c r="C172" s="524"/>
      <c r="D172" s="524"/>
      <c r="E172" s="524"/>
      <c r="F172" s="524"/>
      <c r="G172" s="524"/>
      <c r="H172" s="524"/>
      <c r="I172" s="524"/>
      <c r="J172" s="524"/>
    </row>
    <row r="173" spans="1:26" ht="12.75" customHeight="1" x14ac:dyDescent="0.2"/>
    <row r="174" spans="1:26" ht="12.75" customHeight="1" x14ac:dyDescent="0.2"/>
    <row r="175" spans="1:26" ht="12.75" customHeight="1" x14ac:dyDescent="0.2"/>
    <row r="176" spans="1:2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sheetData>
  <sheetProtection selectLockedCells="1" selectUnlockedCells="1"/>
  <mergeCells count="208">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5:G15"/>
    <mergeCell ref="B21:G21"/>
    <mergeCell ref="H21:J21"/>
    <mergeCell ref="A23:J23"/>
    <mergeCell ref="A24:F24"/>
    <mergeCell ref="G24:H24"/>
    <mergeCell ref="I24:J24"/>
    <mergeCell ref="A25:F25"/>
    <mergeCell ref="G25:H25"/>
    <mergeCell ref="I25:J25"/>
    <mergeCell ref="A26:J26"/>
    <mergeCell ref="A27:J27"/>
    <mergeCell ref="A28:J28"/>
    <mergeCell ref="A29:J29"/>
    <mergeCell ref="B30:G30"/>
    <mergeCell ref="H30:J30"/>
    <mergeCell ref="B31:G31"/>
    <mergeCell ref="H31:J31"/>
    <mergeCell ref="B32:G32"/>
    <mergeCell ref="H32:J32"/>
    <mergeCell ref="B33:G33"/>
    <mergeCell ref="H33:J33"/>
    <mergeCell ref="B34:G34"/>
    <mergeCell ref="H34:J34"/>
    <mergeCell ref="B35:J35"/>
    <mergeCell ref="A36:J36"/>
    <mergeCell ref="A37:J37"/>
    <mergeCell ref="B38:H38"/>
    <mergeCell ref="B39:D39"/>
    <mergeCell ref="G39:I39"/>
    <mergeCell ref="B40:C40"/>
    <mergeCell ref="D40:H40"/>
    <mergeCell ref="B41:I41"/>
    <mergeCell ref="A42:I42"/>
    <mergeCell ref="B43:J43"/>
    <mergeCell ref="A44:J44"/>
    <mergeCell ref="A45:J45"/>
    <mergeCell ref="B46:I46"/>
    <mergeCell ref="B47:I47"/>
    <mergeCell ref="B48:I48"/>
    <mergeCell ref="A49:I49"/>
    <mergeCell ref="B50:J50"/>
    <mergeCell ref="A51:I51"/>
    <mergeCell ref="B52:J52"/>
    <mergeCell ref="B53:H53"/>
    <mergeCell ref="B54:H54"/>
    <mergeCell ref="B55:H55"/>
    <mergeCell ref="B56:D56"/>
    <mergeCell ref="B57:H57"/>
    <mergeCell ref="B58:H58"/>
    <mergeCell ref="B59:H59"/>
    <mergeCell ref="B60:H60"/>
    <mergeCell ref="B61:H61"/>
    <mergeCell ref="A62:H62"/>
    <mergeCell ref="B63:J63"/>
    <mergeCell ref="B64:J64"/>
    <mergeCell ref="B66:J66"/>
    <mergeCell ref="B67:I67"/>
    <mergeCell ref="A68:A72"/>
    <mergeCell ref="B68:I68"/>
    <mergeCell ref="J68:J72"/>
    <mergeCell ref="B69:H69"/>
    <mergeCell ref="B70:H70"/>
    <mergeCell ref="B71:H71"/>
    <mergeCell ref="B72:H72"/>
    <mergeCell ref="A73:A76"/>
    <mergeCell ref="B73:D73"/>
    <mergeCell ref="J73:J76"/>
    <mergeCell ref="B74:H74"/>
    <mergeCell ref="B75:H75"/>
    <mergeCell ref="B76:H76"/>
    <mergeCell ref="E73:I73"/>
    <mergeCell ref="B77:D77"/>
    <mergeCell ref="B78:I78"/>
    <mergeCell ref="A79:I79"/>
    <mergeCell ref="B80:J80"/>
    <mergeCell ref="B81:J81"/>
    <mergeCell ref="A83:J83"/>
    <mergeCell ref="B84:I84"/>
    <mergeCell ref="B85:I85"/>
    <mergeCell ref="B86:I86"/>
    <mergeCell ref="E77:I77"/>
    <mergeCell ref="B87:I87"/>
    <mergeCell ref="A88:I88"/>
    <mergeCell ref="A90:J90"/>
    <mergeCell ref="B91:I91"/>
    <mergeCell ref="B92:I92"/>
    <mergeCell ref="B93:I93"/>
    <mergeCell ref="B94:I94"/>
    <mergeCell ref="B95:I95"/>
    <mergeCell ref="B96:I96"/>
    <mergeCell ref="B97:I97"/>
    <mergeCell ref="A98:I98"/>
    <mergeCell ref="A100:J100"/>
    <mergeCell ref="A101:J101"/>
    <mergeCell ref="A102:B102"/>
    <mergeCell ref="D102:E102"/>
    <mergeCell ref="G102:H102"/>
    <mergeCell ref="A103:F103"/>
    <mergeCell ref="G103:I103"/>
    <mergeCell ref="B105:I105"/>
    <mergeCell ref="B106:I106"/>
    <mergeCell ref="B107:I107"/>
    <mergeCell ref="B108:I108"/>
    <mergeCell ref="B109:I109"/>
    <mergeCell ref="B110:I110"/>
    <mergeCell ref="B111:I111"/>
    <mergeCell ref="A112:I112"/>
    <mergeCell ref="A113:I113"/>
    <mergeCell ref="B114:I114"/>
    <mergeCell ref="B115:I115"/>
    <mergeCell ref="A116:I116"/>
    <mergeCell ref="A117:I117"/>
    <mergeCell ref="A118:J118"/>
    <mergeCell ref="B119:I119"/>
    <mergeCell ref="B120:I120"/>
    <mergeCell ref="B121:I121"/>
    <mergeCell ref="A122:I122"/>
    <mergeCell ref="B123:J123"/>
    <mergeCell ref="A125:J125"/>
    <mergeCell ref="B126:I126"/>
    <mergeCell ref="B127:I127"/>
    <mergeCell ref="B128:I128"/>
    <mergeCell ref="B129:I129"/>
    <mergeCell ref="B130:I130"/>
    <mergeCell ref="A131:I131"/>
    <mergeCell ref="B132:J132"/>
    <mergeCell ref="A133:J133"/>
    <mergeCell ref="A134:J134"/>
    <mergeCell ref="B135:H135"/>
    <mergeCell ref="A136:I136"/>
    <mergeCell ref="B137:H137"/>
    <mergeCell ref="A138:I138"/>
    <mergeCell ref="B139:H139"/>
    <mergeCell ref="A140:I140"/>
    <mergeCell ref="B141:H141"/>
    <mergeCell ref="K141:L141"/>
    <mergeCell ref="A142:A143"/>
    <mergeCell ref="B142:E143"/>
    <mergeCell ref="F142:H142"/>
    <mergeCell ref="F143:H143"/>
    <mergeCell ref="B144:E144"/>
    <mergeCell ref="F144:H144"/>
    <mergeCell ref="B145:E145"/>
    <mergeCell ref="F145:H145"/>
    <mergeCell ref="A146:I146"/>
    <mergeCell ref="B147:J147"/>
    <mergeCell ref="A148:A150"/>
    <mergeCell ref="B148:C150"/>
    <mergeCell ref="A151:J151"/>
    <mergeCell ref="A152:J152"/>
    <mergeCell ref="D148:F150"/>
    <mergeCell ref="G148:H150"/>
    <mergeCell ref="J148:J150"/>
    <mergeCell ref="A153:I153"/>
    <mergeCell ref="B154:I154"/>
    <mergeCell ref="B155:I155"/>
    <mergeCell ref="B156:I156"/>
    <mergeCell ref="B157:I157"/>
    <mergeCell ref="B158:I158"/>
    <mergeCell ref="A159:I159"/>
    <mergeCell ref="B160:I160"/>
    <mergeCell ref="A161:G161"/>
    <mergeCell ref="A168:J168"/>
    <mergeCell ref="A169:J169"/>
    <mergeCell ref="A170:F170"/>
    <mergeCell ref="G170:J170"/>
    <mergeCell ref="A171:F171"/>
    <mergeCell ref="G171:J171"/>
    <mergeCell ref="A172:J172"/>
    <mergeCell ref="A162:J162"/>
    <mergeCell ref="A163:H163"/>
    <mergeCell ref="I163:J163"/>
    <mergeCell ref="A164:J164"/>
    <mergeCell ref="A165:H165"/>
    <mergeCell ref="I165:J165"/>
    <mergeCell ref="A166:J166"/>
    <mergeCell ref="A167:H167"/>
    <mergeCell ref="I167:J167"/>
  </mergeCells>
  <conditionalFormatting sqref="A14:G14">
    <cfRule type="expression" dxfId="1" priority="2">
      <formula>LEN(TRIM(A14))&gt;0</formula>
    </cfRule>
  </conditionalFormatting>
  <conditionalFormatting sqref="H14:J14">
    <cfRule type="expression" dxfId="0" priority="3">
      <formula>LEN(TRIM(H14))&gt;0</formula>
    </cfRule>
  </conditionalFormatting>
  <printOptions horizontalCentered="1"/>
  <pageMargins left="0" right="0" top="0.39370078740157483" bottom="0" header="0" footer="0.51181102362204722"/>
  <pageSetup paperSize="9" scale="60" firstPageNumber="0" pageOrder="overThenDown" orientation="portrait" r:id="rId1"/>
  <headerFooter>
    <oddHeader>&amp;R&amp;P de &amp;N</oddHeader>
    <oddFooter>&amp;L&amp;F - &amp;A&amp;CPágina &amp;P de &amp;N</oddFooter>
  </headerFooter>
  <rowBreaks count="2" manualBreakCount="2">
    <brk id="82" max="9" man="1"/>
    <brk id="151" max="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C1:H996"/>
  <sheetViews>
    <sheetView showGridLines="0" zoomScale="85" zoomScaleNormal="85" workbookViewId="0">
      <selection activeCell="A63" sqref="A63:B63"/>
    </sheetView>
  </sheetViews>
  <sheetFormatPr defaultRowHeight="14.25" x14ac:dyDescent="0.2"/>
  <cols>
    <col min="1" max="1" width="1.140625" style="45" customWidth="1"/>
    <col min="2" max="2" width="3.7109375" style="45" customWidth="1"/>
    <col min="3" max="3" width="45.42578125" style="45" customWidth="1"/>
    <col min="4" max="4" width="24.42578125" style="45" customWidth="1"/>
    <col min="5" max="5" width="13.7109375" style="45" customWidth="1"/>
    <col min="6" max="6" width="13.5703125" style="45" customWidth="1"/>
    <col min="7" max="7" width="24" style="45" customWidth="1"/>
    <col min="8" max="8" width="1.42578125" style="45" customWidth="1"/>
    <col min="9" max="26" width="8" style="45" customWidth="1"/>
    <col min="27" max="1025" width="14.42578125" style="45" customWidth="1"/>
    <col min="1026" max="16384" width="9.140625" style="45"/>
  </cols>
  <sheetData>
    <row r="1" spans="3:8" ht="15" x14ac:dyDescent="0.2">
      <c r="C1" s="549" t="s">
        <v>0</v>
      </c>
      <c r="D1" s="549"/>
      <c r="E1" s="549"/>
      <c r="F1" s="549"/>
      <c r="G1" s="549"/>
      <c r="H1" s="32"/>
    </row>
    <row r="2" spans="3:8" ht="15" x14ac:dyDescent="0.2">
      <c r="C2" s="549" t="s">
        <v>1</v>
      </c>
      <c r="D2" s="549"/>
      <c r="E2" s="549"/>
      <c r="F2" s="549"/>
      <c r="G2" s="549"/>
      <c r="H2" s="32"/>
    </row>
    <row r="3" spans="3:8" ht="15" x14ac:dyDescent="0.2">
      <c r="C3" s="549" t="s">
        <v>2</v>
      </c>
      <c r="D3" s="549"/>
      <c r="E3" s="549"/>
      <c r="F3" s="549"/>
      <c r="G3" s="549"/>
      <c r="H3" s="32"/>
    </row>
    <row r="4" spans="3:8" ht="15" x14ac:dyDescent="0.2">
      <c r="C4" s="550" t="str">
        <f>'1. SAn ABA DE CARREGAMENTO'!A4</f>
        <v>CAMPUS SANTO ÂNGELO</v>
      </c>
      <c r="D4" s="550"/>
      <c r="E4" s="550"/>
      <c r="F4" s="550"/>
      <c r="G4" s="550"/>
      <c r="H4" s="46"/>
    </row>
    <row r="5" spans="3:8" ht="15" x14ac:dyDescent="0.2">
      <c r="C5" s="551" t="s">
        <v>594</v>
      </c>
      <c r="D5" s="551"/>
      <c r="E5" s="551"/>
      <c r="F5" s="551"/>
      <c r="G5" s="551"/>
      <c r="H5" s="32"/>
    </row>
    <row r="6" spans="3:8" ht="13.5" customHeight="1" x14ac:dyDescent="0.2"/>
    <row r="7" spans="3:8" ht="48" customHeight="1" x14ac:dyDescent="0.2">
      <c r="C7" s="33" t="s">
        <v>595</v>
      </c>
      <c r="D7" s="24" t="s">
        <v>596</v>
      </c>
      <c r="E7" s="545" t="s">
        <v>597</v>
      </c>
      <c r="F7" s="545"/>
      <c r="G7" s="25" t="s">
        <v>598</v>
      </c>
    </row>
    <row r="8" spans="3:8" ht="30" x14ac:dyDescent="0.2">
      <c r="C8" s="26" t="str">
        <f>'7. SAn Planilha Área Geral'!$D$9</f>
        <v xml:space="preserve">Prestação de serviços de limpeza geral (exceto banheiros) para o IFFAR  </v>
      </c>
      <c r="D8" s="34">
        <f>'4. SAn Cál DEMO Limpeza Geral'!$L$27</f>
        <v>8.8385117777777786</v>
      </c>
      <c r="E8" s="546">
        <f>'7. SAn Planilha Área Geral'!$I$274</f>
        <v>45907.920000000006</v>
      </c>
      <c r="F8" s="546"/>
      <c r="G8" s="35">
        <f>'7. SAn Planilha Área Geral'!$I$276</f>
        <v>918158.4</v>
      </c>
    </row>
    <row r="9" spans="3:8" ht="30" x14ac:dyDescent="0.2">
      <c r="C9" s="27" t="str">
        <f>'8. SAn Planilha Área Banheiros'!$D$9</f>
        <v xml:space="preserve">Prestação de serviços de limpeza de banheiros para o IFFAR  </v>
      </c>
      <c r="D9" s="36">
        <f>'5. SAn Cálc. DEMO Banheiros'!$L$13</f>
        <v>5.1939560138888892</v>
      </c>
      <c r="E9" s="547">
        <f>'8. SAn Planilha Área Banheiros'!$I$195</f>
        <v>29949.13</v>
      </c>
      <c r="F9" s="547"/>
      <c r="G9" s="37">
        <f>'8. SAn Planilha Área Banheiros'!$I$197</f>
        <v>598982.6</v>
      </c>
    </row>
    <row r="10" spans="3:8" ht="30" x14ac:dyDescent="0.2">
      <c r="C10" s="28" t="str">
        <f>'9. SAn Planilha Área Esq e Fach'!$D$9</f>
        <v xml:space="preserve">Serviços de limpeza de esquadrias e fachadas envidraçadas para o IFFAR  </v>
      </c>
      <c r="D10" s="38">
        <f>'6. SAn Cál DEMO Esq. e Fach'!$L$14</f>
        <v>1.247683703399123</v>
      </c>
      <c r="E10" s="548">
        <f>'9. SAn Planilha Área Esq e Fach'!$I$202</f>
        <v>6476.2800000000007</v>
      </c>
      <c r="F10" s="548"/>
      <c r="G10" s="39">
        <f>'9. SAn Planilha Área Esq e Fach'!$I$204</f>
        <v>129525.6</v>
      </c>
    </row>
    <row r="11" spans="3:8" ht="30" x14ac:dyDescent="0.2">
      <c r="C11" s="27" t="str">
        <f>'10. SAn Planilha Encarregado'!$D$9</f>
        <v xml:space="preserve">Prestação de serviços de encarregado da limpeza geral para o IFFAR  </v>
      </c>
      <c r="D11" s="36">
        <f>'10. SAn Planilha Encarregado'!G171</f>
        <v>1</v>
      </c>
      <c r="E11" s="547">
        <f>'10. SAn Planilha Encarregado'!I163</f>
        <v>4260.2325000000001</v>
      </c>
      <c r="F11" s="547"/>
      <c r="G11" s="37">
        <f>'10. SAn Planilha Encarregado'!I167</f>
        <v>85204.65</v>
      </c>
    </row>
    <row r="12" spans="3:8" ht="15" x14ac:dyDescent="0.2">
      <c r="C12" s="29" t="s">
        <v>599</v>
      </c>
      <c r="D12" s="40">
        <f>SUM(D8:D11)</f>
        <v>16.280151495065791</v>
      </c>
      <c r="E12" s="541">
        <f>SUM(E8:E11)</f>
        <v>86593.5625</v>
      </c>
      <c r="F12" s="541"/>
      <c r="G12" s="41">
        <f>SUM(G8:G11)</f>
        <v>1731871.25</v>
      </c>
    </row>
    <row r="13" spans="3:8" ht="15" customHeight="1" x14ac:dyDescent="0.2">
      <c r="C13" s="30"/>
      <c r="D13" s="42"/>
      <c r="E13" s="30"/>
      <c r="F13" s="42"/>
      <c r="G13" s="42"/>
    </row>
    <row r="14" spans="3:8" ht="73.5" customHeight="1" x14ac:dyDescent="0.2">
      <c r="C14" s="544" t="s">
        <v>633</v>
      </c>
      <c r="D14" s="544"/>
      <c r="E14" s="544"/>
      <c r="F14" s="43">
        <f>SUM(D8:D10)</f>
        <v>15.280151495065791</v>
      </c>
      <c r="G14" s="31" t="s">
        <v>634</v>
      </c>
    </row>
    <row r="15" spans="3:8" ht="63.75" customHeight="1" x14ac:dyDescent="0.2">
      <c r="C15" s="542" t="str">
        <f>'2. SAn INSUMOS'!$B$99</f>
        <v>Quantidade de mão de obra alocada na prestação dos serviços (informação oriunda da aba 'Resumo da Proposta' - Quantidade de Postos/Mão de Obra a ser alocados) + posto do encarregado</v>
      </c>
      <c r="D15" s="542"/>
      <c r="E15" s="542"/>
      <c r="F15" s="44">
        <f>D12</f>
        <v>16.280151495065791</v>
      </c>
      <c r="G15" s="23" t="s">
        <v>600</v>
      </c>
    </row>
    <row r="16" spans="3:8" ht="27" customHeight="1" thickBot="1" x14ac:dyDescent="0.25">
      <c r="C16" s="29" t="s">
        <v>635</v>
      </c>
      <c r="D16" s="29">
        <f>'1. SAn ABA DE CARREGAMENTO'!B57</f>
        <v>20</v>
      </c>
      <c r="E16" s="29" t="s">
        <v>636</v>
      </c>
      <c r="F16" s="543">
        <f>G12</f>
        <v>1731871.25</v>
      </c>
      <c r="G16" s="543"/>
    </row>
    <row r="17" spans="3:7" ht="15" customHeight="1" x14ac:dyDescent="0.2">
      <c r="C17" s="30"/>
      <c r="D17" s="42"/>
      <c r="E17" s="30"/>
      <c r="F17" s="42"/>
      <c r="G17" s="42"/>
    </row>
    <row r="18" spans="3:7" ht="15.75" customHeight="1" x14ac:dyDescent="0.2">
      <c r="C18" s="32" t="s">
        <v>601</v>
      </c>
    </row>
    <row r="19" spans="3:7" ht="15" customHeight="1" x14ac:dyDescent="0.2">
      <c r="C19" s="537" t="s">
        <v>602</v>
      </c>
      <c r="D19" s="537"/>
      <c r="E19" s="537"/>
      <c r="F19" s="537"/>
      <c r="G19" s="537"/>
    </row>
    <row r="20" spans="3:7" ht="15" customHeight="1" x14ac:dyDescent="0.2">
      <c r="C20" s="537" t="s">
        <v>603</v>
      </c>
      <c r="D20" s="537"/>
      <c r="E20" s="537"/>
      <c r="F20" s="537"/>
      <c r="G20" s="537"/>
    </row>
    <row r="21" spans="3:7" ht="15" customHeight="1" x14ac:dyDescent="0.2">
      <c r="C21" s="537" t="s">
        <v>604</v>
      </c>
      <c r="D21" s="537"/>
      <c r="E21" s="537"/>
      <c r="F21" s="537"/>
      <c r="G21" s="537"/>
    </row>
    <row r="22" spans="3:7" ht="15" customHeight="1" x14ac:dyDescent="0.2">
      <c r="C22" s="537" t="s">
        <v>605</v>
      </c>
      <c r="D22" s="537"/>
      <c r="E22" s="537"/>
      <c r="F22" s="537"/>
      <c r="G22" s="537"/>
    </row>
    <row r="23" spans="3:7" ht="15" customHeight="1" x14ac:dyDescent="0.2">
      <c r="C23" s="537" t="s">
        <v>606</v>
      </c>
      <c r="D23" s="537"/>
      <c r="E23" s="537"/>
      <c r="F23" s="537"/>
      <c r="G23" s="537"/>
    </row>
    <row r="24" spans="3:7" ht="15" customHeight="1" x14ac:dyDescent="0.2">
      <c r="C24" s="537" t="s">
        <v>607</v>
      </c>
      <c r="D24" s="537"/>
      <c r="E24" s="537"/>
      <c r="F24" s="537"/>
      <c r="G24" s="537"/>
    </row>
    <row r="25" spans="3:7" ht="15" customHeight="1" x14ac:dyDescent="0.2"/>
    <row r="26" spans="3:7" ht="15.75" customHeight="1" x14ac:dyDescent="0.2">
      <c r="C26" s="47" t="s">
        <v>14</v>
      </c>
      <c r="D26" s="537" t="str">
        <f>'1. SAn ABA DE CARREGAMENTO'!$B$15</f>
        <v>xxxx xxxx xxxx</v>
      </c>
      <c r="E26" s="537"/>
      <c r="F26" s="537"/>
      <c r="G26" s="537"/>
    </row>
    <row r="27" spans="3:7" ht="15.75" customHeight="1" x14ac:dyDescent="0.2">
      <c r="C27" s="47" t="s">
        <v>15</v>
      </c>
      <c r="D27" s="537" t="str">
        <f>'1. SAn ABA DE CARREGAMENTO'!$B$16</f>
        <v>zz.zzz.zzz/zzzz-zz</v>
      </c>
      <c r="E27" s="537"/>
    </row>
    <row r="28" spans="3:7" ht="15" customHeight="1" x14ac:dyDescent="0.2">
      <c r="G28" s="48"/>
    </row>
    <row r="29" spans="3:7" ht="15" customHeight="1" x14ac:dyDescent="0.2">
      <c r="F29" s="538" t="s">
        <v>608</v>
      </c>
      <c r="G29" s="538"/>
    </row>
    <row r="30" spans="3:7" ht="15" customHeight="1" x14ac:dyDescent="0.2"/>
    <row r="31" spans="3:7" ht="15" customHeight="1" x14ac:dyDescent="0.2">
      <c r="E31" s="49"/>
      <c r="F31" s="539"/>
      <c r="G31" s="539"/>
    </row>
    <row r="32" spans="3:7" ht="15" customHeight="1" x14ac:dyDescent="0.2">
      <c r="E32" s="49"/>
      <c r="F32" s="539"/>
      <c r="G32" s="539"/>
    </row>
    <row r="33" spans="3:7" ht="15" customHeight="1" x14ac:dyDescent="0.2">
      <c r="C33" s="538" t="s">
        <v>609</v>
      </c>
      <c r="D33" s="538"/>
      <c r="E33" s="538"/>
      <c r="F33" s="539"/>
      <c r="G33" s="539"/>
    </row>
    <row r="34" spans="3:7" ht="15" customHeight="1" x14ac:dyDescent="0.2">
      <c r="C34" s="45" t="s">
        <v>610</v>
      </c>
      <c r="D34" s="537" t="str">
        <f>'1. SAn ABA DE CARREGAMENTO'!$B$17</f>
        <v>Nome Completo</v>
      </c>
      <c r="E34" s="537"/>
      <c r="F34" s="539"/>
      <c r="G34" s="539"/>
    </row>
    <row r="35" spans="3:7" ht="15" customHeight="1" x14ac:dyDescent="0.2">
      <c r="C35" s="45" t="s">
        <v>611</v>
      </c>
      <c r="D35" s="537" t="str">
        <f>'1. SAn ABA DE CARREGAMENTO'!$B$18</f>
        <v>yyy.yyy.yyy-yy</v>
      </c>
      <c r="E35" s="537"/>
      <c r="F35" s="539"/>
      <c r="G35" s="539"/>
    </row>
    <row r="36" spans="3:7" ht="15" customHeight="1" x14ac:dyDescent="0.2">
      <c r="C36" s="45" t="s">
        <v>612</v>
      </c>
      <c r="D36" s="537" t="str">
        <f>'1. SAn ABA DE CARREGAMENTO'!$B$19</f>
        <v>tttt tttt tttt</v>
      </c>
      <c r="E36" s="537"/>
      <c r="F36" s="539"/>
      <c r="G36" s="539"/>
    </row>
    <row r="37" spans="3:7" ht="15" customHeight="1" x14ac:dyDescent="0.2">
      <c r="C37" s="45" t="s">
        <v>613</v>
      </c>
      <c r="D37" s="537" t="str">
        <f>'1. SAn ABA DE CARREGAMENTO'!B55</f>
        <v>Santo Ângelo/RS</v>
      </c>
      <c r="E37" s="537"/>
      <c r="F37" s="539"/>
      <c r="G37" s="539"/>
    </row>
    <row r="38" spans="3:7" ht="15" customHeight="1" x14ac:dyDescent="0.2">
      <c r="C38" s="45" t="s">
        <v>614</v>
      </c>
      <c r="D38" s="540">
        <f ca="1">NOW()</f>
        <v>44609.469313310183</v>
      </c>
      <c r="E38" s="540"/>
      <c r="F38" s="539"/>
      <c r="G38" s="539"/>
    </row>
    <row r="39" spans="3:7" ht="12.75" customHeight="1" x14ac:dyDescent="0.2"/>
    <row r="40" spans="3:7" ht="12.75" customHeight="1" x14ac:dyDescent="0.2"/>
    <row r="41" spans="3:7" ht="12.75" customHeight="1" x14ac:dyDescent="0.2"/>
    <row r="42" spans="3:7" ht="12.75" customHeight="1" x14ac:dyDescent="0.2"/>
    <row r="43" spans="3:7" ht="12.75" customHeight="1" x14ac:dyDescent="0.2"/>
    <row r="44" spans="3:7" ht="12.75" customHeight="1" x14ac:dyDescent="0.2"/>
    <row r="45" spans="3:7" ht="12.75" customHeight="1" x14ac:dyDescent="0.2"/>
    <row r="46" spans="3:7" ht="12.75" customHeight="1" x14ac:dyDescent="0.2"/>
    <row r="47" spans="3:7" ht="12.75" customHeight="1" x14ac:dyDescent="0.2"/>
    <row r="48" spans="3: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sheetData>
  <sheetProtection selectLockedCells="1" selectUnlockedCells="1"/>
  <mergeCells count="30">
    <mergeCell ref="C1:G1"/>
    <mergeCell ref="C2:G2"/>
    <mergeCell ref="C3:G3"/>
    <mergeCell ref="C4:G4"/>
    <mergeCell ref="C5:G5"/>
    <mergeCell ref="E7:F7"/>
    <mergeCell ref="E8:F8"/>
    <mergeCell ref="E9:F9"/>
    <mergeCell ref="E10:F10"/>
    <mergeCell ref="E11:F11"/>
    <mergeCell ref="E12:F12"/>
    <mergeCell ref="C15:E15"/>
    <mergeCell ref="F16:G16"/>
    <mergeCell ref="C19:G19"/>
    <mergeCell ref="C14:E14"/>
    <mergeCell ref="C20:G20"/>
    <mergeCell ref="C21:G21"/>
    <mergeCell ref="C22:G22"/>
    <mergeCell ref="C23:G23"/>
    <mergeCell ref="C24:G24"/>
    <mergeCell ref="D26:G26"/>
    <mergeCell ref="D27:E27"/>
    <mergeCell ref="F29:G29"/>
    <mergeCell ref="F31:G38"/>
    <mergeCell ref="C33:E33"/>
    <mergeCell ref="D34:E34"/>
    <mergeCell ref="D35:E35"/>
    <mergeCell ref="D36:E36"/>
    <mergeCell ref="D37:E37"/>
    <mergeCell ref="D38:E38"/>
  </mergeCells>
  <printOptions horizontalCentered="1"/>
  <pageMargins left="0.59055118110236227" right="0.39370078740157483" top="0.59055118110236227" bottom="0" header="0.51181102362204722" footer="0.51181102362204722"/>
  <pageSetup paperSize="9" scale="65" firstPageNumber="0" pageOrder="overThenDown" orientation="portrait" r:id="rId1"/>
  <headerFooter>
    <oddHeader>&amp;R&amp;P de &amp;N</oddHeader>
    <oddFooter>&amp;L&amp;F - &amp;A&amp;CPágina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AML999"/>
  <sheetViews>
    <sheetView showGridLines="0" topLeftCell="A26" zoomScaleNormal="100" workbookViewId="0">
      <selection activeCell="A63" sqref="A63:B63"/>
    </sheetView>
  </sheetViews>
  <sheetFormatPr defaultRowHeight="14.25" x14ac:dyDescent="0.2"/>
  <cols>
    <col min="1" max="1" width="9.140625" style="51"/>
    <col min="2" max="2" width="49.42578125" style="226" customWidth="1"/>
    <col min="3" max="3" width="10.140625" style="225" customWidth="1"/>
    <col min="4" max="4" width="13.5703125" style="225" customWidth="1"/>
    <col min="5" max="5" width="12.42578125" style="225" customWidth="1"/>
    <col min="6" max="6" width="14.7109375" style="225" customWidth="1"/>
    <col min="7" max="7" width="14.140625" style="225" customWidth="1"/>
    <col min="8" max="8" width="14" style="225" customWidth="1"/>
    <col min="9" max="9" width="13.42578125" style="225" customWidth="1"/>
    <col min="10" max="12" width="9" style="225" customWidth="1"/>
    <col min="13" max="27" width="8" style="225" customWidth="1"/>
    <col min="28" max="1026" width="14.42578125" style="225" customWidth="1"/>
    <col min="1027" max="16384" width="9.140625" style="51"/>
  </cols>
  <sheetData>
    <row r="1" spans="1:9" ht="18.75" customHeight="1" x14ac:dyDescent="0.2">
      <c r="A1" s="363" t="s">
        <v>0</v>
      </c>
      <c r="B1" s="364"/>
      <c r="C1" s="364"/>
      <c r="D1" s="364"/>
      <c r="E1" s="364"/>
      <c r="F1" s="364"/>
      <c r="G1" s="364"/>
      <c r="H1" s="364"/>
      <c r="I1" s="365"/>
    </row>
    <row r="2" spans="1:9" ht="18.75" customHeight="1" x14ac:dyDescent="0.2">
      <c r="A2" s="366" t="s">
        <v>1</v>
      </c>
      <c r="B2" s="336"/>
      <c r="C2" s="336"/>
      <c r="D2" s="336"/>
      <c r="E2" s="336"/>
      <c r="F2" s="336"/>
      <c r="G2" s="336"/>
      <c r="H2" s="336"/>
      <c r="I2" s="367"/>
    </row>
    <row r="3" spans="1:9" ht="18.75" customHeight="1" x14ac:dyDescent="0.2">
      <c r="A3" s="366" t="s">
        <v>2</v>
      </c>
      <c r="B3" s="336"/>
      <c r="C3" s="336"/>
      <c r="D3" s="336"/>
      <c r="E3" s="336"/>
      <c r="F3" s="336"/>
      <c r="G3" s="336"/>
      <c r="H3" s="336"/>
      <c r="I3" s="367"/>
    </row>
    <row r="4" spans="1:9" ht="18.75" customHeight="1" x14ac:dyDescent="0.2">
      <c r="A4" s="368" t="str">
        <f>'1. SAn ABA DE CARREGAMENTO'!A4</f>
        <v>CAMPUS SANTO ÂNGELO</v>
      </c>
      <c r="B4" s="369"/>
      <c r="C4" s="369"/>
      <c r="D4" s="369"/>
      <c r="E4" s="369"/>
      <c r="F4" s="369"/>
      <c r="G4" s="369"/>
      <c r="H4" s="369"/>
      <c r="I4" s="370"/>
    </row>
    <row r="5" spans="1:9" ht="18.75" customHeight="1" x14ac:dyDescent="0.2">
      <c r="A5" s="371" t="s">
        <v>104</v>
      </c>
      <c r="B5" s="372"/>
      <c r="C5" s="372"/>
      <c r="D5" s="372"/>
      <c r="E5" s="372"/>
      <c r="F5" s="372"/>
      <c r="G5" s="372"/>
      <c r="H5" s="372"/>
      <c r="I5" s="373"/>
    </row>
    <row r="6" spans="1:9" ht="14.25" customHeight="1" x14ac:dyDescent="0.2">
      <c r="A6" s="101"/>
    </row>
    <row r="7" spans="1:9" ht="33.75" customHeight="1" x14ac:dyDescent="0.2">
      <c r="A7" s="306" t="s">
        <v>210</v>
      </c>
      <c r="B7" s="297" t="s">
        <v>105</v>
      </c>
      <c r="C7" s="228" t="s">
        <v>106</v>
      </c>
      <c r="D7" s="228" t="s">
        <v>107</v>
      </c>
      <c r="E7" s="228" t="s">
        <v>108</v>
      </c>
      <c r="F7" s="229" t="s">
        <v>109</v>
      </c>
      <c r="G7" s="229" t="s">
        <v>110</v>
      </c>
    </row>
    <row r="8" spans="1:9" ht="28.5" x14ac:dyDescent="0.2">
      <c r="A8" s="300">
        <v>1</v>
      </c>
      <c r="B8" s="298" t="s">
        <v>111</v>
      </c>
      <c r="C8" s="230" t="s">
        <v>112</v>
      </c>
      <c r="D8" s="230">
        <v>5</v>
      </c>
      <c r="E8" s="230">
        <f>D8*12</f>
        <v>60</v>
      </c>
      <c r="F8" s="231">
        <v>20.94</v>
      </c>
      <c r="G8" s="232">
        <f t="shared" ref="G8:G20" si="0">E8*F8</f>
        <v>1256.4000000000001</v>
      </c>
    </row>
    <row r="9" spans="1:9" ht="114" x14ac:dyDescent="0.2">
      <c r="A9" s="300">
        <v>2</v>
      </c>
      <c r="B9" s="298" t="s">
        <v>616</v>
      </c>
      <c r="C9" s="230" t="s">
        <v>112</v>
      </c>
      <c r="D9" s="230">
        <v>15</v>
      </c>
      <c r="E9" s="230">
        <f t="shared" ref="E9:E20" si="1">D9*12</f>
        <v>180</v>
      </c>
      <c r="F9" s="231">
        <v>9.07</v>
      </c>
      <c r="G9" s="232">
        <f t="shared" si="0"/>
        <v>1632.6000000000001</v>
      </c>
    </row>
    <row r="10" spans="1:9" ht="57" x14ac:dyDescent="0.2">
      <c r="A10" s="300">
        <v>3</v>
      </c>
      <c r="B10" s="298" t="s">
        <v>113</v>
      </c>
      <c r="C10" s="230" t="s">
        <v>112</v>
      </c>
      <c r="D10" s="230">
        <v>5</v>
      </c>
      <c r="E10" s="230">
        <f t="shared" si="1"/>
        <v>60</v>
      </c>
      <c r="F10" s="231">
        <v>12.84</v>
      </c>
      <c r="G10" s="232">
        <f t="shared" si="0"/>
        <v>770.4</v>
      </c>
    </row>
    <row r="11" spans="1:9" ht="156.75" x14ac:dyDescent="0.2">
      <c r="A11" s="300">
        <v>4</v>
      </c>
      <c r="B11" s="298" t="s">
        <v>114</v>
      </c>
      <c r="C11" s="230" t="s">
        <v>115</v>
      </c>
      <c r="D11" s="230">
        <v>10</v>
      </c>
      <c r="E11" s="230">
        <f t="shared" si="1"/>
        <v>120</v>
      </c>
      <c r="F11" s="231">
        <v>13.09</v>
      </c>
      <c r="G11" s="232">
        <f t="shared" si="0"/>
        <v>1570.8</v>
      </c>
    </row>
    <row r="12" spans="1:9" ht="85.5" x14ac:dyDescent="0.2">
      <c r="A12" s="300">
        <v>5</v>
      </c>
      <c r="B12" s="298" t="s">
        <v>116</v>
      </c>
      <c r="C12" s="230" t="s">
        <v>117</v>
      </c>
      <c r="D12" s="230">
        <v>5</v>
      </c>
      <c r="E12" s="230">
        <f t="shared" si="1"/>
        <v>60</v>
      </c>
      <c r="F12" s="231">
        <v>3.82</v>
      </c>
      <c r="G12" s="232">
        <f t="shared" si="0"/>
        <v>229.2</v>
      </c>
    </row>
    <row r="13" spans="1:9" ht="85.5" x14ac:dyDescent="0.2">
      <c r="A13" s="300">
        <v>6</v>
      </c>
      <c r="B13" s="298" t="s">
        <v>118</v>
      </c>
      <c r="C13" s="230" t="s">
        <v>117</v>
      </c>
      <c r="D13" s="230">
        <v>5</v>
      </c>
      <c r="E13" s="230">
        <f t="shared" si="1"/>
        <v>60</v>
      </c>
      <c r="F13" s="231">
        <v>4.24</v>
      </c>
      <c r="G13" s="232">
        <f t="shared" si="0"/>
        <v>254.4</v>
      </c>
    </row>
    <row r="14" spans="1:9" ht="71.25" x14ac:dyDescent="0.2">
      <c r="A14" s="300">
        <v>7</v>
      </c>
      <c r="B14" s="299" t="s">
        <v>119</v>
      </c>
      <c r="C14" s="230" t="s">
        <v>120</v>
      </c>
      <c r="D14" s="230">
        <v>30</v>
      </c>
      <c r="E14" s="230">
        <f t="shared" si="1"/>
        <v>360</v>
      </c>
      <c r="F14" s="231">
        <v>6.8</v>
      </c>
      <c r="G14" s="232">
        <f t="shared" si="0"/>
        <v>2448</v>
      </c>
    </row>
    <row r="15" spans="1:9" ht="71.25" x14ac:dyDescent="0.2">
      <c r="A15" s="300">
        <v>8</v>
      </c>
      <c r="B15" s="233" t="s">
        <v>619</v>
      </c>
      <c r="C15" s="230" t="s">
        <v>620</v>
      </c>
      <c r="D15" s="230">
        <v>200</v>
      </c>
      <c r="E15" s="230">
        <f t="shared" si="1"/>
        <v>2400</v>
      </c>
      <c r="F15" s="231">
        <v>8.84</v>
      </c>
      <c r="G15" s="232">
        <f t="shared" si="0"/>
        <v>21216</v>
      </c>
    </row>
    <row r="16" spans="1:9" ht="42.75" x14ac:dyDescent="0.2">
      <c r="A16" s="300">
        <v>9</v>
      </c>
      <c r="B16" s="234" t="s">
        <v>617</v>
      </c>
      <c r="C16" s="230" t="s">
        <v>618</v>
      </c>
      <c r="D16" s="230">
        <v>100</v>
      </c>
      <c r="E16" s="230">
        <f t="shared" si="1"/>
        <v>1200</v>
      </c>
      <c r="F16" s="231">
        <v>51.47</v>
      </c>
      <c r="G16" s="232">
        <f t="shared" si="0"/>
        <v>61764</v>
      </c>
    </row>
    <row r="17" spans="1:7" ht="85.5" x14ac:dyDescent="0.2">
      <c r="A17" s="300">
        <v>10</v>
      </c>
      <c r="B17" s="298" t="s">
        <v>121</v>
      </c>
      <c r="C17" s="230" t="s">
        <v>122</v>
      </c>
      <c r="D17" s="230">
        <v>30</v>
      </c>
      <c r="E17" s="230">
        <f t="shared" si="1"/>
        <v>360</v>
      </c>
      <c r="F17" s="231">
        <v>6.03</v>
      </c>
      <c r="G17" s="232">
        <f t="shared" si="0"/>
        <v>2170.8000000000002</v>
      </c>
    </row>
    <row r="18" spans="1:7" ht="42.75" x14ac:dyDescent="0.2">
      <c r="A18" s="300">
        <v>11</v>
      </c>
      <c r="B18" s="298" t="s">
        <v>123</v>
      </c>
      <c r="C18" s="230" t="s">
        <v>117</v>
      </c>
      <c r="D18" s="230">
        <v>12</v>
      </c>
      <c r="E18" s="230">
        <f t="shared" si="1"/>
        <v>144</v>
      </c>
      <c r="F18" s="231">
        <v>12.62</v>
      </c>
      <c r="G18" s="232">
        <f t="shared" si="0"/>
        <v>1817.28</v>
      </c>
    </row>
    <row r="19" spans="1:7" ht="57" x14ac:dyDescent="0.2">
      <c r="A19" s="300">
        <v>12</v>
      </c>
      <c r="B19" s="298" t="s">
        <v>124</v>
      </c>
      <c r="C19" s="230" t="s">
        <v>120</v>
      </c>
      <c r="D19" s="230">
        <v>20</v>
      </c>
      <c r="E19" s="230">
        <f t="shared" si="1"/>
        <v>240</v>
      </c>
      <c r="F19" s="231">
        <v>2.63</v>
      </c>
      <c r="G19" s="232">
        <f t="shared" si="0"/>
        <v>631.19999999999993</v>
      </c>
    </row>
    <row r="20" spans="1:7" ht="71.25" x14ac:dyDescent="0.2">
      <c r="A20" s="300">
        <v>13</v>
      </c>
      <c r="B20" s="298" t="s">
        <v>125</v>
      </c>
      <c r="C20" s="230" t="s">
        <v>126</v>
      </c>
      <c r="D20" s="230">
        <v>40</v>
      </c>
      <c r="E20" s="230">
        <f t="shared" si="1"/>
        <v>480</v>
      </c>
      <c r="F20" s="231">
        <v>7.56</v>
      </c>
      <c r="G20" s="232">
        <f t="shared" si="0"/>
        <v>3628.7999999999997</v>
      </c>
    </row>
    <row r="21" spans="1:7" ht="14.25" customHeight="1" x14ac:dyDescent="0.2">
      <c r="A21" s="359" t="s">
        <v>625</v>
      </c>
      <c r="B21" s="359"/>
      <c r="C21" s="359"/>
      <c r="D21" s="359"/>
      <c r="E21" s="359"/>
      <c r="F21" s="360"/>
      <c r="G21" s="235">
        <f>SUM(G8:G20)</f>
        <v>99389.88</v>
      </c>
    </row>
    <row r="22" spans="1:7" ht="14.25" customHeight="1" x14ac:dyDescent="0.2">
      <c r="A22" s="361" t="s">
        <v>127</v>
      </c>
      <c r="B22" s="361"/>
      <c r="C22" s="361"/>
      <c r="D22" s="361"/>
      <c r="E22" s="361"/>
      <c r="F22" s="362"/>
      <c r="G22" s="236">
        <f>G21/12</f>
        <v>8282.49</v>
      </c>
    </row>
    <row r="23" spans="1:7" ht="12.75" customHeight="1" x14ac:dyDescent="0.2">
      <c r="B23" s="237"/>
      <c r="C23" s="238"/>
      <c r="D23" s="238"/>
      <c r="E23" s="238"/>
      <c r="F23" s="239"/>
    </row>
    <row r="24" spans="1:7" ht="32.25" customHeight="1" x14ac:dyDescent="0.2">
      <c r="A24" s="305" t="s">
        <v>210</v>
      </c>
      <c r="B24" s="302" t="s">
        <v>199</v>
      </c>
      <c r="C24" s="303" t="s">
        <v>106</v>
      </c>
      <c r="D24" s="303" t="s">
        <v>107</v>
      </c>
      <c r="E24" s="303" t="s">
        <v>108</v>
      </c>
      <c r="F24" s="304" t="s">
        <v>109</v>
      </c>
      <c r="G24" s="229" t="s">
        <v>110</v>
      </c>
    </row>
    <row r="25" spans="1:7" ht="71.25" x14ac:dyDescent="0.2">
      <c r="A25" s="300">
        <v>1</v>
      </c>
      <c r="B25" s="3" t="s">
        <v>128</v>
      </c>
      <c r="C25" s="230" t="s">
        <v>129</v>
      </c>
      <c r="D25" s="230">
        <v>80</v>
      </c>
      <c r="E25" s="230">
        <f t="shared" ref="E25:E32" si="2">D25*12</f>
        <v>960</v>
      </c>
      <c r="F25" s="231">
        <v>10.19</v>
      </c>
      <c r="G25" s="232">
        <f t="shared" ref="G25:G32" si="3">E25*F25</f>
        <v>9782.4</v>
      </c>
    </row>
    <row r="26" spans="1:7" ht="57" x14ac:dyDescent="0.2">
      <c r="A26" s="300">
        <v>2</v>
      </c>
      <c r="B26" s="3" t="s">
        <v>130</v>
      </c>
      <c r="C26" s="230" t="s">
        <v>131</v>
      </c>
      <c r="D26" s="230">
        <v>20</v>
      </c>
      <c r="E26" s="230">
        <f t="shared" si="2"/>
        <v>240</v>
      </c>
      <c r="F26" s="231">
        <v>6.85</v>
      </c>
      <c r="G26" s="232">
        <f t="shared" si="3"/>
        <v>1644</v>
      </c>
    </row>
    <row r="27" spans="1:7" ht="71.25" x14ac:dyDescent="0.2">
      <c r="A27" s="300">
        <v>3</v>
      </c>
      <c r="B27" s="3" t="s">
        <v>132</v>
      </c>
      <c r="C27" s="230" t="s">
        <v>133</v>
      </c>
      <c r="D27" s="230">
        <v>200</v>
      </c>
      <c r="E27" s="230">
        <f t="shared" si="2"/>
        <v>2400</v>
      </c>
      <c r="F27" s="231">
        <v>3.65</v>
      </c>
      <c r="G27" s="232">
        <f t="shared" si="3"/>
        <v>8760</v>
      </c>
    </row>
    <row r="28" spans="1:7" ht="57" x14ac:dyDescent="0.2">
      <c r="A28" s="300">
        <v>4</v>
      </c>
      <c r="B28" s="3" t="s">
        <v>134</v>
      </c>
      <c r="C28" s="230" t="s">
        <v>135</v>
      </c>
      <c r="D28" s="230">
        <v>2</v>
      </c>
      <c r="E28" s="230">
        <f t="shared" si="2"/>
        <v>24</v>
      </c>
      <c r="F28" s="231">
        <v>5.59</v>
      </c>
      <c r="G28" s="232">
        <f t="shared" si="3"/>
        <v>134.16</v>
      </c>
    </row>
    <row r="29" spans="1:7" ht="57" x14ac:dyDescent="0.2">
      <c r="A29" s="300">
        <v>5</v>
      </c>
      <c r="B29" s="3" t="s">
        <v>136</v>
      </c>
      <c r="C29" s="230" t="s">
        <v>135</v>
      </c>
      <c r="D29" s="230">
        <v>2</v>
      </c>
      <c r="E29" s="230">
        <f t="shared" si="2"/>
        <v>24</v>
      </c>
      <c r="F29" s="231">
        <v>8.5500000000000007</v>
      </c>
      <c r="G29" s="232">
        <f t="shared" si="3"/>
        <v>205.20000000000002</v>
      </c>
    </row>
    <row r="30" spans="1:7" ht="57" x14ac:dyDescent="0.2">
      <c r="A30" s="300">
        <v>6</v>
      </c>
      <c r="B30" s="3" t="s">
        <v>137</v>
      </c>
      <c r="C30" s="230" t="s">
        <v>135</v>
      </c>
      <c r="D30" s="230">
        <v>3</v>
      </c>
      <c r="E30" s="230">
        <f t="shared" si="2"/>
        <v>36</v>
      </c>
      <c r="F30" s="231">
        <v>12.51</v>
      </c>
      <c r="G30" s="232">
        <f t="shared" si="3"/>
        <v>450.36</v>
      </c>
    </row>
    <row r="31" spans="1:7" ht="57" x14ac:dyDescent="0.2">
      <c r="A31" s="300">
        <v>7</v>
      </c>
      <c r="B31" s="3" t="s">
        <v>138</v>
      </c>
      <c r="C31" s="230" t="s">
        <v>135</v>
      </c>
      <c r="D31" s="230">
        <v>10</v>
      </c>
      <c r="E31" s="230">
        <f t="shared" si="2"/>
        <v>120</v>
      </c>
      <c r="F31" s="231">
        <v>23.06</v>
      </c>
      <c r="G31" s="232">
        <f t="shared" si="3"/>
        <v>2767.2</v>
      </c>
    </row>
    <row r="32" spans="1:7" ht="114" x14ac:dyDescent="0.2">
      <c r="A32" s="300">
        <v>8</v>
      </c>
      <c r="B32" s="3" t="s">
        <v>139</v>
      </c>
      <c r="C32" s="230" t="s">
        <v>140</v>
      </c>
      <c r="D32" s="230">
        <v>60</v>
      </c>
      <c r="E32" s="230">
        <f t="shared" si="2"/>
        <v>720</v>
      </c>
      <c r="F32" s="231">
        <v>1.01</v>
      </c>
      <c r="G32" s="232">
        <f t="shared" si="3"/>
        <v>727.2</v>
      </c>
    </row>
    <row r="33" spans="1:8" ht="14.25" customHeight="1" x14ac:dyDescent="0.2">
      <c r="A33" s="359" t="s">
        <v>141</v>
      </c>
      <c r="B33" s="359"/>
      <c r="C33" s="359"/>
      <c r="D33" s="359"/>
      <c r="E33" s="359"/>
      <c r="F33" s="360"/>
      <c r="G33" s="235">
        <f>SUM(G25:G32)</f>
        <v>24470.520000000004</v>
      </c>
    </row>
    <row r="34" spans="1:8" ht="14.25" customHeight="1" x14ac:dyDescent="0.2">
      <c r="A34" s="361" t="s">
        <v>142</v>
      </c>
      <c r="B34" s="361"/>
      <c r="C34" s="361"/>
      <c r="D34" s="361"/>
      <c r="E34" s="361"/>
      <c r="F34" s="362"/>
      <c r="G34" s="240">
        <f>G33/12</f>
        <v>2039.2100000000003</v>
      </c>
    </row>
    <row r="35" spans="1:8" ht="12.75" customHeight="1" x14ac:dyDescent="0.2">
      <c r="C35" s="241"/>
      <c r="D35" s="241"/>
      <c r="E35" s="241"/>
      <c r="F35" s="242"/>
      <c r="G35" s="242"/>
    </row>
    <row r="36" spans="1:8" ht="45" customHeight="1" x14ac:dyDescent="0.2">
      <c r="A36" s="307" t="s">
        <v>210</v>
      </c>
      <c r="B36" s="227" t="s">
        <v>143</v>
      </c>
      <c r="C36" s="228" t="s">
        <v>106</v>
      </c>
      <c r="D36" s="228" t="s">
        <v>144</v>
      </c>
      <c r="E36" s="228" t="s">
        <v>145</v>
      </c>
      <c r="F36" s="228" t="s">
        <v>108</v>
      </c>
      <c r="G36" s="229" t="s">
        <v>109</v>
      </c>
      <c r="H36" s="229" t="s">
        <v>110</v>
      </c>
    </row>
    <row r="37" spans="1:8" ht="71.25" x14ac:dyDescent="0.2">
      <c r="A37" s="300">
        <v>1</v>
      </c>
      <c r="B37" s="3" t="s">
        <v>146</v>
      </c>
      <c r="C37" s="230" t="s">
        <v>147</v>
      </c>
      <c r="D37" s="230">
        <v>30</v>
      </c>
      <c r="E37" s="230">
        <v>3</v>
      </c>
      <c r="F37" s="243">
        <f t="shared" ref="F37:F53" si="4">12/E37*D37</f>
        <v>120</v>
      </c>
      <c r="G37" s="231">
        <v>3.34</v>
      </c>
      <c r="H37" s="232">
        <f t="shared" ref="H37:H53" si="5">F37*G37</f>
        <v>400.79999999999995</v>
      </c>
    </row>
    <row r="38" spans="1:8" ht="71.25" x14ac:dyDescent="0.2">
      <c r="A38" s="300">
        <v>2</v>
      </c>
      <c r="B38" s="3" t="s">
        <v>148</v>
      </c>
      <c r="C38" s="230" t="s">
        <v>149</v>
      </c>
      <c r="D38" s="230">
        <v>4</v>
      </c>
      <c r="E38" s="230">
        <v>1</v>
      </c>
      <c r="F38" s="243">
        <f t="shared" si="4"/>
        <v>48</v>
      </c>
      <c r="G38" s="231">
        <v>1.32</v>
      </c>
      <c r="H38" s="232">
        <f t="shared" si="5"/>
        <v>63.36</v>
      </c>
    </row>
    <row r="39" spans="1:8" ht="57" x14ac:dyDescent="0.2">
      <c r="A39" s="300">
        <v>3</v>
      </c>
      <c r="B39" s="3" t="s">
        <v>150</v>
      </c>
      <c r="C39" s="230" t="s">
        <v>147</v>
      </c>
      <c r="D39" s="230">
        <v>20</v>
      </c>
      <c r="E39" s="230">
        <v>3</v>
      </c>
      <c r="F39" s="243">
        <f t="shared" si="4"/>
        <v>80</v>
      </c>
      <c r="G39" s="231">
        <v>1.27</v>
      </c>
      <c r="H39" s="232">
        <f t="shared" si="5"/>
        <v>101.6</v>
      </c>
    </row>
    <row r="40" spans="1:8" ht="57" x14ac:dyDescent="0.2">
      <c r="A40" s="300">
        <v>4</v>
      </c>
      <c r="B40" s="3" t="s">
        <v>151</v>
      </c>
      <c r="C40" s="230" t="s">
        <v>149</v>
      </c>
      <c r="D40" s="230">
        <v>5</v>
      </c>
      <c r="E40" s="230">
        <v>1</v>
      </c>
      <c r="F40" s="243">
        <f t="shared" si="4"/>
        <v>60</v>
      </c>
      <c r="G40" s="231">
        <v>1.74</v>
      </c>
      <c r="H40" s="232">
        <f t="shared" si="5"/>
        <v>104.4</v>
      </c>
    </row>
    <row r="41" spans="1:8" ht="28.5" x14ac:dyDescent="0.2">
      <c r="A41" s="300">
        <v>5</v>
      </c>
      <c r="B41" s="3" t="s">
        <v>152</v>
      </c>
      <c r="C41" s="230" t="s">
        <v>149</v>
      </c>
      <c r="D41" s="230">
        <v>20</v>
      </c>
      <c r="E41" s="230">
        <v>1</v>
      </c>
      <c r="F41" s="243">
        <f t="shared" si="4"/>
        <v>240</v>
      </c>
      <c r="G41" s="231">
        <v>2.58</v>
      </c>
      <c r="H41" s="232">
        <f t="shared" si="5"/>
        <v>619.20000000000005</v>
      </c>
    </row>
    <row r="42" spans="1:8" ht="114" x14ac:dyDescent="0.2">
      <c r="A42" s="300">
        <v>6</v>
      </c>
      <c r="B42" s="3" t="s">
        <v>153</v>
      </c>
      <c r="C42" s="230" t="s">
        <v>106</v>
      </c>
      <c r="D42" s="230">
        <v>10</v>
      </c>
      <c r="E42" s="230">
        <v>12</v>
      </c>
      <c r="F42" s="243">
        <f t="shared" si="4"/>
        <v>10</v>
      </c>
      <c r="G42" s="231">
        <v>27.44</v>
      </c>
      <c r="H42" s="232">
        <f t="shared" si="5"/>
        <v>274.40000000000003</v>
      </c>
    </row>
    <row r="43" spans="1:8" ht="99.75" x14ac:dyDescent="0.2">
      <c r="A43" s="300">
        <v>7</v>
      </c>
      <c r="B43" s="3" t="s">
        <v>154</v>
      </c>
      <c r="C43" s="230" t="s">
        <v>147</v>
      </c>
      <c r="D43" s="230">
        <v>10</v>
      </c>
      <c r="E43" s="230">
        <v>3</v>
      </c>
      <c r="F43" s="243">
        <f t="shared" si="4"/>
        <v>40</v>
      </c>
      <c r="G43" s="231">
        <v>23.87</v>
      </c>
      <c r="H43" s="232">
        <f t="shared" si="5"/>
        <v>954.80000000000007</v>
      </c>
    </row>
    <row r="44" spans="1:8" ht="71.25" x14ac:dyDescent="0.2">
      <c r="A44" s="300">
        <v>8</v>
      </c>
      <c r="B44" s="3" t="s">
        <v>155</v>
      </c>
      <c r="C44" s="230" t="s">
        <v>147</v>
      </c>
      <c r="D44" s="230">
        <v>10</v>
      </c>
      <c r="E44" s="230">
        <v>6</v>
      </c>
      <c r="F44" s="243">
        <f t="shared" si="4"/>
        <v>20</v>
      </c>
      <c r="G44" s="231">
        <v>6.12</v>
      </c>
      <c r="H44" s="232">
        <f t="shared" si="5"/>
        <v>122.4</v>
      </c>
    </row>
    <row r="45" spans="1:8" ht="42.75" x14ac:dyDescent="0.2">
      <c r="A45" s="300">
        <v>9</v>
      </c>
      <c r="B45" s="3" t="s">
        <v>156</v>
      </c>
      <c r="C45" s="230" t="s">
        <v>157</v>
      </c>
      <c r="D45" s="230">
        <v>30</v>
      </c>
      <c r="E45" s="230">
        <v>1</v>
      </c>
      <c r="F45" s="243">
        <f t="shared" si="4"/>
        <v>360</v>
      </c>
      <c r="G45" s="231">
        <v>1.98</v>
      </c>
      <c r="H45" s="232">
        <f t="shared" si="5"/>
        <v>712.8</v>
      </c>
    </row>
    <row r="46" spans="1:8" ht="28.5" x14ac:dyDescent="0.2">
      <c r="A46" s="300">
        <v>10</v>
      </c>
      <c r="B46" s="3" t="s">
        <v>158</v>
      </c>
      <c r="C46" s="230" t="s">
        <v>147</v>
      </c>
      <c r="D46" s="230">
        <v>10</v>
      </c>
      <c r="E46" s="230">
        <v>12</v>
      </c>
      <c r="F46" s="243">
        <f t="shared" si="4"/>
        <v>10</v>
      </c>
      <c r="G46" s="231">
        <v>11.32</v>
      </c>
      <c r="H46" s="232">
        <f t="shared" si="5"/>
        <v>113.2</v>
      </c>
    </row>
    <row r="47" spans="1:8" ht="71.25" x14ac:dyDescent="0.2">
      <c r="A47" s="300">
        <v>11</v>
      </c>
      <c r="B47" s="3" t="s">
        <v>159</v>
      </c>
      <c r="C47" s="230" t="s">
        <v>147</v>
      </c>
      <c r="D47" s="230">
        <v>10</v>
      </c>
      <c r="E47" s="230">
        <v>12</v>
      </c>
      <c r="F47" s="243">
        <f t="shared" si="4"/>
        <v>10</v>
      </c>
      <c r="G47" s="231">
        <v>5.25</v>
      </c>
      <c r="H47" s="232">
        <f t="shared" si="5"/>
        <v>52.5</v>
      </c>
    </row>
    <row r="48" spans="1:8" ht="42.75" x14ac:dyDescent="0.2">
      <c r="A48" s="300">
        <v>12</v>
      </c>
      <c r="B48" s="3" t="s">
        <v>160</v>
      </c>
      <c r="C48" s="230" t="s">
        <v>106</v>
      </c>
      <c r="D48" s="230">
        <v>10</v>
      </c>
      <c r="E48" s="230">
        <v>6</v>
      </c>
      <c r="F48" s="243">
        <f t="shared" si="4"/>
        <v>20</v>
      </c>
      <c r="G48" s="231">
        <v>3.75</v>
      </c>
      <c r="H48" s="232">
        <f t="shared" si="5"/>
        <v>75</v>
      </c>
    </row>
    <row r="49" spans="1:8" ht="85.5" x14ac:dyDescent="0.2">
      <c r="A49" s="300">
        <v>13</v>
      </c>
      <c r="B49" s="3" t="s">
        <v>161</v>
      </c>
      <c r="C49" s="230" t="s">
        <v>147</v>
      </c>
      <c r="D49" s="230">
        <v>10</v>
      </c>
      <c r="E49" s="230">
        <v>12</v>
      </c>
      <c r="F49" s="243">
        <f t="shared" si="4"/>
        <v>10</v>
      </c>
      <c r="G49" s="231">
        <v>5.75</v>
      </c>
      <c r="H49" s="232">
        <f t="shared" si="5"/>
        <v>57.5</v>
      </c>
    </row>
    <row r="50" spans="1:8" ht="85.5" x14ac:dyDescent="0.2">
      <c r="A50" s="300">
        <v>14</v>
      </c>
      <c r="B50" s="3" t="s">
        <v>162</v>
      </c>
      <c r="C50" s="230" t="s">
        <v>147</v>
      </c>
      <c r="D50" s="230">
        <v>8</v>
      </c>
      <c r="E50" s="230">
        <v>6</v>
      </c>
      <c r="F50" s="243">
        <f t="shared" si="4"/>
        <v>16</v>
      </c>
      <c r="G50" s="231">
        <v>2.74</v>
      </c>
      <c r="H50" s="232">
        <f t="shared" si="5"/>
        <v>43.84</v>
      </c>
    </row>
    <row r="51" spans="1:8" ht="42.75" x14ac:dyDescent="0.2">
      <c r="A51" s="300">
        <v>15</v>
      </c>
      <c r="B51" s="244" t="s">
        <v>163</v>
      </c>
      <c r="C51" s="230" t="s">
        <v>147</v>
      </c>
      <c r="D51" s="230">
        <v>3</v>
      </c>
      <c r="E51" s="230">
        <v>12</v>
      </c>
      <c r="F51" s="243">
        <f t="shared" si="4"/>
        <v>3</v>
      </c>
      <c r="G51" s="231">
        <v>30.5</v>
      </c>
      <c r="H51" s="232">
        <f t="shared" si="5"/>
        <v>91.5</v>
      </c>
    </row>
    <row r="52" spans="1:8" ht="28.5" x14ac:dyDescent="0.2">
      <c r="A52" s="300">
        <v>16</v>
      </c>
      <c r="B52" s="244" t="s">
        <v>164</v>
      </c>
      <c r="C52" s="230" t="s">
        <v>147</v>
      </c>
      <c r="D52" s="230">
        <v>10</v>
      </c>
      <c r="E52" s="230">
        <v>12</v>
      </c>
      <c r="F52" s="243">
        <f t="shared" si="4"/>
        <v>10</v>
      </c>
      <c r="G52" s="231">
        <v>21.06</v>
      </c>
      <c r="H52" s="232">
        <f t="shared" si="5"/>
        <v>210.6</v>
      </c>
    </row>
    <row r="53" spans="1:8" ht="57" x14ac:dyDescent="0.2">
      <c r="A53" s="300">
        <v>17</v>
      </c>
      <c r="B53" s="244" t="s">
        <v>165</v>
      </c>
      <c r="C53" s="230" t="s">
        <v>147</v>
      </c>
      <c r="D53" s="230">
        <v>16</v>
      </c>
      <c r="E53" s="230">
        <v>12</v>
      </c>
      <c r="F53" s="243">
        <f t="shared" si="4"/>
        <v>16</v>
      </c>
      <c r="G53" s="231">
        <v>14.8</v>
      </c>
      <c r="H53" s="232">
        <f t="shared" si="5"/>
        <v>236.8</v>
      </c>
    </row>
    <row r="54" spans="1:8" ht="14.25" customHeight="1" x14ac:dyDescent="0.2">
      <c r="A54" s="356" t="s">
        <v>166</v>
      </c>
      <c r="B54" s="357"/>
      <c r="C54" s="357"/>
      <c r="D54" s="357"/>
      <c r="E54" s="357"/>
      <c r="F54" s="357"/>
      <c r="G54" s="358"/>
      <c r="H54" s="235">
        <f>SUM(H37:H53)</f>
        <v>4234.7</v>
      </c>
    </row>
    <row r="55" spans="1:8" ht="14.25" customHeight="1" x14ac:dyDescent="0.2">
      <c r="A55" s="351" t="s">
        <v>167</v>
      </c>
      <c r="B55" s="352"/>
      <c r="C55" s="352"/>
      <c r="D55" s="352"/>
      <c r="E55" s="352"/>
      <c r="F55" s="352"/>
      <c r="G55" s="353"/>
      <c r="H55" s="236">
        <f>H54/12</f>
        <v>352.89166666666665</v>
      </c>
    </row>
    <row r="56" spans="1:8" ht="12.75" customHeight="1" x14ac:dyDescent="0.2">
      <c r="C56" s="241"/>
      <c r="D56" s="241"/>
      <c r="E56" s="241"/>
      <c r="F56" s="242"/>
      <c r="G56" s="242"/>
    </row>
    <row r="57" spans="1:8" ht="25.5" customHeight="1" x14ac:dyDescent="0.2">
      <c r="A57" s="301" t="s">
        <v>210</v>
      </c>
      <c r="B57" s="227" t="s">
        <v>168</v>
      </c>
      <c r="C57" s="228" t="s">
        <v>106</v>
      </c>
      <c r="D57" s="228" t="s">
        <v>144</v>
      </c>
      <c r="E57" s="228" t="s">
        <v>169</v>
      </c>
      <c r="F57" s="228" t="s">
        <v>108</v>
      </c>
      <c r="G57" s="229" t="s">
        <v>109</v>
      </c>
      <c r="H57" s="229" t="s">
        <v>110</v>
      </c>
    </row>
    <row r="58" spans="1:8" ht="15" x14ac:dyDescent="0.2">
      <c r="A58" s="300">
        <v>1</v>
      </c>
      <c r="B58" s="3" t="s">
        <v>170</v>
      </c>
      <c r="C58" s="230" t="s">
        <v>147</v>
      </c>
      <c r="D58" s="230">
        <v>1</v>
      </c>
      <c r="E58" s="230">
        <v>60</v>
      </c>
      <c r="F58" s="243">
        <f t="shared" ref="F58:F65" si="6">12/E58*D58</f>
        <v>0.2</v>
      </c>
      <c r="G58" s="231">
        <v>411.89</v>
      </c>
      <c r="H58" s="232">
        <f t="shared" ref="H58:H65" si="7">F58*G58</f>
        <v>82.378</v>
      </c>
    </row>
    <row r="59" spans="1:8" ht="99.75" x14ac:dyDescent="0.2">
      <c r="A59" s="300">
        <v>2</v>
      </c>
      <c r="B59" s="3" t="s">
        <v>171</v>
      </c>
      <c r="C59" s="230" t="s">
        <v>147</v>
      </c>
      <c r="D59" s="230">
        <v>1</v>
      </c>
      <c r="E59" s="230">
        <v>60</v>
      </c>
      <c r="F59" s="243">
        <f t="shared" si="6"/>
        <v>0.2</v>
      </c>
      <c r="G59" s="231">
        <v>1518.59</v>
      </c>
      <c r="H59" s="232">
        <f t="shared" si="7"/>
        <v>303.71800000000002</v>
      </c>
    </row>
    <row r="60" spans="1:8" ht="15" x14ac:dyDescent="0.2">
      <c r="A60" s="300">
        <v>3</v>
      </c>
      <c r="B60" s="3" t="s">
        <v>172</v>
      </c>
      <c r="C60" s="230" t="s">
        <v>147</v>
      </c>
      <c r="D60" s="230">
        <v>10</v>
      </c>
      <c r="E60" s="230">
        <v>60</v>
      </c>
      <c r="F60" s="243">
        <f t="shared" si="6"/>
        <v>2</v>
      </c>
      <c r="G60" s="231">
        <v>587.08000000000004</v>
      </c>
      <c r="H60" s="232">
        <f t="shared" si="7"/>
        <v>1174.1600000000001</v>
      </c>
    </row>
    <row r="61" spans="1:8" ht="85.5" x14ac:dyDescent="0.2">
      <c r="A61" s="300">
        <v>4</v>
      </c>
      <c r="B61" s="3" t="s">
        <v>173</v>
      </c>
      <c r="C61" s="230" t="s">
        <v>147</v>
      </c>
      <c r="D61" s="230">
        <v>2</v>
      </c>
      <c r="E61" s="230">
        <v>60</v>
      </c>
      <c r="F61" s="243">
        <f t="shared" si="6"/>
        <v>0.4</v>
      </c>
      <c r="G61" s="231">
        <v>182.78</v>
      </c>
      <c r="H61" s="232">
        <f t="shared" si="7"/>
        <v>73.112000000000009</v>
      </c>
    </row>
    <row r="62" spans="1:8" ht="57" x14ac:dyDescent="0.2">
      <c r="A62" s="300">
        <v>5</v>
      </c>
      <c r="B62" s="3" t="s">
        <v>174</v>
      </c>
      <c r="C62" s="230" t="s">
        <v>147</v>
      </c>
      <c r="D62" s="230">
        <v>3</v>
      </c>
      <c r="E62" s="230">
        <v>12</v>
      </c>
      <c r="F62" s="243">
        <f t="shared" si="6"/>
        <v>3</v>
      </c>
      <c r="G62" s="231">
        <v>410.75</v>
      </c>
      <c r="H62" s="232">
        <f t="shared" si="7"/>
        <v>1232.25</v>
      </c>
    </row>
    <row r="63" spans="1:8" ht="57" x14ac:dyDescent="0.2">
      <c r="A63" s="300">
        <v>6</v>
      </c>
      <c r="B63" s="3" t="s">
        <v>175</v>
      </c>
      <c r="C63" s="230" t="s">
        <v>147</v>
      </c>
      <c r="D63" s="230">
        <v>2</v>
      </c>
      <c r="E63" s="230">
        <v>12</v>
      </c>
      <c r="F63" s="243">
        <f t="shared" si="6"/>
        <v>2</v>
      </c>
      <c r="G63" s="231">
        <v>166.2</v>
      </c>
      <c r="H63" s="232">
        <f t="shared" si="7"/>
        <v>332.4</v>
      </c>
    </row>
    <row r="64" spans="1:8" ht="28.5" x14ac:dyDescent="0.2">
      <c r="A64" s="300">
        <v>7</v>
      </c>
      <c r="B64" s="3" t="s">
        <v>176</v>
      </c>
      <c r="C64" s="230" t="s">
        <v>147</v>
      </c>
      <c r="D64" s="230">
        <v>5</v>
      </c>
      <c r="E64" s="230">
        <v>60</v>
      </c>
      <c r="F64" s="243">
        <f t="shared" si="6"/>
        <v>1</v>
      </c>
      <c r="G64" s="231">
        <v>718.73</v>
      </c>
      <c r="H64" s="232">
        <f t="shared" si="7"/>
        <v>718.73</v>
      </c>
    </row>
    <row r="65" spans="1:9" ht="12.75" customHeight="1" x14ac:dyDescent="0.2">
      <c r="A65" s="300">
        <v>8</v>
      </c>
      <c r="B65" s="3" t="s">
        <v>177</v>
      </c>
      <c r="C65" s="230" t="s">
        <v>147</v>
      </c>
      <c r="D65" s="230">
        <v>2</v>
      </c>
      <c r="E65" s="230">
        <v>60</v>
      </c>
      <c r="F65" s="243">
        <f t="shared" si="6"/>
        <v>0.4</v>
      </c>
      <c r="G65" s="231">
        <v>612.41999999999996</v>
      </c>
      <c r="H65" s="232">
        <f t="shared" si="7"/>
        <v>244.96799999999999</v>
      </c>
    </row>
    <row r="66" spans="1:9" ht="12.75" customHeight="1" x14ac:dyDescent="0.2">
      <c r="A66" s="356" t="s">
        <v>178</v>
      </c>
      <c r="B66" s="357"/>
      <c r="C66" s="357"/>
      <c r="D66" s="357"/>
      <c r="E66" s="357"/>
      <c r="F66" s="357"/>
      <c r="G66" s="358"/>
      <c r="H66" s="245">
        <f>SUM(H58:H65)</f>
        <v>4161.7160000000003</v>
      </c>
    </row>
    <row r="67" spans="1:9" ht="12.75" customHeight="1" x14ac:dyDescent="0.2">
      <c r="A67" s="351" t="s">
        <v>179</v>
      </c>
      <c r="B67" s="352"/>
      <c r="C67" s="352"/>
      <c r="D67" s="352"/>
      <c r="E67" s="352"/>
      <c r="F67" s="352"/>
      <c r="G67" s="353"/>
      <c r="H67" s="240">
        <f>H66/12</f>
        <v>346.80966666666671</v>
      </c>
    </row>
    <row r="68" spans="1:9" ht="12.75" customHeight="1" x14ac:dyDescent="0.2">
      <c r="C68" s="241"/>
      <c r="D68" s="241"/>
      <c r="E68" s="241"/>
      <c r="F68" s="242"/>
      <c r="G68" s="242"/>
    </row>
    <row r="69" spans="1:9" ht="25.5" customHeight="1" x14ac:dyDescent="0.2">
      <c r="A69" s="308" t="s">
        <v>210</v>
      </c>
      <c r="B69" s="227" t="s">
        <v>180</v>
      </c>
      <c r="C69" s="228" t="s">
        <v>106</v>
      </c>
      <c r="D69" s="228" t="s">
        <v>108</v>
      </c>
      <c r="E69" s="229" t="s">
        <v>109</v>
      </c>
      <c r="F69" s="229" t="s">
        <v>110</v>
      </c>
      <c r="G69" s="355"/>
      <c r="H69" s="355"/>
      <c r="I69" s="246"/>
    </row>
    <row r="70" spans="1:9" ht="15" x14ac:dyDescent="0.2">
      <c r="A70" s="300">
        <v>1</v>
      </c>
      <c r="B70" s="298" t="s">
        <v>181</v>
      </c>
      <c r="C70" s="230" t="s">
        <v>147</v>
      </c>
      <c r="D70" s="247">
        <v>2</v>
      </c>
      <c r="E70" s="231">
        <v>38.17</v>
      </c>
      <c r="F70" s="232">
        <f t="shared" ref="F70:F83" si="8">D70*E70</f>
        <v>76.34</v>
      </c>
      <c r="G70" s="349"/>
      <c r="H70" s="349"/>
    </row>
    <row r="71" spans="1:9" ht="28.5" x14ac:dyDescent="0.2">
      <c r="A71" s="300">
        <v>2</v>
      </c>
      <c r="B71" s="298" t="s">
        <v>182</v>
      </c>
      <c r="C71" s="230" t="s">
        <v>147</v>
      </c>
      <c r="D71" s="247">
        <v>4</v>
      </c>
      <c r="E71" s="231">
        <v>15.77</v>
      </c>
      <c r="F71" s="232">
        <f t="shared" si="8"/>
        <v>63.08</v>
      </c>
      <c r="G71" s="349"/>
      <c r="H71" s="349"/>
    </row>
    <row r="72" spans="1:9" ht="28.5" x14ac:dyDescent="0.2">
      <c r="A72" s="300">
        <v>3</v>
      </c>
      <c r="B72" s="298" t="s">
        <v>183</v>
      </c>
      <c r="C72" s="230" t="s">
        <v>106</v>
      </c>
      <c r="D72" s="247">
        <v>4</v>
      </c>
      <c r="E72" s="231">
        <v>11.06</v>
      </c>
      <c r="F72" s="232">
        <f t="shared" si="8"/>
        <v>44.24</v>
      </c>
      <c r="G72" s="349"/>
      <c r="H72" s="349"/>
    </row>
    <row r="73" spans="1:9" ht="28.5" x14ac:dyDescent="0.2">
      <c r="A73" s="300">
        <v>4</v>
      </c>
      <c r="B73" s="298" t="s">
        <v>621</v>
      </c>
      <c r="C73" s="230" t="s">
        <v>184</v>
      </c>
      <c r="D73" s="247">
        <v>4</v>
      </c>
      <c r="E73" s="231">
        <v>33.75</v>
      </c>
      <c r="F73" s="232">
        <f t="shared" si="8"/>
        <v>135</v>
      </c>
      <c r="G73" s="349"/>
      <c r="H73" s="349"/>
    </row>
    <row r="74" spans="1:9" ht="15" x14ac:dyDescent="0.2">
      <c r="A74" s="300">
        <v>5</v>
      </c>
      <c r="B74" s="298" t="s">
        <v>185</v>
      </c>
      <c r="C74" s="230" t="s">
        <v>147</v>
      </c>
      <c r="D74" s="247">
        <v>1</v>
      </c>
      <c r="E74" s="231">
        <v>22.06</v>
      </c>
      <c r="F74" s="232">
        <f t="shared" si="8"/>
        <v>22.06</v>
      </c>
      <c r="G74" s="349"/>
      <c r="H74" s="349"/>
    </row>
    <row r="75" spans="1:9" ht="99.75" x14ac:dyDescent="0.2">
      <c r="A75" s="300">
        <v>6</v>
      </c>
      <c r="B75" s="233" t="s">
        <v>622</v>
      </c>
      <c r="C75" s="230" t="s">
        <v>147</v>
      </c>
      <c r="D75" s="247">
        <v>1</v>
      </c>
      <c r="E75" s="231">
        <v>151.35</v>
      </c>
      <c r="F75" s="232">
        <f t="shared" si="8"/>
        <v>151.35</v>
      </c>
      <c r="G75" s="349"/>
      <c r="H75" s="349"/>
    </row>
    <row r="76" spans="1:9" ht="15" x14ac:dyDescent="0.2">
      <c r="A76" s="300">
        <v>7</v>
      </c>
      <c r="B76" s="51" t="s">
        <v>623</v>
      </c>
      <c r="C76" s="230" t="s">
        <v>147</v>
      </c>
      <c r="D76" s="247">
        <v>2</v>
      </c>
      <c r="E76" s="231">
        <v>54.66</v>
      </c>
      <c r="F76" s="232">
        <f t="shared" si="8"/>
        <v>109.32</v>
      </c>
      <c r="G76" s="349"/>
      <c r="H76" s="349"/>
    </row>
    <row r="77" spans="1:9" ht="28.5" x14ac:dyDescent="0.2">
      <c r="A77" s="300">
        <v>8</v>
      </c>
      <c r="B77" s="298" t="s">
        <v>186</v>
      </c>
      <c r="C77" s="230" t="s">
        <v>187</v>
      </c>
      <c r="D77" s="230">
        <v>52</v>
      </c>
      <c r="E77" s="231">
        <v>4.38</v>
      </c>
      <c r="F77" s="232">
        <f t="shared" si="8"/>
        <v>227.76</v>
      </c>
      <c r="G77" s="349"/>
      <c r="H77" s="349"/>
    </row>
    <row r="78" spans="1:9" ht="15" x14ac:dyDescent="0.2">
      <c r="A78" s="300">
        <v>9</v>
      </c>
      <c r="B78" s="298" t="s">
        <v>188</v>
      </c>
      <c r="C78" s="230" t="s">
        <v>187</v>
      </c>
      <c r="D78" s="247">
        <v>6</v>
      </c>
      <c r="E78" s="231">
        <v>6.47</v>
      </c>
      <c r="F78" s="232">
        <f t="shared" si="8"/>
        <v>38.82</v>
      </c>
      <c r="G78" s="349"/>
      <c r="H78" s="349"/>
    </row>
    <row r="79" spans="1:9" ht="142.5" x14ac:dyDescent="0.2">
      <c r="A79" s="300">
        <v>10</v>
      </c>
      <c r="B79" s="51" t="s">
        <v>626</v>
      </c>
      <c r="C79" s="230" t="s">
        <v>147</v>
      </c>
      <c r="D79" s="247">
        <v>52</v>
      </c>
      <c r="E79" s="231">
        <v>2.19</v>
      </c>
      <c r="F79" s="232">
        <f t="shared" si="8"/>
        <v>113.88</v>
      </c>
      <c r="G79" s="349"/>
      <c r="H79" s="349"/>
    </row>
    <row r="80" spans="1:9" ht="171" x14ac:dyDescent="0.2">
      <c r="A80" s="300">
        <v>11</v>
      </c>
      <c r="B80" s="298" t="s">
        <v>624</v>
      </c>
      <c r="C80" s="230" t="s">
        <v>140</v>
      </c>
      <c r="D80" s="247">
        <v>1152</v>
      </c>
      <c r="E80" s="231">
        <v>7.0000000000000007E-2</v>
      </c>
      <c r="F80" s="232">
        <f t="shared" si="8"/>
        <v>80.640000000000015</v>
      </c>
      <c r="G80" s="354"/>
      <c r="H80" s="349"/>
    </row>
    <row r="81" spans="1:10" ht="42.75" x14ac:dyDescent="0.2">
      <c r="A81" s="300">
        <v>12</v>
      </c>
      <c r="B81" s="298" t="s">
        <v>189</v>
      </c>
      <c r="C81" s="230" t="s">
        <v>147</v>
      </c>
      <c r="D81" s="247">
        <v>2</v>
      </c>
      <c r="E81" s="231">
        <v>6.25</v>
      </c>
      <c r="F81" s="232">
        <f t="shared" si="8"/>
        <v>12.5</v>
      </c>
      <c r="G81" s="349"/>
      <c r="H81" s="349"/>
    </row>
    <row r="82" spans="1:10" ht="28.5" x14ac:dyDescent="0.2">
      <c r="A82" s="300">
        <v>13</v>
      </c>
      <c r="B82" s="298" t="s">
        <v>190</v>
      </c>
      <c r="C82" s="230" t="s">
        <v>147</v>
      </c>
      <c r="D82" s="247">
        <v>2</v>
      </c>
      <c r="E82" s="231">
        <v>63.17</v>
      </c>
      <c r="F82" s="232">
        <f t="shared" si="8"/>
        <v>126.34</v>
      </c>
      <c r="G82" s="349"/>
      <c r="H82" s="349"/>
    </row>
    <row r="83" spans="1:10" ht="28.5" x14ac:dyDescent="0.2">
      <c r="A83" s="300">
        <v>14</v>
      </c>
      <c r="B83" s="298" t="s">
        <v>191</v>
      </c>
      <c r="C83" s="230" t="s">
        <v>187</v>
      </c>
      <c r="D83" s="247">
        <v>2</v>
      </c>
      <c r="E83" s="231">
        <v>59.95</v>
      </c>
      <c r="F83" s="232">
        <f t="shared" si="8"/>
        <v>119.9</v>
      </c>
      <c r="G83" s="349"/>
      <c r="H83" s="349"/>
    </row>
    <row r="84" spans="1:10" ht="12.75" customHeight="1" x14ac:dyDescent="0.2">
      <c r="A84" s="351" t="s">
        <v>192</v>
      </c>
      <c r="B84" s="352"/>
      <c r="C84" s="352"/>
      <c r="D84" s="352"/>
      <c r="E84" s="353"/>
      <c r="F84" s="236">
        <f>SUM(F70:F83)</f>
        <v>1321.2300000000002</v>
      </c>
    </row>
    <row r="85" spans="1:10" ht="12.75" customHeight="1" x14ac:dyDescent="0.2">
      <c r="A85" s="351" t="s">
        <v>193</v>
      </c>
      <c r="B85" s="352"/>
      <c r="C85" s="352"/>
      <c r="D85" s="352"/>
      <c r="E85" s="353"/>
      <c r="F85" s="236">
        <f>F84/12</f>
        <v>110.10250000000002</v>
      </c>
      <c r="G85" s="242"/>
    </row>
    <row r="86" spans="1:10" ht="12.75" customHeight="1" x14ac:dyDescent="0.2">
      <c r="C86" s="241"/>
      <c r="D86" s="241"/>
      <c r="E86" s="241"/>
      <c r="F86" s="242"/>
      <c r="G86" s="242"/>
    </row>
    <row r="87" spans="1:10" ht="38.25" customHeight="1" x14ac:dyDescent="0.2">
      <c r="B87" s="248" t="s">
        <v>194</v>
      </c>
      <c r="C87" s="350" t="s">
        <v>195</v>
      </c>
      <c r="D87" s="350"/>
      <c r="E87" s="350" t="s">
        <v>196</v>
      </c>
      <c r="F87" s="350"/>
      <c r="G87" s="350" t="s">
        <v>197</v>
      </c>
      <c r="H87" s="350"/>
      <c r="I87" s="350"/>
    </row>
    <row r="88" spans="1:10" ht="14.25" customHeight="1" x14ac:dyDescent="0.2">
      <c r="B88" s="249" t="s">
        <v>198</v>
      </c>
      <c r="C88" s="348">
        <f>G21</f>
        <v>99389.88</v>
      </c>
      <c r="D88" s="348"/>
      <c r="E88" s="348">
        <f>C88/12</f>
        <v>8282.49</v>
      </c>
      <c r="F88" s="348"/>
      <c r="G88" s="348">
        <f>E88/'11. SAn Resumo da Proposta'!F14</f>
        <v>542.04240073631138</v>
      </c>
      <c r="H88" s="348"/>
      <c r="I88" s="348"/>
    </row>
    <row r="89" spans="1:10" ht="12.75" customHeight="1" x14ac:dyDescent="0.2">
      <c r="B89" s="249" t="s">
        <v>199</v>
      </c>
      <c r="C89" s="348">
        <f>G33</f>
        <v>24470.520000000004</v>
      </c>
      <c r="D89" s="348"/>
      <c r="E89" s="348">
        <f>C89/12</f>
        <v>2039.2100000000003</v>
      </c>
      <c r="F89" s="348"/>
      <c r="G89" s="348">
        <f>E89/'11. SAn Resumo da Proposta'!F14</f>
        <v>133.45482868141028</v>
      </c>
      <c r="H89" s="348"/>
      <c r="I89" s="348"/>
    </row>
    <row r="90" spans="1:10" ht="14.25" customHeight="1" x14ac:dyDescent="0.2">
      <c r="B90" s="249" t="s">
        <v>200</v>
      </c>
      <c r="C90" s="348">
        <f>H54</f>
        <v>4234.7</v>
      </c>
      <c r="D90" s="348"/>
      <c r="E90" s="348">
        <f>C90/12</f>
        <v>352.89166666666665</v>
      </c>
      <c r="F90" s="348"/>
      <c r="G90" s="348">
        <f>E90/'11. SAn Resumo da Proposta'!F14</f>
        <v>23.094775387575254</v>
      </c>
      <c r="H90" s="348"/>
      <c r="I90" s="348"/>
    </row>
    <row r="91" spans="1:10" ht="12.75" customHeight="1" x14ac:dyDescent="0.2">
      <c r="B91" s="250" t="s">
        <v>201</v>
      </c>
      <c r="C91" s="346">
        <f>SUM(C88:C90)</f>
        <v>128095.1</v>
      </c>
      <c r="D91" s="346"/>
      <c r="E91" s="346">
        <f>C91/12</f>
        <v>10674.591666666667</v>
      </c>
      <c r="F91" s="346"/>
      <c r="G91" s="346">
        <f>G88+G89+G90</f>
        <v>698.59200480529694</v>
      </c>
      <c r="H91" s="346"/>
      <c r="I91" s="346"/>
      <c r="J91" s="251"/>
    </row>
    <row r="92" spans="1:10" ht="12.75" customHeight="1" x14ac:dyDescent="0.2">
      <c r="B92" s="347"/>
      <c r="C92" s="347"/>
      <c r="D92" s="347"/>
      <c r="E92" s="347"/>
      <c r="F92" s="347"/>
      <c r="G92" s="345"/>
      <c r="H92" s="345"/>
      <c r="I92" s="345"/>
      <c r="J92" s="251"/>
    </row>
    <row r="93" spans="1:10" ht="12.75" customHeight="1" x14ac:dyDescent="0.2">
      <c r="B93" s="250" t="s">
        <v>168</v>
      </c>
      <c r="C93" s="346">
        <f>H66</f>
        <v>4161.7160000000003</v>
      </c>
      <c r="D93" s="346"/>
      <c r="E93" s="346">
        <f>C93/12</f>
        <v>346.80966666666671</v>
      </c>
      <c r="F93" s="346"/>
      <c r="G93" s="346">
        <f>E93/'11. SAn Resumo da Proposta'!F14</f>
        <v>22.696742684695057</v>
      </c>
      <c r="H93" s="346"/>
      <c r="I93" s="346"/>
      <c r="J93" s="251"/>
    </row>
    <row r="94" spans="1:10" ht="12.75" customHeight="1" x14ac:dyDescent="0.2">
      <c r="B94" s="344"/>
      <c r="C94" s="344"/>
      <c r="D94" s="344"/>
      <c r="E94" s="344"/>
      <c r="F94" s="344"/>
      <c r="G94" s="345"/>
      <c r="H94" s="345"/>
      <c r="I94" s="345"/>
      <c r="J94" s="251"/>
    </row>
    <row r="95" spans="1:10" ht="12.75" customHeight="1" x14ac:dyDescent="0.2">
      <c r="B95" s="250" t="s">
        <v>180</v>
      </c>
      <c r="C95" s="346">
        <f>F84</f>
        <v>1321.2300000000002</v>
      </c>
      <c r="D95" s="346"/>
      <c r="E95" s="346">
        <f>C95/12</f>
        <v>110.10250000000002</v>
      </c>
      <c r="F95" s="346"/>
      <c r="G95" s="346">
        <f>E95</f>
        <v>110.10250000000002</v>
      </c>
      <c r="H95" s="346"/>
      <c r="I95" s="346"/>
      <c r="J95" s="251"/>
    </row>
    <row r="96" spans="1:10" ht="12.75" customHeight="1" x14ac:dyDescent="0.2">
      <c r="B96" s="344"/>
      <c r="C96" s="344"/>
      <c r="D96" s="344"/>
      <c r="E96" s="344"/>
      <c r="F96" s="344"/>
      <c r="G96" s="345"/>
      <c r="H96" s="345"/>
      <c r="I96" s="345"/>
      <c r="J96" s="251"/>
    </row>
    <row r="97" spans="2:12" ht="12.75" customHeight="1" x14ac:dyDescent="0.2">
      <c r="B97" s="250" t="s">
        <v>202</v>
      </c>
      <c r="C97" s="346">
        <f>C91+C93+C95</f>
        <v>133578.046</v>
      </c>
      <c r="D97" s="346"/>
      <c r="E97" s="346">
        <f>C97/12</f>
        <v>11131.503833333334</v>
      </c>
      <c r="F97" s="346"/>
      <c r="G97" s="346">
        <f>G91+G93+G95</f>
        <v>831.39124748999211</v>
      </c>
      <c r="H97" s="346"/>
      <c r="I97" s="346"/>
      <c r="J97" s="251"/>
    </row>
    <row r="98" spans="2:12" ht="12.75" customHeight="1" x14ac:dyDescent="0.2">
      <c r="B98" s="252"/>
      <c r="C98" s="253"/>
      <c r="D98" s="253"/>
      <c r="E98" s="253"/>
      <c r="F98" s="253"/>
      <c r="G98" s="242"/>
    </row>
    <row r="99" spans="2:12" ht="30.75" customHeight="1" x14ac:dyDescent="0.2">
      <c r="B99" s="342" t="s">
        <v>203</v>
      </c>
      <c r="C99" s="342"/>
      <c r="D99" s="342"/>
      <c r="E99" s="342"/>
      <c r="F99" s="342"/>
      <c r="G99" s="342"/>
      <c r="H99" s="342"/>
      <c r="I99" s="254">
        <f>'11. SAn Resumo da Proposta'!$D$12</f>
        <v>16.280151495065791</v>
      </c>
    </row>
    <row r="100" spans="2:12" ht="12.75" customHeight="1" x14ac:dyDescent="0.2">
      <c r="C100" s="241"/>
      <c r="D100" s="241"/>
      <c r="E100" s="241"/>
      <c r="F100" s="242"/>
      <c r="G100" s="242"/>
    </row>
    <row r="101" spans="2:12" ht="29.25" customHeight="1" x14ac:dyDescent="0.2">
      <c r="B101" s="343" t="s">
        <v>204</v>
      </c>
      <c r="C101" s="343"/>
      <c r="D101" s="343"/>
      <c r="E101" s="343"/>
      <c r="F101" s="343"/>
      <c r="G101" s="343"/>
      <c r="H101" s="343"/>
      <c r="I101" s="343"/>
    </row>
    <row r="102" spans="2:12" ht="29.25" customHeight="1" x14ac:dyDescent="0.2">
      <c r="B102" s="343" t="s">
        <v>205</v>
      </c>
      <c r="C102" s="343"/>
      <c r="D102" s="343"/>
      <c r="E102" s="343"/>
      <c r="F102" s="343"/>
      <c r="G102" s="343"/>
      <c r="H102" s="343"/>
      <c r="I102" s="343"/>
    </row>
    <row r="103" spans="2:12" ht="29.25" customHeight="1" x14ac:dyDescent="0.2">
      <c r="B103" s="343" t="s">
        <v>206</v>
      </c>
      <c r="C103" s="343"/>
      <c r="D103" s="343"/>
      <c r="E103" s="343"/>
      <c r="F103" s="343"/>
      <c r="G103" s="343"/>
      <c r="H103" s="343"/>
      <c r="I103" s="343"/>
      <c r="L103" s="225" t="s">
        <v>207</v>
      </c>
    </row>
    <row r="104" spans="2:12" ht="12.75" customHeight="1" x14ac:dyDescent="0.2"/>
    <row r="105" spans="2:12" ht="12.75" customHeight="1" x14ac:dyDescent="0.2"/>
    <row r="106" spans="2:12" ht="12.75" customHeight="1" x14ac:dyDescent="0.2"/>
    <row r="107" spans="2:12" ht="12.75" customHeight="1" x14ac:dyDescent="0.2"/>
    <row r="108" spans="2:12" ht="12.75" customHeight="1" x14ac:dyDescent="0.2"/>
    <row r="109" spans="2:12" ht="12.75" customHeight="1" x14ac:dyDescent="0.2"/>
    <row r="110" spans="2:12" ht="12.75" customHeight="1" x14ac:dyDescent="0.2"/>
    <row r="111" spans="2:12" ht="12.75" customHeight="1" x14ac:dyDescent="0.2"/>
    <row r="112" spans="2: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sheetData>
  <mergeCells count="64">
    <mergeCell ref="A1:I1"/>
    <mergeCell ref="A2:I2"/>
    <mergeCell ref="A3:I3"/>
    <mergeCell ref="A4:I4"/>
    <mergeCell ref="A5:I5"/>
    <mergeCell ref="A21:F21"/>
    <mergeCell ref="A22:F22"/>
    <mergeCell ref="A33:F33"/>
    <mergeCell ref="A34:F34"/>
    <mergeCell ref="A54:G54"/>
    <mergeCell ref="G69:H69"/>
    <mergeCell ref="G70:H70"/>
    <mergeCell ref="A55:G55"/>
    <mergeCell ref="A66:G66"/>
    <mergeCell ref="A67:G67"/>
    <mergeCell ref="G71:H71"/>
    <mergeCell ref="G72:H72"/>
    <mergeCell ref="G73:H73"/>
    <mergeCell ref="G74:H74"/>
    <mergeCell ref="G75:H75"/>
    <mergeCell ref="G76:H76"/>
    <mergeCell ref="G77:H77"/>
    <mergeCell ref="G78:H78"/>
    <mergeCell ref="G79:H79"/>
    <mergeCell ref="G81:H81"/>
    <mergeCell ref="G80:H80"/>
    <mergeCell ref="G82:H82"/>
    <mergeCell ref="G83:H83"/>
    <mergeCell ref="C87:D87"/>
    <mergeCell ref="E87:F87"/>
    <mergeCell ref="G87:I87"/>
    <mergeCell ref="A84:E84"/>
    <mergeCell ref="A85:E85"/>
    <mergeCell ref="C88:D88"/>
    <mergeCell ref="E88:F88"/>
    <mergeCell ref="G88:I88"/>
    <mergeCell ref="C89:D89"/>
    <mergeCell ref="E89:F89"/>
    <mergeCell ref="G89:I89"/>
    <mergeCell ref="C90:D90"/>
    <mergeCell ref="E90:F90"/>
    <mergeCell ref="G90:I90"/>
    <mergeCell ref="C91:D91"/>
    <mergeCell ref="E91:F91"/>
    <mergeCell ref="G91:I91"/>
    <mergeCell ref="B92:F92"/>
    <mergeCell ref="G92:I92"/>
    <mergeCell ref="C93:D93"/>
    <mergeCell ref="E93:F93"/>
    <mergeCell ref="G93:I93"/>
    <mergeCell ref="B94:F94"/>
    <mergeCell ref="G94:I94"/>
    <mergeCell ref="C95:D95"/>
    <mergeCell ref="E95:F95"/>
    <mergeCell ref="G95:I95"/>
    <mergeCell ref="B99:H99"/>
    <mergeCell ref="B101:I101"/>
    <mergeCell ref="B102:I102"/>
    <mergeCell ref="B103:I103"/>
    <mergeCell ref="B96:F96"/>
    <mergeCell ref="G96:I96"/>
    <mergeCell ref="C97:D97"/>
    <mergeCell ref="E97:F97"/>
    <mergeCell ref="G97:I97"/>
  </mergeCells>
  <printOptions horizontalCentered="1"/>
  <pageMargins left="0" right="0" top="0.39370078740157483" bottom="0" header="0" footer="0.51181102362204722"/>
  <pageSetup paperSize="9" scale="65" firstPageNumber="0" pageOrder="overThenDown" orientation="portrait" r:id="rId1"/>
  <headerFooter>
    <oddHeader>&amp;R&amp;P de &amp;N</oddHeader>
    <oddFooter>&amp;L&amp;F - &amp;A&amp;CPágina &amp;P de &amp;N</oddFooter>
  </headerFooter>
  <rowBreaks count="3" manualBreakCount="3">
    <brk id="22" max="16383" man="1"/>
    <brk id="42" max="8" man="1"/>
    <brk id="68" max="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MK842"/>
  <sheetViews>
    <sheetView showGridLines="0" zoomScale="115" zoomScaleNormal="115" workbookViewId="0">
      <pane xSplit="3" ySplit="7" topLeftCell="AB25" activePane="bottomRight" state="frozen"/>
      <selection activeCell="A63" sqref="A63:B63"/>
      <selection pane="topRight" activeCell="A63" sqref="A63:B63"/>
      <selection pane="bottomLeft" activeCell="A63" sqref="A63:B63"/>
      <selection pane="bottomRight" activeCell="A63" sqref="A63:B63"/>
    </sheetView>
  </sheetViews>
  <sheetFormatPr defaultRowHeight="12.75" x14ac:dyDescent="0.2"/>
  <cols>
    <col min="1" max="1" width="6.7109375" style="197" customWidth="1"/>
    <col min="2" max="2" width="15.5703125" style="197" customWidth="1"/>
    <col min="3" max="3" width="18" style="197" customWidth="1"/>
    <col min="4" max="4" width="14.5703125" style="197" customWidth="1"/>
    <col min="5" max="5" width="13.85546875" style="197" customWidth="1"/>
    <col min="6" max="7" width="12.140625" style="197" customWidth="1"/>
    <col min="8" max="8" width="13" style="197" customWidth="1"/>
    <col min="9" max="12" width="12.140625" style="197" customWidth="1"/>
    <col min="13" max="13" width="13" style="197" customWidth="1"/>
    <col min="14" max="15" width="12.140625" style="197" hidden="1" customWidth="1"/>
    <col min="16" max="23" width="12.140625" style="197" customWidth="1"/>
    <col min="24" max="24" width="14.7109375" style="197" customWidth="1"/>
    <col min="25" max="25" width="13.5703125" style="197" customWidth="1"/>
    <col min="26" max="28" width="12.140625" style="197" customWidth="1"/>
    <col min="29" max="29" width="15.140625" style="197" customWidth="1"/>
    <col min="30" max="31" width="12.140625" style="197" customWidth="1"/>
    <col min="32" max="32" width="10" style="197" customWidth="1"/>
    <col min="33" max="33" width="13.28515625" style="197" customWidth="1"/>
    <col min="34" max="35" width="11.140625" style="197" customWidth="1"/>
    <col min="36" max="36" width="12.7109375" style="197" customWidth="1"/>
    <col min="37" max="37" width="9.7109375" style="197" customWidth="1"/>
    <col min="38" max="39" width="11" style="197" hidden="1" customWidth="1"/>
    <col min="40" max="40" width="11" style="197" customWidth="1"/>
    <col min="41" max="41" width="12.28515625" style="197" customWidth="1"/>
    <col min="42" max="43" width="11.85546875" style="197" hidden="1" customWidth="1"/>
    <col min="44" max="44" width="11.85546875" style="197" customWidth="1"/>
    <col min="45" max="45" width="9.85546875" style="197" customWidth="1"/>
    <col min="46" max="47" width="10" style="197" customWidth="1"/>
    <col min="48" max="48" width="11.28515625" style="197" customWidth="1"/>
    <col min="49" max="49" width="10" style="197" customWidth="1"/>
    <col min="50" max="50" width="10.85546875" style="197" customWidth="1"/>
    <col min="51" max="51" width="10.7109375" style="197" customWidth="1"/>
    <col min="52" max="53" width="12.7109375" style="197" customWidth="1"/>
    <col min="54" max="56" width="11.85546875" style="197" customWidth="1"/>
    <col min="57" max="64" width="8" style="197" customWidth="1"/>
    <col min="65" max="1025" width="14.42578125" style="197" customWidth="1"/>
    <col min="1026" max="16384" width="9.140625" style="198"/>
  </cols>
  <sheetData>
    <row r="1" spans="1:64" ht="12.75" customHeight="1" x14ac:dyDescent="0.2">
      <c r="A1" s="386"/>
      <c r="B1" s="386"/>
      <c r="C1" s="386"/>
      <c r="D1" s="386"/>
      <c r="E1" s="387" t="s">
        <v>208</v>
      </c>
      <c r="F1" s="387"/>
      <c r="G1" s="387"/>
      <c r="H1" s="387"/>
      <c r="I1" s="387"/>
      <c r="J1" s="387"/>
      <c r="K1" s="387"/>
      <c r="L1" s="387"/>
      <c r="M1" s="387"/>
      <c r="N1" s="387"/>
      <c r="O1" s="387"/>
      <c r="P1" s="387"/>
      <c r="Q1" s="387"/>
      <c r="R1" s="387"/>
      <c r="S1" s="387"/>
      <c r="T1" s="387" t="str">
        <f>'1. SAn ABA DE CARREGAMENTO'!A4</f>
        <v>CAMPUS SANTO ÂNGELO</v>
      </c>
      <c r="U1" s="387"/>
      <c r="V1" s="387"/>
      <c r="W1" s="387"/>
      <c r="X1" s="387"/>
      <c r="Y1" s="387"/>
      <c r="Z1" s="387"/>
      <c r="AA1" s="387"/>
      <c r="AB1" s="387"/>
      <c r="AC1" s="388" t="s">
        <v>209</v>
      </c>
      <c r="AD1" s="388"/>
      <c r="AE1" s="388"/>
      <c r="AF1" s="388"/>
      <c r="AG1" s="388"/>
      <c r="AH1" s="388"/>
      <c r="AI1" s="388"/>
      <c r="AJ1" s="388"/>
      <c r="AK1" s="388"/>
      <c r="AL1" s="224"/>
      <c r="AM1" s="224"/>
      <c r="AN1" s="389" t="str">
        <f>'1. SAn ABA DE CARREGAMENTO'!A4</f>
        <v>CAMPUS SANTO ÂNGELO</v>
      </c>
      <c r="AO1" s="389"/>
      <c r="AP1" s="389"/>
      <c r="AQ1" s="389"/>
      <c r="AR1" s="389"/>
      <c r="AS1" s="389"/>
      <c r="AT1" s="389"/>
      <c r="AU1" s="389"/>
      <c r="AV1" s="389"/>
      <c r="AW1" s="389"/>
      <c r="AX1" s="389"/>
      <c r="AY1" s="389"/>
      <c r="AZ1" s="389"/>
      <c r="BA1" s="389"/>
      <c r="BB1" s="389"/>
      <c r="BC1" s="389"/>
      <c r="BD1" s="389"/>
    </row>
    <row r="2" spans="1:64" ht="12.75" customHeight="1" x14ac:dyDescent="0.2">
      <c r="A2" s="386"/>
      <c r="B2" s="386"/>
      <c r="C2" s="386"/>
      <c r="D2" s="386"/>
      <c r="E2" s="387"/>
      <c r="F2" s="387"/>
      <c r="G2" s="387"/>
      <c r="H2" s="387"/>
      <c r="I2" s="387"/>
      <c r="J2" s="387"/>
      <c r="K2" s="387"/>
      <c r="L2" s="387"/>
      <c r="M2" s="387"/>
      <c r="N2" s="387"/>
      <c r="O2" s="387"/>
      <c r="P2" s="387"/>
      <c r="Q2" s="387"/>
      <c r="R2" s="387"/>
      <c r="S2" s="387"/>
      <c r="T2" s="387"/>
      <c r="U2" s="387"/>
      <c r="V2" s="387"/>
      <c r="W2" s="387"/>
      <c r="X2" s="387"/>
      <c r="Y2" s="387"/>
      <c r="Z2" s="387"/>
      <c r="AA2" s="387"/>
      <c r="AB2" s="387"/>
      <c r="AC2" s="388"/>
      <c r="AD2" s="388"/>
      <c r="AE2" s="388"/>
      <c r="AF2" s="388"/>
      <c r="AG2" s="388"/>
      <c r="AH2" s="388"/>
      <c r="AI2" s="388"/>
      <c r="AJ2" s="388"/>
      <c r="AK2" s="388"/>
      <c r="AL2" s="224"/>
      <c r="AM2" s="224"/>
      <c r="AN2" s="389"/>
      <c r="AO2" s="389"/>
      <c r="AP2" s="389"/>
      <c r="AQ2" s="389"/>
      <c r="AR2" s="389"/>
      <c r="AS2" s="389"/>
      <c r="AT2" s="389"/>
      <c r="AU2" s="389"/>
      <c r="AV2" s="389"/>
      <c r="AW2" s="389"/>
      <c r="AX2" s="389"/>
      <c r="AY2" s="389"/>
      <c r="AZ2" s="389"/>
      <c r="BA2" s="389"/>
      <c r="BB2" s="389"/>
      <c r="BC2" s="389"/>
      <c r="BD2" s="389"/>
    </row>
    <row r="3" spans="1:64" ht="12.75" customHeight="1" x14ac:dyDescent="0.2">
      <c r="A3" s="386"/>
      <c r="B3" s="386"/>
      <c r="C3" s="386"/>
      <c r="D3" s="386"/>
      <c r="E3" s="387"/>
      <c r="F3" s="387"/>
      <c r="G3" s="387"/>
      <c r="H3" s="387"/>
      <c r="I3" s="387"/>
      <c r="J3" s="387"/>
      <c r="K3" s="387"/>
      <c r="L3" s="387"/>
      <c r="M3" s="387"/>
      <c r="N3" s="387"/>
      <c r="O3" s="387"/>
      <c r="P3" s="387"/>
      <c r="Q3" s="387"/>
      <c r="R3" s="387"/>
      <c r="S3" s="387"/>
      <c r="T3" s="387"/>
      <c r="U3" s="387"/>
      <c r="V3" s="387"/>
      <c r="W3" s="387"/>
      <c r="X3" s="387"/>
      <c r="Y3" s="387"/>
      <c r="Z3" s="387"/>
      <c r="AA3" s="387"/>
      <c r="AB3" s="387"/>
      <c r="AC3" s="388"/>
      <c r="AD3" s="388"/>
      <c r="AE3" s="388"/>
      <c r="AF3" s="388"/>
      <c r="AG3" s="388"/>
      <c r="AH3" s="388"/>
      <c r="AI3" s="388"/>
      <c r="AJ3" s="388"/>
      <c r="AK3" s="388"/>
      <c r="AL3" s="224"/>
      <c r="AM3" s="224"/>
      <c r="AN3" s="389"/>
      <c r="AO3" s="389"/>
      <c r="AP3" s="389"/>
      <c r="AQ3" s="389"/>
      <c r="AR3" s="389"/>
      <c r="AS3" s="389"/>
      <c r="AT3" s="389"/>
      <c r="AU3" s="389"/>
      <c r="AV3" s="389"/>
      <c r="AW3" s="389"/>
      <c r="AX3" s="389"/>
      <c r="AY3" s="389"/>
      <c r="AZ3" s="389"/>
      <c r="BA3" s="389"/>
      <c r="BB3" s="389"/>
      <c r="BC3" s="389"/>
      <c r="BD3" s="389"/>
    </row>
    <row r="4" spans="1:64" ht="12.75" customHeight="1" x14ac:dyDescent="0.2">
      <c r="A4" s="386"/>
      <c r="B4" s="386"/>
      <c r="C4" s="386"/>
      <c r="D4" s="386"/>
      <c r="E4" s="387"/>
      <c r="F4" s="387"/>
      <c r="G4" s="387"/>
      <c r="H4" s="387"/>
      <c r="I4" s="387"/>
      <c r="J4" s="387"/>
      <c r="K4" s="387"/>
      <c r="L4" s="387"/>
      <c r="M4" s="387"/>
      <c r="N4" s="387"/>
      <c r="O4" s="387"/>
      <c r="P4" s="387"/>
      <c r="Q4" s="387"/>
      <c r="R4" s="387"/>
      <c r="S4" s="387"/>
      <c r="T4" s="387"/>
      <c r="U4" s="387"/>
      <c r="V4" s="387"/>
      <c r="W4" s="387"/>
      <c r="X4" s="387"/>
      <c r="Y4" s="387"/>
      <c r="Z4" s="387"/>
      <c r="AA4" s="387"/>
      <c r="AB4" s="387"/>
      <c r="AC4" s="388"/>
      <c r="AD4" s="388"/>
      <c r="AE4" s="388"/>
      <c r="AF4" s="388"/>
      <c r="AG4" s="388"/>
      <c r="AH4" s="388"/>
      <c r="AI4" s="388"/>
      <c r="AJ4" s="388"/>
      <c r="AK4" s="388"/>
      <c r="AL4" s="224"/>
      <c r="AM4" s="224"/>
      <c r="AN4" s="389"/>
      <c r="AO4" s="389"/>
      <c r="AP4" s="389"/>
      <c r="AQ4" s="389"/>
      <c r="AR4" s="389"/>
      <c r="AS4" s="389"/>
      <c r="AT4" s="389"/>
      <c r="AU4" s="389"/>
      <c r="AV4" s="389"/>
      <c r="AW4" s="389"/>
      <c r="AX4" s="389"/>
      <c r="AY4" s="389"/>
      <c r="AZ4" s="389"/>
      <c r="BA4" s="389"/>
      <c r="BB4" s="389"/>
      <c r="BC4" s="389"/>
      <c r="BD4" s="389"/>
    </row>
    <row r="5" spans="1:64" ht="15.75" customHeight="1" x14ac:dyDescent="0.2">
      <c r="A5" s="385" t="s">
        <v>210</v>
      </c>
      <c r="B5" s="384" t="s">
        <v>211</v>
      </c>
      <c r="C5" s="384" t="s">
        <v>212</v>
      </c>
      <c r="D5" s="384" t="s">
        <v>213</v>
      </c>
      <c r="E5" s="384" t="s">
        <v>214</v>
      </c>
      <c r="F5" s="384"/>
      <c r="G5" s="384"/>
      <c r="H5" s="384"/>
      <c r="I5" s="384"/>
      <c r="J5" s="384"/>
      <c r="K5" s="384"/>
      <c r="L5" s="384"/>
      <c r="M5" s="384"/>
      <c r="N5" s="384"/>
      <c r="O5" s="384"/>
      <c r="P5" s="384"/>
      <c r="Q5" s="384"/>
      <c r="R5" s="384"/>
      <c r="S5" s="384"/>
      <c r="T5" s="384"/>
      <c r="U5" s="384"/>
      <c r="V5" s="384"/>
      <c r="W5" s="384"/>
      <c r="X5" s="384"/>
      <c r="Y5" s="384"/>
      <c r="Z5" s="384"/>
      <c r="AA5" s="384"/>
      <c r="AB5" s="384"/>
      <c r="AC5" s="384" t="s">
        <v>215</v>
      </c>
      <c r="AD5" s="385" t="s">
        <v>216</v>
      </c>
      <c r="AE5" s="385" t="s">
        <v>217</v>
      </c>
      <c r="AF5" s="199"/>
      <c r="AG5" s="384" t="s">
        <v>218</v>
      </c>
      <c r="AH5" s="384"/>
      <c r="AI5" s="384"/>
      <c r="AJ5" s="384"/>
      <c r="AK5" s="384"/>
      <c r="AL5" s="384"/>
      <c r="AM5" s="384"/>
      <c r="AN5" s="384"/>
      <c r="AO5" s="384"/>
      <c r="AP5" s="384"/>
      <c r="AQ5" s="384"/>
      <c r="AR5" s="384"/>
      <c r="AS5" s="384"/>
      <c r="AT5" s="384"/>
      <c r="AU5" s="384"/>
      <c r="AV5" s="384"/>
      <c r="AW5" s="384"/>
      <c r="AX5" s="384"/>
      <c r="AY5" s="384"/>
      <c r="AZ5" s="384"/>
      <c r="BA5" s="384"/>
      <c r="BB5" s="384"/>
      <c r="BC5" s="384"/>
      <c r="BD5" s="384"/>
    </row>
    <row r="6" spans="1:64" ht="56.25" customHeight="1" x14ac:dyDescent="0.2">
      <c r="A6" s="385"/>
      <c r="B6" s="385"/>
      <c r="C6" s="385"/>
      <c r="D6" s="385"/>
      <c r="E6" s="379" t="s">
        <v>219</v>
      </c>
      <c r="F6" s="379"/>
      <c r="G6" s="379"/>
      <c r="H6" s="379"/>
      <c r="I6" s="379"/>
      <c r="J6" s="379"/>
      <c r="K6" s="379"/>
      <c r="L6" s="379"/>
      <c r="M6" s="379" t="s">
        <v>220</v>
      </c>
      <c r="N6" s="379"/>
      <c r="O6" s="379"/>
      <c r="P6" s="379"/>
      <c r="Q6" s="379"/>
      <c r="R6" s="379"/>
      <c r="S6" s="379"/>
      <c r="T6" s="379"/>
      <c r="U6" s="379" t="s">
        <v>221</v>
      </c>
      <c r="V6" s="379"/>
      <c r="W6" s="379"/>
      <c r="X6" s="202" t="s">
        <v>222</v>
      </c>
      <c r="Y6" s="202" t="s">
        <v>223</v>
      </c>
      <c r="Z6" s="379" t="s">
        <v>224</v>
      </c>
      <c r="AA6" s="379"/>
      <c r="AB6" s="379"/>
      <c r="AC6" s="384"/>
      <c r="AD6" s="384"/>
      <c r="AE6" s="384"/>
      <c r="AF6" s="199"/>
      <c r="AG6" s="379" t="s">
        <v>219</v>
      </c>
      <c r="AH6" s="379"/>
      <c r="AI6" s="379"/>
      <c r="AJ6" s="379"/>
      <c r="AK6" s="379"/>
      <c r="AL6" s="379"/>
      <c r="AM6" s="379"/>
      <c r="AN6" s="379"/>
      <c r="AO6" s="379" t="s">
        <v>220</v>
      </c>
      <c r="AP6" s="379"/>
      <c r="AQ6" s="379"/>
      <c r="AR6" s="379"/>
      <c r="AS6" s="379"/>
      <c r="AT6" s="379"/>
      <c r="AU6" s="379"/>
      <c r="AV6" s="379"/>
      <c r="AW6" s="379" t="s">
        <v>221</v>
      </c>
      <c r="AX6" s="379"/>
      <c r="AY6" s="379"/>
      <c r="AZ6" s="202" t="s">
        <v>222</v>
      </c>
      <c r="BA6" s="202" t="s">
        <v>223</v>
      </c>
      <c r="BB6" s="379" t="s">
        <v>224</v>
      </c>
      <c r="BC6" s="379"/>
      <c r="BD6" s="379"/>
    </row>
    <row r="7" spans="1:64" ht="78.75" customHeight="1" x14ac:dyDescent="0.2">
      <c r="A7" s="385"/>
      <c r="B7" s="385"/>
      <c r="C7" s="385"/>
      <c r="D7" s="385"/>
      <c r="E7" s="200" t="s">
        <v>225</v>
      </c>
      <c r="F7" s="200" t="s">
        <v>226</v>
      </c>
      <c r="G7" s="200" t="s">
        <v>25</v>
      </c>
      <c r="H7" s="200" t="s">
        <v>227</v>
      </c>
      <c r="I7" s="200" t="s">
        <v>27</v>
      </c>
      <c r="J7" s="200" t="s">
        <v>228</v>
      </c>
      <c r="K7" s="200" t="s">
        <v>31</v>
      </c>
      <c r="L7" s="200" t="s">
        <v>229</v>
      </c>
      <c r="M7" s="200" t="s">
        <v>230</v>
      </c>
      <c r="N7" s="200" t="s">
        <v>231</v>
      </c>
      <c r="O7" s="200" t="s">
        <v>232</v>
      </c>
      <c r="P7" s="200" t="s">
        <v>233</v>
      </c>
      <c r="Q7" s="200" t="s">
        <v>234</v>
      </c>
      <c r="R7" s="200" t="s">
        <v>235</v>
      </c>
      <c r="S7" s="200" t="s">
        <v>236</v>
      </c>
      <c r="T7" s="200" t="s">
        <v>237</v>
      </c>
      <c r="U7" s="200" t="s">
        <v>238</v>
      </c>
      <c r="V7" s="200" t="s">
        <v>239</v>
      </c>
      <c r="W7" s="200" t="s">
        <v>240</v>
      </c>
      <c r="X7" s="200" t="s">
        <v>222</v>
      </c>
      <c r="Y7" s="200" t="s">
        <v>223</v>
      </c>
      <c r="Z7" s="200" t="s">
        <v>241</v>
      </c>
      <c r="AA7" s="200" t="s">
        <v>43</v>
      </c>
      <c r="AB7" s="200" t="s">
        <v>44</v>
      </c>
      <c r="AC7" s="384"/>
      <c r="AD7" s="384"/>
      <c r="AE7" s="384"/>
      <c r="AF7" s="199"/>
      <c r="AG7" s="200" t="s">
        <v>242</v>
      </c>
      <c r="AH7" s="200" t="s">
        <v>226</v>
      </c>
      <c r="AI7" s="200" t="s">
        <v>25</v>
      </c>
      <c r="AJ7" s="200" t="s">
        <v>227</v>
      </c>
      <c r="AK7" s="200" t="s">
        <v>27</v>
      </c>
      <c r="AL7" s="200" t="s">
        <v>228</v>
      </c>
      <c r="AM7" s="200" t="s">
        <v>31</v>
      </c>
      <c r="AN7" s="200" t="s">
        <v>229</v>
      </c>
      <c r="AO7" s="200" t="s">
        <v>230</v>
      </c>
      <c r="AP7" s="200" t="s">
        <v>231</v>
      </c>
      <c r="AQ7" s="200" t="s">
        <v>232</v>
      </c>
      <c r="AR7" s="200" t="s">
        <v>233</v>
      </c>
      <c r="AS7" s="200" t="s">
        <v>234</v>
      </c>
      <c r="AT7" s="200" t="s">
        <v>235</v>
      </c>
      <c r="AU7" s="200" t="s">
        <v>236</v>
      </c>
      <c r="AV7" s="200" t="s">
        <v>237</v>
      </c>
      <c r="AW7" s="200" t="s">
        <v>238</v>
      </c>
      <c r="AX7" s="200" t="s">
        <v>239</v>
      </c>
      <c r="AY7" s="200" t="s">
        <v>240</v>
      </c>
      <c r="AZ7" s="200" t="s">
        <v>222</v>
      </c>
      <c r="BA7" s="200" t="s">
        <v>223</v>
      </c>
      <c r="BB7" s="200" t="s">
        <v>241</v>
      </c>
      <c r="BC7" s="200" t="s">
        <v>43</v>
      </c>
      <c r="BD7" s="200" t="s">
        <v>44</v>
      </c>
      <c r="BE7" s="201"/>
      <c r="BF7" s="201"/>
      <c r="BG7" s="201"/>
      <c r="BH7" s="201"/>
      <c r="BI7" s="201"/>
      <c r="BJ7" s="201"/>
      <c r="BK7" s="201"/>
      <c r="BL7" s="201"/>
    </row>
    <row r="8" spans="1:64" ht="30" customHeight="1" x14ac:dyDescent="0.2">
      <c r="A8" s="378">
        <v>1</v>
      </c>
      <c r="B8" s="379" t="s">
        <v>243</v>
      </c>
      <c r="C8" s="202" t="s">
        <v>244</v>
      </c>
      <c r="D8" s="380">
        <f>SUM(E8:AB15)</f>
        <v>2352.0500000000002</v>
      </c>
      <c r="E8" s="202"/>
      <c r="F8" s="202">
        <v>609.72</v>
      </c>
      <c r="G8" s="202"/>
      <c r="H8" s="202"/>
      <c r="I8" s="202"/>
      <c r="J8" s="202"/>
      <c r="K8" s="202"/>
      <c r="L8" s="202"/>
      <c r="M8" s="202"/>
      <c r="N8" s="202"/>
      <c r="O8" s="202"/>
      <c r="P8" s="202"/>
      <c r="Q8" s="202"/>
      <c r="R8" s="202"/>
      <c r="S8" s="202"/>
      <c r="T8" s="202"/>
      <c r="U8" s="202"/>
      <c r="V8" s="202"/>
      <c r="W8" s="202"/>
      <c r="X8" s="202"/>
      <c r="Y8" s="202"/>
      <c r="Z8" s="202"/>
      <c r="AA8" s="202"/>
      <c r="AB8" s="202"/>
      <c r="AC8" s="202" t="s">
        <v>245</v>
      </c>
      <c r="AD8" s="203">
        <f>IF(AC8="DIÁRIA",AE8,IF(AC8="2xDIA",(AE8*2),IF(AC8="3xDIA",(AE8*3),IF(AC8="4xDIA",(AE8*4),IF(AC8="5xDIA",(AE8*5),IF(AC8="6xDIA",(AE8*6),IF(AC8="SEMANAL",4.33,IF(AC8="2xSEMANA",8,IF(AC8="3xSEMANA",12,IF(AC8="QUINZENAL",2,IF(AC8="MENSAL",1,IF(AC8="BIMESTRAL",0.5,IF(AC8="TRIMESTRAL",0.33,IF(AC8="SEMESTRAL",0.17,0))))))))))))))</f>
        <v>24</v>
      </c>
      <c r="AE8" s="204">
        <f>'1. SAn ABA DE CARREGAMENTO'!$B$90</f>
        <v>24</v>
      </c>
      <c r="AF8" s="380">
        <f>SUM(AG8:BD15)</f>
        <v>2291.1739625</v>
      </c>
      <c r="AG8" s="205">
        <f t="shared" ref="AG8:AG53" si="0">(E8*AD8)/AE8</f>
        <v>0</v>
      </c>
      <c r="AH8" s="205">
        <f t="shared" ref="AH8:AH53" si="1">(F8*AD8)/AE8</f>
        <v>609.72</v>
      </c>
      <c r="AI8" s="205">
        <f t="shared" ref="AI8:AI53" si="2">(G8*AD8)/AE8</f>
        <v>0</v>
      </c>
      <c r="AJ8" s="205">
        <f t="shared" ref="AJ8:AJ53" si="3">(H8*AD8)/AE8</f>
        <v>0</v>
      </c>
      <c r="AK8" s="205">
        <f t="shared" ref="AK8:AK53" si="4">(I8*AD8)/AE8</f>
        <v>0</v>
      </c>
      <c r="AL8" s="205">
        <f t="shared" ref="AL8:AL54" si="5">(J8*AD8)/AE8</f>
        <v>0</v>
      </c>
      <c r="AM8" s="205">
        <f t="shared" ref="AM8:AM54" si="6">(K8*AD8)/AE8</f>
        <v>0</v>
      </c>
      <c r="AN8" s="205">
        <f t="shared" ref="AN8:AN53" si="7">(L8*AD8)/AE8</f>
        <v>0</v>
      </c>
      <c r="AO8" s="205">
        <f t="shared" ref="AO8:AO53" si="8">(M8*AD8)/AE8</f>
        <v>0</v>
      </c>
      <c r="AP8" s="205">
        <f t="shared" ref="AP8:AP54" si="9">(N8*AD8)/AE8</f>
        <v>0</v>
      </c>
      <c r="AQ8" s="205">
        <f t="shared" ref="AQ8:AQ54" si="10">(O8*AD8)/AE8</f>
        <v>0</v>
      </c>
      <c r="AR8" s="205">
        <f t="shared" ref="AR8:AR53" si="11">(P8*AD8)/AE8</f>
        <v>0</v>
      </c>
      <c r="AS8" s="205">
        <f t="shared" ref="AS8:AS53" si="12">(Q8*AD8)/AE8</f>
        <v>0</v>
      </c>
      <c r="AT8" s="205">
        <f t="shared" ref="AT8:AT53" si="13">(R8*AD8)/AE8</f>
        <v>0</v>
      </c>
      <c r="AU8" s="205">
        <f t="shared" ref="AU8:AU53" si="14">(S8*AD8)/AE8</f>
        <v>0</v>
      </c>
      <c r="AV8" s="205">
        <f t="shared" ref="AV8:AV53" si="15">(T8*AD8)/AE8</f>
        <v>0</v>
      </c>
      <c r="AW8" s="205">
        <f t="shared" ref="AW8:AW53" si="16">(U8*AD8)/AE8</f>
        <v>0</v>
      </c>
      <c r="AX8" s="205">
        <f t="shared" ref="AX8:AX53" si="17">(V8*AD8)/AE8</f>
        <v>0</v>
      </c>
      <c r="AY8" s="205">
        <f t="shared" ref="AY8:AY53" si="18">(W8*AD8)/AE8</f>
        <v>0</v>
      </c>
      <c r="AZ8" s="205">
        <f t="shared" ref="AZ8:AZ53" si="19">(X8*AD8)/AE8</f>
        <v>0</v>
      </c>
      <c r="BA8" s="205">
        <f t="shared" ref="BA8:BA53" si="20">(Y8*AD8)/AE8</f>
        <v>0</v>
      </c>
      <c r="BB8" s="205">
        <f t="shared" ref="BB8:BB36" si="21">(Z8*AD8)/AE8</f>
        <v>0</v>
      </c>
      <c r="BC8" s="206">
        <f t="shared" ref="BC8:BC36" si="22">(AA8*AD8)/AE8</f>
        <v>0</v>
      </c>
      <c r="BD8" s="205">
        <f t="shared" ref="BD8:BD19" si="23">(AB8*AD8)/AE8</f>
        <v>0</v>
      </c>
      <c r="BE8" s="201"/>
      <c r="BF8" s="201"/>
      <c r="BG8" s="201"/>
      <c r="BH8" s="201"/>
      <c r="BI8" s="201"/>
      <c r="BJ8" s="201"/>
      <c r="BK8" s="201"/>
      <c r="BL8" s="201"/>
    </row>
    <row r="9" spans="1:64" ht="12.75" customHeight="1" x14ac:dyDescent="0.2">
      <c r="A9" s="378"/>
      <c r="B9" s="378"/>
      <c r="C9" s="202" t="s">
        <v>247</v>
      </c>
      <c r="D9" s="380"/>
      <c r="E9" s="202"/>
      <c r="F9" s="202"/>
      <c r="G9" s="202"/>
      <c r="H9" s="202"/>
      <c r="I9" s="202"/>
      <c r="J9" s="202"/>
      <c r="K9" s="202"/>
      <c r="L9" s="202">
        <v>331.07</v>
      </c>
      <c r="M9" s="202"/>
      <c r="N9" s="202"/>
      <c r="O9" s="202"/>
      <c r="P9" s="202"/>
      <c r="Q9" s="202"/>
      <c r="R9" s="202"/>
      <c r="S9" s="202"/>
      <c r="T9" s="202"/>
      <c r="U9" s="202"/>
      <c r="V9" s="202"/>
      <c r="W9" s="202"/>
      <c r="X9" s="202"/>
      <c r="Y9" s="202"/>
      <c r="Z9" s="202"/>
      <c r="AA9" s="202"/>
      <c r="AB9" s="202"/>
      <c r="AC9" s="202" t="s">
        <v>246</v>
      </c>
      <c r="AD9" s="203">
        <f t="shared" ref="AD9:AD54" si="24">IF(AC9="DIÁRIA",AE9,IF(AC9="2xDIA",(AE9*2),IF(AC9="3xDIA",(AE9*3),IF(AC9="4xDIA",(AE9*4),IF(AC9="5xDIA",(AE9*5),IF(AC9="6xDIA",(AE9*6),IF(AC9="SEMANAL",4.33,IF(AC9="2xSEMANA",8,IF(AC9="3xSEMANA",12,IF(AC9="QUINZENAL",2,IF(AC9="MENSAL",1,IF(AC9="BIMESTRAL",0.5,IF(AC9="TRIMESTRAL",0.33,IF(AC9="SEMESTRAL",0.17,0))))))))))))))</f>
        <v>72</v>
      </c>
      <c r="AE9" s="204">
        <f>'1. SAn ABA DE CARREGAMENTO'!$B$90</f>
        <v>24</v>
      </c>
      <c r="AF9" s="380"/>
      <c r="AG9" s="205">
        <f t="shared" si="0"/>
        <v>0</v>
      </c>
      <c r="AH9" s="205">
        <f t="shared" si="1"/>
        <v>0</v>
      </c>
      <c r="AI9" s="205">
        <f t="shared" si="2"/>
        <v>0</v>
      </c>
      <c r="AJ9" s="205">
        <f t="shared" si="3"/>
        <v>0</v>
      </c>
      <c r="AK9" s="205">
        <f t="shared" si="4"/>
        <v>0</v>
      </c>
      <c r="AL9" s="205">
        <f t="shared" si="5"/>
        <v>0</v>
      </c>
      <c r="AM9" s="205">
        <f t="shared" si="6"/>
        <v>0</v>
      </c>
      <c r="AN9" s="205">
        <f t="shared" si="7"/>
        <v>993.21</v>
      </c>
      <c r="AO9" s="205">
        <f t="shared" si="8"/>
        <v>0</v>
      </c>
      <c r="AP9" s="205">
        <f t="shared" si="9"/>
        <v>0</v>
      </c>
      <c r="AQ9" s="205">
        <f t="shared" si="10"/>
        <v>0</v>
      </c>
      <c r="AR9" s="205">
        <f t="shared" si="11"/>
        <v>0</v>
      </c>
      <c r="AS9" s="205">
        <f t="shared" si="12"/>
        <v>0</v>
      </c>
      <c r="AT9" s="205">
        <f t="shared" si="13"/>
        <v>0</v>
      </c>
      <c r="AU9" s="205">
        <f t="shared" si="14"/>
        <v>0</v>
      </c>
      <c r="AV9" s="205">
        <f t="shared" si="15"/>
        <v>0</v>
      </c>
      <c r="AW9" s="205">
        <f t="shared" si="16"/>
        <v>0</v>
      </c>
      <c r="AX9" s="205">
        <f t="shared" si="17"/>
        <v>0</v>
      </c>
      <c r="AY9" s="205">
        <f t="shared" si="18"/>
        <v>0</v>
      </c>
      <c r="AZ9" s="205">
        <f t="shared" si="19"/>
        <v>0</v>
      </c>
      <c r="BA9" s="205">
        <f t="shared" si="20"/>
        <v>0</v>
      </c>
      <c r="BB9" s="205">
        <f t="shared" si="21"/>
        <v>0</v>
      </c>
      <c r="BC9" s="206">
        <f t="shared" si="22"/>
        <v>0</v>
      </c>
      <c r="BD9" s="205">
        <f t="shared" si="23"/>
        <v>0</v>
      </c>
      <c r="BE9" s="201"/>
      <c r="BF9" s="201"/>
      <c r="BG9" s="201"/>
      <c r="BH9" s="201"/>
      <c r="BI9" s="201"/>
      <c r="BJ9" s="201"/>
      <c r="BK9" s="201"/>
      <c r="BL9" s="201"/>
    </row>
    <row r="10" spans="1:64" ht="25.5" customHeight="1" x14ac:dyDescent="0.2">
      <c r="A10" s="378"/>
      <c r="B10" s="378"/>
      <c r="C10" s="202" t="s">
        <v>248</v>
      </c>
      <c r="D10" s="380"/>
      <c r="E10" s="202"/>
      <c r="F10" s="202"/>
      <c r="G10" s="202"/>
      <c r="H10" s="202"/>
      <c r="I10" s="202"/>
      <c r="J10" s="202"/>
      <c r="K10" s="202"/>
      <c r="L10" s="202"/>
      <c r="M10" s="202"/>
      <c r="N10" s="202"/>
      <c r="O10" s="202"/>
      <c r="P10" s="202">
        <v>250</v>
      </c>
      <c r="Q10" s="202"/>
      <c r="R10" s="202"/>
      <c r="S10" s="202"/>
      <c r="T10" s="202"/>
      <c r="U10" s="202"/>
      <c r="V10" s="202"/>
      <c r="W10" s="202"/>
      <c r="X10" s="202"/>
      <c r="Y10" s="202"/>
      <c r="Z10" s="202"/>
      <c r="AA10" s="202"/>
      <c r="AB10" s="202"/>
      <c r="AC10" s="202" t="s">
        <v>245</v>
      </c>
      <c r="AD10" s="203">
        <f t="shared" si="24"/>
        <v>24</v>
      </c>
      <c r="AE10" s="204">
        <f>'1. SAn ABA DE CARREGAMENTO'!$B$90</f>
        <v>24</v>
      </c>
      <c r="AF10" s="380"/>
      <c r="AG10" s="205">
        <f t="shared" si="0"/>
        <v>0</v>
      </c>
      <c r="AH10" s="205">
        <f t="shared" si="1"/>
        <v>0</v>
      </c>
      <c r="AI10" s="205">
        <f t="shared" si="2"/>
        <v>0</v>
      </c>
      <c r="AJ10" s="205">
        <f t="shared" si="3"/>
        <v>0</v>
      </c>
      <c r="AK10" s="205">
        <f t="shared" si="4"/>
        <v>0</v>
      </c>
      <c r="AL10" s="205">
        <f t="shared" si="5"/>
        <v>0</v>
      </c>
      <c r="AM10" s="205">
        <f t="shared" si="6"/>
        <v>0</v>
      </c>
      <c r="AN10" s="205">
        <f t="shared" si="7"/>
        <v>0</v>
      </c>
      <c r="AO10" s="205">
        <f t="shared" si="8"/>
        <v>0</v>
      </c>
      <c r="AP10" s="205">
        <f t="shared" si="9"/>
        <v>0</v>
      </c>
      <c r="AQ10" s="205">
        <f t="shared" si="10"/>
        <v>0</v>
      </c>
      <c r="AR10" s="205">
        <f t="shared" si="11"/>
        <v>250</v>
      </c>
      <c r="AS10" s="205">
        <f t="shared" si="12"/>
        <v>0</v>
      </c>
      <c r="AT10" s="205">
        <f t="shared" si="13"/>
        <v>0</v>
      </c>
      <c r="AU10" s="205">
        <f t="shared" si="14"/>
        <v>0</v>
      </c>
      <c r="AV10" s="205">
        <f t="shared" si="15"/>
        <v>0</v>
      </c>
      <c r="AW10" s="205">
        <f t="shared" si="16"/>
        <v>0</v>
      </c>
      <c r="AX10" s="205">
        <f t="shared" si="17"/>
        <v>0</v>
      </c>
      <c r="AY10" s="205">
        <f t="shared" si="18"/>
        <v>0</v>
      </c>
      <c r="AZ10" s="205">
        <f t="shared" si="19"/>
        <v>0</v>
      </c>
      <c r="BA10" s="205">
        <f t="shared" si="20"/>
        <v>0</v>
      </c>
      <c r="BB10" s="205">
        <f t="shared" si="21"/>
        <v>0</v>
      </c>
      <c r="BC10" s="206">
        <f t="shared" si="22"/>
        <v>0</v>
      </c>
      <c r="BD10" s="205">
        <f t="shared" si="23"/>
        <v>0</v>
      </c>
      <c r="BE10" s="201"/>
      <c r="BF10" s="201"/>
      <c r="BG10" s="201"/>
      <c r="BH10" s="201"/>
      <c r="BI10" s="201"/>
      <c r="BJ10" s="201"/>
      <c r="BK10" s="201"/>
      <c r="BL10" s="201"/>
    </row>
    <row r="11" spans="1:64" ht="12.75" customHeight="1" x14ac:dyDescent="0.2">
      <c r="A11" s="378"/>
      <c r="B11" s="378"/>
      <c r="C11" s="202" t="s">
        <v>249</v>
      </c>
      <c r="D11" s="380"/>
      <c r="E11" s="202"/>
      <c r="F11" s="202"/>
      <c r="G11" s="202"/>
      <c r="H11" s="202"/>
      <c r="I11" s="202"/>
      <c r="J11" s="202"/>
      <c r="K11" s="202"/>
      <c r="L11" s="202"/>
      <c r="M11" s="202"/>
      <c r="N11" s="202"/>
      <c r="O11" s="202"/>
      <c r="P11" s="202"/>
      <c r="Q11" s="202"/>
      <c r="R11" s="202"/>
      <c r="S11" s="202"/>
      <c r="T11" s="202"/>
      <c r="U11" s="202">
        <v>207.32</v>
      </c>
      <c r="V11" s="202">
        <f>W12-U11</f>
        <v>195.41000000000003</v>
      </c>
      <c r="W11" s="202"/>
      <c r="X11" s="202">
        <v>67.900000000000006</v>
      </c>
      <c r="Y11" s="202"/>
      <c r="Z11" s="202"/>
      <c r="AA11" s="202"/>
      <c r="AB11" s="202"/>
      <c r="AC11" s="202" t="s">
        <v>615</v>
      </c>
      <c r="AD11" s="203">
        <f t="shared" si="24"/>
        <v>0.17</v>
      </c>
      <c r="AE11" s="204">
        <f>'1. SAn ABA DE CARREGAMENTO'!$B$90</f>
        <v>24</v>
      </c>
      <c r="AF11" s="380"/>
      <c r="AG11" s="205">
        <f t="shared" si="0"/>
        <v>0</v>
      </c>
      <c r="AH11" s="205">
        <f t="shared" si="1"/>
        <v>0</v>
      </c>
      <c r="AI11" s="205">
        <f t="shared" si="2"/>
        <v>0</v>
      </c>
      <c r="AJ11" s="205">
        <f t="shared" si="3"/>
        <v>0</v>
      </c>
      <c r="AK11" s="205">
        <f t="shared" si="4"/>
        <v>0</v>
      </c>
      <c r="AL11" s="205">
        <f t="shared" si="5"/>
        <v>0</v>
      </c>
      <c r="AM11" s="205">
        <f t="shared" si="6"/>
        <v>0</v>
      </c>
      <c r="AN11" s="205">
        <f t="shared" si="7"/>
        <v>0</v>
      </c>
      <c r="AO11" s="205">
        <f t="shared" si="8"/>
        <v>0</v>
      </c>
      <c r="AP11" s="205">
        <f t="shared" si="9"/>
        <v>0</v>
      </c>
      <c r="AQ11" s="205">
        <f t="shared" si="10"/>
        <v>0</v>
      </c>
      <c r="AR11" s="205">
        <f t="shared" si="11"/>
        <v>0</v>
      </c>
      <c r="AS11" s="205">
        <f t="shared" si="12"/>
        <v>0</v>
      </c>
      <c r="AT11" s="205">
        <f t="shared" si="13"/>
        <v>0</v>
      </c>
      <c r="AU11" s="205">
        <f t="shared" si="14"/>
        <v>0</v>
      </c>
      <c r="AV11" s="205">
        <f t="shared" si="15"/>
        <v>0</v>
      </c>
      <c r="AW11" s="205">
        <f t="shared" si="16"/>
        <v>1.4685166666666667</v>
      </c>
      <c r="AX11" s="205">
        <f t="shared" si="17"/>
        <v>1.3841541666666668</v>
      </c>
      <c r="AY11" s="205">
        <f t="shared" si="18"/>
        <v>0</v>
      </c>
      <c r="AZ11" s="205">
        <f t="shared" si="19"/>
        <v>0.48095833333333338</v>
      </c>
      <c r="BA11" s="205">
        <f t="shared" si="20"/>
        <v>0</v>
      </c>
      <c r="BB11" s="205">
        <f t="shared" si="21"/>
        <v>0</v>
      </c>
      <c r="BC11" s="206">
        <f t="shared" si="22"/>
        <v>0</v>
      </c>
      <c r="BD11" s="205">
        <f t="shared" si="23"/>
        <v>0</v>
      </c>
      <c r="BE11" s="201"/>
      <c r="BF11" s="201"/>
      <c r="BG11" s="201"/>
      <c r="BH11" s="201"/>
      <c r="BI11" s="201"/>
      <c r="BJ11" s="201"/>
      <c r="BK11" s="201"/>
      <c r="BL11" s="201"/>
    </row>
    <row r="12" spans="1:64" ht="12.75" customHeight="1" x14ac:dyDescent="0.2">
      <c r="A12" s="378"/>
      <c r="B12" s="378"/>
      <c r="C12" s="202" t="s">
        <v>250</v>
      </c>
      <c r="D12" s="380"/>
      <c r="E12" s="202"/>
      <c r="F12" s="202"/>
      <c r="G12" s="202"/>
      <c r="H12" s="202"/>
      <c r="I12" s="202"/>
      <c r="J12" s="202"/>
      <c r="K12" s="202"/>
      <c r="L12" s="202"/>
      <c r="M12" s="202"/>
      <c r="N12" s="202"/>
      <c r="O12" s="202"/>
      <c r="P12" s="202"/>
      <c r="Q12" s="202"/>
      <c r="R12" s="202"/>
      <c r="S12" s="202"/>
      <c r="T12" s="202"/>
      <c r="U12" s="202"/>
      <c r="V12" s="202"/>
      <c r="W12" s="202">
        <v>402.73</v>
      </c>
      <c r="X12" s="202">
        <v>67.900000000000006</v>
      </c>
      <c r="Y12" s="202"/>
      <c r="Z12" s="202"/>
      <c r="AA12" s="202"/>
      <c r="AB12" s="202"/>
      <c r="AC12" s="202" t="s">
        <v>264</v>
      </c>
      <c r="AD12" s="203">
        <f t="shared" si="24"/>
        <v>8</v>
      </c>
      <c r="AE12" s="204">
        <f>'1. SAn ABA DE CARREGAMENTO'!$B$90</f>
        <v>24</v>
      </c>
      <c r="AF12" s="380"/>
      <c r="AG12" s="205">
        <f t="shared" si="0"/>
        <v>0</v>
      </c>
      <c r="AH12" s="205">
        <f t="shared" si="1"/>
        <v>0</v>
      </c>
      <c r="AI12" s="205">
        <f t="shared" si="2"/>
        <v>0</v>
      </c>
      <c r="AJ12" s="205">
        <f t="shared" si="3"/>
        <v>0</v>
      </c>
      <c r="AK12" s="205">
        <f t="shared" si="4"/>
        <v>0</v>
      </c>
      <c r="AL12" s="205">
        <f t="shared" si="5"/>
        <v>0</v>
      </c>
      <c r="AM12" s="205">
        <f t="shared" si="6"/>
        <v>0</v>
      </c>
      <c r="AN12" s="205">
        <f t="shared" si="7"/>
        <v>0</v>
      </c>
      <c r="AO12" s="205">
        <f t="shared" si="8"/>
        <v>0</v>
      </c>
      <c r="AP12" s="205">
        <f t="shared" si="9"/>
        <v>0</v>
      </c>
      <c r="AQ12" s="205">
        <f t="shared" si="10"/>
        <v>0</v>
      </c>
      <c r="AR12" s="205">
        <f t="shared" si="11"/>
        <v>0</v>
      </c>
      <c r="AS12" s="205">
        <f t="shared" si="12"/>
        <v>0</v>
      </c>
      <c r="AT12" s="205">
        <f t="shared" si="13"/>
        <v>0</v>
      </c>
      <c r="AU12" s="205">
        <f t="shared" si="14"/>
        <v>0</v>
      </c>
      <c r="AV12" s="205">
        <f t="shared" si="15"/>
        <v>0</v>
      </c>
      <c r="AW12" s="205">
        <f t="shared" si="16"/>
        <v>0</v>
      </c>
      <c r="AX12" s="205">
        <f t="shared" si="17"/>
        <v>0</v>
      </c>
      <c r="AY12" s="205">
        <f t="shared" si="18"/>
        <v>134.24333333333334</v>
      </c>
      <c r="AZ12" s="205">
        <f t="shared" si="19"/>
        <v>22.633333333333336</v>
      </c>
      <c r="BA12" s="205">
        <f t="shared" si="20"/>
        <v>0</v>
      </c>
      <c r="BB12" s="205">
        <f t="shared" si="21"/>
        <v>0</v>
      </c>
      <c r="BC12" s="206">
        <f t="shared" si="22"/>
        <v>0</v>
      </c>
      <c r="BD12" s="205">
        <f t="shared" si="23"/>
        <v>0</v>
      </c>
      <c r="BE12" s="201"/>
      <c r="BF12" s="201"/>
      <c r="BG12" s="201"/>
      <c r="BH12" s="201"/>
      <c r="BI12" s="201"/>
      <c r="BJ12" s="201"/>
      <c r="BK12" s="201"/>
      <c r="BL12" s="201"/>
    </row>
    <row r="13" spans="1:64" ht="12.75" customHeight="1" x14ac:dyDescent="0.2">
      <c r="A13" s="378"/>
      <c r="B13" s="378"/>
      <c r="C13" s="202" t="s">
        <v>43</v>
      </c>
      <c r="D13" s="380"/>
      <c r="E13" s="202"/>
      <c r="F13" s="202"/>
      <c r="G13" s="202"/>
      <c r="H13" s="202"/>
      <c r="I13" s="202"/>
      <c r="J13" s="202"/>
      <c r="K13" s="202"/>
      <c r="L13" s="202"/>
      <c r="M13" s="202"/>
      <c r="N13" s="202"/>
      <c r="O13" s="202"/>
      <c r="P13" s="202"/>
      <c r="Q13" s="202"/>
      <c r="R13" s="202"/>
      <c r="S13" s="202"/>
      <c r="T13" s="202"/>
      <c r="U13" s="202"/>
      <c r="V13" s="202"/>
      <c r="W13" s="202"/>
      <c r="X13" s="202"/>
      <c r="Y13" s="202"/>
      <c r="Z13" s="202"/>
      <c r="AA13" s="202">
        <v>95.2</v>
      </c>
      <c r="AB13" s="202"/>
      <c r="AC13" s="202" t="s">
        <v>251</v>
      </c>
      <c r="AD13" s="203">
        <f t="shared" si="24"/>
        <v>4.33</v>
      </c>
      <c r="AE13" s="204">
        <f>'1. SAn ABA DE CARREGAMENTO'!$B$90</f>
        <v>24</v>
      </c>
      <c r="AF13" s="380"/>
      <c r="AG13" s="205">
        <f t="shared" si="0"/>
        <v>0</v>
      </c>
      <c r="AH13" s="205">
        <f t="shared" si="1"/>
        <v>0</v>
      </c>
      <c r="AI13" s="205">
        <f t="shared" si="2"/>
        <v>0</v>
      </c>
      <c r="AJ13" s="205">
        <f t="shared" si="3"/>
        <v>0</v>
      </c>
      <c r="AK13" s="205">
        <f t="shared" si="4"/>
        <v>0</v>
      </c>
      <c r="AL13" s="205">
        <f t="shared" si="5"/>
        <v>0</v>
      </c>
      <c r="AM13" s="205">
        <f t="shared" si="6"/>
        <v>0</v>
      </c>
      <c r="AN13" s="205">
        <f t="shared" si="7"/>
        <v>0</v>
      </c>
      <c r="AO13" s="205">
        <f t="shared" si="8"/>
        <v>0</v>
      </c>
      <c r="AP13" s="205">
        <f t="shared" si="9"/>
        <v>0</v>
      </c>
      <c r="AQ13" s="205">
        <f t="shared" si="10"/>
        <v>0</v>
      </c>
      <c r="AR13" s="205">
        <f t="shared" si="11"/>
        <v>0</v>
      </c>
      <c r="AS13" s="205">
        <f t="shared" si="12"/>
        <v>0</v>
      </c>
      <c r="AT13" s="205">
        <f t="shared" si="13"/>
        <v>0</v>
      </c>
      <c r="AU13" s="205">
        <f t="shared" si="14"/>
        <v>0</v>
      </c>
      <c r="AV13" s="205">
        <f t="shared" si="15"/>
        <v>0</v>
      </c>
      <c r="AW13" s="205">
        <f t="shared" si="16"/>
        <v>0</v>
      </c>
      <c r="AX13" s="205">
        <f t="shared" si="17"/>
        <v>0</v>
      </c>
      <c r="AY13" s="205">
        <f t="shared" si="18"/>
        <v>0</v>
      </c>
      <c r="AZ13" s="205">
        <f t="shared" si="19"/>
        <v>0</v>
      </c>
      <c r="BA13" s="205">
        <f t="shared" si="20"/>
        <v>0</v>
      </c>
      <c r="BB13" s="205">
        <f t="shared" si="21"/>
        <v>0</v>
      </c>
      <c r="BC13" s="207">
        <f t="shared" si="22"/>
        <v>17.175666666666668</v>
      </c>
      <c r="BD13" s="205">
        <f t="shared" si="23"/>
        <v>0</v>
      </c>
      <c r="BE13" s="201"/>
      <c r="BF13" s="201"/>
      <c r="BG13" s="201"/>
      <c r="BH13" s="201"/>
      <c r="BI13" s="201"/>
      <c r="BJ13" s="201"/>
      <c r="BK13" s="201"/>
      <c r="BL13" s="201"/>
    </row>
    <row r="14" spans="1:64" ht="12.75" customHeight="1" x14ac:dyDescent="0.2">
      <c r="A14" s="378"/>
      <c r="B14" s="378"/>
      <c r="C14" s="202" t="s">
        <v>44</v>
      </c>
      <c r="D14" s="380"/>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v>62.4</v>
      </c>
      <c r="AC14" s="202" t="s">
        <v>251</v>
      </c>
      <c r="AD14" s="203">
        <f t="shared" si="24"/>
        <v>4.33</v>
      </c>
      <c r="AE14" s="204">
        <f>'1. SAn ABA DE CARREGAMENTO'!$B$90</f>
        <v>24</v>
      </c>
      <c r="AF14" s="380"/>
      <c r="AG14" s="205">
        <f t="shared" si="0"/>
        <v>0</v>
      </c>
      <c r="AH14" s="205">
        <f t="shared" si="1"/>
        <v>0</v>
      </c>
      <c r="AI14" s="205">
        <f t="shared" si="2"/>
        <v>0</v>
      </c>
      <c r="AJ14" s="205">
        <f t="shared" si="3"/>
        <v>0</v>
      </c>
      <c r="AK14" s="205">
        <f t="shared" si="4"/>
        <v>0</v>
      </c>
      <c r="AL14" s="205">
        <f t="shared" si="5"/>
        <v>0</v>
      </c>
      <c r="AM14" s="205">
        <f t="shared" si="6"/>
        <v>0</v>
      </c>
      <c r="AN14" s="205">
        <f t="shared" si="7"/>
        <v>0</v>
      </c>
      <c r="AO14" s="205">
        <f t="shared" si="8"/>
        <v>0</v>
      </c>
      <c r="AP14" s="205">
        <f t="shared" si="9"/>
        <v>0</v>
      </c>
      <c r="AQ14" s="205">
        <f t="shared" si="10"/>
        <v>0</v>
      </c>
      <c r="AR14" s="205">
        <f t="shared" si="11"/>
        <v>0</v>
      </c>
      <c r="AS14" s="205">
        <f t="shared" si="12"/>
        <v>0</v>
      </c>
      <c r="AT14" s="205">
        <f t="shared" si="13"/>
        <v>0</v>
      </c>
      <c r="AU14" s="205">
        <f t="shared" si="14"/>
        <v>0</v>
      </c>
      <c r="AV14" s="205">
        <f t="shared" si="15"/>
        <v>0</v>
      </c>
      <c r="AW14" s="205">
        <f t="shared" si="16"/>
        <v>0</v>
      </c>
      <c r="AX14" s="205">
        <f t="shared" si="17"/>
        <v>0</v>
      </c>
      <c r="AY14" s="205">
        <f t="shared" si="18"/>
        <v>0</v>
      </c>
      <c r="AZ14" s="205">
        <f t="shared" si="19"/>
        <v>0</v>
      </c>
      <c r="BA14" s="205">
        <f t="shared" si="20"/>
        <v>0</v>
      </c>
      <c r="BB14" s="205">
        <f t="shared" si="21"/>
        <v>0</v>
      </c>
      <c r="BC14" s="206">
        <f t="shared" si="22"/>
        <v>0</v>
      </c>
      <c r="BD14" s="205">
        <f t="shared" si="23"/>
        <v>11.258000000000001</v>
      </c>
      <c r="BE14" s="201"/>
      <c r="BF14" s="201"/>
      <c r="BG14" s="201"/>
      <c r="BH14" s="201"/>
      <c r="BI14" s="201"/>
      <c r="BJ14" s="201"/>
      <c r="BK14" s="201"/>
      <c r="BL14" s="201"/>
    </row>
    <row r="15" spans="1:64" ht="12.75" customHeight="1" x14ac:dyDescent="0.2">
      <c r="A15" s="378"/>
      <c r="B15" s="378"/>
      <c r="C15" s="202" t="s">
        <v>241</v>
      </c>
      <c r="D15" s="380"/>
      <c r="E15" s="202"/>
      <c r="F15" s="202"/>
      <c r="G15" s="202"/>
      <c r="H15" s="202"/>
      <c r="I15" s="202"/>
      <c r="J15" s="202"/>
      <c r="K15" s="202"/>
      <c r="L15" s="202"/>
      <c r="M15" s="202"/>
      <c r="N15" s="202"/>
      <c r="O15" s="202"/>
      <c r="P15" s="202"/>
      <c r="Q15" s="202"/>
      <c r="R15" s="202"/>
      <c r="S15" s="202"/>
      <c r="T15" s="202"/>
      <c r="U15" s="202"/>
      <c r="V15" s="202"/>
      <c r="W15" s="202"/>
      <c r="X15" s="202"/>
      <c r="Y15" s="202"/>
      <c r="Z15" s="202">
        <v>62.4</v>
      </c>
      <c r="AA15" s="202"/>
      <c r="AB15" s="202"/>
      <c r="AC15" s="202" t="s">
        <v>252</v>
      </c>
      <c r="AD15" s="203">
        <f t="shared" si="24"/>
        <v>96</v>
      </c>
      <c r="AE15" s="204">
        <f>'1. SAn ABA DE CARREGAMENTO'!$B$90</f>
        <v>24</v>
      </c>
      <c r="AF15" s="380"/>
      <c r="AG15" s="205">
        <f t="shared" si="0"/>
        <v>0</v>
      </c>
      <c r="AH15" s="205">
        <f t="shared" si="1"/>
        <v>0</v>
      </c>
      <c r="AI15" s="205">
        <f t="shared" si="2"/>
        <v>0</v>
      </c>
      <c r="AJ15" s="205">
        <f t="shared" si="3"/>
        <v>0</v>
      </c>
      <c r="AK15" s="205">
        <f t="shared" si="4"/>
        <v>0</v>
      </c>
      <c r="AL15" s="205">
        <f t="shared" si="5"/>
        <v>0</v>
      </c>
      <c r="AM15" s="205">
        <f t="shared" si="6"/>
        <v>0</v>
      </c>
      <c r="AN15" s="205">
        <f t="shared" si="7"/>
        <v>0</v>
      </c>
      <c r="AO15" s="205">
        <f t="shared" si="8"/>
        <v>0</v>
      </c>
      <c r="AP15" s="205">
        <f t="shared" si="9"/>
        <v>0</v>
      </c>
      <c r="AQ15" s="205">
        <f t="shared" si="10"/>
        <v>0</v>
      </c>
      <c r="AR15" s="205">
        <f t="shared" si="11"/>
        <v>0</v>
      </c>
      <c r="AS15" s="205">
        <f t="shared" si="12"/>
        <v>0</v>
      </c>
      <c r="AT15" s="205">
        <f t="shared" si="13"/>
        <v>0</v>
      </c>
      <c r="AU15" s="205">
        <f t="shared" si="14"/>
        <v>0</v>
      </c>
      <c r="AV15" s="205">
        <f t="shared" si="15"/>
        <v>0</v>
      </c>
      <c r="AW15" s="205">
        <f t="shared" si="16"/>
        <v>0</v>
      </c>
      <c r="AX15" s="205">
        <f t="shared" si="17"/>
        <v>0</v>
      </c>
      <c r="AY15" s="205">
        <f t="shared" si="18"/>
        <v>0</v>
      </c>
      <c r="AZ15" s="205">
        <f t="shared" si="19"/>
        <v>0</v>
      </c>
      <c r="BA15" s="205">
        <f t="shared" si="20"/>
        <v>0</v>
      </c>
      <c r="BB15" s="205">
        <f t="shared" si="21"/>
        <v>249.6</v>
      </c>
      <c r="BC15" s="206">
        <f t="shared" si="22"/>
        <v>0</v>
      </c>
      <c r="BD15" s="205">
        <f t="shared" si="23"/>
        <v>0</v>
      </c>
      <c r="BE15" s="201"/>
      <c r="BF15" s="201"/>
      <c r="BG15" s="201"/>
      <c r="BH15" s="201"/>
      <c r="BI15" s="201"/>
      <c r="BJ15" s="201"/>
      <c r="BK15" s="201"/>
      <c r="BL15" s="201"/>
    </row>
    <row r="16" spans="1:64" ht="25.5" customHeight="1" x14ac:dyDescent="0.2">
      <c r="A16" s="374">
        <v>2</v>
      </c>
      <c r="B16" s="375" t="s">
        <v>253</v>
      </c>
      <c r="C16" s="208" t="s">
        <v>254</v>
      </c>
      <c r="D16" s="376">
        <f>SUM(E16:AB22)</f>
        <v>2864.7400000000007</v>
      </c>
      <c r="E16" s="208"/>
      <c r="F16" s="208">
        <v>1400</v>
      </c>
      <c r="G16" s="208"/>
      <c r="H16" s="208"/>
      <c r="I16" s="208"/>
      <c r="J16" s="208"/>
      <c r="K16" s="208"/>
      <c r="L16" s="208"/>
      <c r="M16" s="208"/>
      <c r="N16" s="208"/>
      <c r="O16" s="208"/>
      <c r="P16" s="208"/>
      <c r="Q16" s="208"/>
      <c r="R16" s="208"/>
      <c r="S16" s="208"/>
      <c r="T16" s="208"/>
      <c r="U16" s="208"/>
      <c r="V16" s="208"/>
      <c r="W16" s="208"/>
      <c r="X16" s="208"/>
      <c r="Y16" s="208"/>
      <c r="Z16" s="208"/>
      <c r="AA16" s="208"/>
      <c r="AB16" s="208"/>
      <c r="AC16" s="209" t="s">
        <v>246</v>
      </c>
      <c r="AD16" s="210">
        <f t="shared" si="24"/>
        <v>72</v>
      </c>
      <c r="AE16" s="211">
        <f>'1. SAn ABA DE CARREGAMENTO'!$B$90</f>
        <v>24</v>
      </c>
      <c r="AF16" s="376">
        <f>SUM(AG16:BD22)</f>
        <v>5893.8299208333328</v>
      </c>
      <c r="AG16" s="212">
        <f t="shared" si="0"/>
        <v>0</v>
      </c>
      <c r="AH16" s="212">
        <f t="shared" si="1"/>
        <v>4200</v>
      </c>
      <c r="AI16" s="212">
        <f t="shared" si="2"/>
        <v>0</v>
      </c>
      <c r="AJ16" s="212">
        <f t="shared" si="3"/>
        <v>0</v>
      </c>
      <c r="AK16" s="212">
        <f t="shared" si="4"/>
        <v>0</v>
      </c>
      <c r="AL16" s="213">
        <f t="shared" si="5"/>
        <v>0</v>
      </c>
      <c r="AM16" s="213">
        <f t="shared" si="6"/>
        <v>0</v>
      </c>
      <c r="AN16" s="212">
        <f t="shared" si="7"/>
        <v>0</v>
      </c>
      <c r="AO16" s="212">
        <f t="shared" si="8"/>
        <v>0</v>
      </c>
      <c r="AP16" s="213">
        <f t="shared" si="9"/>
        <v>0</v>
      </c>
      <c r="AQ16" s="213">
        <f t="shared" si="10"/>
        <v>0</v>
      </c>
      <c r="AR16" s="212">
        <f t="shared" si="11"/>
        <v>0</v>
      </c>
      <c r="AS16" s="212">
        <f t="shared" si="12"/>
        <v>0</v>
      </c>
      <c r="AT16" s="212">
        <f t="shared" si="13"/>
        <v>0</v>
      </c>
      <c r="AU16" s="212">
        <f t="shared" si="14"/>
        <v>0</v>
      </c>
      <c r="AV16" s="212">
        <f t="shared" si="15"/>
        <v>0</v>
      </c>
      <c r="AW16" s="212">
        <f t="shared" si="16"/>
        <v>0</v>
      </c>
      <c r="AX16" s="212">
        <f t="shared" si="17"/>
        <v>0</v>
      </c>
      <c r="AY16" s="212">
        <f t="shared" si="18"/>
        <v>0</v>
      </c>
      <c r="AZ16" s="212">
        <f t="shared" si="19"/>
        <v>0</v>
      </c>
      <c r="BA16" s="212">
        <f t="shared" si="20"/>
        <v>0</v>
      </c>
      <c r="BB16" s="212">
        <f t="shared" si="21"/>
        <v>0</v>
      </c>
      <c r="BC16" s="212">
        <f t="shared" si="22"/>
        <v>0</v>
      </c>
      <c r="BD16" s="212">
        <f t="shared" si="23"/>
        <v>0</v>
      </c>
      <c r="BE16" s="201"/>
      <c r="BF16" s="201"/>
      <c r="BG16" s="201"/>
      <c r="BH16" s="201"/>
      <c r="BI16" s="201"/>
      <c r="BJ16" s="201"/>
      <c r="BK16" s="201"/>
      <c r="BL16" s="201"/>
    </row>
    <row r="17" spans="1:64" ht="12.75" customHeight="1" x14ac:dyDescent="0.2">
      <c r="A17" s="374"/>
      <c r="B17" s="374"/>
      <c r="C17" s="208" t="s">
        <v>247</v>
      </c>
      <c r="D17" s="376"/>
      <c r="E17" s="208"/>
      <c r="F17" s="208"/>
      <c r="G17" s="208"/>
      <c r="H17" s="208"/>
      <c r="I17" s="208"/>
      <c r="J17" s="208"/>
      <c r="K17" s="208"/>
      <c r="L17" s="208">
        <v>380.8</v>
      </c>
      <c r="M17" s="208"/>
      <c r="N17" s="208"/>
      <c r="O17" s="208"/>
      <c r="P17" s="208"/>
      <c r="Q17" s="208"/>
      <c r="R17" s="208"/>
      <c r="S17" s="208"/>
      <c r="T17" s="208"/>
      <c r="U17" s="208"/>
      <c r="V17" s="208"/>
      <c r="W17" s="208"/>
      <c r="X17" s="208"/>
      <c r="Y17" s="208"/>
      <c r="Z17" s="208"/>
      <c r="AA17" s="208"/>
      <c r="AB17" s="208"/>
      <c r="AC17" s="209" t="s">
        <v>246</v>
      </c>
      <c r="AD17" s="210">
        <f t="shared" si="24"/>
        <v>72</v>
      </c>
      <c r="AE17" s="211">
        <f>'1. SAn ABA DE CARREGAMENTO'!$B$90</f>
        <v>24</v>
      </c>
      <c r="AF17" s="376"/>
      <c r="AG17" s="212">
        <f t="shared" si="0"/>
        <v>0</v>
      </c>
      <c r="AH17" s="212">
        <f t="shared" si="1"/>
        <v>0</v>
      </c>
      <c r="AI17" s="212">
        <f t="shared" si="2"/>
        <v>0</v>
      </c>
      <c r="AJ17" s="212">
        <f t="shared" si="3"/>
        <v>0</v>
      </c>
      <c r="AK17" s="212">
        <f t="shared" si="4"/>
        <v>0</v>
      </c>
      <c r="AL17" s="213">
        <f t="shared" si="5"/>
        <v>0</v>
      </c>
      <c r="AM17" s="213">
        <f t="shared" si="6"/>
        <v>0</v>
      </c>
      <c r="AN17" s="212">
        <f t="shared" si="7"/>
        <v>1142.4000000000001</v>
      </c>
      <c r="AO17" s="212">
        <f t="shared" si="8"/>
        <v>0</v>
      </c>
      <c r="AP17" s="213">
        <f t="shared" si="9"/>
        <v>0</v>
      </c>
      <c r="AQ17" s="213">
        <f t="shared" si="10"/>
        <v>0</v>
      </c>
      <c r="AR17" s="212">
        <f t="shared" si="11"/>
        <v>0</v>
      </c>
      <c r="AS17" s="212">
        <f t="shared" si="12"/>
        <v>0</v>
      </c>
      <c r="AT17" s="212">
        <f t="shared" si="13"/>
        <v>0</v>
      </c>
      <c r="AU17" s="212">
        <f t="shared" si="14"/>
        <v>0</v>
      </c>
      <c r="AV17" s="212">
        <f t="shared" si="15"/>
        <v>0</v>
      </c>
      <c r="AW17" s="212">
        <f t="shared" si="16"/>
        <v>0</v>
      </c>
      <c r="AX17" s="212">
        <f t="shared" si="17"/>
        <v>0</v>
      </c>
      <c r="AY17" s="212">
        <f t="shared" si="18"/>
        <v>0</v>
      </c>
      <c r="AZ17" s="212">
        <f t="shared" si="19"/>
        <v>0</v>
      </c>
      <c r="BA17" s="212">
        <f t="shared" si="20"/>
        <v>0</v>
      </c>
      <c r="BB17" s="212">
        <f t="shared" si="21"/>
        <v>0</v>
      </c>
      <c r="BC17" s="212">
        <f t="shared" si="22"/>
        <v>0</v>
      </c>
      <c r="BD17" s="212">
        <f t="shared" si="23"/>
        <v>0</v>
      </c>
      <c r="BE17" s="201"/>
      <c r="BF17" s="201"/>
      <c r="BG17" s="201"/>
      <c r="BH17" s="201"/>
      <c r="BI17" s="201"/>
      <c r="BJ17" s="201"/>
      <c r="BK17" s="201"/>
      <c r="BL17" s="201"/>
    </row>
    <row r="18" spans="1:64" ht="12.75" customHeight="1" x14ac:dyDescent="0.2">
      <c r="A18" s="374"/>
      <c r="B18" s="374"/>
      <c r="C18" s="209" t="s">
        <v>249</v>
      </c>
      <c r="D18" s="376"/>
      <c r="E18" s="208"/>
      <c r="F18" s="208"/>
      <c r="G18" s="208"/>
      <c r="H18" s="208"/>
      <c r="I18" s="208"/>
      <c r="J18" s="208"/>
      <c r="K18" s="208"/>
      <c r="L18" s="208"/>
      <c r="M18" s="208"/>
      <c r="N18" s="208"/>
      <c r="O18" s="208"/>
      <c r="P18" s="208"/>
      <c r="Q18" s="208"/>
      <c r="R18" s="208"/>
      <c r="S18" s="208"/>
      <c r="T18" s="208"/>
      <c r="U18" s="208">
        <v>90.2</v>
      </c>
      <c r="V18" s="208">
        <v>142.80000000000001</v>
      </c>
      <c r="W18" s="208"/>
      <c r="X18" s="208">
        <v>160.28</v>
      </c>
      <c r="Y18" s="208"/>
      <c r="Z18" s="208"/>
      <c r="AA18" s="208"/>
      <c r="AB18" s="208"/>
      <c r="AC18" s="209" t="s">
        <v>615</v>
      </c>
      <c r="AD18" s="210">
        <f t="shared" si="24"/>
        <v>0.17</v>
      </c>
      <c r="AE18" s="211">
        <f>'1. SAn ABA DE CARREGAMENTO'!$B$90</f>
        <v>24</v>
      </c>
      <c r="AF18" s="376"/>
      <c r="AG18" s="212">
        <f t="shared" si="0"/>
        <v>0</v>
      </c>
      <c r="AH18" s="212">
        <f t="shared" si="1"/>
        <v>0</v>
      </c>
      <c r="AI18" s="212">
        <f t="shared" si="2"/>
        <v>0</v>
      </c>
      <c r="AJ18" s="212">
        <f t="shared" si="3"/>
        <v>0</v>
      </c>
      <c r="AK18" s="212">
        <f t="shared" si="4"/>
        <v>0</v>
      </c>
      <c r="AL18" s="213">
        <f t="shared" si="5"/>
        <v>0</v>
      </c>
      <c r="AM18" s="213">
        <f t="shared" si="6"/>
        <v>0</v>
      </c>
      <c r="AN18" s="212">
        <f t="shared" si="7"/>
        <v>0</v>
      </c>
      <c r="AO18" s="212">
        <f t="shared" si="8"/>
        <v>0</v>
      </c>
      <c r="AP18" s="213">
        <f t="shared" si="9"/>
        <v>0</v>
      </c>
      <c r="AQ18" s="213">
        <f t="shared" si="10"/>
        <v>0</v>
      </c>
      <c r="AR18" s="212">
        <f t="shared" si="11"/>
        <v>0</v>
      </c>
      <c r="AS18" s="212">
        <f t="shared" si="12"/>
        <v>0</v>
      </c>
      <c r="AT18" s="212">
        <f t="shared" si="13"/>
        <v>0</v>
      </c>
      <c r="AU18" s="212">
        <f t="shared" si="14"/>
        <v>0</v>
      </c>
      <c r="AV18" s="212">
        <f t="shared" si="15"/>
        <v>0</v>
      </c>
      <c r="AW18" s="212">
        <f t="shared" si="16"/>
        <v>0.63891666666666669</v>
      </c>
      <c r="AX18" s="212">
        <f t="shared" si="17"/>
        <v>1.0115000000000001</v>
      </c>
      <c r="AY18" s="212">
        <f t="shared" si="18"/>
        <v>0</v>
      </c>
      <c r="AZ18" s="212">
        <f t="shared" si="19"/>
        <v>1.1353166666666668</v>
      </c>
      <c r="BA18" s="212">
        <f t="shared" si="20"/>
        <v>0</v>
      </c>
      <c r="BB18" s="212">
        <f t="shared" si="21"/>
        <v>0</v>
      </c>
      <c r="BC18" s="212">
        <f t="shared" si="22"/>
        <v>0</v>
      </c>
      <c r="BD18" s="212">
        <f t="shared" si="23"/>
        <v>0</v>
      </c>
      <c r="BE18" s="201"/>
      <c r="BF18" s="201"/>
      <c r="BG18" s="201"/>
      <c r="BH18" s="201"/>
      <c r="BI18" s="201"/>
      <c r="BJ18" s="201"/>
      <c r="BK18" s="201"/>
      <c r="BL18" s="201"/>
    </row>
    <row r="19" spans="1:64" ht="12.75" customHeight="1" x14ac:dyDescent="0.2">
      <c r="A19" s="374"/>
      <c r="B19" s="374"/>
      <c r="C19" s="209" t="s">
        <v>250</v>
      </c>
      <c r="D19" s="376"/>
      <c r="E19" s="208"/>
      <c r="F19" s="208"/>
      <c r="G19" s="208"/>
      <c r="H19" s="208"/>
      <c r="I19" s="208"/>
      <c r="J19" s="208"/>
      <c r="K19" s="208"/>
      <c r="L19" s="208"/>
      <c r="M19" s="208"/>
      <c r="N19" s="208"/>
      <c r="O19" s="208"/>
      <c r="P19" s="208"/>
      <c r="Q19" s="208"/>
      <c r="R19" s="208"/>
      <c r="S19" s="208"/>
      <c r="T19" s="208"/>
      <c r="U19" s="208"/>
      <c r="V19" s="208"/>
      <c r="W19" s="208">
        <v>233</v>
      </c>
      <c r="X19" s="208">
        <v>160.28</v>
      </c>
      <c r="Y19" s="208"/>
      <c r="Z19" s="208"/>
      <c r="AA19" s="208"/>
      <c r="AB19" s="208"/>
      <c r="AC19" s="209" t="s">
        <v>264</v>
      </c>
      <c r="AD19" s="210">
        <f t="shared" si="24"/>
        <v>8</v>
      </c>
      <c r="AE19" s="211">
        <f>'1. SAn ABA DE CARREGAMENTO'!$B$90</f>
        <v>24</v>
      </c>
      <c r="AF19" s="376"/>
      <c r="AG19" s="212">
        <f t="shared" si="0"/>
        <v>0</v>
      </c>
      <c r="AH19" s="212">
        <f t="shared" si="1"/>
        <v>0</v>
      </c>
      <c r="AI19" s="212">
        <f t="shared" si="2"/>
        <v>0</v>
      </c>
      <c r="AJ19" s="212">
        <f t="shared" si="3"/>
        <v>0</v>
      </c>
      <c r="AK19" s="212">
        <f t="shared" si="4"/>
        <v>0</v>
      </c>
      <c r="AL19" s="213">
        <f t="shared" si="5"/>
        <v>0</v>
      </c>
      <c r="AM19" s="213">
        <f t="shared" si="6"/>
        <v>0</v>
      </c>
      <c r="AN19" s="212">
        <f t="shared" si="7"/>
        <v>0</v>
      </c>
      <c r="AO19" s="212">
        <f t="shared" si="8"/>
        <v>0</v>
      </c>
      <c r="AP19" s="213">
        <f t="shared" si="9"/>
        <v>0</v>
      </c>
      <c r="AQ19" s="213">
        <f t="shared" si="10"/>
        <v>0</v>
      </c>
      <c r="AR19" s="212">
        <f t="shared" si="11"/>
        <v>0</v>
      </c>
      <c r="AS19" s="212">
        <f t="shared" si="12"/>
        <v>0</v>
      </c>
      <c r="AT19" s="212">
        <f t="shared" si="13"/>
        <v>0</v>
      </c>
      <c r="AU19" s="212">
        <f t="shared" si="14"/>
        <v>0</v>
      </c>
      <c r="AV19" s="212">
        <f t="shared" si="15"/>
        <v>0</v>
      </c>
      <c r="AW19" s="212">
        <f t="shared" si="16"/>
        <v>0</v>
      </c>
      <c r="AX19" s="212">
        <f t="shared" si="17"/>
        <v>0</v>
      </c>
      <c r="AY19" s="212">
        <f t="shared" si="18"/>
        <v>77.666666666666671</v>
      </c>
      <c r="AZ19" s="212">
        <f t="shared" si="19"/>
        <v>53.426666666666669</v>
      </c>
      <c r="BA19" s="212">
        <f t="shared" si="20"/>
        <v>0</v>
      </c>
      <c r="BB19" s="212">
        <f t="shared" si="21"/>
        <v>0</v>
      </c>
      <c r="BC19" s="212">
        <f t="shared" si="22"/>
        <v>0</v>
      </c>
      <c r="BD19" s="212">
        <f t="shared" si="23"/>
        <v>0</v>
      </c>
      <c r="BE19" s="201"/>
      <c r="BF19" s="201"/>
      <c r="BG19" s="201"/>
      <c r="BH19" s="201"/>
      <c r="BI19" s="201"/>
      <c r="BJ19" s="201"/>
      <c r="BK19" s="201"/>
      <c r="BL19" s="201"/>
    </row>
    <row r="20" spans="1:64" ht="12.75" customHeight="1" x14ac:dyDescent="0.2">
      <c r="A20" s="374"/>
      <c r="B20" s="374"/>
      <c r="C20" s="209" t="s">
        <v>43</v>
      </c>
      <c r="D20" s="376"/>
      <c r="E20" s="208"/>
      <c r="F20" s="208"/>
      <c r="G20" s="208"/>
      <c r="H20" s="208"/>
      <c r="I20" s="208"/>
      <c r="J20" s="208"/>
      <c r="K20" s="208"/>
      <c r="L20" s="208"/>
      <c r="M20" s="208"/>
      <c r="N20" s="208"/>
      <c r="O20" s="208"/>
      <c r="P20" s="208"/>
      <c r="Q20" s="208"/>
      <c r="R20" s="208"/>
      <c r="S20" s="208"/>
      <c r="T20" s="208"/>
      <c r="U20" s="208"/>
      <c r="V20" s="208"/>
      <c r="W20" s="208"/>
      <c r="X20" s="208"/>
      <c r="Y20" s="208"/>
      <c r="Z20" s="208"/>
      <c r="AA20" s="208">
        <v>172.32</v>
      </c>
      <c r="AB20" s="208"/>
      <c r="AC20" s="209" t="s">
        <v>251</v>
      </c>
      <c r="AD20" s="210">
        <f t="shared" si="24"/>
        <v>4.33</v>
      </c>
      <c r="AE20" s="211">
        <f>'1. SAn ABA DE CARREGAMENTO'!$B$90</f>
        <v>24</v>
      </c>
      <c r="AF20" s="376"/>
      <c r="AG20" s="212">
        <f t="shared" si="0"/>
        <v>0</v>
      </c>
      <c r="AH20" s="212">
        <f t="shared" si="1"/>
        <v>0</v>
      </c>
      <c r="AI20" s="212">
        <f t="shared" si="2"/>
        <v>0</v>
      </c>
      <c r="AJ20" s="212">
        <f t="shared" si="3"/>
        <v>0</v>
      </c>
      <c r="AK20" s="212">
        <f t="shared" si="4"/>
        <v>0</v>
      </c>
      <c r="AL20" s="213">
        <f t="shared" si="5"/>
        <v>0</v>
      </c>
      <c r="AM20" s="213">
        <f t="shared" si="6"/>
        <v>0</v>
      </c>
      <c r="AN20" s="212">
        <f t="shared" si="7"/>
        <v>0</v>
      </c>
      <c r="AO20" s="212">
        <f t="shared" si="8"/>
        <v>0</v>
      </c>
      <c r="AP20" s="213">
        <f t="shared" si="9"/>
        <v>0</v>
      </c>
      <c r="AQ20" s="213">
        <f t="shared" si="10"/>
        <v>0</v>
      </c>
      <c r="AR20" s="212">
        <f t="shared" si="11"/>
        <v>0</v>
      </c>
      <c r="AS20" s="212">
        <f t="shared" si="12"/>
        <v>0</v>
      </c>
      <c r="AT20" s="212">
        <f t="shared" si="13"/>
        <v>0</v>
      </c>
      <c r="AU20" s="212">
        <f t="shared" si="14"/>
        <v>0</v>
      </c>
      <c r="AV20" s="212">
        <f t="shared" si="15"/>
        <v>0</v>
      </c>
      <c r="AW20" s="212">
        <f t="shared" si="16"/>
        <v>0</v>
      </c>
      <c r="AX20" s="212">
        <f t="shared" si="17"/>
        <v>0</v>
      </c>
      <c r="AY20" s="212">
        <f t="shared" si="18"/>
        <v>0</v>
      </c>
      <c r="AZ20" s="212">
        <f t="shared" si="19"/>
        <v>0</v>
      </c>
      <c r="BA20" s="212">
        <f t="shared" si="20"/>
        <v>0</v>
      </c>
      <c r="BB20" s="212">
        <f t="shared" si="21"/>
        <v>0</v>
      </c>
      <c r="BC20" s="212">
        <f t="shared" si="22"/>
        <v>31.089399999999998</v>
      </c>
      <c r="BD20" s="212">
        <f t="shared" ref="BD20:BD27" si="25">(AB20*AD20)/AE20</f>
        <v>0</v>
      </c>
      <c r="BE20" s="201"/>
      <c r="BF20" s="201"/>
      <c r="BG20" s="201"/>
      <c r="BH20" s="201"/>
      <c r="BI20" s="201"/>
      <c r="BJ20" s="201"/>
      <c r="BK20" s="201"/>
      <c r="BL20" s="201"/>
    </row>
    <row r="21" spans="1:64" ht="12.75" customHeight="1" x14ac:dyDescent="0.2">
      <c r="A21" s="374"/>
      <c r="B21" s="374"/>
      <c r="C21" s="209" t="s">
        <v>44</v>
      </c>
      <c r="D21" s="376"/>
      <c r="E21" s="208"/>
      <c r="F21" s="208"/>
      <c r="G21" s="208"/>
      <c r="H21" s="208"/>
      <c r="I21" s="208"/>
      <c r="J21" s="208"/>
      <c r="K21" s="208"/>
      <c r="L21" s="208"/>
      <c r="M21" s="208"/>
      <c r="N21" s="208"/>
      <c r="O21" s="208"/>
      <c r="P21" s="208"/>
      <c r="Q21" s="208"/>
      <c r="R21" s="208"/>
      <c r="S21" s="208"/>
      <c r="T21" s="208"/>
      <c r="U21" s="208"/>
      <c r="V21" s="208"/>
      <c r="W21" s="208"/>
      <c r="X21" s="208"/>
      <c r="Y21" s="208"/>
      <c r="Z21" s="208"/>
      <c r="AA21" s="208"/>
      <c r="AB21" s="208">
        <v>62.53</v>
      </c>
      <c r="AC21" s="209" t="s">
        <v>251</v>
      </c>
      <c r="AD21" s="210">
        <f t="shared" si="24"/>
        <v>4.33</v>
      </c>
      <c r="AE21" s="211">
        <f>'1. SAn ABA DE CARREGAMENTO'!$B$90</f>
        <v>24</v>
      </c>
      <c r="AF21" s="376"/>
      <c r="AG21" s="212">
        <f t="shared" si="0"/>
        <v>0</v>
      </c>
      <c r="AH21" s="212">
        <f t="shared" si="1"/>
        <v>0</v>
      </c>
      <c r="AI21" s="212">
        <f t="shared" si="2"/>
        <v>0</v>
      </c>
      <c r="AJ21" s="212">
        <f t="shared" si="3"/>
        <v>0</v>
      </c>
      <c r="AK21" s="212">
        <f t="shared" si="4"/>
        <v>0</v>
      </c>
      <c r="AL21" s="213">
        <f t="shared" si="5"/>
        <v>0</v>
      </c>
      <c r="AM21" s="213">
        <f t="shared" si="6"/>
        <v>0</v>
      </c>
      <c r="AN21" s="212">
        <f t="shared" si="7"/>
        <v>0</v>
      </c>
      <c r="AO21" s="212">
        <f t="shared" si="8"/>
        <v>0</v>
      </c>
      <c r="AP21" s="213">
        <f t="shared" si="9"/>
        <v>0</v>
      </c>
      <c r="AQ21" s="213">
        <f t="shared" si="10"/>
        <v>0</v>
      </c>
      <c r="AR21" s="212">
        <f t="shared" si="11"/>
        <v>0</v>
      </c>
      <c r="AS21" s="212">
        <f t="shared" si="12"/>
        <v>0</v>
      </c>
      <c r="AT21" s="212">
        <f t="shared" si="13"/>
        <v>0</v>
      </c>
      <c r="AU21" s="212">
        <f t="shared" si="14"/>
        <v>0</v>
      </c>
      <c r="AV21" s="212">
        <f t="shared" si="15"/>
        <v>0</v>
      </c>
      <c r="AW21" s="212">
        <f t="shared" si="16"/>
        <v>0</v>
      </c>
      <c r="AX21" s="212">
        <f t="shared" si="17"/>
        <v>0</v>
      </c>
      <c r="AY21" s="212">
        <f t="shared" si="18"/>
        <v>0</v>
      </c>
      <c r="AZ21" s="212">
        <f t="shared" si="19"/>
        <v>0</v>
      </c>
      <c r="BA21" s="212">
        <f t="shared" si="20"/>
        <v>0</v>
      </c>
      <c r="BB21" s="212">
        <f t="shared" si="21"/>
        <v>0</v>
      </c>
      <c r="BC21" s="212">
        <f t="shared" si="22"/>
        <v>0</v>
      </c>
      <c r="BD21" s="212">
        <f t="shared" si="25"/>
        <v>11.281454166666668</v>
      </c>
      <c r="BE21" s="201"/>
      <c r="BF21" s="201"/>
      <c r="BG21" s="201"/>
      <c r="BH21" s="201"/>
      <c r="BI21" s="201"/>
      <c r="BJ21" s="201"/>
      <c r="BK21" s="201"/>
      <c r="BL21" s="201"/>
    </row>
    <row r="22" spans="1:64" ht="12.75" customHeight="1" x14ac:dyDescent="0.2">
      <c r="A22" s="374"/>
      <c r="B22" s="374"/>
      <c r="C22" s="208" t="s">
        <v>241</v>
      </c>
      <c r="D22" s="376"/>
      <c r="E22" s="208"/>
      <c r="F22" s="208"/>
      <c r="G22" s="208"/>
      <c r="H22" s="208"/>
      <c r="I22" s="208"/>
      <c r="J22" s="208"/>
      <c r="K22" s="208"/>
      <c r="L22" s="208"/>
      <c r="M22" s="208"/>
      <c r="N22" s="208"/>
      <c r="O22" s="208"/>
      <c r="P22" s="208"/>
      <c r="Q22" s="208"/>
      <c r="R22" s="208"/>
      <c r="S22" s="208"/>
      <c r="T22" s="208"/>
      <c r="U22" s="208"/>
      <c r="V22" s="208"/>
      <c r="W22" s="208"/>
      <c r="X22" s="208"/>
      <c r="Y22" s="208"/>
      <c r="Z22" s="208">
        <v>62.53</v>
      </c>
      <c r="AA22" s="208"/>
      <c r="AB22" s="208"/>
      <c r="AC22" s="209" t="s">
        <v>628</v>
      </c>
      <c r="AD22" s="210">
        <f t="shared" si="24"/>
        <v>144</v>
      </c>
      <c r="AE22" s="211">
        <f>'1. SAn ABA DE CARREGAMENTO'!$B$90</f>
        <v>24</v>
      </c>
      <c r="AF22" s="376"/>
      <c r="AG22" s="212">
        <f t="shared" si="0"/>
        <v>0</v>
      </c>
      <c r="AH22" s="212">
        <f t="shared" si="1"/>
        <v>0</v>
      </c>
      <c r="AI22" s="212">
        <f t="shared" si="2"/>
        <v>0</v>
      </c>
      <c r="AJ22" s="212">
        <f t="shared" si="3"/>
        <v>0</v>
      </c>
      <c r="AK22" s="212">
        <f t="shared" si="4"/>
        <v>0</v>
      </c>
      <c r="AL22" s="213">
        <f t="shared" si="5"/>
        <v>0</v>
      </c>
      <c r="AM22" s="213">
        <f t="shared" si="6"/>
        <v>0</v>
      </c>
      <c r="AN22" s="212">
        <f t="shared" si="7"/>
        <v>0</v>
      </c>
      <c r="AO22" s="212">
        <f t="shared" si="8"/>
        <v>0</v>
      </c>
      <c r="AP22" s="213">
        <f t="shared" si="9"/>
        <v>0</v>
      </c>
      <c r="AQ22" s="213">
        <f t="shared" si="10"/>
        <v>0</v>
      </c>
      <c r="AR22" s="212">
        <f t="shared" si="11"/>
        <v>0</v>
      </c>
      <c r="AS22" s="212">
        <f t="shared" si="12"/>
        <v>0</v>
      </c>
      <c r="AT22" s="212">
        <f t="shared" si="13"/>
        <v>0</v>
      </c>
      <c r="AU22" s="212">
        <f t="shared" si="14"/>
        <v>0</v>
      </c>
      <c r="AV22" s="212">
        <f t="shared" si="15"/>
        <v>0</v>
      </c>
      <c r="AW22" s="212">
        <f t="shared" si="16"/>
        <v>0</v>
      </c>
      <c r="AX22" s="212">
        <f t="shared" si="17"/>
        <v>0</v>
      </c>
      <c r="AY22" s="212">
        <f t="shared" si="18"/>
        <v>0</v>
      </c>
      <c r="AZ22" s="212">
        <f t="shared" si="19"/>
        <v>0</v>
      </c>
      <c r="BA22" s="212">
        <f t="shared" si="20"/>
        <v>0</v>
      </c>
      <c r="BB22" s="212">
        <f t="shared" si="21"/>
        <v>375.18</v>
      </c>
      <c r="BC22" s="212">
        <f t="shared" si="22"/>
        <v>0</v>
      </c>
      <c r="BD22" s="212">
        <f t="shared" si="25"/>
        <v>0</v>
      </c>
      <c r="BE22" s="201"/>
      <c r="BF22" s="201"/>
      <c r="BG22" s="201"/>
      <c r="BH22" s="201"/>
      <c r="BI22" s="201"/>
      <c r="BJ22" s="201"/>
      <c r="BK22" s="201"/>
      <c r="BL22" s="201"/>
    </row>
    <row r="23" spans="1:64" x14ac:dyDescent="0.2">
      <c r="A23" s="378">
        <v>3</v>
      </c>
      <c r="B23" s="379" t="s">
        <v>255</v>
      </c>
      <c r="C23" s="202" t="s">
        <v>256</v>
      </c>
      <c r="D23" s="380">
        <f>SUM(E23:AB30)</f>
        <v>815.93999999999994</v>
      </c>
      <c r="E23" s="202"/>
      <c r="F23" s="202">
        <v>378</v>
      </c>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t="s">
        <v>246</v>
      </c>
      <c r="AD23" s="203">
        <f t="shared" si="24"/>
        <v>72</v>
      </c>
      <c r="AE23" s="204">
        <f>'1. SAn ABA DE CARREGAMENTO'!$B$90</f>
        <v>24</v>
      </c>
      <c r="AF23" s="380">
        <f>SUM(AG23:BD30)</f>
        <v>1660.9095958333332</v>
      </c>
      <c r="AG23" s="205">
        <f t="shared" si="0"/>
        <v>0</v>
      </c>
      <c r="AH23" s="205">
        <f t="shared" si="1"/>
        <v>1134</v>
      </c>
      <c r="AI23" s="205">
        <f t="shared" si="2"/>
        <v>0</v>
      </c>
      <c r="AJ23" s="205">
        <f t="shared" si="3"/>
        <v>0</v>
      </c>
      <c r="AK23" s="205">
        <f t="shared" si="4"/>
        <v>0</v>
      </c>
      <c r="AL23" s="205">
        <f t="shared" si="5"/>
        <v>0</v>
      </c>
      <c r="AM23" s="205">
        <f t="shared" si="6"/>
        <v>0</v>
      </c>
      <c r="AN23" s="205">
        <f t="shared" si="7"/>
        <v>0</v>
      </c>
      <c r="AO23" s="205">
        <f t="shared" si="8"/>
        <v>0</v>
      </c>
      <c r="AP23" s="205">
        <f t="shared" si="9"/>
        <v>0</v>
      </c>
      <c r="AQ23" s="205">
        <f t="shared" si="10"/>
        <v>0</v>
      </c>
      <c r="AR23" s="205">
        <f t="shared" si="11"/>
        <v>0</v>
      </c>
      <c r="AS23" s="205">
        <f t="shared" si="12"/>
        <v>0</v>
      </c>
      <c r="AT23" s="205">
        <f t="shared" si="13"/>
        <v>0</v>
      </c>
      <c r="AU23" s="205">
        <f t="shared" si="14"/>
        <v>0</v>
      </c>
      <c r="AV23" s="205">
        <f t="shared" si="15"/>
        <v>0</v>
      </c>
      <c r="AW23" s="205">
        <f t="shared" si="16"/>
        <v>0</v>
      </c>
      <c r="AX23" s="205">
        <f t="shared" si="17"/>
        <v>0</v>
      </c>
      <c r="AY23" s="205">
        <f t="shared" si="18"/>
        <v>0</v>
      </c>
      <c r="AZ23" s="205">
        <f t="shared" si="19"/>
        <v>0</v>
      </c>
      <c r="BA23" s="205">
        <f t="shared" si="20"/>
        <v>0</v>
      </c>
      <c r="BB23" s="205">
        <f t="shared" si="21"/>
        <v>0</v>
      </c>
      <c r="BC23" s="214">
        <f t="shared" si="22"/>
        <v>0</v>
      </c>
      <c r="BD23" s="205">
        <f t="shared" si="25"/>
        <v>0</v>
      </c>
      <c r="BE23" s="201"/>
      <c r="BF23" s="201"/>
      <c r="BG23" s="201"/>
      <c r="BH23" s="201"/>
      <c r="BI23" s="201"/>
      <c r="BJ23" s="201"/>
      <c r="BK23" s="201"/>
      <c r="BL23" s="201"/>
    </row>
    <row r="24" spans="1:64" x14ac:dyDescent="0.2">
      <c r="A24" s="378"/>
      <c r="B24" s="378"/>
      <c r="C24" s="202" t="s">
        <v>247</v>
      </c>
      <c r="D24" s="380"/>
      <c r="E24" s="202"/>
      <c r="F24" s="202"/>
      <c r="G24" s="202"/>
      <c r="H24" s="202"/>
      <c r="I24" s="202"/>
      <c r="J24" s="202"/>
      <c r="K24" s="202"/>
      <c r="L24" s="202">
        <v>145</v>
      </c>
      <c r="M24" s="202"/>
      <c r="N24" s="202"/>
      <c r="O24" s="202"/>
      <c r="P24" s="202"/>
      <c r="Q24" s="202"/>
      <c r="R24" s="202"/>
      <c r="S24" s="202"/>
      <c r="T24" s="202"/>
      <c r="U24" s="202"/>
      <c r="V24" s="202"/>
      <c r="W24" s="202"/>
      <c r="X24" s="202"/>
      <c r="Y24" s="202"/>
      <c r="Z24" s="202"/>
      <c r="AA24" s="202"/>
      <c r="AB24" s="202"/>
      <c r="AC24" s="202" t="s">
        <v>246</v>
      </c>
      <c r="AD24" s="203">
        <f t="shared" si="24"/>
        <v>72</v>
      </c>
      <c r="AE24" s="204">
        <f>'1. SAn ABA DE CARREGAMENTO'!$B$90</f>
        <v>24</v>
      </c>
      <c r="AF24" s="380"/>
      <c r="AG24" s="205">
        <f t="shared" si="0"/>
        <v>0</v>
      </c>
      <c r="AH24" s="205">
        <f t="shared" si="1"/>
        <v>0</v>
      </c>
      <c r="AI24" s="205">
        <f t="shared" si="2"/>
        <v>0</v>
      </c>
      <c r="AJ24" s="205">
        <f t="shared" si="3"/>
        <v>0</v>
      </c>
      <c r="AK24" s="205">
        <f t="shared" si="4"/>
        <v>0</v>
      </c>
      <c r="AL24" s="205">
        <f t="shared" si="5"/>
        <v>0</v>
      </c>
      <c r="AM24" s="205">
        <f t="shared" si="6"/>
        <v>0</v>
      </c>
      <c r="AN24" s="205">
        <f t="shared" si="7"/>
        <v>435</v>
      </c>
      <c r="AO24" s="205">
        <f t="shared" si="8"/>
        <v>0</v>
      </c>
      <c r="AP24" s="205">
        <f t="shared" si="9"/>
        <v>0</v>
      </c>
      <c r="AQ24" s="205">
        <f t="shared" si="10"/>
        <v>0</v>
      </c>
      <c r="AR24" s="205">
        <f t="shared" si="11"/>
        <v>0</v>
      </c>
      <c r="AS24" s="205">
        <f t="shared" si="12"/>
        <v>0</v>
      </c>
      <c r="AT24" s="205">
        <f t="shared" si="13"/>
        <v>0</v>
      </c>
      <c r="AU24" s="205">
        <f t="shared" si="14"/>
        <v>0</v>
      </c>
      <c r="AV24" s="205">
        <f t="shared" si="15"/>
        <v>0</v>
      </c>
      <c r="AW24" s="205">
        <f t="shared" si="16"/>
        <v>0</v>
      </c>
      <c r="AX24" s="205">
        <f t="shared" si="17"/>
        <v>0</v>
      </c>
      <c r="AY24" s="205">
        <f t="shared" si="18"/>
        <v>0</v>
      </c>
      <c r="AZ24" s="205">
        <f t="shared" si="19"/>
        <v>0</v>
      </c>
      <c r="BA24" s="205">
        <f t="shared" si="20"/>
        <v>0</v>
      </c>
      <c r="BB24" s="205">
        <f t="shared" si="21"/>
        <v>0</v>
      </c>
      <c r="BC24" s="214">
        <f t="shared" si="22"/>
        <v>0</v>
      </c>
      <c r="BD24" s="205">
        <f t="shared" si="25"/>
        <v>0</v>
      </c>
      <c r="BE24" s="201"/>
      <c r="BF24" s="201"/>
      <c r="BG24" s="201"/>
      <c r="BH24" s="201"/>
      <c r="BI24" s="201"/>
      <c r="BJ24" s="201"/>
      <c r="BK24" s="201"/>
      <c r="BL24" s="201"/>
    </row>
    <row r="25" spans="1:64" ht="25.5" x14ac:dyDescent="0.2">
      <c r="A25" s="378"/>
      <c r="B25" s="378"/>
      <c r="C25" s="202" t="s">
        <v>248</v>
      </c>
      <c r="D25" s="380"/>
      <c r="E25" s="202"/>
      <c r="F25" s="202"/>
      <c r="G25" s="202"/>
      <c r="H25" s="202"/>
      <c r="I25" s="202"/>
      <c r="J25" s="202"/>
      <c r="K25" s="202"/>
      <c r="L25" s="202"/>
      <c r="M25" s="202"/>
      <c r="N25" s="202"/>
      <c r="O25" s="202"/>
      <c r="P25" s="202"/>
      <c r="Q25" s="202"/>
      <c r="R25" s="202"/>
      <c r="S25" s="202"/>
      <c r="T25" s="202"/>
      <c r="U25" s="202"/>
      <c r="V25" s="202"/>
      <c r="W25" s="202"/>
      <c r="X25" s="202"/>
      <c r="Y25" s="202"/>
      <c r="Z25" s="202"/>
      <c r="AA25" s="202"/>
      <c r="AB25" s="202"/>
      <c r="AC25" s="202" t="s">
        <v>245</v>
      </c>
      <c r="AD25" s="203">
        <f t="shared" si="24"/>
        <v>24</v>
      </c>
      <c r="AE25" s="204">
        <f>'1. SAn ABA DE CARREGAMENTO'!$B$90</f>
        <v>24</v>
      </c>
      <c r="AF25" s="380"/>
      <c r="AG25" s="205">
        <f t="shared" si="0"/>
        <v>0</v>
      </c>
      <c r="AH25" s="205">
        <f t="shared" si="1"/>
        <v>0</v>
      </c>
      <c r="AI25" s="205">
        <f t="shared" si="2"/>
        <v>0</v>
      </c>
      <c r="AJ25" s="205">
        <f t="shared" si="3"/>
        <v>0</v>
      </c>
      <c r="AK25" s="205">
        <f t="shared" si="4"/>
        <v>0</v>
      </c>
      <c r="AL25" s="205">
        <f t="shared" si="5"/>
        <v>0</v>
      </c>
      <c r="AM25" s="205">
        <f t="shared" si="6"/>
        <v>0</v>
      </c>
      <c r="AN25" s="205">
        <f t="shared" si="7"/>
        <v>0</v>
      </c>
      <c r="AO25" s="205">
        <f t="shared" si="8"/>
        <v>0</v>
      </c>
      <c r="AP25" s="205">
        <f t="shared" si="9"/>
        <v>0</v>
      </c>
      <c r="AQ25" s="205">
        <f t="shared" si="10"/>
        <v>0</v>
      </c>
      <c r="AR25" s="205">
        <f t="shared" si="11"/>
        <v>0</v>
      </c>
      <c r="AS25" s="205">
        <f t="shared" si="12"/>
        <v>0</v>
      </c>
      <c r="AT25" s="205">
        <f t="shared" si="13"/>
        <v>0</v>
      </c>
      <c r="AU25" s="205">
        <f t="shared" si="14"/>
        <v>0</v>
      </c>
      <c r="AV25" s="205">
        <f t="shared" si="15"/>
        <v>0</v>
      </c>
      <c r="AW25" s="205">
        <f t="shared" si="16"/>
        <v>0</v>
      </c>
      <c r="AX25" s="205">
        <f t="shared" si="17"/>
        <v>0</v>
      </c>
      <c r="AY25" s="205">
        <f t="shared" si="18"/>
        <v>0</v>
      </c>
      <c r="AZ25" s="205">
        <f t="shared" si="19"/>
        <v>0</v>
      </c>
      <c r="BA25" s="205">
        <f t="shared" si="20"/>
        <v>0</v>
      </c>
      <c r="BB25" s="205">
        <f t="shared" si="21"/>
        <v>0</v>
      </c>
      <c r="BC25" s="214">
        <f t="shared" si="22"/>
        <v>0</v>
      </c>
      <c r="BD25" s="205">
        <f t="shared" si="25"/>
        <v>0</v>
      </c>
      <c r="BE25" s="201"/>
      <c r="BF25" s="201"/>
      <c r="BG25" s="201"/>
      <c r="BH25" s="201"/>
      <c r="BI25" s="201"/>
      <c r="BJ25" s="201"/>
      <c r="BK25" s="201"/>
      <c r="BL25" s="201"/>
    </row>
    <row r="26" spans="1:64" ht="12.75" customHeight="1" x14ac:dyDescent="0.2">
      <c r="A26" s="378"/>
      <c r="B26" s="378"/>
      <c r="C26" s="202" t="s">
        <v>249</v>
      </c>
      <c r="D26" s="380"/>
      <c r="E26" s="202"/>
      <c r="F26" s="202"/>
      <c r="G26" s="202"/>
      <c r="H26" s="202"/>
      <c r="I26" s="202"/>
      <c r="J26" s="202"/>
      <c r="K26" s="202"/>
      <c r="L26" s="202"/>
      <c r="M26" s="202"/>
      <c r="N26" s="202"/>
      <c r="O26" s="202"/>
      <c r="P26" s="202"/>
      <c r="Q26" s="202"/>
      <c r="R26" s="202"/>
      <c r="S26" s="202"/>
      <c r="T26" s="202"/>
      <c r="U26" s="202">
        <v>122.13</v>
      </c>
      <c r="V26" s="202"/>
      <c r="W26" s="202"/>
      <c r="X26" s="202"/>
      <c r="Y26" s="202"/>
      <c r="Z26" s="202"/>
      <c r="AA26" s="202"/>
      <c r="AB26" s="202"/>
      <c r="AC26" s="202" t="s">
        <v>615</v>
      </c>
      <c r="AD26" s="203">
        <f t="shared" si="24"/>
        <v>0.17</v>
      </c>
      <c r="AE26" s="204">
        <f>'1. SAn ABA DE CARREGAMENTO'!$B$90</f>
        <v>24</v>
      </c>
      <c r="AF26" s="380"/>
      <c r="AG26" s="205">
        <f t="shared" si="0"/>
        <v>0</v>
      </c>
      <c r="AH26" s="205">
        <f t="shared" si="1"/>
        <v>0</v>
      </c>
      <c r="AI26" s="205">
        <f t="shared" si="2"/>
        <v>0</v>
      </c>
      <c r="AJ26" s="205">
        <f t="shared" si="3"/>
        <v>0</v>
      </c>
      <c r="AK26" s="205">
        <f t="shared" si="4"/>
        <v>0</v>
      </c>
      <c r="AL26" s="205">
        <f t="shared" si="5"/>
        <v>0</v>
      </c>
      <c r="AM26" s="205">
        <f t="shared" si="6"/>
        <v>0</v>
      </c>
      <c r="AN26" s="205">
        <f t="shared" si="7"/>
        <v>0</v>
      </c>
      <c r="AO26" s="205">
        <f t="shared" si="8"/>
        <v>0</v>
      </c>
      <c r="AP26" s="205">
        <f t="shared" si="9"/>
        <v>0</v>
      </c>
      <c r="AQ26" s="205">
        <f t="shared" si="10"/>
        <v>0</v>
      </c>
      <c r="AR26" s="205">
        <f t="shared" si="11"/>
        <v>0</v>
      </c>
      <c r="AS26" s="205">
        <f t="shared" si="12"/>
        <v>0</v>
      </c>
      <c r="AT26" s="205">
        <f t="shared" si="13"/>
        <v>0</v>
      </c>
      <c r="AU26" s="205">
        <f t="shared" si="14"/>
        <v>0</v>
      </c>
      <c r="AV26" s="205">
        <f t="shared" si="15"/>
        <v>0</v>
      </c>
      <c r="AW26" s="205">
        <f t="shared" si="16"/>
        <v>0.86508750000000001</v>
      </c>
      <c r="AX26" s="205">
        <f t="shared" si="17"/>
        <v>0</v>
      </c>
      <c r="AY26" s="205">
        <f t="shared" si="18"/>
        <v>0</v>
      </c>
      <c r="AZ26" s="205">
        <f t="shared" si="19"/>
        <v>0</v>
      </c>
      <c r="BA26" s="205">
        <f t="shared" si="20"/>
        <v>0</v>
      </c>
      <c r="BB26" s="205">
        <f t="shared" si="21"/>
        <v>0</v>
      </c>
      <c r="BC26" s="214">
        <f t="shared" si="22"/>
        <v>0</v>
      </c>
      <c r="BD26" s="205">
        <f t="shared" si="25"/>
        <v>0</v>
      </c>
      <c r="BE26" s="201"/>
      <c r="BF26" s="201"/>
      <c r="BG26" s="201"/>
      <c r="BH26" s="201"/>
      <c r="BI26" s="201"/>
      <c r="BJ26" s="201"/>
      <c r="BK26" s="201"/>
      <c r="BL26" s="201"/>
    </row>
    <row r="27" spans="1:64" ht="12.75" customHeight="1" x14ac:dyDescent="0.2">
      <c r="A27" s="378"/>
      <c r="B27" s="378"/>
      <c r="C27" s="202" t="s">
        <v>250</v>
      </c>
      <c r="D27" s="380"/>
      <c r="E27" s="202"/>
      <c r="F27" s="202"/>
      <c r="G27" s="202"/>
      <c r="H27" s="202"/>
      <c r="I27" s="202"/>
      <c r="J27" s="202"/>
      <c r="K27" s="202"/>
      <c r="L27" s="202"/>
      <c r="M27" s="202"/>
      <c r="N27" s="202"/>
      <c r="O27" s="202"/>
      <c r="P27" s="202"/>
      <c r="Q27" s="202"/>
      <c r="R27" s="202"/>
      <c r="S27" s="202"/>
      <c r="T27" s="202"/>
      <c r="U27" s="202"/>
      <c r="V27" s="202">
        <v>122.13</v>
      </c>
      <c r="W27" s="202"/>
      <c r="X27" s="202"/>
      <c r="Y27" s="202"/>
      <c r="Z27" s="202"/>
      <c r="AA27" s="202"/>
      <c r="AB27" s="202"/>
      <c r="AC27" s="202" t="s">
        <v>264</v>
      </c>
      <c r="AD27" s="203">
        <f t="shared" si="24"/>
        <v>8</v>
      </c>
      <c r="AE27" s="204">
        <f>'1. SAn ABA DE CARREGAMENTO'!$B$90</f>
        <v>24</v>
      </c>
      <c r="AF27" s="380"/>
      <c r="AG27" s="205">
        <f t="shared" si="0"/>
        <v>0</v>
      </c>
      <c r="AH27" s="205">
        <f t="shared" si="1"/>
        <v>0</v>
      </c>
      <c r="AI27" s="205">
        <f t="shared" si="2"/>
        <v>0</v>
      </c>
      <c r="AJ27" s="205">
        <f t="shared" si="3"/>
        <v>0</v>
      </c>
      <c r="AK27" s="205">
        <f t="shared" si="4"/>
        <v>0</v>
      </c>
      <c r="AL27" s="205">
        <f t="shared" si="5"/>
        <v>0</v>
      </c>
      <c r="AM27" s="205">
        <f t="shared" si="6"/>
        <v>0</v>
      </c>
      <c r="AN27" s="205">
        <f t="shared" si="7"/>
        <v>0</v>
      </c>
      <c r="AO27" s="205">
        <f t="shared" si="8"/>
        <v>0</v>
      </c>
      <c r="AP27" s="205">
        <f t="shared" si="9"/>
        <v>0</v>
      </c>
      <c r="AQ27" s="205">
        <f t="shared" si="10"/>
        <v>0</v>
      </c>
      <c r="AR27" s="205">
        <f t="shared" si="11"/>
        <v>0</v>
      </c>
      <c r="AS27" s="205">
        <f t="shared" si="12"/>
        <v>0</v>
      </c>
      <c r="AT27" s="205">
        <f t="shared" si="13"/>
        <v>0</v>
      </c>
      <c r="AU27" s="205">
        <f t="shared" si="14"/>
        <v>0</v>
      </c>
      <c r="AV27" s="205">
        <f t="shared" si="15"/>
        <v>0</v>
      </c>
      <c r="AW27" s="205">
        <f t="shared" si="16"/>
        <v>0</v>
      </c>
      <c r="AX27" s="205">
        <f t="shared" si="17"/>
        <v>40.71</v>
      </c>
      <c r="AY27" s="205">
        <f t="shared" si="18"/>
        <v>0</v>
      </c>
      <c r="AZ27" s="205">
        <f t="shared" si="19"/>
        <v>0</v>
      </c>
      <c r="BA27" s="205">
        <f t="shared" si="20"/>
        <v>0</v>
      </c>
      <c r="BB27" s="205">
        <f t="shared" si="21"/>
        <v>0</v>
      </c>
      <c r="BC27" s="214">
        <f t="shared" si="22"/>
        <v>0</v>
      </c>
      <c r="BD27" s="205">
        <f t="shared" si="25"/>
        <v>0</v>
      </c>
      <c r="BE27" s="201"/>
      <c r="BF27" s="201"/>
      <c r="BG27" s="201"/>
      <c r="BH27" s="201"/>
      <c r="BI27" s="201"/>
      <c r="BJ27" s="201"/>
      <c r="BK27" s="201"/>
      <c r="BL27" s="201"/>
    </row>
    <row r="28" spans="1:64" ht="12.75" customHeight="1" x14ac:dyDescent="0.2">
      <c r="A28" s="378"/>
      <c r="B28" s="378"/>
      <c r="C28" s="202" t="s">
        <v>43</v>
      </c>
      <c r="D28" s="380"/>
      <c r="E28" s="202"/>
      <c r="F28" s="202"/>
      <c r="G28" s="202"/>
      <c r="H28" s="202"/>
      <c r="I28" s="202"/>
      <c r="J28" s="202"/>
      <c r="K28" s="202"/>
      <c r="L28" s="202"/>
      <c r="M28" s="202"/>
      <c r="N28" s="202"/>
      <c r="O28" s="202"/>
      <c r="P28" s="202"/>
      <c r="Q28" s="202"/>
      <c r="R28" s="202"/>
      <c r="S28" s="202"/>
      <c r="T28" s="202"/>
      <c r="U28" s="202"/>
      <c r="V28" s="202"/>
      <c r="W28" s="202"/>
      <c r="X28" s="202"/>
      <c r="Y28" s="202"/>
      <c r="Z28" s="202"/>
      <c r="AA28" s="202">
        <v>34.4</v>
      </c>
      <c r="AB28" s="202"/>
      <c r="AC28" s="202" t="s">
        <v>251</v>
      </c>
      <c r="AD28" s="203">
        <f t="shared" si="24"/>
        <v>4.33</v>
      </c>
      <c r="AE28" s="204">
        <f>'1. SAn ABA DE CARREGAMENTO'!$B$90</f>
        <v>24</v>
      </c>
      <c r="AF28" s="380"/>
      <c r="AG28" s="205">
        <f t="shared" si="0"/>
        <v>0</v>
      </c>
      <c r="AH28" s="205">
        <f t="shared" si="1"/>
        <v>0</v>
      </c>
      <c r="AI28" s="205">
        <f t="shared" si="2"/>
        <v>0</v>
      </c>
      <c r="AJ28" s="205">
        <f t="shared" si="3"/>
        <v>0</v>
      </c>
      <c r="AK28" s="205">
        <f t="shared" si="4"/>
        <v>0</v>
      </c>
      <c r="AL28" s="205">
        <f t="shared" si="5"/>
        <v>0</v>
      </c>
      <c r="AM28" s="205">
        <f t="shared" si="6"/>
        <v>0</v>
      </c>
      <c r="AN28" s="205">
        <f t="shared" si="7"/>
        <v>0</v>
      </c>
      <c r="AO28" s="205">
        <f t="shared" si="8"/>
        <v>0</v>
      </c>
      <c r="AP28" s="205">
        <f t="shared" si="9"/>
        <v>0</v>
      </c>
      <c r="AQ28" s="205">
        <f t="shared" si="10"/>
        <v>0</v>
      </c>
      <c r="AR28" s="205">
        <f t="shared" si="11"/>
        <v>0</v>
      </c>
      <c r="AS28" s="205">
        <f t="shared" si="12"/>
        <v>0</v>
      </c>
      <c r="AT28" s="205">
        <f t="shared" si="13"/>
        <v>0</v>
      </c>
      <c r="AU28" s="205">
        <f t="shared" si="14"/>
        <v>0</v>
      </c>
      <c r="AV28" s="205">
        <f t="shared" si="15"/>
        <v>0</v>
      </c>
      <c r="AW28" s="205">
        <f t="shared" si="16"/>
        <v>0</v>
      </c>
      <c r="AX28" s="205">
        <f t="shared" si="17"/>
        <v>0</v>
      </c>
      <c r="AY28" s="205">
        <f t="shared" si="18"/>
        <v>0</v>
      </c>
      <c r="AZ28" s="205">
        <f t="shared" si="19"/>
        <v>0</v>
      </c>
      <c r="BA28" s="205">
        <f t="shared" si="20"/>
        <v>0</v>
      </c>
      <c r="BB28" s="205">
        <f t="shared" si="21"/>
        <v>0</v>
      </c>
      <c r="BC28" s="214">
        <f t="shared" si="22"/>
        <v>6.2063333333333333</v>
      </c>
      <c r="BD28" s="205">
        <f t="shared" ref="BD28:BD36" si="26">(AB28*AD28)/AE28</f>
        <v>0</v>
      </c>
      <c r="BE28" s="201"/>
      <c r="BF28" s="201"/>
      <c r="BG28" s="201"/>
      <c r="BH28" s="201"/>
      <c r="BI28" s="201"/>
      <c r="BJ28" s="201"/>
      <c r="BK28" s="201"/>
      <c r="BL28" s="201"/>
    </row>
    <row r="29" spans="1:64" ht="12.75" customHeight="1" x14ac:dyDescent="0.2">
      <c r="A29" s="378"/>
      <c r="B29" s="378"/>
      <c r="C29" s="202" t="s">
        <v>44</v>
      </c>
      <c r="D29" s="380"/>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v>7.14</v>
      </c>
      <c r="AC29" s="202" t="s">
        <v>251</v>
      </c>
      <c r="AD29" s="203">
        <f t="shared" si="24"/>
        <v>4.33</v>
      </c>
      <c r="AE29" s="204">
        <f>'1. SAn ABA DE CARREGAMENTO'!$B$90</f>
        <v>24</v>
      </c>
      <c r="AF29" s="380"/>
      <c r="AG29" s="205">
        <f t="shared" si="0"/>
        <v>0</v>
      </c>
      <c r="AH29" s="205">
        <f t="shared" si="1"/>
        <v>0</v>
      </c>
      <c r="AI29" s="205">
        <f t="shared" si="2"/>
        <v>0</v>
      </c>
      <c r="AJ29" s="205">
        <f t="shared" si="3"/>
        <v>0</v>
      </c>
      <c r="AK29" s="205">
        <f t="shared" si="4"/>
        <v>0</v>
      </c>
      <c r="AL29" s="205">
        <f t="shared" si="5"/>
        <v>0</v>
      </c>
      <c r="AM29" s="205">
        <f t="shared" si="6"/>
        <v>0</v>
      </c>
      <c r="AN29" s="205">
        <f t="shared" si="7"/>
        <v>0</v>
      </c>
      <c r="AO29" s="205">
        <f t="shared" si="8"/>
        <v>0</v>
      </c>
      <c r="AP29" s="205">
        <f t="shared" si="9"/>
        <v>0</v>
      </c>
      <c r="AQ29" s="205">
        <f t="shared" si="10"/>
        <v>0</v>
      </c>
      <c r="AR29" s="205">
        <f t="shared" si="11"/>
        <v>0</v>
      </c>
      <c r="AS29" s="205">
        <f t="shared" si="12"/>
        <v>0</v>
      </c>
      <c r="AT29" s="205">
        <f t="shared" si="13"/>
        <v>0</v>
      </c>
      <c r="AU29" s="205">
        <f t="shared" si="14"/>
        <v>0</v>
      </c>
      <c r="AV29" s="205">
        <f t="shared" si="15"/>
        <v>0</v>
      </c>
      <c r="AW29" s="205">
        <f t="shared" si="16"/>
        <v>0</v>
      </c>
      <c r="AX29" s="205">
        <f t="shared" si="17"/>
        <v>0</v>
      </c>
      <c r="AY29" s="205">
        <f t="shared" si="18"/>
        <v>0</v>
      </c>
      <c r="AZ29" s="205">
        <f t="shared" si="19"/>
        <v>0</v>
      </c>
      <c r="BA29" s="205">
        <f t="shared" si="20"/>
        <v>0</v>
      </c>
      <c r="BB29" s="205">
        <f t="shared" si="21"/>
        <v>0</v>
      </c>
      <c r="BC29" s="214">
        <f t="shared" si="22"/>
        <v>0</v>
      </c>
      <c r="BD29" s="205">
        <f t="shared" si="26"/>
        <v>1.2881750000000001</v>
      </c>
      <c r="BE29" s="201"/>
      <c r="BF29" s="201"/>
      <c r="BG29" s="201"/>
      <c r="BH29" s="201"/>
      <c r="BI29" s="201"/>
      <c r="BJ29" s="201"/>
      <c r="BK29" s="201"/>
      <c r="BL29" s="201"/>
    </row>
    <row r="30" spans="1:64" ht="12.75" customHeight="1" x14ac:dyDescent="0.2">
      <c r="A30" s="378"/>
      <c r="B30" s="378"/>
      <c r="C30" s="202" t="s">
        <v>241</v>
      </c>
      <c r="D30" s="380"/>
      <c r="E30" s="202"/>
      <c r="F30" s="202"/>
      <c r="G30" s="202"/>
      <c r="H30" s="202"/>
      <c r="I30" s="202"/>
      <c r="J30" s="202"/>
      <c r="K30" s="202"/>
      <c r="L30" s="202"/>
      <c r="M30" s="202"/>
      <c r="N30" s="202"/>
      <c r="O30" s="202"/>
      <c r="P30" s="202"/>
      <c r="Q30" s="202"/>
      <c r="R30" s="202"/>
      <c r="S30" s="202"/>
      <c r="T30" s="202"/>
      <c r="U30" s="202"/>
      <c r="V30" s="202"/>
      <c r="W30" s="202"/>
      <c r="X30" s="202"/>
      <c r="Y30" s="202"/>
      <c r="Z30" s="202">
        <v>7.14</v>
      </c>
      <c r="AA30" s="202"/>
      <c r="AB30" s="202"/>
      <c r="AC30" s="202" t="s">
        <v>628</v>
      </c>
      <c r="AD30" s="203">
        <f t="shared" si="24"/>
        <v>144</v>
      </c>
      <c r="AE30" s="204">
        <f>'1. SAn ABA DE CARREGAMENTO'!$B$90</f>
        <v>24</v>
      </c>
      <c r="AF30" s="380"/>
      <c r="AG30" s="205">
        <f t="shared" si="0"/>
        <v>0</v>
      </c>
      <c r="AH30" s="205">
        <f t="shared" si="1"/>
        <v>0</v>
      </c>
      <c r="AI30" s="205">
        <f t="shared" si="2"/>
        <v>0</v>
      </c>
      <c r="AJ30" s="205">
        <f t="shared" si="3"/>
        <v>0</v>
      </c>
      <c r="AK30" s="205">
        <f t="shared" si="4"/>
        <v>0</v>
      </c>
      <c r="AL30" s="205">
        <f t="shared" si="5"/>
        <v>0</v>
      </c>
      <c r="AM30" s="205">
        <f t="shared" si="6"/>
        <v>0</v>
      </c>
      <c r="AN30" s="205">
        <f t="shared" si="7"/>
        <v>0</v>
      </c>
      <c r="AO30" s="205">
        <f t="shared" si="8"/>
        <v>0</v>
      </c>
      <c r="AP30" s="205">
        <f t="shared" si="9"/>
        <v>0</v>
      </c>
      <c r="AQ30" s="205">
        <f t="shared" si="10"/>
        <v>0</v>
      </c>
      <c r="AR30" s="205">
        <f t="shared" si="11"/>
        <v>0</v>
      </c>
      <c r="AS30" s="205">
        <f t="shared" si="12"/>
        <v>0</v>
      </c>
      <c r="AT30" s="205">
        <f t="shared" si="13"/>
        <v>0</v>
      </c>
      <c r="AU30" s="205">
        <f t="shared" si="14"/>
        <v>0</v>
      </c>
      <c r="AV30" s="205">
        <f t="shared" si="15"/>
        <v>0</v>
      </c>
      <c r="AW30" s="205">
        <f t="shared" si="16"/>
        <v>0</v>
      </c>
      <c r="AX30" s="205">
        <f t="shared" si="17"/>
        <v>0</v>
      </c>
      <c r="AY30" s="205">
        <f t="shared" si="18"/>
        <v>0</v>
      </c>
      <c r="AZ30" s="205">
        <f t="shared" si="19"/>
        <v>0</v>
      </c>
      <c r="BA30" s="205">
        <f t="shared" si="20"/>
        <v>0</v>
      </c>
      <c r="BB30" s="205">
        <f t="shared" si="21"/>
        <v>42.839999999999996</v>
      </c>
      <c r="BC30" s="214">
        <f t="shared" si="22"/>
        <v>0</v>
      </c>
      <c r="BD30" s="205">
        <f t="shared" si="26"/>
        <v>0</v>
      </c>
      <c r="BE30" s="201"/>
      <c r="BF30" s="201"/>
      <c r="BG30" s="201"/>
      <c r="BH30" s="201"/>
      <c r="BI30" s="201"/>
      <c r="BJ30" s="201"/>
      <c r="BK30" s="201"/>
      <c r="BL30" s="201"/>
    </row>
    <row r="31" spans="1:64" ht="12.75" customHeight="1" x14ac:dyDescent="0.2">
      <c r="A31" s="381">
        <v>4</v>
      </c>
      <c r="B31" s="382" t="s">
        <v>257</v>
      </c>
      <c r="C31" s="209" t="s">
        <v>258</v>
      </c>
      <c r="D31" s="383">
        <f>SUM(E31:AB39)</f>
        <v>472.32999999999993</v>
      </c>
      <c r="E31" s="209"/>
      <c r="F31" s="209"/>
      <c r="G31" s="209"/>
      <c r="H31" s="209"/>
      <c r="I31" s="209"/>
      <c r="J31" s="209"/>
      <c r="K31" s="209"/>
      <c r="L31" s="209"/>
      <c r="M31" s="209"/>
      <c r="N31" s="209"/>
      <c r="O31" s="209"/>
      <c r="P31" s="209"/>
      <c r="Q31" s="209"/>
      <c r="R31" s="209"/>
      <c r="S31" s="209"/>
      <c r="T31" s="209"/>
      <c r="U31" s="209"/>
      <c r="V31" s="209"/>
      <c r="W31" s="209"/>
      <c r="X31" s="209"/>
      <c r="Y31" s="209">
        <v>100.79</v>
      </c>
      <c r="Z31" s="209"/>
      <c r="AA31" s="209"/>
      <c r="AB31" s="209"/>
      <c r="AC31" s="209" t="s">
        <v>246</v>
      </c>
      <c r="AD31" s="210">
        <f t="shared" si="24"/>
        <v>72</v>
      </c>
      <c r="AE31" s="211">
        <f>'1. SAn ABA DE CARREGAMENTO'!$B$90</f>
        <v>24</v>
      </c>
      <c r="AF31" s="383">
        <f>SUM(AG31:BD39)</f>
        <v>861.05887083333346</v>
      </c>
      <c r="AG31" s="213">
        <f t="shared" si="0"/>
        <v>0</v>
      </c>
      <c r="AH31" s="213">
        <f t="shared" si="1"/>
        <v>0</v>
      </c>
      <c r="AI31" s="213">
        <f t="shared" si="2"/>
        <v>0</v>
      </c>
      <c r="AJ31" s="213">
        <f t="shared" si="3"/>
        <v>0</v>
      </c>
      <c r="AK31" s="213">
        <f t="shared" si="4"/>
        <v>0</v>
      </c>
      <c r="AL31" s="213">
        <f t="shared" si="5"/>
        <v>0</v>
      </c>
      <c r="AM31" s="213">
        <f t="shared" si="6"/>
        <v>0</v>
      </c>
      <c r="AN31" s="213">
        <f t="shared" si="7"/>
        <v>0</v>
      </c>
      <c r="AO31" s="213">
        <f t="shared" si="8"/>
        <v>0</v>
      </c>
      <c r="AP31" s="213">
        <f t="shared" si="9"/>
        <v>0</v>
      </c>
      <c r="AQ31" s="213">
        <f t="shared" si="10"/>
        <v>0</v>
      </c>
      <c r="AR31" s="213">
        <f t="shared" si="11"/>
        <v>0</v>
      </c>
      <c r="AS31" s="213">
        <f t="shared" si="12"/>
        <v>0</v>
      </c>
      <c r="AT31" s="213">
        <f t="shared" si="13"/>
        <v>0</v>
      </c>
      <c r="AU31" s="213">
        <f t="shared" si="14"/>
        <v>0</v>
      </c>
      <c r="AV31" s="213">
        <f t="shared" si="15"/>
        <v>0</v>
      </c>
      <c r="AW31" s="213">
        <f t="shared" si="16"/>
        <v>0</v>
      </c>
      <c r="AX31" s="213">
        <f t="shared" si="17"/>
        <v>0</v>
      </c>
      <c r="AY31" s="213">
        <f t="shared" si="18"/>
        <v>0</v>
      </c>
      <c r="AZ31" s="213">
        <f t="shared" si="19"/>
        <v>0</v>
      </c>
      <c r="BA31" s="213">
        <f t="shared" si="20"/>
        <v>302.37</v>
      </c>
      <c r="BB31" s="213">
        <f t="shared" si="21"/>
        <v>0</v>
      </c>
      <c r="BC31" s="213">
        <f t="shared" si="22"/>
        <v>0</v>
      </c>
      <c r="BD31" s="213">
        <f t="shared" si="26"/>
        <v>0</v>
      </c>
      <c r="BE31" s="201"/>
      <c r="BF31" s="201"/>
      <c r="BG31" s="201"/>
      <c r="BH31" s="201"/>
      <c r="BI31" s="201"/>
      <c r="BJ31" s="201"/>
      <c r="BK31" s="201"/>
      <c r="BL31" s="201"/>
    </row>
    <row r="32" spans="1:64" ht="25.5" x14ac:dyDescent="0.2">
      <c r="A32" s="381"/>
      <c r="B32" s="381"/>
      <c r="C32" s="209" t="s">
        <v>627</v>
      </c>
      <c r="D32" s="383"/>
      <c r="E32" s="209"/>
      <c r="F32" s="209">
        <v>52.98</v>
      </c>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t="s">
        <v>245</v>
      </c>
      <c r="AD32" s="210">
        <f t="shared" si="24"/>
        <v>24</v>
      </c>
      <c r="AE32" s="211">
        <f>'1. SAn ABA DE CARREGAMENTO'!$B$90</f>
        <v>24</v>
      </c>
      <c r="AF32" s="383"/>
      <c r="AG32" s="213">
        <f t="shared" si="0"/>
        <v>0</v>
      </c>
      <c r="AH32" s="213">
        <f t="shared" si="1"/>
        <v>52.98</v>
      </c>
      <c r="AI32" s="213">
        <f t="shared" si="2"/>
        <v>0</v>
      </c>
      <c r="AJ32" s="213">
        <f t="shared" si="3"/>
        <v>0</v>
      </c>
      <c r="AK32" s="213">
        <f t="shared" si="4"/>
        <v>0</v>
      </c>
      <c r="AL32" s="213">
        <f t="shared" si="5"/>
        <v>0</v>
      </c>
      <c r="AM32" s="213">
        <f t="shared" si="6"/>
        <v>0</v>
      </c>
      <c r="AN32" s="213">
        <f t="shared" si="7"/>
        <v>0</v>
      </c>
      <c r="AO32" s="213">
        <f t="shared" si="8"/>
        <v>0</v>
      </c>
      <c r="AP32" s="213">
        <f t="shared" si="9"/>
        <v>0</v>
      </c>
      <c r="AQ32" s="213">
        <f t="shared" si="10"/>
        <v>0</v>
      </c>
      <c r="AR32" s="213">
        <f t="shared" si="11"/>
        <v>0</v>
      </c>
      <c r="AS32" s="213">
        <f t="shared" si="12"/>
        <v>0</v>
      </c>
      <c r="AT32" s="213">
        <f t="shared" si="13"/>
        <v>0</v>
      </c>
      <c r="AU32" s="213">
        <f t="shared" si="14"/>
        <v>0</v>
      </c>
      <c r="AV32" s="213">
        <f t="shared" si="15"/>
        <v>0</v>
      </c>
      <c r="AW32" s="213">
        <f t="shared" si="16"/>
        <v>0</v>
      </c>
      <c r="AX32" s="213">
        <f t="shared" si="17"/>
        <v>0</v>
      </c>
      <c r="AY32" s="213">
        <f t="shared" si="18"/>
        <v>0</v>
      </c>
      <c r="AZ32" s="213">
        <f t="shared" si="19"/>
        <v>0</v>
      </c>
      <c r="BA32" s="213">
        <f t="shared" si="20"/>
        <v>0</v>
      </c>
      <c r="BB32" s="213">
        <f t="shared" si="21"/>
        <v>0</v>
      </c>
      <c r="BC32" s="213">
        <f t="shared" si="22"/>
        <v>0</v>
      </c>
      <c r="BD32" s="213">
        <f t="shared" si="26"/>
        <v>0</v>
      </c>
      <c r="BE32" s="201"/>
      <c r="BF32" s="201"/>
      <c r="BG32" s="201"/>
      <c r="BH32" s="201"/>
      <c r="BI32" s="201"/>
      <c r="BJ32" s="201"/>
      <c r="BK32" s="201"/>
      <c r="BL32" s="201"/>
    </row>
    <row r="33" spans="1:64" ht="12.75" customHeight="1" x14ac:dyDescent="0.2">
      <c r="A33" s="381"/>
      <c r="B33" s="381"/>
      <c r="C33" s="209" t="s">
        <v>259</v>
      </c>
      <c r="D33" s="383"/>
      <c r="E33" s="209"/>
      <c r="F33" s="209"/>
      <c r="G33" s="209"/>
      <c r="H33" s="209">
        <v>20.11</v>
      </c>
      <c r="I33" s="209"/>
      <c r="J33" s="209"/>
      <c r="K33" s="209"/>
      <c r="L33" s="209"/>
      <c r="M33" s="209"/>
      <c r="N33" s="209"/>
      <c r="O33" s="209"/>
      <c r="P33" s="209"/>
      <c r="Q33" s="209"/>
      <c r="R33" s="209"/>
      <c r="S33" s="209"/>
      <c r="T33" s="209"/>
      <c r="U33" s="209"/>
      <c r="V33" s="209"/>
      <c r="W33" s="209"/>
      <c r="X33" s="209"/>
      <c r="Y33" s="209"/>
      <c r="Z33" s="209"/>
      <c r="AA33" s="209"/>
      <c r="AB33" s="209"/>
      <c r="AC33" s="209" t="s">
        <v>245</v>
      </c>
      <c r="AD33" s="210">
        <f t="shared" si="24"/>
        <v>24</v>
      </c>
      <c r="AE33" s="211">
        <f>'1. SAn ABA DE CARREGAMENTO'!$B$90</f>
        <v>24</v>
      </c>
      <c r="AF33" s="383"/>
      <c r="AG33" s="213">
        <f t="shared" si="0"/>
        <v>0</v>
      </c>
      <c r="AH33" s="213">
        <f t="shared" si="1"/>
        <v>0</v>
      </c>
      <c r="AI33" s="213">
        <f t="shared" si="2"/>
        <v>0</v>
      </c>
      <c r="AJ33" s="213">
        <f t="shared" si="3"/>
        <v>20.11</v>
      </c>
      <c r="AK33" s="213">
        <f t="shared" si="4"/>
        <v>0</v>
      </c>
      <c r="AL33" s="213">
        <f t="shared" si="5"/>
        <v>0</v>
      </c>
      <c r="AM33" s="213">
        <f t="shared" si="6"/>
        <v>0</v>
      </c>
      <c r="AN33" s="213">
        <f t="shared" si="7"/>
        <v>0</v>
      </c>
      <c r="AO33" s="213">
        <f t="shared" si="8"/>
        <v>0</v>
      </c>
      <c r="AP33" s="213">
        <f t="shared" si="9"/>
        <v>0</v>
      </c>
      <c r="AQ33" s="213">
        <f t="shared" si="10"/>
        <v>0</v>
      </c>
      <c r="AR33" s="213">
        <f t="shared" si="11"/>
        <v>0</v>
      </c>
      <c r="AS33" s="213">
        <f t="shared" si="12"/>
        <v>0</v>
      </c>
      <c r="AT33" s="213">
        <f t="shared" si="13"/>
        <v>0</v>
      </c>
      <c r="AU33" s="213">
        <f t="shared" si="14"/>
        <v>0</v>
      </c>
      <c r="AV33" s="213">
        <f t="shared" si="15"/>
        <v>0</v>
      </c>
      <c r="AW33" s="213">
        <f t="shared" si="16"/>
        <v>0</v>
      </c>
      <c r="AX33" s="213">
        <f t="shared" si="17"/>
        <v>0</v>
      </c>
      <c r="AY33" s="213">
        <f t="shared" si="18"/>
        <v>0</v>
      </c>
      <c r="AZ33" s="213">
        <f t="shared" si="19"/>
        <v>0</v>
      </c>
      <c r="BA33" s="213">
        <f t="shared" si="20"/>
        <v>0</v>
      </c>
      <c r="BB33" s="213">
        <f t="shared" si="21"/>
        <v>0</v>
      </c>
      <c r="BC33" s="213">
        <f t="shared" si="22"/>
        <v>0</v>
      </c>
      <c r="BD33" s="213">
        <f t="shared" si="26"/>
        <v>0</v>
      </c>
      <c r="BE33" s="201"/>
      <c r="BF33" s="201"/>
      <c r="BG33" s="201"/>
      <c r="BH33" s="201"/>
      <c r="BI33" s="201"/>
      <c r="BJ33" s="201"/>
      <c r="BK33" s="201"/>
      <c r="BL33" s="201"/>
    </row>
    <row r="34" spans="1:64" ht="12.75" customHeight="1" x14ac:dyDescent="0.2">
      <c r="A34" s="381"/>
      <c r="B34" s="381"/>
      <c r="C34" s="209" t="s">
        <v>247</v>
      </c>
      <c r="D34" s="383"/>
      <c r="E34" s="209"/>
      <c r="F34" s="209"/>
      <c r="G34" s="209"/>
      <c r="H34" s="209"/>
      <c r="I34" s="209"/>
      <c r="J34" s="209"/>
      <c r="K34" s="209"/>
      <c r="L34" s="209">
        <v>110.21</v>
      </c>
      <c r="M34" s="209"/>
      <c r="N34" s="209"/>
      <c r="O34" s="209"/>
      <c r="P34" s="209"/>
      <c r="Q34" s="209"/>
      <c r="R34" s="209"/>
      <c r="S34" s="209"/>
      <c r="T34" s="209"/>
      <c r="U34" s="209"/>
      <c r="V34" s="209"/>
      <c r="W34" s="209"/>
      <c r="X34" s="209"/>
      <c r="Y34" s="209"/>
      <c r="Z34" s="209"/>
      <c r="AA34" s="209"/>
      <c r="AB34" s="209"/>
      <c r="AC34" s="209" t="s">
        <v>246</v>
      </c>
      <c r="AD34" s="210">
        <f t="shared" si="24"/>
        <v>72</v>
      </c>
      <c r="AE34" s="211">
        <f>'1. SAn ABA DE CARREGAMENTO'!$B$90</f>
        <v>24</v>
      </c>
      <c r="AF34" s="383"/>
      <c r="AG34" s="213">
        <f t="shared" si="0"/>
        <v>0</v>
      </c>
      <c r="AH34" s="213">
        <f t="shared" si="1"/>
        <v>0</v>
      </c>
      <c r="AI34" s="213">
        <f t="shared" si="2"/>
        <v>0</v>
      </c>
      <c r="AJ34" s="213">
        <f t="shared" si="3"/>
        <v>0</v>
      </c>
      <c r="AK34" s="213">
        <f t="shared" si="4"/>
        <v>0</v>
      </c>
      <c r="AL34" s="213">
        <f t="shared" si="5"/>
        <v>0</v>
      </c>
      <c r="AM34" s="213">
        <f t="shared" si="6"/>
        <v>0</v>
      </c>
      <c r="AN34" s="213">
        <f t="shared" si="7"/>
        <v>330.63</v>
      </c>
      <c r="AO34" s="213">
        <f t="shared" si="8"/>
        <v>0</v>
      </c>
      <c r="AP34" s="213">
        <f t="shared" si="9"/>
        <v>0</v>
      </c>
      <c r="AQ34" s="213">
        <f t="shared" si="10"/>
        <v>0</v>
      </c>
      <c r="AR34" s="213">
        <f t="shared" si="11"/>
        <v>0</v>
      </c>
      <c r="AS34" s="213">
        <f t="shared" si="12"/>
        <v>0</v>
      </c>
      <c r="AT34" s="213">
        <f t="shared" si="13"/>
        <v>0</v>
      </c>
      <c r="AU34" s="213">
        <f t="shared" si="14"/>
        <v>0</v>
      </c>
      <c r="AV34" s="213">
        <f t="shared" si="15"/>
        <v>0</v>
      </c>
      <c r="AW34" s="213">
        <f t="shared" si="16"/>
        <v>0</v>
      </c>
      <c r="AX34" s="213">
        <f t="shared" si="17"/>
        <v>0</v>
      </c>
      <c r="AY34" s="213">
        <f t="shared" si="18"/>
        <v>0</v>
      </c>
      <c r="AZ34" s="213">
        <f t="shared" si="19"/>
        <v>0</v>
      </c>
      <c r="BA34" s="213">
        <f t="shared" si="20"/>
        <v>0</v>
      </c>
      <c r="BB34" s="213">
        <f t="shared" si="21"/>
        <v>0</v>
      </c>
      <c r="BC34" s="213">
        <f t="shared" si="22"/>
        <v>0</v>
      </c>
      <c r="BD34" s="213">
        <f t="shared" si="26"/>
        <v>0</v>
      </c>
      <c r="BE34" s="201"/>
      <c r="BF34" s="201"/>
      <c r="BG34" s="201"/>
      <c r="BH34" s="201"/>
      <c r="BI34" s="201"/>
      <c r="BJ34" s="201"/>
      <c r="BK34" s="201"/>
      <c r="BL34" s="201"/>
    </row>
    <row r="35" spans="1:64" ht="12.75" customHeight="1" x14ac:dyDescent="0.2">
      <c r="A35" s="381"/>
      <c r="B35" s="381"/>
      <c r="C35" s="215" t="s">
        <v>249</v>
      </c>
      <c r="D35" s="383"/>
      <c r="E35" s="209"/>
      <c r="F35" s="209"/>
      <c r="G35" s="209"/>
      <c r="H35" s="209"/>
      <c r="I35" s="209"/>
      <c r="J35" s="209"/>
      <c r="K35" s="209"/>
      <c r="L35" s="209"/>
      <c r="M35" s="209"/>
      <c r="N35" s="209"/>
      <c r="O35" s="209"/>
      <c r="P35" s="209"/>
      <c r="Q35" s="209"/>
      <c r="R35" s="209"/>
      <c r="S35" s="209"/>
      <c r="T35" s="209"/>
      <c r="U35" s="209"/>
      <c r="V35" s="209">
        <v>44.72</v>
      </c>
      <c r="W35" s="209"/>
      <c r="X35" s="209"/>
      <c r="Y35" s="209"/>
      <c r="Z35" s="209"/>
      <c r="AA35" s="209"/>
      <c r="AB35" s="209"/>
      <c r="AC35" s="209" t="s">
        <v>615</v>
      </c>
      <c r="AD35" s="210">
        <f t="shared" si="24"/>
        <v>0.17</v>
      </c>
      <c r="AE35" s="211">
        <f>'1. SAn ABA DE CARREGAMENTO'!$B$90</f>
        <v>24</v>
      </c>
      <c r="AF35" s="383"/>
      <c r="AG35" s="213">
        <f t="shared" si="0"/>
        <v>0</v>
      </c>
      <c r="AH35" s="213">
        <f t="shared" si="1"/>
        <v>0</v>
      </c>
      <c r="AI35" s="213">
        <f t="shared" si="2"/>
        <v>0</v>
      </c>
      <c r="AJ35" s="213">
        <f t="shared" si="3"/>
        <v>0</v>
      </c>
      <c r="AK35" s="213">
        <f t="shared" si="4"/>
        <v>0</v>
      </c>
      <c r="AL35" s="213">
        <f t="shared" si="5"/>
        <v>0</v>
      </c>
      <c r="AM35" s="213">
        <f t="shared" si="6"/>
        <v>0</v>
      </c>
      <c r="AN35" s="213">
        <f t="shared" si="7"/>
        <v>0</v>
      </c>
      <c r="AO35" s="213">
        <f t="shared" si="8"/>
        <v>0</v>
      </c>
      <c r="AP35" s="213">
        <f t="shared" si="9"/>
        <v>0</v>
      </c>
      <c r="AQ35" s="213">
        <f t="shared" si="10"/>
        <v>0</v>
      </c>
      <c r="AR35" s="213">
        <f t="shared" si="11"/>
        <v>0</v>
      </c>
      <c r="AS35" s="213">
        <f t="shared" si="12"/>
        <v>0</v>
      </c>
      <c r="AT35" s="213">
        <f t="shared" si="13"/>
        <v>0</v>
      </c>
      <c r="AU35" s="213">
        <f t="shared" si="14"/>
        <v>0</v>
      </c>
      <c r="AV35" s="213">
        <f t="shared" si="15"/>
        <v>0</v>
      </c>
      <c r="AW35" s="213">
        <f t="shared" si="16"/>
        <v>0</v>
      </c>
      <c r="AX35" s="213">
        <f t="shared" si="17"/>
        <v>0.3167666666666667</v>
      </c>
      <c r="AY35" s="213">
        <f t="shared" si="18"/>
        <v>0</v>
      </c>
      <c r="AZ35" s="213">
        <f t="shared" si="19"/>
        <v>0</v>
      </c>
      <c r="BA35" s="213">
        <f t="shared" si="20"/>
        <v>0</v>
      </c>
      <c r="BB35" s="213">
        <f t="shared" si="21"/>
        <v>0</v>
      </c>
      <c r="BC35" s="213">
        <f t="shared" si="22"/>
        <v>0</v>
      </c>
      <c r="BD35" s="213">
        <f t="shared" si="26"/>
        <v>0</v>
      </c>
      <c r="BE35" s="201"/>
      <c r="BF35" s="201"/>
      <c r="BG35" s="201"/>
      <c r="BH35" s="201"/>
      <c r="BI35" s="201"/>
      <c r="BJ35" s="201"/>
      <c r="BK35" s="201"/>
      <c r="BL35" s="201"/>
    </row>
    <row r="36" spans="1:64" ht="12.75" customHeight="1" x14ac:dyDescent="0.2">
      <c r="A36" s="381"/>
      <c r="B36" s="381"/>
      <c r="C36" s="215" t="s">
        <v>250</v>
      </c>
      <c r="D36" s="383"/>
      <c r="E36" s="209"/>
      <c r="F36" s="209"/>
      <c r="G36" s="209"/>
      <c r="H36" s="209"/>
      <c r="I36" s="209"/>
      <c r="J36" s="209"/>
      <c r="K36" s="209"/>
      <c r="L36" s="209"/>
      <c r="M36" s="209"/>
      <c r="N36" s="209"/>
      <c r="O36" s="209"/>
      <c r="P36" s="209"/>
      <c r="Q36" s="209"/>
      <c r="R36" s="209"/>
      <c r="S36" s="209"/>
      <c r="T36" s="209"/>
      <c r="U36" s="209"/>
      <c r="V36" s="209"/>
      <c r="W36" s="209">
        <v>44.72</v>
      </c>
      <c r="X36" s="209"/>
      <c r="Y36" s="209"/>
      <c r="Z36" s="209"/>
      <c r="AA36" s="209"/>
      <c r="AB36" s="209"/>
      <c r="AC36" s="209" t="s">
        <v>264</v>
      </c>
      <c r="AD36" s="210">
        <f t="shared" si="24"/>
        <v>8</v>
      </c>
      <c r="AE36" s="211">
        <f>'1. SAn ABA DE CARREGAMENTO'!$B$90</f>
        <v>24</v>
      </c>
      <c r="AF36" s="383"/>
      <c r="AG36" s="213">
        <f t="shared" si="0"/>
        <v>0</v>
      </c>
      <c r="AH36" s="213">
        <f t="shared" si="1"/>
        <v>0</v>
      </c>
      <c r="AI36" s="213">
        <f t="shared" si="2"/>
        <v>0</v>
      </c>
      <c r="AJ36" s="213">
        <f t="shared" si="3"/>
        <v>0</v>
      </c>
      <c r="AK36" s="213">
        <f t="shared" si="4"/>
        <v>0</v>
      </c>
      <c r="AL36" s="213">
        <f t="shared" si="5"/>
        <v>0</v>
      </c>
      <c r="AM36" s="213">
        <f t="shared" si="6"/>
        <v>0</v>
      </c>
      <c r="AN36" s="213">
        <f t="shared" si="7"/>
        <v>0</v>
      </c>
      <c r="AO36" s="213">
        <f t="shared" si="8"/>
        <v>0</v>
      </c>
      <c r="AP36" s="213">
        <f t="shared" si="9"/>
        <v>0</v>
      </c>
      <c r="AQ36" s="213">
        <f t="shared" si="10"/>
        <v>0</v>
      </c>
      <c r="AR36" s="213">
        <f t="shared" si="11"/>
        <v>0</v>
      </c>
      <c r="AS36" s="213">
        <f t="shared" si="12"/>
        <v>0</v>
      </c>
      <c r="AT36" s="213">
        <f t="shared" si="13"/>
        <v>0</v>
      </c>
      <c r="AU36" s="213">
        <f t="shared" si="14"/>
        <v>0</v>
      </c>
      <c r="AV36" s="213">
        <f t="shared" si="15"/>
        <v>0</v>
      </c>
      <c r="AW36" s="213">
        <f t="shared" si="16"/>
        <v>0</v>
      </c>
      <c r="AX36" s="213">
        <f t="shared" si="17"/>
        <v>0</v>
      </c>
      <c r="AY36" s="213">
        <f t="shared" si="18"/>
        <v>14.906666666666666</v>
      </c>
      <c r="AZ36" s="213">
        <f t="shared" si="19"/>
        <v>0</v>
      </c>
      <c r="BA36" s="213">
        <f t="shared" si="20"/>
        <v>0</v>
      </c>
      <c r="BB36" s="213">
        <f t="shared" si="21"/>
        <v>0</v>
      </c>
      <c r="BC36" s="213">
        <f t="shared" si="22"/>
        <v>0</v>
      </c>
      <c r="BD36" s="213">
        <f t="shared" si="26"/>
        <v>0</v>
      </c>
      <c r="BE36" s="201"/>
      <c r="BF36" s="201"/>
      <c r="BG36" s="201"/>
      <c r="BH36" s="201"/>
      <c r="BI36" s="201"/>
      <c r="BJ36" s="201"/>
      <c r="BK36" s="201"/>
      <c r="BL36" s="201"/>
    </row>
    <row r="37" spans="1:64" ht="12.75" customHeight="1" x14ac:dyDescent="0.2">
      <c r="A37" s="381"/>
      <c r="B37" s="381"/>
      <c r="C37" s="215" t="s">
        <v>43</v>
      </c>
      <c r="D37" s="383"/>
      <c r="E37" s="209"/>
      <c r="F37" s="209"/>
      <c r="G37" s="209"/>
      <c r="H37" s="209"/>
      <c r="I37" s="209"/>
      <c r="J37" s="209"/>
      <c r="K37" s="209"/>
      <c r="L37" s="209"/>
      <c r="M37" s="209"/>
      <c r="N37" s="209"/>
      <c r="O37" s="209"/>
      <c r="P37" s="209"/>
      <c r="Q37" s="209"/>
      <c r="R37" s="209"/>
      <c r="S37" s="209"/>
      <c r="T37" s="209"/>
      <c r="U37" s="209"/>
      <c r="V37" s="209"/>
      <c r="W37" s="209"/>
      <c r="X37" s="209"/>
      <c r="Y37" s="209"/>
      <c r="Z37" s="209"/>
      <c r="AA37" s="209">
        <v>56.9</v>
      </c>
      <c r="AB37" s="209"/>
      <c r="AC37" s="209" t="s">
        <v>251</v>
      </c>
      <c r="AD37" s="210">
        <f t="shared" si="24"/>
        <v>4.33</v>
      </c>
      <c r="AE37" s="211">
        <f>'1. SAn ABA DE CARREGAMENTO'!$B$90</f>
        <v>24</v>
      </c>
      <c r="AF37" s="383"/>
      <c r="AG37" s="213">
        <f t="shared" si="0"/>
        <v>0</v>
      </c>
      <c r="AH37" s="213">
        <f t="shared" si="1"/>
        <v>0</v>
      </c>
      <c r="AI37" s="213">
        <f t="shared" si="2"/>
        <v>0</v>
      </c>
      <c r="AJ37" s="213">
        <f t="shared" si="3"/>
        <v>0</v>
      </c>
      <c r="AK37" s="213">
        <f t="shared" si="4"/>
        <v>0</v>
      </c>
      <c r="AL37" s="213">
        <f t="shared" si="5"/>
        <v>0</v>
      </c>
      <c r="AM37" s="213">
        <f t="shared" si="6"/>
        <v>0</v>
      </c>
      <c r="AN37" s="213">
        <f t="shared" si="7"/>
        <v>0</v>
      </c>
      <c r="AO37" s="213">
        <f t="shared" si="8"/>
        <v>0</v>
      </c>
      <c r="AP37" s="213">
        <f t="shared" si="9"/>
        <v>0</v>
      </c>
      <c r="AQ37" s="213">
        <f t="shared" si="10"/>
        <v>0</v>
      </c>
      <c r="AR37" s="213">
        <f t="shared" si="11"/>
        <v>0</v>
      </c>
      <c r="AS37" s="213">
        <f t="shared" si="12"/>
        <v>0</v>
      </c>
      <c r="AT37" s="213">
        <f t="shared" si="13"/>
        <v>0</v>
      </c>
      <c r="AU37" s="213">
        <f t="shared" si="14"/>
        <v>0</v>
      </c>
      <c r="AV37" s="213">
        <f t="shared" si="15"/>
        <v>0</v>
      </c>
      <c r="AW37" s="213">
        <f t="shared" si="16"/>
        <v>0</v>
      </c>
      <c r="AX37" s="213">
        <f t="shared" si="17"/>
        <v>0</v>
      </c>
      <c r="AY37" s="213">
        <f t="shared" si="18"/>
        <v>0</v>
      </c>
      <c r="AZ37" s="213">
        <f t="shared" si="19"/>
        <v>0</v>
      </c>
      <c r="BA37" s="213">
        <f t="shared" si="20"/>
        <v>0</v>
      </c>
      <c r="BB37" s="213">
        <f t="shared" ref="BB37:BB54" si="27">(Z37*AD37)/AE37</f>
        <v>0</v>
      </c>
      <c r="BC37" s="213">
        <f t="shared" ref="BC37:BC54" si="28">(AA37*AD37)/AE37</f>
        <v>10.265708333333334</v>
      </c>
      <c r="BD37" s="213">
        <f t="shared" ref="BD37:BD53" si="29">(AB37*AD37)/AE37</f>
        <v>0</v>
      </c>
      <c r="BE37" s="201"/>
      <c r="BF37" s="201"/>
      <c r="BG37" s="201"/>
      <c r="BH37" s="201"/>
      <c r="BI37" s="201"/>
      <c r="BJ37" s="201"/>
      <c r="BK37" s="201"/>
      <c r="BL37" s="201"/>
    </row>
    <row r="38" spans="1:64" ht="12.75" customHeight="1" x14ac:dyDescent="0.2">
      <c r="A38" s="381"/>
      <c r="B38" s="381"/>
      <c r="C38" s="215" t="s">
        <v>44</v>
      </c>
      <c r="D38" s="383"/>
      <c r="E38" s="209"/>
      <c r="F38" s="209"/>
      <c r="G38" s="209"/>
      <c r="H38" s="209"/>
      <c r="I38" s="209"/>
      <c r="J38" s="209"/>
      <c r="K38" s="209"/>
      <c r="L38" s="209"/>
      <c r="M38" s="209"/>
      <c r="N38" s="209"/>
      <c r="O38" s="209"/>
      <c r="P38" s="209"/>
      <c r="Q38" s="209"/>
      <c r="R38" s="209"/>
      <c r="S38" s="209"/>
      <c r="T38" s="209"/>
      <c r="U38" s="209"/>
      <c r="V38" s="209"/>
      <c r="W38" s="209"/>
      <c r="X38" s="209"/>
      <c r="Y38" s="209"/>
      <c r="Z38" s="209"/>
      <c r="AA38" s="209"/>
      <c r="AB38" s="209">
        <v>20.95</v>
      </c>
      <c r="AC38" s="209" t="s">
        <v>251</v>
      </c>
      <c r="AD38" s="210">
        <f t="shared" si="24"/>
        <v>4.33</v>
      </c>
      <c r="AE38" s="211">
        <f>'1. SAn ABA DE CARREGAMENTO'!$B$90</f>
        <v>24</v>
      </c>
      <c r="AF38" s="383"/>
      <c r="AG38" s="213">
        <f t="shared" si="0"/>
        <v>0</v>
      </c>
      <c r="AH38" s="213">
        <f t="shared" si="1"/>
        <v>0</v>
      </c>
      <c r="AI38" s="213">
        <f t="shared" si="2"/>
        <v>0</v>
      </c>
      <c r="AJ38" s="213">
        <f t="shared" si="3"/>
        <v>0</v>
      </c>
      <c r="AK38" s="213">
        <f t="shared" si="4"/>
        <v>0</v>
      </c>
      <c r="AL38" s="213">
        <f t="shared" si="5"/>
        <v>0</v>
      </c>
      <c r="AM38" s="213">
        <f t="shared" si="6"/>
        <v>0</v>
      </c>
      <c r="AN38" s="213">
        <f t="shared" si="7"/>
        <v>0</v>
      </c>
      <c r="AO38" s="213">
        <f t="shared" si="8"/>
        <v>0</v>
      </c>
      <c r="AP38" s="213">
        <f t="shared" si="9"/>
        <v>0</v>
      </c>
      <c r="AQ38" s="213">
        <f t="shared" si="10"/>
        <v>0</v>
      </c>
      <c r="AR38" s="213">
        <f t="shared" si="11"/>
        <v>0</v>
      </c>
      <c r="AS38" s="213">
        <f t="shared" si="12"/>
        <v>0</v>
      </c>
      <c r="AT38" s="213">
        <f t="shared" si="13"/>
        <v>0</v>
      </c>
      <c r="AU38" s="213">
        <f t="shared" si="14"/>
        <v>0</v>
      </c>
      <c r="AV38" s="213">
        <f t="shared" si="15"/>
        <v>0</v>
      </c>
      <c r="AW38" s="213">
        <f t="shared" si="16"/>
        <v>0</v>
      </c>
      <c r="AX38" s="213">
        <f t="shared" si="17"/>
        <v>0</v>
      </c>
      <c r="AY38" s="213">
        <f t="shared" si="18"/>
        <v>0</v>
      </c>
      <c r="AZ38" s="213">
        <f t="shared" si="19"/>
        <v>0</v>
      </c>
      <c r="BA38" s="213">
        <f t="shared" si="20"/>
        <v>0</v>
      </c>
      <c r="BB38" s="213">
        <f t="shared" si="27"/>
        <v>0</v>
      </c>
      <c r="BC38" s="213">
        <f t="shared" si="28"/>
        <v>0</v>
      </c>
      <c r="BD38" s="213">
        <f t="shared" si="29"/>
        <v>3.7797291666666664</v>
      </c>
      <c r="BE38" s="201"/>
      <c r="BF38" s="201"/>
      <c r="BG38" s="201"/>
      <c r="BH38" s="201"/>
      <c r="BI38" s="201"/>
      <c r="BJ38" s="201"/>
      <c r="BK38" s="201"/>
      <c r="BL38" s="201"/>
    </row>
    <row r="39" spans="1:64" ht="12.75" customHeight="1" x14ac:dyDescent="0.2">
      <c r="A39" s="381"/>
      <c r="B39" s="381"/>
      <c r="C39" s="216" t="s">
        <v>632</v>
      </c>
      <c r="D39" s="383"/>
      <c r="E39" s="209"/>
      <c r="F39" s="209"/>
      <c r="G39" s="209"/>
      <c r="H39" s="209"/>
      <c r="I39" s="209"/>
      <c r="J39" s="209"/>
      <c r="K39" s="209"/>
      <c r="L39" s="209"/>
      <c r="M39" s="209"/>
      <c r="N39" s="209"/>
      <c r="O39" s="209"/>
      <c r="P39" s="209"/>
      <c r="Q39" s="209"/>
      <c r="R39" s="209"/>
      <c r="S39" s="209"/>
      <c r="T39" s="209"/>
      <c r="U39" s="209"/>
      <c r="V39" s="209"/>
      <c r="W39" s="209"/>
      <c r="X39" s="209"/>
      <c r="Y39" s="209"/>
      <c r="Z39" s="209">
        <v>20.95</v>
      </c>
      <c r="AA39" s="209"/>
      <c r="AB39" s="209"/>
      <c r="AC39" s="209" t="s">
        <v>628</v>
      </c>
      <c r="AD39" s="210">
        <f t="shared" si="24"/>
        <v>144</v>
      </c>
      <c r="AE39" s="211">
        <f>'1. SAn ABA DE CARREGAMENTO'!$B$90</f>
        <v>24</v>
      </c>
      <c r="AF39" s="383"/>
      <c r="AG39" s="213">
        <f t="shared" si="0"/>
        <v>0</v>
      </c>
      <c r="AH39" s="213">
        <f t="shared" si="1"/>
        <v>0</v>
      </c>
      <c r="AI39" s="213">
        <f t="shared" si="2"/>
        <v>0</v>
      </c>
      <c r="AJ39" s="213">
        <f t="shared" si="3"/>
        <v>0</v>
      </c>
      <c r="AK39" s="213">
        <f t="shared" si="4"/>
        <v>0</v>
      </c>
      <c r="AL39" s="213">
        <f t="shared" si="5"/>
        <v>0</v>
      </c>
      <c r="AM39" s="213">
        <f t="shared" si="6"/>
        <v>0</v>
      </c>
      <c r="AN39" s="213">
        <f t="shared" si="7"/>
        <v>0</v>
      </c>
      <c r="AO39" s="213">
        <f t="shared" si="8"/>
        <v>0</v>
      </c>
      <c r="AP39" s="213">
        <f t="shared" si="9"/>
        <v>0</v>
      </c>
      <c r="AQ39" s="213">
        <f t="shared" si="10"/>
        <v>0</v>
      </c>
      <c r="AR39" s="213">
        <f t="shared" si="11"/>
        <v>0</v>
      </c>
      <c r="AS39" s="213">
        <f t="shared" si="12"/>
        <v>0</v>
      </c>
      <c r="AT39" s="213">
        <f t="shared" si="13"/>
        <v>0</v>
      </c>
      <c r="AU39" s="213">
        <f t="shared" si="14"/>
        <v>0</v>
      </c>
      <c r="AV39" s="213">
        <f t="shared" si="15"/>
        <v>0</v>
      </c>
      <c r="AW39" s="213">
        <f t="shared" si="16"/>
        <v>0</v>
      </c>
      <c r="AX39" s="213">
        <f t="shared" si="17"/>
        <v>0</v>
      </c>
      <c r="AY39" s="213">
        <f t="shared" si="18"/>
        <v>0</v>
      </c>
      <c r="AZ39" s="213">
        <f t="shared" si="19"/>
        <v>0</v>
      </c>
      <c r="BA39" s="213">
        <f t="shared" si="20"/>
        <v>0</v>
      </c>
      <c r="BB39" s="213">
        <f t="shared" si="27"/>
        <v>125.69999999999999</v>
      </c>
      <c r="BC39" s="213">
        <f t="shared" si="28"/>
        <v>0</v>
      </c>
      <c r="BD39" s="213">
        <f t="shared" si="29"/>
        <v>0</v>
      </c>
      <c r="BE39" s="201"/>
      <c r="BF39" s="201"/>
      <c r="BG39" s="201"/>
      <c r="BH39" s="201"/>
      <c r="BI39" s="201"/>
      <c r="BJ39" s="201"/>
      <c r="BK39" s="201"/>
      <c r="BL39" s="201"/>
    </row>
    <row r="40" spans="1:64" ht="12.75" customHeight="1" x14ac:dyDescent="0.2">
      <c r="A40" s="378">
        <v>5</v>
      </c>
      <c r="B40" s="379" t="s">
        <v>260</v>
      </c>
      <c r="C40" s="217" t="s">
        <v>256</v>
      </c>
      <c r="D40" s="380">
        <f>SUM(E40:AB46)</f>
        <v>493.91</v>
      </c>
      <c r="E40" s="202"/>
      <c r="F40" s="202">
        <v>324.79000000000002</v>
      </c>
      <c r="G40" s="202"/>
      <c r="H40" s="202"/>
      <c r="I40" s="202"/>
      <c r="J40" s="202"/>
      <c r="K40" s="202"/>
      <c r="L40" s="202"/>
      <c r="M40" s="202"/>
      <c r="N40" s="202"/>
      <c r="O40" s="202"/>
      <c r="P40" s="202"/>
      <c r="Q40" s="202"/>
      <c r="R40" s="202"/>
      <c r="S40" s="202"/>
      <c r="T40" s="202"/>
      <c r="U40" s="202"/>
      <c r="V40" s="202"/>
      <c r="W40" s="202"/>
      <c r="X40" s="202"/>
      <c r="Y40" s="202"/>
      <c r="Z40" s="202"/>
      <c r="AA40" s="202"/>
      <c r="AB40" s="202"/>
      <c r="AC40" s="202" t="s">
        <v>245</v>
      </c>
      <c r="AD40" s="203">
        <f t="shared" si="24"/>
        <v>24</v>
      </c>
      <c r="AE40" s="204">
        <f>'1. SAn ABA DE CARREGAMENTO'!$B$90</f>
        <v>24</v>
      </c>
      <c r="AF40" s="380">
        <f>SUM(AG40:BD46)</f>
        <v>551.83552499999996</v>
      </c>
      <c r="AG40" s="205">
        <f t="shared" si="0"/>
        <v>0</v>
      </c>
      <c r="AH40" s="205">
        <f t="shared" si="1"/>
        <v>324.79000000000002</v>
      </c>
      <c r="AI40" s="205">
        <f t="shared" si="2"/>
        <v>0</v>
      </c>
      <c r="AJ40" s="205">
        <f t="shared" si="3"/>
        <v>0</v>
      </c>
      <c r="AK40" s="205">
        <f t="shared" si="4"/>
        <v>0</v>
      </c>
      <c r="AL40" s="205">
        <f t="shared" si="5"/>
        <v>0</v>
      </c>
      <c r="AM40" s="205">
        <f t="shared" si="6"/>
        <v>0</v>
      </c>
      <c r="AN40" s="205">
        <f t="shared" si="7"/>
        <v>0</v>
      </c>
      <c r="AO40" s="205">
        <f t="shared" si="8"/>
        <v>0</v>
      </c>
      <c r="AP40" s="205">
        <f t="shared" si="9"/>
        <v>0</v>
      </c>
      <c r="AQ40" s="205">
        <f t="shared" si="10"/>
        <v>0</v>
      </c>
      <c r="AR40" s="205">
        <f t="shared" si="11"/>
        <v>0</v>
      </c>
      <c r="AS40" s="205">
        <f t="shared" si="12"/>
        <v>0</v>
      </c>
      <c r="AT40" s="205">
        <f t="shared" si="13"/>
        <v>0</v>
      </c>
      <c r="AU40" s="205">
        <f t="shared" si="14"/>
        <v>0</v>
      </c>
      <c r="AV40" s="205">
        <f t="shared" si="15"/>
        <v>0</v>
      </c>
      <c r="AW40" s="205">
        <f t="shared" si="16"/>
        <v>0</v>
      </c>
      <c r="AX40" s="205">
        <f t="shared" si="17"/>
        <v>0</v>
      </c>
      <c r="AY40" s="205">
        <f t="shared" si="18"/>
        <v>0</v>
      </c>
      <c r="AZ40" s="205">
        <f t="shared" si="19"/>
        <v>0</v>
      </c>
      <c r="BA40" s="205">
        <f t="shared" si="20"/>
        <v>0</v>
      </c>
      <c r="BB40" s="205">
        <f t="shared" si="27"/>
        <v>0</v>
      </c>
      <c r="BC40" s="214">
        <f t="shared" si="28"/>
        <v>0</v>
      </c>
      <c r="BD40" s="205">
        <f t="shared" si="29"/>
        <v>0</v>
      </c>
      <c r="BE40" s="201"/>
      <c r="BF40" s="201"/>
      <c r="BG40" s="201"/>
      <c r="BH40" s="201"/>
      <c r="BI40" s="201"/>
      <c r="BJ40" s="201"/>
      <c r="BK40" s="201"/>
      <c r="BL40" s="201"/>
    </row>
    <row r="41" spans="1:64" x14ac:dyDescent="0.2">
      <c r="A41" s="378"/>
      <c r="B41" s="378"/>
      <c r="C41" s="202" t="s">
        <v>247</v>
      </c>
      <c r="D41" s="380"/>
      <c r="E41" s="202"/>
      <c r="F41" s="202"/>
      <c r="G41" s="202"/>
      <c r="H41" s="202"/>
      <c r="I41" s="202"/>
      <c r="J41" s="202"/>
      <c r="K41" s="202"/>
      <c r="L41" s="202">
        <v>57.76</v>
      </c>
      <c r="M41" s="202"/>
      <c r="N41" s="202"/>
      <c r="O41" s="202"/>
      <c r="P41" s="202"/>
      <c r="Q41" s="202"/>
      <c r="R41" s="202"/>
      <c r="S41" s="202"/>
      <c r="T41" s="202"/>
      <c r="U41" s="202"/>
      <c r="V41" s="202"/>
      <c r="W41" s="202"/>
      <c r="X41" s="202"/>
      <c r="Y41" s="202"/>
      <c r="Z41" s="202"/>
      <c r="AA41" s="202"/>
      <c r="AB41" s="202"/>
      <c r="AC41" s="202" t="s">
        <v>246</v>
      </c>
      <c r="AD41" s="203">
        <f t="shared" si="24"/>
        <v>72</v>
      </c>
      <c r="AE41" s="204">
        <f>'1. SAn ABA DE CARREGAMENTO'!$B$90</f>
        <v>24</v>
      </c>
      <c r="AF41" s="380"/>
      <c r="AG41" s="205">
        <f t="shared" si="0"/>
        <v>0</v>
      </c>
      <c r="AH41" s="205">
        <f t="shared" si="1"/>
        <v>0</v>
      </c>
      <c r="AI41" s="205">
        <f t="shared" si="2"/>
        <v>0</v>
      </c>
      <c r="AJ41" s="205">
        <f t="shared" si="3"/>
        <v>0</v>
      </c>
      <c r="AK41" s="205">
        <f t="shared" si="4"/>
        <v>0</v>
      </c>
      <c r="AL41" s="205">
        <f t="shared" si="5"/>
        <v>0</v>
      </c>
      <c r="AM41" s="205">
        <f t="shared" si="6"/>
        <v>0</v>
      </c>
      <c r="AN41" s="205">
        <f t="shared" si="7"/>
        <v>173.28</v>
      </c>
      <c r="AO41" s="205">
        <f t="shared" si="8"/>
        <v>0</v>
      </c>
      <c r="AP41" s="205">
        <f t="shared" si="9"/>
        <v>0</v>
      </c>
      <c r="AQ41" s="205">
        <f t="shared" si="10"/>
        <v>0</v>
      </c>
      <c r="AR41" s="205">
        <f t="shared" si="11"/>
        <v>0</v>
      </c>
      <c r="AS41" s="205">
        <f t="shared" si="12"/>
        <v>0</v>
      </c>
      <c r="AT41" s="205">
        <f t="shared" si="13"/>
        <v>0</v>
      </c>
      <c r="AU41" s="205">
        <f t="shared" si="14"/>
        <v>0</v>
      </c>
      <c r="AV41" s="205">
        <f t="shared" si="15"/>
        <v>0</v>
      </c>
      <c r="AW41" s="205">
        <f t="shared" si="16"/>
        <v>0</v>
      </c>
      <c r="AX41" s="205">
        <f t="shared" si="17"/>
        <v>0</v>
      </c>
      <c r="AY41" s="205">
        <f t="shared" si="18"/>
        <v>0</v>
      </c>
      <c r="AZ41" s="205">
        <f t="shared" si="19"/>
        <v>0</v>
      </c>
      <c r="BA41" s="205">
        <f t="shared" si="20"/>
        <v>0</v>
      </c>
      <c r="BB41" s="205">
        <f t="shared" si="27"/>
        <v>0</v>
      </c>
      <c r="BC41" s="214">
        <f t="shared" si="28"/>
        <v>0</v>
      </c>
      <c r="BD41" s="205">
        <f t="shared" si="29"/>
        <v>0</v>
      </c>
      <c r="BE41" s="201"/>
      <c r="BF41" s="201"/>
      <c r="BG41" s="201"/>
      <c r="BH41" s="201"/>
      <c r="BI41" s="201"/>
      <c r="BJ41" s="201"/>
      <c r="BK41" s="201"/>
      <c r="BL41" s="201"/>
    </row>
    <row r="42" spans="1:64" ht="12.75" customHeight="1" x14ac:dyDescent="0.2">
      <c r="A42" s="378"/>
      <c r="B42" s="378"/>
      <c r="C42" s="202" t="s">
        <v>249</v>
      </c>
      <c r="D42" s="380"/>
      <c r="E42" s="202"/>
      <c r="F42" s="202"/>
      <c r="G42" s="202"/>
      <c r="H42" s="202"/>
      <c r="I42" s="202"/>
      <c r="J42" s="202"/>
      <c r="K42" s="202"/>
      <c r="L42" s="202"/>
      <c r="M42" s="202"/>
      <c r="N42" s="202"/>
      <c r="O42" s="202"/>
      <c r="P42" s="202"/>
      <c r="Q42" s="202"/>
      <c r="R42" s="202"/>
      <c r="S42" s="202"/>
      <c r="T42" s="202"/>
      <c r="U42" s="202">
        <v>31.68</v>
      </c>
      <c r="V42" s="202">
        <v>2.7</v>
      </c>
      <c r="W42" s="202"/>
      <c r="X42" s="202"/>
      <c r="Y42" s="202"/>
      <c r="Z42" s="202"/>
      <c r="AA42" s="202"/>
      <c r="AB42" s="202"/>
      <c r="AC42" s="202" t="s">
        <v>615</v>
      </c>
      <c r="AD42" s="203">
        <f t="shared" si="24"/>
        <v>0.17</v>
      </c>
      <c r="AE42" s="204">
        <f>'1. SAn ABA DE CARREGAMENTO'!$B$90</f>
        <v>24</v>
      </c>
      <c r="AF42" s="380"/>
      <c r="AG42" s="205">
        <f t="shared" si="0"/>
        <v>0</v>
      </c>
      <c r="AH42" s="205">
        <f t="shared" si="1"/>
        <v>0</v>
      </c>
      <c r="AI42" s="205">
        <f t="shared" si="2"/>
        <v>0</v>
      </c>
      <c r="AJ42" s="205">
        <f t="shared" si="3"/>
        <v>0</v>
      </c>
      <c r="AK42" s="205">
        <f t="shared" si="4"/>
        <v>0</v>
      </c>
      <c r="AL42" s="205">
        <f t="shared" si="5"/>
        <v>0</v>
      </c>
      <c r="AM42" s="205">
        <f t="shared" si="6"/>
        <v>0</v>
      </c>
      <c r="AN42" s="205">
        <f t="shared" si="7"/>
        <v>0</v>
      </c>
      <c r="AO42" s="205">
        <f t="shared" si="8"/>
        <v>0</v>
      </c>
      <c r="AP42" s="205">
        <f t="shared" si="9"/>
        <v>0</v>
      </c>
      <c r="AQ42" s="205">
        <f t="shared" si="10"/>
        <v>0</v>
      </c>
      <c r="AR42" s="205">
        <f t="shared" si="11"/>
        <v>0</v>
      </c>
      <c r="AS42" s="205">
        <f t="shared" si="12"/>
        <v>0</v>
      </c>
      <c r="AT42" s="205">
        <f t="shared" si="13"/>
        <v>0</v>
      </c>
      <c r="AU42" s="205">
        <f t="shared" si="14"/>
        <v>0</v>
      </c>
      <c r="AV42" s="205">
        <f t="shared" si="15"/>
        <v>0</v>
      </c>
      <c r="AW42" s="205">
        <f t="shared" si="16"/>
        <v>0.22440000000000002</v>
      </c>
      <c r="AX42" s="205">
        <f t="shared" si="17"/>
        <v>1.9125000000000003E-2</v>
      </c>
      <c r="AY42" s="205">
        <f t="shared" si="18"/>
        <v>0</v>
      </c>
      <c r="AZ42" s="205">
        <f t="shared" si="19"/>
        <v>0</v>
      </c>
      <c r="BA42" s="205">
        <f t="shared" si="20"/>
        <v>0</v>
      </c>
      <c r="BB42" s="205">
        <f t="shared" si="27"/>
        <v>0</v>
      </c>
      <c r="BC42" s="214">
        <f t="shared" si="28"/>
        <v>0</v>
      </c>
      <c r="BD42" s="205">
        <f t="shared" si="29"/>
        <v>0</v>
      </c>
      <c r="BE42" s="201"/>
      <c r="BF42" s="201"/>
      <c r="BG42" s="201"/>
      <c r="BH42" s="201"/>
      <c r="BI42" s="201"/>
      <c r="BJ42" s="201"/>
      <c r="BK42" s="201"/>
      <c r="BL42" s="201"/>
    </row>
    <row r="43" spans="1:64" ht="12.75" customHeight="1" x14ac:dyDescent="0.2">
      <c r="A43" s="378"/>
      <c r="B43" s="378"/>
      <c r="C43" s="202" t="s">
        <v>250</v>
      </c>
      <c r="D43" s="380"/>
      <c r="E43" s="202"/>
      <c r="F43" s="202"/>
      <c r="G43" s="202"/>
      <c r="H43" s="202"/>
      <c r="I43" s="202"/>
      <c r="J43" s="202"/>
      <c r="K43" s="202"/>
      <c r="L43" s="202"/>
      <c r="M43" s="202"/>
      <c r="N43" s="202"/>
      <c r="O43" s="202"/>
      <c r="P43" s="202"/>
      <c r="Q43" s="202"/>
      <c r="R43" s="202"/>
      <c r="S43" s="202"/>
      <c r="T43" s="202"/>
      <c r="U43" s="202"/>
      <c r="V43" s="202"/>
      <c r="W43" s="202">
        <v>34.380000000000003</v>
      </c>
      <c r="X43" s="202"/>
      <c r="Y43" s="202"/>
      <c r="Z43" s="202"/>
      <c r="AA43" s="202"/>
      <c r="AB43" s="202"/>
      <c r="AC43" s="202" t="s">
        <v>264</v>
      </c>
      <c r="AD43" s="203">
        <f t="shared" si="24"/>
        <v>8</v>
      </c>
      <c r="AE43" s="204">
        <f>'1. SAn ABA DE CARREGAMENTO'!$B$90</f>
        <v>24</v>
      </c>
      <c r="AF43" s="380"/>
      <c r="AG43" s="205">
        <f t="shared" si="0"/>
        <v>0</v>
      </c>
      <c r="AH43" s="205">
        <f t="shared" si="1"/>
        <v>0</v>
      </c>
      <c r="AI43" s="205">
        <f t="shared" si="2"/>
        <v>0</v>
      </c>
      <c r="AJ43" s="205">
        <f t="shared" si="3"/>
        <v>0</v>
      </c>
      <c r="AK43" s="205">
        <f t="shared" si="4"/>
        <v>0</v>
      </c>
      <c r="AL43" s="205">
        <f t="shared" si="5"/>
        <v>0</v>
      </c>
      <c r="AM43" s="205">
        <f t="shared" si="6"/>
        <v>0</v>
      </c>
      <c r="AN43" s="205">
        <f t="shared" si="7"/>
        <v>0</v>
      </c>
      <c r="AO43" s="205">
        <f t="shared" si="8"/>
        <v>0</v>
      </c>
      <c r="AP43" s="205">
        <f t="shared" si="9"/>
        <v>0</v>
      </c>
      <c r="AQ43" s="205">
        <f t="shared" si="10"/>
        <v>0</v>
      </c>
      <c r="AR43" s="205">
        <f t="shared" si="11"/>
        <v>0</v>
      </c>
      <c r="AS43" s="205">
        <f t="shared" si="12"/>
        <v>0</v>
      </c>
      <c r="AT43" s="205">
        <f t="shared" si="13"/>
        <v>0</v>
      </c>
      <c r="AU43" s="205">
        <f t="shared" si="14"/>
        <v>0</v>
      </c>
      <c r="AV43" s="205">
        <f t="shared" si="15"/>
        <v>0</v>
      </c>
      <c r="AW43" s="205">
        <f t="shared" si="16"/>
        <v>0</v>
      </c>
      <c r="AX43" s="205">
        <f t="shared" si="17"/>
        <v>0</v>
      </c>
      <c r="AY43" s="205">
        <f t="shared" si="18"/>
        <v>11.46</v>
      </c>
      <c r="AZ43" s="205">
        <f t="shared" si="19"/>
        <v>0</v>
      </c>
      <c r="BA43" s="205">
        <f t="shared" si="20"/>
        <v>0</v>
      </c>
      <c r="BB43" s="205">
        <f t="shared" si="27"/>
        <v>0</v>
      </c>
      <c r="BC43" s="214">
        <f t="shared" si="28"/>
        <v>0</v>
      </c>
      <c r="BD43" s="205">
        <f t="shared" si="29"/>
        <v>0</v>
      </c>
      <c r="BE43" s="201"/>
      <c r="BF43" s="201"/>
      <c r="BG43" s="201"/>
      <c r="BH43" s="201"/>
      <c r="BI43" s="201"/>
      <c r="BJ43" s="201"/>
      <c r="BK43" s="201"/>
      <c r="BL43" s="201"/>
    </row>
    <row r="44" spans="1:64" ht="12.75" customHeight="1" x14ac:dyDescent="0.2">
      <c r="A44" s="378"/>
      <c r="B44" s="378"/>
      <c r="C44" s="202" t="s">
        <v>43</v>
      </c>
      <c r="D44" s="380"/>
      <c r="E44" s="202"/>
      <c r="F44" s="202"/>
      <c r="G44" s="202"/>
      <c r="H44" s="202"/>
      <c r="I44" s="202"/>
      <c r="J44" s="202"/>
      <c r="K44" s="202"/>
      <c r="L44" s="202"/>
      <c r="M44" s="202"/>
      <c r="N44" s="202"/>
      <c r="O44" s="202"/>
      <c r="P44" s="202"/>
      <c r="Q44" s="202"/>
      <c r="R44" s="202"/>
      <c r="S44" s="202"/>
      <c r="T44" s="202"/>
      <c r="U44" s="202"/>
      <c r="V44" s="202"/>
      <c r="W44" s="202"/>
      <c r="X44" s="202"/>
      <c r="Y44" s="202"/>
      <c r="Z44" s="202"/>
      <c r="AA44" s="202">
        <v>24.6</v>
      </c>
      <c r="AB44" s="202"/>
      <c r="AC44" s="202" t="s">
        <v>251</v>
      </c>
      <c r="AD44" s="203">
        <f t="shared" si="24"/>
        <v>4.33</v>
      </c>
      <c r="AE44" s="204">
        <f>'1. SAn ABA DE CARREGAMENTO'!$B$90</f>
        <v>24</v>
      </c>
      <c r="AF44" s="380"/>
      <c r="AG44" s="205">
        <f t="shared" si="0"/>
        <v>0</v>
      </c>
      <c r="AH44" s="205">
        <f t="shared" si="1"/>
        <v>0</v>
      </c>
      <c r="AI44" s="205">
        <f t="shared" si="2"/>
        <v>0</v>
      </c>
      <c r="AJ44" s="205">
        <f t="shared" si="3"/>
        <v>0</v>
      </c>
      <c r="AK44" s="205">
        <f t="shared" si="4"/>
        <v>0</v>
      </c>
      <c r="AL44" s="205">
        <f t="shared" si="5"/>
        <v>0</v>
      </c>
      <c r="AM44" s="205">
        <f t="shared" si="6"/>
        <v>0</v>
      </c>
      <c r="AN44" s="205">
        <f t="shared" si="7"/>
        <v>0</v>
      </c>
      <c r="AO44" s="205">
        <f t="shared" si="8"/>
        <v>0</v>
      </c>
      <c r="AP44" s="205">
        <f t="shared" si="9"/>
        <v>0</v>
      </c>
      <c r="AQ44" s="205">
        <f t="shared" si="10"/>
        <v>0</v>
      </c>
      <c r="AR44" s="205">
        <f t="shared" si="11"/>
        <v>0</v>
      </c>
      <c r="AS44" s="205">
        <f t="shared" si="12"/>
        <v>0</v>
      </c>
      <c r="AT44" s="205">
        <f t="shared" si="13"/>
        <v>0</v>
      </c>
      <c r="AU44" s="205">
        <f t="shared" si="14"/>
        <v>0</v>
      </c>
      <c r="AV44" s="205">
        <f t="shared" si="15"/>
        <v>0</v>
      </c>
      <c r="AW44" s="205">
        <f t="shared" si="16"/>
        <v>0</v>
      </c>
      <c r="AX44" s="205">
        <f t="shared" si="17"/>
        <v>0</v>
      </c>
      <c r="AY44" s="205">
        <f t="shared" si="18"/>
        <v>0</v>
      </c>
      <c r="AZ44" s="205">
        <f t="shared" si="19"/>
        <v>0</v>
      </c>
      <c r="BA44" s="205">
        <f t="shared" si="20"/>
        <v>0</v>
      </c>
      <c r="BB44" s="205">
        <f t="shared" si="27"/>
        <v>0</v>
      </c>
      <c r="BC44" s="214">
        <f t="shared" si="28"/>
        <v>4.4382500000000009</v>
      </c>
      <c r="BD44" s="205">
        <f t="shared" si="29"/>
        <v>0</v>
      </c>
      <c r="BE44" s="201"/>
      <c r="BF44" s="201"/>
      <c r="BG44" s="201"/>
      <c r="BH44" s="201"/>
      <c r="BI44" s="201"/>
      <c r="BJ44" s="201"/>
      <c r="BK44" s="201"/>
      <c r="BL44" s="201"/>
    </row>
    <row r="45" spans="1:64" ht="12.75" customHeight="1" x14ac:dyDescent="0.2">
      <c r="A45" s="378"/>
      <c r="B45" s="378"/>
      <c r="C45" s="202" t="s">
        <v>44</v>
      </c>
      <c r="D45" s="380"/>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v>9</v>
      </c>
      <c r="AC45" s="202" t="s">
        <v>251</v>
      </c>
      <c r="AD45" s="203">
        <f t="shared" si="24"/>
        <v>4.33</v>
      </c>
      <c r="AE45" s="204">
        <f>'1. SAn ABA DE CARREGAMENTO'!$B$90</f>
        <v>24</v>
      </c>
      <c r="AF45" s="380"/>
      <c r="AG45" s="205">
        <f t="shared" si="0"/>
        <v>0</v>
      </c>
      <c r="AH45" s="205">
        <f t="shared" si="1"/>
        <v>0</v>
      </c>
      <c r="AI45" s="205">
        <f t="shared" si="2"/>
        <v>0</v>
      </c>
      <c r="AJ45" s="205">
        <f t="shared" si="3"/>
        <v>0</v>
      </c>
      <c r="AK45" s="205">
        <f t="shared" si="4"/>
        <v>0</v>
      </c>
      <c r="AL45" s="205">
        <f t="shared" si="5"/>
        <v>0</v>
      </c>
      <c r="AM45" s="205">
        <f t="shared" si="6"/>
        <v>0</v>
      </c>
      <c r="AN45" s="205">
        <f t="shared" si="7"/>
        <v>0</v>
      </c>
      <c r="AO45" s="205">
        <f t="shared" si="8"/>
        <v>0</v>
      </c>
      <c r="AP45" s="205">
        <f t="shared" si="9"/>
        <v>0</v>
      </c>
      <c r="AQ45" s="205">
        <f t="shared" si="10"/>
        <v>0</v>
      </c>
      <c r="AR45" s="205">
        <f t="shared" si="11"/>
        <v>0</v>
      </c>
      <c r="AS45" s="205">
        <f t="shared" si="12"/>
        <v>0</v>
      </c>
      <c r="AT45" s="205">
        <f t="shared" si="13"/>
        <v>0</v>
      </c>
      <c r="AU45" s="205">
        <f t="shared" si="14"/>
        <v>0</v>
      </c>
      <c r="AV45" s="205">
        <f t="shared" si="15"/>
        <v>0</v>
      </c>
      <c r="AW45" s="205">
        <f t="shared" si="16"/>
        <v>0</v>
      </c>
      <c r="AX45" s="205">
        <f t="shared" si="17"/>
        <v>0</v>
      </c>
      <c r="AY45" s="205">
        <f t="shared" si="18"/>
        <v>0</v>
      </c>
      <c r="AZ45" s="205">
        <f t="shared" si="19"/>
        <v>0</v>
      </c>
      <c r="BA45" s="205">
        <f t="shared" si="20"/>
        <v>0</v>
      </c>
      <c r="BB45" s="205">
        <f t="shared" si="27"/>
        <v>0</v>
      </c>
      <c r="BC45" s="214">
        <f t="shared" si="28"/>
        <v>0</v>
      </c>
      <c r="BD45" s="205">
        <f t="shared" si="29"/>
        <v>1.62375</v>
      </c>
      <c r="BE45" s="201"/>
      <c r="BF45" s="201"/>
      <c r="BG45" s="201"/>
      <c r="BH45" s="201"/>
      <c r="BI45" s="201"/>
      <c r="BJ45" s="201"/>
      <c r="BK45" s="201"/>
      <c r="BL45" s="201"/>
    </row>
    <row r="46" spans="1:64" ht="12.75" customHeight="1" x14ac:dyDescent="0.2">
      <c r="A46" s="378"/>
      <c r="B46" s="378"/>
      <c r="C46" s="202" t="s">
        <v>241</v>
      </c>
      <c r="D46" s="380"/>
      <c r="E46" s="202"/>
      <c r="F46" s="202"/>
      <c r="G46" s="202"/>
      <c r="H46" s="202"/>
      <c r="I46" s="202"/>
      <c r="J46" s="202"/>
      <c r="K46" s="202"/>
      <c r="L46" s="202"/>
      <c r="M46" s="202"/>
      <c r="N46" s="202"/>
      <c r="O46" s="202"/>
      <c r="P46" s="202"/>
      <c r="Q46" s="202"/>
      <c r="R46" s="202"/>
      <c r="S46" s="202"/>
      <c r="T46" s="202"/>
      <c r="U46" s="202"/>
      <c r="V46" s="202"/>
      <c r="W46" s="202"/>
      <c r="X46" s="202"/>
      <c r="Y46" s="202"/>
      <c r="Z46" s="202">
        <v>9</v>
      </c>
      <c r="AA46" s="202"/>
      <c r="AB46" s="202"/>
      <c r="AC46" s="202" t="s">
        <v>252</v>
      </c>
      <c r="AD46" s="203">
        <f t="shared" si="24"/>
        <v>96</v>
      </c>
      <c r="AE46" s="204">
        <f>'1. SAn ABA DE CARREGAMENTO'!$B$90</f>
        <v>24</v>
      </c>
      <c r="AF46" s="380"/>
      <c r="AG46" s="205">
        <f t="shared" si="0"/>
        <v>0</v>
      </c>
      <c r="AH46" s="205">
        <f t="shared" si="1"/>
        <v>0</v>
      </c>
      <c r="AI46" s="205">
        <f t="shared" si="2"/>
        <v>0</v>
      </c>
      <c r="AJ46" s="205">
        <f t="shared" si="3"/>
        <v>0</v>
      </c>
      <c r="AK46" s="205">
        <f t="shared" si="4"/>
        <v>0</v>
      </c>
      <c r="AL46" s="205">
        <f t="shared" si="5"/>
        <v>0</v>
      </c>
      <c r="AM46" s="205">
        <f t="shared" si="6"/>
        <v>0</v>
      </c>
      <c r="AN46" s="205">
        <f t="shared" si="7"/>
        <v>0</v>
      </c>
      <c r="AO46" s="205">
        <f t="shared" si="8"/>
        <v>0</v>
      </c>
      <c r="AP46" s="205">
        <f t="shared" si="9"/>
        <v>0</v>
      </c>
      <c r="AQ46" s="205">
        <f t="shared" si="10"/>
        <v>0</v>
      </c>
      <c r="AR46" s="205">
        <f t="shared" si="11"/>
        <v>0</v>
      </c>
      <c r="AS46" s="205">
        <f t="shared" si="12"/>
        <v>0</v>
      </c>
      <c r="AT46" s="205">
        <f t="shared" si="13"/>
        <v>0</v>
      </c>
      <c r="AU46" s="205">
        <f t="shared" si="14"/>
        <v>0</v>
      </c>
      <c r="AV46" s="205">
        <f t="shared" si="15"/>
        <v>0</v>
      </c>
      <c r="AW46" s="205">
        <f t="shared" si="16"/>
        <v>0</v>
      </c>
      <c r="AX46" s="205">
        <f t="shared" si="17"/>
        <v>0</v>
      </c>
      <c r="AY46" s="205">
        <f t="shared" si="18"/>
        <v>0</v>
      </c>
      <c r="AZ46" s="205">
        <f t="shared" si="19"/>
        <v>0</v>
      </c>
      <c r="BA46" s="205">
        <f t="shared" si="20"/>
        <v>0</v>
      </c>
      <c r="BB46" s="205">
        <f t="shared" si="27"/>
        <v>36</v>
      </c>
      <c r="BC46" s="214">
        <f t="shared" si="28"/>
        <v>0</v>
      </c>
      <c r="BD46" s="205">
        <f t="shared" si="29"/>
        <v>0</v>
      </c>
      <c r="BE46" s="201"/>
      <c r="BF46" s="201"/>
      <c r="BG46" s="201"/>
      <c r="BH46" s="201"/>
      <c r="BI46" s="201"/>
      <c r="BJ46" s="201"/>
      <c r="BK46" s="201"/>
      <c r="BL46" s="201"/>
    </row>
    <row r="47" spans="1:64" x14ac:dyDescent="0.2">
      <c r="A47" s="374">
        <v>6</v>
      </c>
      <c r="B47" s="375" t="s">
        <v>261</v>
      </c>
      <c r="C47" s="208" t="s">
        <v>256</v>
      </c>
      <c r="D47" s="376">
        <f>SUM(E47:AB53)</f>
        <v>876.06000000000006</v>
      </c>
      <c r="E47" s="208"/>
      <c r="F47" s="208">
        <v>13.85</v>
      </c>
      <c r="G47" s="208"/>
      <c r="H47" s="208"/>
      <c r="I47" s="208"/>
      <c r="J47" s="208"/>
      <c r="K47" s="208"/>
      <c r="L47" s="208"/>
      <c r="M47" s="208"/>
      <c r="N47" s="208"/>
      <c r="O47" s="208"/>
      <c r="P47" s="208"/>
      <c r="Q47" s="208"/>
      <c r="R47" s="208"/>
      <c r="S47" s="208"/>
      <c r="T47" s="208"/>
      <c r="U47" s="208"/>
      <c r="V47" s="208"/>
      <c r="W47" s="208"/>
      <c r="X47" s="208"/>
      <c r="Y47" s="208"/>
      <c r="Z47" s="208"/>
      <c r="AA47" s="208"/>
      <c r="AB47" s="208"/>
      <c r="AC47" s="209" t="s">
        <v>245</v>
      </c>
      <c r="AD47" s="210">
        <f t="shared" si="24"/>
        <v>24</v>
      </c>
      <c r="AE47" s="211">
        <f>'1. SAn ABA DE CARREGAMENTO'!$B$90</f>
        <v>24</v>
      </c>
      <c r="AF47" s="376">
        <f>SUM(AG47:BD53)</f>
        <v>874.36863333333349</v>
      </c>
      <c r="AG47" s="218">
        <f t="shared" si="0"/>
        <v>0</v>
      </c>
      <c r="AH47" s="218">
        <f t="shared" si="1"/>
        <v>13.85</v>
      </c>
      <c r="AI47" s="218">
        <f t="shared" si="2"/>
        <v>0</v>
      </c>
      <c r="AJ47" s="218">
        <f t="shared" si="3"/>
        <v>0</v>
      </c>
      <c r="AK47" s="218">
        <f t="shared" si="4"/>
        <v>0</v>
      </c>
      <c r="AL47" s="219">
        <f t="shared" si="5"/>
        <v>0</v>
      </c>
      <c r="AM47" s="219">
        <f t="shared" si="6"/>
        <v>0</v>
      </c>
      <c r="AN47" s="218">
        <f t="shared" si="7"/>
        <v>0</v>
      </c>
      <c r="AO47" s="218">
        <f t="shared" si="8"/>
        <v>0</v>
      </c>
      <c r="AP47" s="220">
        <f t="shared" si="9"/>
        <v>0</v>
      </c>
      <c r="AQ47" s="220">
        <f t="shared" si="10"/>
        <v>0</v>
      </c>
      <c r="AR47" s="218">
        <f t="shared" si="11"/>
        <v>0</v>
      </c>
      <c r="AS47" s="218">
        <f t="shared" si="12"/>
        <v>0</v>
      </c>
      <c r="AT47" s="218">
        <f t="shared" si="13"/>
        <v>0</v>
      </c>
      <c r="AU47" s="218">
        <f t="shared" si="14"/>
        <v>0</v>
      </c>
      <c r="AV47" s="218">
        <f t="shared" si="15"/>
        <v>0</v>
      </c>
      <c r="AW47" s="218">
        <f t="shared" si="16"/>
        <v>0</v>
      </c>
      <c r="AX47" s="218">
        <f t="shared" si="17"/>
        <v>0</v>
      </c>
      <c r="AY47" s="218">
        <f t="shared" si="18"/>
        <v>0</v>
      </c>
      <c r="AZ47" s="218">
        <f t="shared" si="19"/>
        <v>0</v>
      </c>
      <c r="BA47" s="218">
        <f t="shared" si="20"/>
        <v>0</v>
      </c>
      <c r="BB47" s="218">
        <f t="shared" si="27"/>
        <v>0</v>
      </c>
      <c r="BC47" s="221">
        <f t="shared" si="28"/>
        <v>0</v>
      </c>
      <c r="BD47" s="218">
        <f t="shared" si="29"/>
        <v>0</v>
      </c>
      <c r="BE47" s="201"/>
      <c r="BF47" s="201"/>
      <c r="BG47" s="201"/>
      <c r="BH47" s="201"/>
      <c r="BI47" s="201"/>
      <c r="BJ47" s="201"/>
      <c r="BK47" s="201"/>
      <c r="BL47" s="201"/>
    </row>
    <row r="48" spans="1:64" x14ac:dyDescent="0.2">
      <c r="A48" s="374"/>
      <c r="B48" s="374"/>
      <c r="C48" s="208" t="s">
        <v>247</v>
      </c>
      <c r="D48" s="376"/>
      <c r="E48" s="208"/>
      <c r="F48" s="208"/>
      <c r="G48" s="208"/>
      <c r="H48" s="208"/>
      <c r="I48" s="208"/>
      <c r="J48" s="208"/>
      <c r="K48" s="208"/>
      <c r="L48" s="208">
        <v>58.67</v>
      </c>
      <c r="M48" s="208"/>
      <c r="N48" s="208"/>
      <c r="O48" s="208"/>
      <c r="P48" s="208"/>
      <c r="Q48" s="208"/>
      <c r="R48" s="208"/>
      <c r="S48" s="208"/>
      <c r="T48" s="208"/>
      <c r="U48" s="208"/>
      <c r="V48" s="208"/>
      <c r="W48" s="208"/>
      <c r="X48" s="208"/>
      <c r="Y48" s="208"/>
      <c r="Z48" s="208"/>
      <c r="AA48" s="208"/>
      <c r="AB48" s="208"/>
      <c r="AC48" s="209" t="s">
        <v>263</v>
      </c>
      <c r="AD48" s="210">
        <f t="shared" si="24"/>
        <v>48</v>
      </c>
      <c r="AE48" s="211">
        <f>'1. SAn ABA DE CARREGAMENTO'!$B$90</f>
        <v>24</v>
      </c>
      <c r="AF48" s="376"/>
      <c r="AG48" s="218">
        <f t="shared" si="0"/>
        <v>0</v>
      </c>
      <c r="AH48" s="218">
        <f t="shared" si="1"/>
        <v>0</v>
      </c>
      <c r="AI48" s="218">
        <f t="shared" si="2"/>
        <v>0</v>
      </c>
      <c r="AJ48" s="218">
        <f t="shared" si="3"/>
        <v>0</v>
      </c>
      <c r="AK48" s="218">
        <f t="shared" si="4"/>
        <v>0</v>
      </c>
      <c r="AL48" s="219">
        <f t="shared" si="5"/>
        <v>0</v>
      </c>
      <c r="AM48" s="219">
        <f t="shared" si="6"/>
        <v>0</v>
      </c>
      <c r="AN48" s="218">
        <f t="shared" si="7"/>
        <v>117.33999999999999</v>
      </c>
      <c r="AO48" s="218">
        <f t="shared" si="8"/>
        <v>0</v>
      </c>
      <c r="AP48" s="220">
        <f t="shared" si="9"/>
        <v>0</v>
      </c>
      <c r="AQ48" s="220">
        <f t="shared" si="10"/>
        <v>0</v>
      </c>
      <c r="AR48" s="218">
        <f t="shared" si="11"/>
        <v>0</v>
      </c>
      <c r="AS48" s="218">
        <f t="shared" si="12"/>
        <v>0</v>
      </c>
      <c r="AT48" s="218">
        <f t="shared" si="13"/>
        <v>0</v>
      </c>
      <c r="AU48" s="218">
        <f t="shared" si="14"/>
        <v>0</v>
      </c>
      <c r="AV48" s="218">
        <f t="shared" si="15"/>
        <v>0</v>
      </c>
      <c r="AW48" s="218">
        <f t="shared" si="16"/>
        <v>0</v>
      </c>
      <c r="AX48" s="218">
        <f t="shared" si="17"/>
        <v>0</v>
      </c>
      <c r="AY48" s="218">
        <f t="shared" si="18"/>
        <v>0</v>
      </c>
      <c r="AZ48" s="218">
        <f t="shared" si="19"/>
        <v>0</v>
      </c>
      <c r="BA48" s="218">
        <f t="shared" si="20"/>
        <v>0</v>
      </c>
      <c r="BB48" s="218">
        <f t="shared" si="27"/>
        <v>0</v>
      </c>
      <c r="BC48" s="221">
        <f t="shared" si="28"/>
        <v>0</v>
      </c>
      <c r="BD48" s="218">
        <f t="shared" si="29"/>
        <v>0</v>
      </c>
      <c r="BE48" s="201"/>
      <c r="BF48" s="201"/>
      <c r="BG48" s="201"/>
      <c r="BH48" s="201"/>
      <c r="BI48" s="201"/>
      <c r="BJ48" s="201"/>
      <c r="BK48" s="201"/>
      <c r="BL48" s="201"/>
    </row>
    <row r="49" spans="1:64" ht="12.75" customHeight="1" x14ac:dyDescent="0.2">
      <c r="A49" s="374"/>
      <c r="B49" s="374"/>
      <c r="C49" s="208" t="s">
        <v>249</v>
      </c>
      <c r="D49" s="376"/>
      <c r="E49" s="208"/>
      <c r="F49" s="208"/>
      <c r="G49" s="208"/>
      <c r="H49" s="208"/>
      <c r="I49" s="208"/>
      <c r="J49" s="208"/>
      <c r="K49" s="208"/>
      <c r="L49" s="208"/>
      <c r="M49" s="208"/>
      <c r="N49" s="208"/>
      <c r="O49" s="208"/>
      <c r="P49" s="208"/>
      <c r="Q49" s="208"/>
      <c r="R49" s="208"/>
      <c r="S49" s="208"/>
      <c r="T49" s="208"/>
      <c r="U49" s="208">
        <v>13.71</v>
      </c>
      <c r="V49" s="208"/>
      <c r="W49" s="208">
        <v>13.71</v>
      </c>
      <c r="X49" s="208"/>
      <c r="Y49" s="208"/>
      <c r="Z49" s="208"/>
      <c r="AA49" s="208"/>
      <c r="AB49" s="208"/>
      <c r="AC49" s="209" t="s">
        <v>615</v>
      </c>
      <c r="AD49" s="210">
        <f t="shared" si="24"/>
        <v>0.17</v>
      </c>
      <c r="AE49" s="211">
        <f>'1. SAn ABA DE CARREGAMENTO'!$B$90</f>
        <v>24</v>
      </c>
      <c r="AF49" s="376"/>
      <c r="AG49" s="218">
        <f t="shared" si="0"/>
        <v>0</v>
      </c>
      <c r="AH49" s="218">
        <f t="shared" si="1"/>
        <v>0</v>
      </c>
      <c r="AI49" s="218">
        <f t="shared" si="2"/>
        <v>0</v>
      </c>
      <c r="AJ49" s="218">
        <f t="shared" si="3"/>
        <v>0</v>
      </c>
      <c r="AK49" s="218">
        <f t="shared" si="4"/>
        <v>0</v>
      </c>
      <c r="AL49" s="219">
        <f t="shared" si="5"/>
        <v>0</v>
      </c>
      <c r="AM49" s="219">
        <f t="shared" si="6"/>
        <v>0</v>
      </c>
      <c r="AN49" s="218">
        <f t="shared" si="7"/>
        <v>0</v>
      </c>
      <c r="AO49" s="218">
        <f t="shared" si="8"/>
        <v>0</v>
      </c>
      <c r="AP49" s="220">
        <f t="shared" si="9"/>
        <v>0</v>
      </c>
      <c r="AQ49" s="220">
        <f t="shared" si="10"/>
        <v>0</v>
      </c>
      <c r="AR49" s="218">
        <f t="shared" si="11"/>
        <v>0</v>
      </c>
      <c r="AS49" s="218">
        <f t="shared" si="12"/>
        <v>0</v>
      </c>
      <c r="AT49" s="218">
        <f t="shared" si="13"/>
        <v>0</v>
      </c>
      <c r="AU49" s="218">
        <f t="shared" si="14"/>
        <v>0</v>
      </c>
      <c r="AV49" s="218">
        <f t="shared" si="15"/>
        <v>0</v>
      </c>
      <c r="AW49" s="218">
        <f t="shared" si="16"/>
        <v>9.7112500000000004E-2</v>
      </c>
      <c r="AX49" s="218">
        <f t="shared" si="17"/>
        <v>0</v>
      </c>
      <c r="AY49" s="218">
        <f t="shared" si="18"/>
        <v>9.7112500000000004E-2</v>
      </c>
      <c r="AZ49" s="218">
        <f t="shared" si="19"/>
        <v>0</v>
      </c>
      <c r="BA49" s="218">
        <f t="shared" si="20"/>
        <v>0</v>
      </c>
      <c r="BB49" s="218">
        <f t="shared" si="27"/>
        <v>0</v>
      </c>
      <c r="BC49" s="221">
        <f t="shared" si="28"/>
        <v>0</v>
      </c>
      <c r="BD49" s="218">
        <f t="shared" si="29"/>
        <v>0</v>
      </c>
      <c r="BE49" s="201"/>
      <c r="BF49" s="201"/>
      <c r="BG49" s="201"/>
      <c r="BH49" s="201"/>
      <c r="BI49" s="201"/>
      <c r="BJ49" s="201"/>
      <c r="BK49" s="201"/>
      <c r="BL49" s="201"/>
    </row>
    <row r="50" spans="1:64" ht="12.75" customHeight="1" x14ac:dyDescent="0.2">
      <c r="A50" s="374"/>
      <c r="B50" s="374"/>
      <c r="C50" s="208" t="s">
        <v>250</v>
      </c>
      <c r="D50" s="376"/>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9" t="s">
        <v>264</v>
      </c>
      <c r="AD50" s="210">
        <f t="shared" si="24"/>
        <v>8</v>
      </c>
      <c r="AE50" s="211">
        <f>'1. SAn ABA DE CARREGAMENTO'!$B$90</f>
        <v>24</v>
      </c>
      <c r="AF50" s="376"/>
      <c r="AG50" s="218">
        <f t="shared" si="0"/>
        <v>0</v>
      </c>
      <c r="AH50" s="218">
        <f t="shared" si="1"/>
        <v>0</v>
      </c>
      <c r="AI50" s="218">
        <f t="shared" si="2"/>
        <v>0</v>
      </c>
      <c r="AJ50" s="218">
        <f t="shared" si="3"/>
        <v>0</v>
      </c>
      <c r="AK50" s="218">
        <f t="shared" si="4"/>
        <v>0</v>
      </c>
      <c r="AL50" s="219">
        <f t="shared" si="5"/>
        <v>0</v>
      </c>
      <c r="AM50" s="219">
        <f t="shared" si="6"/>
        <v>0</v>
      </c>
      <c r="AN50" s="218">
        <f t="shared" si="7"/>
        <v>0</v>
      </c>
      <c r="AO50" s="218">
        <f t="shared" si="8"/>
        <v>0</v>
      </c>
      <c r="AP50" s="220">
        <f t="shared" si="9"/>
        <v>0</v>
      </c>
      <c r="AQ50" s="220">
        <f t="shared" si="10"/>
        <v>0</v>
      </c>
      <c r="AR50" s="218">
        <f t="shared" si="11"/>
        <v>0</v>
      </c>
      <c r="AS50" s="218">
        <f t="shared" si="12"/>
        <v>0</v>
      </c>
      <c r="AT50" s="218">
        <f t="shared" si="13"/>
        <v>0</v>
      </c>
      <c r="AU50" s="218">
        <f t="shared" si="14"/>
        <v>0</v>
      </c>
      <c r="AV50" s="218">
        <f t="shared" si="15"/>
        <v>0</v>
      </c>
      <c r="AW50" s="218">
        <f t="shared" si="16"/>
        <v>0</v>
      </c>
      <c r="AX50" s="218">
        <f t="shared" si="17"/>
        <v>0</v>
      </c>
      <c r="AY50" s="218">
        <f t="shared" si="18"/>
        <v>0</v>
      </c>
      <c r="AZ50" s="218">
        <f t="shared" si="19"/>
        <v>0</v>
      </c>
      <c r="BA50" s="218">
        <f t="shared" si="20"/>
        <v>0</v>
      </c>
      <c r="BB50" s="218">
        <f t="shared" si="27"/>
        <v>0</v>
      </c>
      <c r="BC50" s="221">
        <f t="shared" si="28"/>
        <v>0</v>
      </c>
      <c r="BD50" s="218">
        <f t="shared" si="29"/>
        <v>0</v>
      </c>
      <c r="BE50" s="201"/>
      <c r="BF50" s="201"/>
      <c r="BG50" s="201"/>
      <c r="BH50" s="201"/>
      <c r="BI50" s="201"/>
      <c r="BJ50" s="201"/>
      <c r="BK50" s="201"/>
      <c r="BL50" s="201"/>
    </row>
    <row r="51" spans="1:64" ht="12.75" customHeight="1" x14ac:dyDescent="0.2">
      <c r="A51" s="374"/>
      <c r="B51" s="374"/>
      <c r="C51" s="208" t="s">
        <v>43</v>
      </c>
      <c r="D51" s="376"/>
      <c r="E51" s="208"/>
      <c r="F51" s="208"/>
      <c r="G51" s="208"/>
      <c r="H51" s="208"/>
      <c r="I51" s="208"/>
      <c r="J51" s="208"/>
      <c r="K51" s="208"/>
      <c r="L51" s="208"/>
      <c r="M51" s="208"/>
      <c r="N51" s="208"/>
      <c r="O51" s="208"/>
      <c r="P51" s="208"/>
      <c r="Q51" s="208"/>
      <c r="R51" s="208"/>
      <c r="S51" s="208"/>
      <c r="T51" s="208"/>
      <c r="U51" s="208"/>
      <c r="V51" s="208"/>
      <c r="W51" s="208"/>
      <c r="X51" s="208"/>
      <c r="Y51" s="208"/>
      <c r="Z51" s="208"/>
      <c r="AA51" s="208">
        <v>460.66</v>
      </c>
      <c r="AB51" s="208"/>
      <c r="AC51" s="209" t="s">
        <v>251</v>
      </c>
      <c r="AD51" s="210">
        <f t="shared" si="24"/>
        <v>4.33</v>
      </c>
      <c r="AE51" s="211">
        <f>'1. SAn ABA DE CARREGAMENTO'!$B$90</f>
        <v>24</v>
      </c>
      <c r="AF51" s="376"/>
      <c r="AG51" s="218">
        <f t="shared" si="0"/>
        <v>0</v>
      </c>
      <c r="AH51" s="218">
        <f t="shared" si="1"/>
        <v>0</v>
      </c>
      <c r="AI51" s="218">
        <f t="shared" si="2"/>
        <v>0</v>
      </c>
      <c r="AJ51" s="218">
        <f t="shared" si="3"/>
        <v>0</v>
      </c>
      <c r="AK51" s="218">
        <f t="shared" si="4"/>
        <v>0</v>
      </c>
      <c r="AL51" s="219">
        <f t="shared" si="5"/>
        <v>0</v>
      </c>
      <c r="AM51" s="219">
        <f t="shared" si="6"/>
        <v>0</v>
      </c>
      <c r="AN51" s="218">
        <f t="shared" si="7"/>
        <v>0</v>
      </c>
      <c r="AO51" s="218">
        <f t="shared" si="8"/>
        <v>0</v>
      </c>
      <c r="AP51" s="220">
        <f t="shared" si="9"/>
        <v>0</v>
      </c>
      <c r="AQ51" s="220">
        <f t="shared" si="10"/>
        <v>0</v>
      </c>
      <c r="AR51" s="218">
        <f t="shared" si="11"/>
        <v>0</v>
      </c>
      <c r="AS51" s="218">
        <f t="shared" si="12"/>
        <v>0</v>
      </c>
      <c r="AT51" s="218">
        <f t="shared" si="13"/>
        <v>0</v>
      </c>
      <c r="AU51" s="218">
        <f t="shared" si="14"/>
        <v>0</v>
      </c>
      <c r="AV51" s="218">
        <f t="shared" si="15"/>
        <v>0</v>
      </c>
      <c r="AW51" s="218">
        <f t="shared" si="16"/>
        <v>0</v>
      </c>
      <c r="AX51" s="218">
        <f t="shared" si="17"/>
        <v>0</v>
      </c>
      <c r="AY51" s="218">
        <f t="shared" si="18"/>
        <v>0</v>
      </c>
      <c r="AZ51" s="218">
        <f t="shared" si="19"/>
        <v>0</v>
      </c>
      <c r="BA51" s="218">
        <f t="shared" si="20"/>
        <v>0</v>
      </c>
      <c r="BB51" s="218">
        <f t="shared" si="27"/>
        <v>0</v>
      </c>
      <c r="BC51" s="221">
        <f t="shared" si="28"/>
        <v>83.110741666666669</v>
      </c>
      <c r="BD51" s="218">
        <f t="shared" si="29"/>
        <v>0</v>
      </c>
      <c r="BE51" s="201"/>
      <c r="BF51" s="201"/>
      <c r="BG51" s="201"/>
      <c r="BH51" s="201"/>
      <c r="BI51" s="201"/>
      <c r="BJ51" s="201"/>
      <c r="BK51" s="201"/>
      <c r="BL51" s="201"/>
    </row>
    <row r="52" spans="1:64" ht="12.75" customHeight="1" x14ac:dyDescent="0.2">
      <c r="A52" s="374"/>
      <c r="B52" s="374"/>
      <c r="C52" s="208" t="s">
        <v>44</v>
      </c>
      <c r="D52" s="376"/>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v>157.6</v>
      </c>
      <c r="AC52" s="209" t="s">
        <v>251</v>
      </c>
      <c r="AD52" s="210">
        <f t="shared" si="24"/>
        <v>4.33</v>
      </c>
      <c r="AE52" s="211">
        <f>'1. SAn ABA DE CARREGAMENTO'!$B$90</f>
        <v>24</v>
      </c>
      <c r="AF52" s="376"/>
      <c r="AG52" s="218">
        <f t="shared" si="0"/>
        <v>0</v>
      </c>
      <c r="AH52" s="218">
        <f t="shared" si="1"/>
        <v>0</v>
      </c>
      <c r="AI52" s="218">
        <f t="shared" si="2"/>
        <v>0</v>
      </c>
      <c r="AJ52" s="218">
        <f t="shared" si="3"/>
        <v>0</v>
      </c>
      <c r="AK52" s="218">
        <f t="shared" si="4"/>
        <v>0</v>
      </c>
      <c r="AL52" s="219">
        <f t="shared" si="5"/>
        <v>0</v>
      </c>
      <c r="AM52" s="219">
        <f t="shared" si="6"/>
        <v>0</v>
      </c>
      <c r="AN52" s="218">
        <f t="shared" si="7"/>
        <v>0</v>
      </c>
      <c r="AO52" s="218">
        <f t="shared" si="8"/>
        <v>0</v>
      </c>
      <c r="AP52" s="220">
        <f t="shared" si="9"/>
        <v>0</v>
      </c>
      <c r="AQ52" s="220">
        <f t="shared" si="10"/>
        <v>0</v>
      </c>
      <c r="AR52" s="218">
        <f t="shared" si="11"/>
        <v>0</v>
      </c>
      <c r="AS52" s="218">
        <f t="shared" si="12"/>
        <v>0</v>
      </c>
      <c r="AT52" s="218">
        <f t="shared" si="13"/>
        <v>0</v>
      </c>
      <c r="AU52" s="218">
        <f t="shared" si="14"/>
        <v>0</v>
      </c>
      <c r="AV52" s="218">
        <f t="shared" si="15"/>
        <v>0</v>
      </c>
      <c r="AW52" s="218">
        <f t="shared" si="16"/>
        <v>0</v>
      </c>
      <c r="AX52" s="218">
        <f t="shared" si="17"/>
        <v>0</v>
      </c>
      <c r="AY52" s="218">
        <f t="shared" si="18"/>
        <v>0</v>
      </c>
      <c r="AZ52" s="218">
        <f t="shared" si="19"/>
        <v>0</v>
      </c>
      <c r="BA52" s="218">
        <f t="shared" si="20"/>
        <v>0</v>
      </c>
      <c r="BB52" s="218">
        <f t="shared" si="27"/>
        <v>0</v>
      </c>
      <c r="BC52" s="221">
        <f t="shared" si="28"/>
        <v>0</v>
      </c>
      <c r="BD52" s="218">
        <f t="shared" si="29"/>
        <v>28.433666666666667</v>
      </c>
      <c r="BE52" s="201"/>
      <c r="BF52" s="201"/>
      <c r="BG52" s="201"/>
      <c r="BH52" s="201"/>
      <c r="BI52" s="201"/>
      <c r="BJ52" s="201"/>
      <c r="BK52" s="201"/>
      <c r="BL52" s="201"/>
    </row>
    <row r="53" spans="1:64" ht="12.75" customHeight="1" x14ac:dyDescent="0.2">
      <c r="A53" s="374"/>
      <c r="B53" s="374"/>
      <c r="C53" s="208" t="s">
        <v>241</v>
      </c>
      <c r="D53" s="376"/>
      <c r="E53" s="208"/>
      <c r="F53" s="208"/>
      <c r="G53" s="208"/>
      <c r="H53" s="208"/>
      <c r="I53" s="208"/>
      <c r="J53" s="208"/>
      <c r="K53" s="208"/>
      <c r="L53" s="208"/>
      <c r="M53" s="208"/>
      <c r="N53" s="208"/>
      <c r="O53" s="208"/>
      <c r="P53" s="208"/>
      <c r="Q53" s="208"/>
      <c r="R53" s="208"/>
      <c r="S53" s="208"/>
      <c r="T53" s="208"/>
      <c r="U53" s="208"/>
      <c r="V53" s="208"/>
      <c r="W53" s="208"/>
      <c r="X53" s="208"/>
      <c r="Y53" s="208"/>
      <c r="Z53" s="208">
        <v>157.86000000000001</v>
      </c>
      <c r="AA53" s="208"/>
      <c r="AB53" s="208"/>
      <c r="AC53" s="209" t="s">
        <v>252</v>
      </c>
      <c r="AD53" s="210">
        <f t="shared" si="24"/>
        <v>96</v>
      </c>
      <c r="AE53" s="211">
        <f>'1. SAn ABA DE CARREGAMENTO'!$B$90</f>
        <v>24</v>
      </c>
      <c r="AF53" s="376"/>
      <c r="AG53" s="218">
        <f t="shared" si="0"/>
        <v>0</v>
      </c>
      <c r="AH53" s="218">
        <f t="shared" si="1"/>
        <v>0</v>
      </c>
      <c r="AI53" s="218">
        <f t="shared" si="2"/>
        <v>0</v>
      </c>
      <c r="AJ53" s="218">
        <f t="shared" si="3"/>
        <v>0</v>
      </c>
      <c r="AK53" s="218">
        <f t="shared" si="4"/>
        <v>0</v>
      </c>
      <c r="AL53" s="219">
        <f t="shared" si="5"/>
        <v>0</v>
      </c>
      <c r="AM53" s="219">
        <f t="shared" si="6"/>
        <v>0</v>
      </c>
      <c r="AN53" s="218">
        <f t="shared" si="7"/>
        <v>0</v>
      </c>
      <c r="AO53" s="218">
        <f t="shared" si="8"/>
        <v>0</v>
      </c>
      <c r="AP53" s="220">
        <f t="shared" si="9"/>
        <v>0</v>
      </c>
      <c r="AQ53" s="220">
        <f t="shared" si="10"/>
        <v>0</v>
      </c>
      <c r="AR53" s="218">
        <f t="shared" si="11"/>
        <v>0</v>
      </c>
      <c r="AS53" s="218">
        <f t="shared" si="12"/>
        <v>0</v>
      </c>
      <c r="AT53" s="218">
        <f t="shared" si="13"/>
        <v>0</v>
      </c>
      <c r="AU53" s="218">
        <f t="shared" si="14"/>
        <v>0</v>
      </c>
      <c r="AV53" s="218">
        <f t="shared" si="15"/>
        <v>0</v>
      </c>
      <c r="AW53" s="218">
        <f t="shared" si="16"/>
        <v>0</v>
      </c>
      <c r="AX53" s="218">
        <f t="shared" si="17"/>
        <v>0</v>
      </c>
      <c r="AY53" s="218">
        <f t="shared" si="18"/>
        <v>0</v>
      </c>
      <c r="AZ53" s="218">
        <f t="shared" si="19"/>
        <v>0</v>
      </c>
      <c r="BA53" s="218">
        <f t="shared" si="20"/>
        <v>0</v>
      </c>
      <c r="BB53" s="218">
        <f t="shared" si="27"/>
        <v>631.44000000000005</v>
      </c>
      <c r="BC53" s="221">
        <f t="shared" si="28"/>
        <v>0</v>
      </c>
      <c r="BD53" s="218">
        <f t="shared" si="29"/>
        <v>0</v>
      </c>
      <c r="BE53" s="201"/>
      <c r="BF53" s="201"/>
      <c r="BG53" s="201"/>
      <c r="BH53" s="201"/>
      <c r="BI53" s="201"/>
      <c r="BJ53" s="201"/>
      <c r="BK53" s="201"/>
      <c r="BL53" s="201"/>
    </row>
    <row r="54" spans="1:64" ht="38.25" x14ac:dyDescent="0.2">
      <c r="A54" s="222">
        <v>7</v>
      </c>
      <c r="B54" s="202" t="s">
        <v>262</v>
      </c>
      <c r="C54" s="202" t="s">
        <v>248</v>
      </c>
      <c r="D54" s="205">
        <f>SUM(E54:AB54)</f>
        <v>288</v>
      </c>
      <c r="E54" s="202"/>
      <c r="F54" s="202"/>
      <c r="G54" s="202"/>
      <c r="H54" s="202"/>
      <c r="I54" s="202"/>
      <c r="J54" s="202"/>
      <c r="K54" s="202"/>
      <c r="L54" s="202"/>
      <c r="M54" s="202"/>
      <c r="N54" s="202"/>
      <c r="O54" s="202"/>
      <c r="P54" s="202">
        <v>288</v>
      </c>
      <c r="Q54" s="202"/>
      <c r="R54" s="202"/>
      <c r="S54" s="202"/>
      <c r="T54" s="202"/>
      <c r="U54" s="202"/>
      <c r="V54" s="202"/>
      <c r="W54" s="202"/>
      <c r="X54" s="202"/>
      <c r="Y54" s="202"/>
      <c r="Z54" s="202"/>
      <c r="AA54" s="202"/>
      <c r="AB54" s="202"/>
      <c r="AC54" s="202" t="s">
        <v>245</v>
      </c>
      <c r="AD54" s="203">
        <f t="shared" si="24"/>
        <v>24</v>
      </c>
      <c r="AE54" s="204">
        <f>'1. SAn ABA DE CARREGAMENTO'!$B$90</f>
        <v>24</v>
      </c>
      <c r="AF54" s="205">
        <f>SUM(AG54:BD54)</f>
        <v>288</v>
      </c>
      <c r="AG54" s="205">
        <f t="shared" ref="AG54" si="30">(E54*AD54)/AE54</f>
        <v>0</v>
      </c>
      <c r="AH54" s="205">
        <f t="shared" ref="AH54" si="31">(F54*AD54)/AE54</f>
        <v>0</v>
      </c>
      <c r="AI54" s="205">
        <f t="shared" ref="AI54" si="32">(G54*AD54)/AE54</f>
        <v>0</v>
      </c>
      <c r="AJ54" s="205">
        <f t="shared" ref="AJ54" si="33">(H54*AD54)/AE54</f>
        <v>0</v>
      </c>
      <c r="AK54" s="205">
        <f t="shared" ref="AK54" si="34">(I54*AD54)/AE54</f>
        <v>0</v>
      </c>
      <c r="AL54" s="205">
        <f t="shared" si="5"/>
        <v>0</v>
      </c>
      <c r="AM54" s="205">
        <f t="shared" si="6"/>
        <v>0</v>
      </c>
      <c r="AN54" s="205">
        <f t="shared" ref="AN54" si="35">(L54*AD54)/AE54</f>
        <v>0</v>
      </c>
      <c r="AO54" s="205">
        <f t="shared" ref="AO54" si="36">(M54*AD54)/AE54</f>
        <v>0</v>
      </c>
      <c r="AP54" s="205">
        <f t="shared" si="9"/>
        <v>0</v>
      </c>
      <c r="AQ54" s="205">
        <f t="shared" si="10"/>
        <v>0</v>
      </c>
      <c r="AR54" s="205">
        <f t="shared" ref="AR54" si="37">(P54*AD54)/AE54</f>
        <v>288</v>
      </c>
      <c r="AS54" s="205">
        <f t="shared" ref="AS54" si="38">(Q54*AD54)/AE54</f>
        <v>0</v>
      </c>
      <c r="AT54" s="205">
        <f t="shared" ref="AT54" si="39">(R54*AD54)/AE54</f>
        <v>0</v>
      </c>
      <c r="AU54" s="205">
        <f t="shared" ref="AU54" si="40">(S54*AD54)/AE54</f>
        <v>0</v>
      </c>
      <c r="AV54" s="205">
        <f t="shared" ref="AV54" si="41">(T54*AD54)/AE54</f>
        <v>0</v>
      </c>
      <c r="AW54" s="205">
        <f t="shared" ref="AW54" si="42">(U54*AD54)/AE54</f>
        <v>0</v>
      </c>
      <c r="AX54" s="205">
        <f t="shared" ref="AX54" si="43">(V54*AD54)/AE54</f>
        <v>0</v>
      </c>
      <c r="AY54" s="205">
        <f t="shared" ref="AY54" si="44">(W54*AD54)/AE54</f>
        <v>0</v>
      </c>
      <c r="AZ54" s="205">
        <f t="shared" ref="AZ54" si="45">(X54*AD54)/AE54</f>
        <v>0</v>
      </c>
      <c r="BA54" s="205">
        <f t="shared" ref="BA54" si="46">(Y54*AD54)/AE54</f>
        <v>0</v>
      </c>
      <c r="BB54" s="205">
        <f t="shared" si="27"/>
        <v>0</v>
      </c>
      <c r="BC54" s="214">
        <f t="shared" si="28"/>
        <v>0</v>
      </c>
      <c r="BD54" s="205">
        <f t="shared" ref="BD54" si="47">(AB54*AD54)/AE54</f>
        <v>0</v>
      </c>
      <c r="BE54" s="201"/>
      <c r="BF54" s="201"/>
      <c r="BG54" s="201"/>
      <c r="BH54" s="201"/>
      <c r="BI54" s="201"/>
      <c r="BJ54" s="201"/>
      <c r="BK54" s="201"/>
      <c r="BL54" s="201"/>
    </row>
    <row r="55" spans="1:64" x14ac:dyDescent="0.2">
      <c r="A55" s="374">
        <v>8</v>
      </c>
      <c r="B55" s="375" t="s">
        <v>265</v>
      </c>
      <c r="C55" s="208" t="s">
        <v>266</v>
      </c>
      <c r="D55" s="376">
        <f>SUM(E55:AB60)</f>
        <v>452.56000000000006</v>
      </c>
      <c r="E55" s="208"/>
      <c r="F55" s="208">
        <v>166</v>
      </c>
      <c r="G55" s="208"/>
      <c r="H55" s="208"/>
      <c r="I55" s="208"/>
      <c r="J55" s="208"/>
      <c r="K55" s="208"/>
      <c r="L55" s="208"/>
      <c r="M55" s="208"/>
      <c r="N55" s="208"/>
      <c r="O55" s="208"/>
      <c r="P55" s="208"/>
      <c r="Q55" s="208"/>
      <c r="R55" s="208"/>
      <c r="S55" s="208"/>
      <c r="T55" s="208"/>
      <c r="U55" s="208"/>
      <c r="V55" s="208"/>
      <c r="W55" s="208"/>
      <c r="X55" s="208"/>
      <c r="Y55" s="208"/>
      <c r="Z55" s="208"/>
      <c r="AA55" s="208"/>
      <c r="AB55" s="208"/>
      <c r="AC55" s="209" t="s">
        <v>246</v>
      </c>
      <c r="AD55" s="210">
        <f t="shared" ref="AD55:AD57" si="48">IF(AC55="DIÁRIA",AE55,IF(AC55="2xDIA",(AE55*2),IF(AC55="3xDIA",(AE55*3),IF(AC55="4xDIA",(AE55*4),IF(AC55="5xDIA",(AE55*5),IF(AC55="6xDIA",(AE55*6),IF(AC55="SEMANAL",4.33,IF(AC55="2xSEMANA",8,IF(AC55="3xSEMANA",12,IF(AC55="QUINZENAL",2,IF(AC55="MENSAL",1,IF(AC55="BIMESTRAL",0.5,IF(AC55="TRIMESTRAL",0.33,IF(AC55="SEMESTRAL",0.17,0))))))))))))))</f>
        <v>72</v>
      </c>
      <c r="AE55" s="211">
        <f>'1. SAn ABA DE CARREGAMENTO'!$B$90</f>
        <v>24</v>
      </c>
      <c r="AF55" s="376">
        <f>SUM(AG55:BD60)</f>
        <v>865.4944999999999</v>
      </c>
      <c r="AG55" s="212">
        <f t="shared" ref="AG55:AG57" si="49">(E55*AD55)/AE55</f>
        <v>0</v>
      </c>
      <c r="AH55" s="212">
        <f t="shared" ref="AH55:AH60" si="50">(F55*AD55)/AE55</f>
        <v>498</v>
      </c>
      <c r="AI55" s="212">
        <f t="shared" ref="AI55:AI60" si="51">(G55*AD55)/AE55</f>
        <v>0</v>
      </c>
      <c r="AJ55" s="212">
        <f t="shared" ref="AJ55:AJ60" si="52">(H55*AD55)/AE55</f>
        <v>0</v>
      </c>
      <c r="AK55" s="212">
        <f t="shared" ref="AK55:AK60" si="53">(I55*AD55)/AE55</f>
        <v>0</v>
      </c>
      <c r="AL55" s="213">
        <f t="shared" ref="AL55:AL57" si="54">(J55*AD55)/AE55</f>
        <v>0</v>
      </c>
      <c r="AM55" s="213">
        <f t="shared" ref="AM55:AM57" si="55">(K55*AD55)/AE55</f>
        <v>0</v>
      </c>
      <c r="AN55" s="212">
        <f t="shared" ref="AN55:AN60" si="56">(L55*AD55)/AE55</f>
        <v>0</v>
      </c>
      <c r="AO55" s="212">
        <f t="shared" ref="AO55:AO60" si="57">(M55*AD55)/AE55</f>
        <v>0</v>
      </c>
      <c r="AP55" s="213">
        <f t="shared" ref="AP55:AP57" si="58">(N55*AD55)/AE55</f>
        <v>0</v>
      </c>
      <c r="AQ55" s="213">
        <f t="shared" ref="AQ55:AQ57" si="59">(O55*AD55)/AE55</f>
        <v>0</v>
      </c>
      <c r="AR55" s="212">
        <f t="shared" ref="AR55:AR60" si="60">(P55*AD55)/AE55</f>
        <v>0</v>
      </c>
      <c r="AS55" s="212">
        <f t="shared" ref="AS55:AS60" si="61">(Q55*AD55)/AE55</f>
        <v>0</v>
      </c>
      <c r="AT55" s="212">
        <f t="shared" ref="AT55:AT60" si="62">(R55*AD55)/AE55</f>
        <v>0</v>
      </c>
      <c r="AU55" s="212">
        <f t="shared" ref="AU55:AU60" si="63">(S55*AD55)/AE55</f>
        <v>0</v>
      </c>
      <c r="AV55" s="212">
        <f t="shared" ref="AV55:AV60" si="64">(T55*AD55)/AE55</f>
        <v>0</v>
      </c>
      <c r="AW55" s="212">
        <f t="shared" ref="AW55:AW60" si="65">(U55*AD55)/AE55</f>
        <v>0</v>
      </c>
      <c r="AX55" s="212">
        <f t="shared" ref="AX55:AX60" si="66">(V55*AD55)/AE55</f>
        <v>0</v>
      </c>
      <c r="AY55" s="212">
        <f t="shared" ref="AY55:AY60" si="67">(W55*AD55)/AE55</f>
        <v>0</v>
      </c>
      <c r="AZ55" s="212">
        <f t="shared" ref="AZ55:AZ60" si="68">(X55*AD55)/AE55</f>
        <v>0</v>
      </c>
      <c r="BA55" s="212">
        <f t="shared" ref="BA55:BA60" si="69">(Y55*AD55)/AE55</f>
        <v>0</v>
      </c>
      <c r="BB55" s="213">
        <f t="shared" ref="BB55:BB60" si="70">(Z55*AB55)/AE55</f>
        <v>0</v>
      </c>
      <c r="BC55" s="213">
        <f t="shared" ref="BC55:BC57" si="71">(AA55*AD55)/AE55</f>
        <v>0</v>
      </c>
      <c r="BD55" s="212">
        <f t="shared" ref="BD55:BD57" si="72">(AB55*AD55)/AE55</f>
        <v>0</v>
      </c>
      <c r="BE55" s="201"/>
      <c r="BF55" s="201"/>
      <c r="BG55" s="201"/>
      <c r="BH55" s="201"/>
      <c r="BI55" s="201"/>
      <c r="BJ55" s="201"/>
      <c r="BK55" s="201"/>
      <c r="BL55" s="201"/>
    </row>
    <row r="56" spans="1:64" x14ac:dyDescent="0.2">
      <c r="A56" s="374"/>
      <c r="B56" s="374"/>
      <c r="C56" s="208" t="s">
        <v>267</v>
      </c>
      <c r="D56" s="376"/>
      <c r="E56" s="208"/>
      <c r="F56" s="208">
        <v>66.56</v>
      </c>
      <c r="G56" s="208"/>
      <c r="H56" s="208"/>
      <c r="I56" s="208"/>
      <c r="J56" s="208"/>
      <c r="K56" s="208"/>
      <c r="L56" s="208"/>
      <c r="M56" s="208"/>
      <c r="N56" s="208"/>
      <c r="O56" s="208"/>
      <c r="P56" s="208"/>
      <c r="Q56" s="208"/>
      <c r="R56" s="208"/>
      <c r="S56" s="208"/>
      <c r="T56" s="208"/>
      <c r="U56" s="208"/>
      <c r="V56" s="208"/>
      <c r="W56" s="208"/>
      <c r="X56" s="208"/>
      <c r="Y56" s="208"/>
      <c r="Z56" s="208"/>
      <c r="AA56" s="208"/>
      <c r="AB56" s="208"/>
      <c r="AC56" s="209" t="s">
        <v>246</v>
      </c>
      <c r="AD56" s="210">
        <f t="shared" si="48"/>
        <v>72</v>
      </c>
      <c r="AE56" s="211">
        <f>'1. SAn ABA DE CARREGAMENTO'!$B$90</f>
        <v>24</v>
      </c>
      <c r="AF56" s="376"/>
      <c r="AG56" s="212">
        <f t="shared" si="49"/>
        <v>0</v>
      </c>
      <c r="AH56" s="212">
        <f t="shared" si="50"/>
        <v>199.67999999999998</v>
      </c>
      <c r="AI56" s="212">
        <f t="shared" si="51"/>
        <v>0</v>
      </c>
      <c r="AJ56" s="212">
        <f t="shared" si="52"/>
        <v>0</v>
      </c>
      <c r="AK56" s="212">
        <f t="shared" si="53"/>
        <v>0</v>
      </c>
      <c r="AL56" s="213">
        <f t="shared" si="54"/>
        <v>0</v>
      </c>
      <c r="AM56" s="213">
        <f t="shared" si="55"/>
        <v>0</v>
      </c>
      <c r="AN56" s="212">
        <f t="shared" si="56"/>
        <v>0</v>
      </c>
      <c r="AO56" s="212">
        <f t="shared" si="57"/>
        <v>0</v>
      </c>
      <c r="AP56" s="213">
        <f t="shared" si="58"/>
        <v>0</v>
      </c>
      <c r="AQ56" s="213">
        <f t="shared" si="59"/>
        <v>0</v>
      </c>
      <c r="AR56" s="212">
        <f t="shared" si="60"/>
        <v>0</v>
      </c>
      <c r="AS56" s="212">
        <f t="shared" si="61"/>
        <v>0</v>
      </c>
      <c r="AT56" s="212">
        <f t="shared" si="62"/>
        <v>0</v>
      </c>
      <c r="AU56" s="212">
        <f t="shared" si="63"/>
        <v>0</v>
      </c>
      <c r="AV56" s="212">
        <f t="shared" si="64"/>
        <v>0</v>
      </c>
      <c r="AW56" s="212">
        <f t="shared" si="65"/>
        <v>0</v>
      </c>
      <c r="AX56" s="212">
        <f t="shared" si="66"/>
        <v>0</v>
      </c>
      <c r="AY56" s="212">
        <f t="shared" si="67"/>
        <v>0</v>
      </c>
      <c r="AZ56" s="212">
        <f t="shared" si="68"/>
        <v>0</v>
      </c>
      <c r="BA56" s="212">
        <f t="shared" si="69"/>
        <v>0</v>
      </c>
      <c r="BB56" s="213">
        <f t="shared" si="70"/>
        <v>0</v>
      </c>
      <c r="BC56" s="213">
        <f t="shared" si="71"/>
        <v>0</v>
      </c>
      <c r="BD56" s="212">
        <f t="shared" si="72"/>
        <v>0</v>
      </c>
      <c r="BE56" s="201"/>
      <c r="BF56" s="201"/>
      <c r="BG56" s="201"/>
      <c r="BH56" s="201"/>
      <c r="BI56" s="201"/>
      <c r="BJ56" s="201"/>
      <c r="BK56" s="201"/>
      <c r="BL56" s="201"/>
    </row>
    <row r="57" spans="1:64" ht="25.5" x14ac:dyDescent="0.2">
      <c r="A57" s="374"/>
      <c r="B57" s="374"/>
      <c r="C57" s="208" t="s">
        <v>268</v>
      </c>
      <c r="D57" s="376"/>
      <c r="E57" s="208"/>
      <c r="F57" s="208"/>
      <c r="G57" s="208"/>
      <c r="H57" s="208"/>
      <c r="I57" s="208"/>
      <c r="J57" s="208"/>
      <c r="K57" s="208"/>
      <c r="L57" s="208">
        <v>165</v>
      </c>
      <c r="M57" s="208"/>
      <c r="N57" s="208"/>
      <c r="O57" s="208"/>
      <c r="P57" s="208"/>
      <c r="Q57" s="208"/>
      <c r="R57" s="208"/>
      <c r="S57" s="208"/>
      <c r="T57" s="208"/>
      <c r="U57" s="208"/>
      <c r="V57" s="208"/>
      <c r="W57" s="208"/>
      <c r="X57" s="208"/>
      <c r="Y57" s="208"/>
      <c r="Z57" s="208"/>
      <c r="AA57" s="208"/>
      <c r="AB57" s="208"/>
      <c r="AC57" s="209" t="s">
        <v>245</v>
      </c>
      <c r="AD57" s="210">
        <f t="shared" si="48"/>
        <v>24</v>
      </c>
      <c r="AE57" s="211">
        <f>'1. SAn ABA DE CARREGAMENTO'!$B$90</f>
        <v>24</v>
      </c>
      <c r="AF57" s="376"/>
      <c r="AG57" s="212">
        <f t="shared" si="49"/>
        <v>0</v>
      </c>
      <c r="AH57" s="212">
        <f t="shared" si="50"/>
        <v>0</v>
      </c>
      <c r="AI57" s="212">
        <f t="shared" si="51"/>
        <v>0</v>
      </c>
      <c r="AJ57" s="212">
        <f t="shared" si="52"/>
        <v>0</v>
      </c>
      <c r="AK57" s="212">
        <f t="shared" si="53"/>
        <v>0</v>
      </c>
      <c r="AL57" s="213">
        <f t="shared" si="54"/>
        <v>0</v>
      </c>
      <c r="AM57" s="213">
        <f t="shared" si="55"/>
        <v>0</v>
      </c>
      <c r="AN57" s="212">
        <f t="shared" si="56"/>
        <v>165</v>
      </c>
      <c r="AO57" s="212">
        <f t="shared" si="57"/>
        <v>0</v>
      </c>
      <c r="AP57" s="213">
        <f t="shared" si="58"/>
        <v>0</v>
      </c>
      <c r="AQ57" s="213">
        <f t="shared" si="59"/>
        <v>0</v>
      </c>
      <c r="AR57" s="212">
        <f t="shared" si="60"/>
        <v>0</v>
      </c>
      <c r="AS57" s="212">
        <f t="shared" si="61"/>
        <v>0</v>
      </c>
      <c r="AT57" s="212">
        <f t="shared" si="62"/>
        <v>0</v>
      </c>
      <c r="AU57" s="212">
        <f t="shared" si="63"/>
        <v>0</v>
      </c>
      <c r="AV57" s="212">
        <f t="shared" si="64"/>
        <v>0</v>
      </c>
      <c r="AW57" s="212">
        <f t="shared" si="65"/>
        <v>0</v>
      </c>
      <c r="AX57" s="212">
        <f t="shared" si="66"/>
        <v>0</v>
      </c>
      <c r="AY57" s="212">
        <f t="shared" si="67"/>
        <v>0</v>
      </c>
      <c r="AZ57" s="212">
        <f t="shared" si="68"/>
        <v>0</v>
      </c>
      <c r="BA57" s="212">
        <f t="shared" si="69"/>
        <v>0</v>
      </c>
      <c r="BB57" s="213">
        <f t="shared" si="70"/>
        <v>0</v>
      </c>
      <c r="BC57" s="213">
        <f t="shared" si="71"/>
        <v>0</v>
      </c>
      <c r="BD57" s="212">
        <f t="shared" si="72"/>
        <v>0</v>
      </c>
      <c r="BE57" s="201"/>
      <c r="BF57" s="201"/>
      <c r="BG57" s="201"/>
      <c r="BH57" s="201"/>
      <c r="BI57" s="201"/>
      <c r="BJ57" s="201"/>
      <c r="BK57" s="201"/>
      <c r="BL57" s="201"/>
    </row>
    <row r="58" spans="1:64" ht="12.75" customHeight="1" x14ac:dyDescent="0.2">
      <c r="A58" s="374"/>
      <c r="B58" s="374"/>
      <c r="C58" s="208" t="s">
        <v>43</v>
      </c>
      <c r="D58" s="376"/>
      <c r="E58" s="208"/>
      <c r="F58" s="208"/>
      <c r="G58" s="208"/>
      <c r="H58" s="208"/>
      <c r="I58" s="208"/>
      <c r="J58" s="208"/>
      <c r="K58" s="208"/>
      <c r="L58" s="208"/>
      <c r="M58" s="208"/>
      <c r="N58" s="208"/>
      <c r="O58" s="208"/>
      <c r="P58" s="208"/>
      <c r="Q58" s="208"/>
      <c r="R58" s="208"/>
      <c r="S58" s="208"/>
      <c r="T58" s="208"/>
      <c r="U58" s="208"/>
      <c r="V58" s="208"/>
      <c r="W58" s="208"/>
      <c r="X58" s="208"/>
      <c r="Y58" s="208"/>
      <c r="Z58" s="208"/>
      <c r="AA58" s="208">
        <v>23.8</v>
      </c>
      <c r="AB58" s="208"/>
      <c r="AC58" s="209" t="s">
        <v>251</v>
      </c>
      <c r="AD58" s="210">
        <f t="shared" ref="AD58:AD60" si="73">IF(AC58="DIÁRIA",AE58,IF(AC58="2xDIA",(AE58*2),IF(AC58="3xDIA",(AE58*3),IF(AC58="4xDIA",(AE58*4),IF(AC58="5xDIA",(AE58*5),IF(AC58="6xDIA",(AE58*6),IF(AC58="SEMANAL",4.33,IF(AC58="2xSEMANA",8,IF(AC58="3xSEMANA",12,IF(AC58="QUINZENAL",2,IF(AC58="MENSAL",1,IF(AC58="BIMESTRAL",0.5,IF(AC58="TRIMESTRAL",0.33,IF(AC58="SEMESTRAL",0.17,0))))))))))))))</f>
        <v>4.33</v>
      </c>
      <c r="AE58" s="211">
        <f>'1. SAn ABA DE CARREGAMENTO'!$B$90</f>
        <v>24</v>
      </c>
      <c r="AF58" s="376"/>
      <c r="AG58" s="212">
        <f t="shared" ref="AG58:AG60" si="74">(E58*AD58)/AE58</f>
        <v>0</v>
      </c>
      <c r="AH58" s="212">
        <f t="shared" si="50"/>
        <v>0</v>
      </c>
      <c r="AI58" s="212">
        <f t="shared" si="51"/>
        <v>0</v>
      </c>
      <c r="AJ58" s="212">
        <f t="shared" si="52"/>
        <v>0</v>
      </c>
      <c r="AK58" s="212">
        <f t="shared" si="53"/>
        <v>0</v>
      </c>
      <c r="AL58" s="213">
        <f t="shared" ref="AL58:AL60" si="75">(J58*AD58)/AE58</f>
        <v>0</v>
      </c>
      <c r="AM58" s="213">
        <f t="shared" ref="AM58:AM60" si="76">(K58*AD58)/AE58</f>
        <v>0</v>
      </c>
      <c r="AN58" s="212">
        <f t="shared" si="56"/>
        <v>0</v>
      </c>
      <c r="AO58" s="212">
        <f t="shared" si="57"/>
        <v>0</v>
      </c>
      <c r="AP58" s="213">
        <f t="shared" ref="AP58:AP60" si="77">(N58*AD58)/AE58</f>
        <v>0</v>
      </c>
      <c r="AQ58" s="213">
        <f t="shared" ref="AQ58:AQ60" si="78">(O58*AD58)/AE58</f>
        <v>0</v>
      </c>
      <c r="AR58" s="212">
        <f t="shared" si="60"/>
        <v>0</v>
      </c>
      <c r="AS58" s="212">
        <f t="shared" si="61"/>
        <v>0</v>
      </c>
      <c r="AT58" s="212">
        <f t="shared" si="62"/>
        <v>0</v>
      </c>
      <c r="AU58" s="212">
        <f t="shared" si="63"/>
        <v>0</v>
      </c>
      <c r="AV58" s="212">
        <f t="shared" si="64"/>
        <v>0</v>
      </c>
      <c r="AW58" s="212">
        <f t="shared" si="65"/>
        <v>0</v>
      </c>
      <c r="AX58" s="212">
        <f t="shared" si="66"/>
        <v>0</v>
      </c>
      <c r="AY58" s="212">
        <f t="shared" si="67"/>
        <v>0</v>
      </c>
      <c r="AZ58" s="212">
        <f t="shared" si="68"/>
        <v>0</v>
      </c>
      <c r="BA58" s="212">
        <f t="shared" si="69"/>
        <v>0</v>
      </c>
      <c r="BB58" s="213">
        <f t="shared" si="70"/>
        <v>0</v>
      </c>
      <c r="BC58" s="213">
        <f t="shared" ref="BC58:BC60" si="79">(AA58*AB58)/AE58</f>
        <v>0</v>
      </c>
      <c r="BD58" s="212">
        <f>(AB58*AD58)/AE58</f>
        <v>0</v>
      </c>
      <c r="BE58" s="201"/>
      <c r="BF58" s="201"/>
      <c r="BG58" s="201"/>
      <c r="BH58" s="201"/>
      <c r="BI58" s="201"/>
      <c r="BJ58" s="201"/>
      <c r="BK58" s="201"/>
      <c r="BL58" s="201"/>
    </row>
    <row r="59" spans="1:64" ht="12.75" customHeight="1" x14ac:dyDescent="0.2">
      <c r="A59" s="374"/>
      <c r="B59" s="374"/>
      <c r="C59" s="208" t="s">
        <v>44</v>
      </c>
      <c r="D59" s="376"/>
      <c r="E59" s="208"/>
      <c r="F59" s="208"/>
      <c r="G59" s="208"/>
      <c r="H59" s="208"/>
      <c r="I59" s="208"/>
      <c r="J59" s="208"/>
      <c r="K59" s="208"/>
      <c r="L59" s="208"/>
      <c r="M59" s="208"/>
      <c r="N59" s="208"/>
      <c r="O59" s="208"/>
      <c r="P59" s="208"/>
      <c r="Q59" s="208"/>
      <c r="R59" s="208"/>
      <c r="S59" s="208"/>
      <c r="T59" s="208"/>
      <c r="U59" s="208"/>
      <c r="V59" s="208"/>
      <c r="W59" s="208"/>
      <c r="X59" s="208"/>
      <c r="Y59" s="208"/>
      <c r="Z59" s="208"/>
      <c r="AA59" s="208"/>
      <c r="AB59" s="208">
        <v>15.6</v>
      </c>
      <c r="AC59" s="209" t="s">
        <v>251</v>
      </c>
      <c r="AD59" s="210">
        <f t="shared" si="73"/>
        <v>4.33</v>
      </c>
      <c r="AE59" s="211">
        <f>'1. SAn ABA DE CARREGAMENTO'!$B$90</f>
        <v>24</v>
      </c>
      <c r="AF59" s="376"/>
      <c r="AG59" s="212">
        <f t="shared" si="74"/>
        <v>0</v>
      </c>
      <c r="AH59" s="212">
        <f t="shared" si="50"/>
        <v>0</v>
      </c>
      <c r="AI59" s="212">
        <f t="shared" si="51"/>
        <v>0</v>
      </c>
      <c r="AJ59" s="212">
        <f t="shared" si="52"/>
        <v>0</v>
      </c>
      <c r="AK59" s="212">
        <f t="shared" si="53"/>
        <v>0</v>
      </c>
      <c r="AL59" s="213">
        <f t="shared" si="75"/>
        <v>0</v>
      </c>
      <c r="AM59" s="213">
        <f t="shared" si="76"/>
        <v>0</v>
      </c>
      <c r="AN59" s="212">
        <f t="shared" si="56"/>
        <v>0</v>
      </c>
      <c r="AO59" s="212">
        <f t="shared" si="57"/>
        <v>0</v>
      </c>
      <c r="AP59" s="213">
        <f t="shared" si="77"/>
        <v>0</v>
      </c>
      <c r="AQ59" s="213">
        <f t="shared" si="78"/>
        <v>0</v>
      </c>
      <c r="AR59" s="212">
        <f t="shared" si="60"/>
        <v>0</v>
      </c>
      <c r="AS59" s="212">
        <f t="shared" si="61"/>
        <v>0</v>
      </c>
      <c r="AT59" s="212">
        <f t="shared" si="62"/>
        <v>0</v>
      </c>
      <c r="AU59" s="212">
        <f t="shared" si="63"/>
        <v>0</v>
      </c>
      <c r="AV59" s="212">
        <f t="shared" si="64"/>
        <v>0</v>
      </c>
      <c r="AW59" s="212">
        <f t="shared" si="65"/>
        <v>0</v>
      </c>
      <c r="AX59" s="212">
        <f t="shared" si="66"/>
        <v>0</v>
      </c>
      <c r="AY59" s="212">
        <f t="shared" si="67"/>
        <v>0</v>
      </c>
      <c r="AZ59" s="212">
        <f t="shared" si="68"/>
        <v>0</v>
      </c>
      <c r="BA59" s="212">
        <f t="shared" si="69"/>
        <v>0</v>
      </c>
      <c r="BB59" s="213">
        <f t="shared" si="70"/>
        <v>0</v>
      </c>
      <c r="BC59" s="213">
        <f t="shared" si="79"/>
        <v>0</v>
      </c>
      <c r="BD59" s="212">
        <f>(AB59*AD59)/AE59</f>
        <v>2.8145000000000002</v>
      </c>
      <c r="BE59" s="201"/>
      <c r="BF59" s="201"/>
      <c r="BG59" s="201"/>
      <c r="BH59" s="201"/>
      <c r="BI59" s="201"/>
      <c r="BJ59" s="201"/>
      <c r="BK59" s="201"/>
      <c r="BL59" s="201"/>
    </row>
    <row r="60" spans="1:64" ht="12.75" customHeight="1" x14ac:dyDescent="0.2">
      <c r="A60" s="374"/>
      <c r="B60" s="374"/>
      <c r="C60" s="208" t="s">
        <v>241</v>
      </c>
      <c r="D60" s="376"/>
      <c r="E60" s="208"/>
      <c r="F60" s="208"/>
      <c r="G60" s="208"/>
      <c r="H60" s="208"/>
      <c r="I60" s="208"/>
      <c r="J60" s="208"/>
      <c r="K60" s="208"/>
      <c r="L60" s="208"/>
      <c r="M60" s="208"/>
      <c r="N60" s="208"/>
      <c r="O60" s="208"/>
      <c r="P60" s="208"/>
      <c r="Q60" s="208"/>
      <c r="R60" s="208"/>
      <c r="S60" s="208"/>
      <c r="T60" s="208"/>
      <c r="U60" s="208"/>
      <c r="V60" s="208"/>
      <c r="W60" s="208"/>
      <c r="X60" s="208"/>
      <c r="Y60" s="208"/>
      <c r="Z60" s="208">
        <v>15.6</v>
      </c>
      <c r="AA60" s="208"/>
      <c r="AB60" s="208"/>
      <c r="AC60" s="209" t="s">
        <v>628</v>
      </c>
      <c r="AD60" s="210">
        <f t="shared" si="73"/>
        <v>144</v>
      </c>
      <c r="AE60" s="211">
        <f>'1. SAn ABA DE CARREGAMENTO'!$B$90</f>
        <v>24</v>
      </c>
      <c r="AF60" s="376"/>
      <c r="AG60" s="212">
        <f t="shared" si="74"/>
        <v>0</v>
      </c>
      <c r="AH60" s="212">
        <f t="shared" si="50"/>
        <v>0</v>
      </c>
      <c r="AI60" s="212">
        <f t="shared" si="51"/>
        <v>0</v>
      </c>
      <c r="AJ60" s="212">
        <f t="shared" si="52"/>
        <v>0</v>
      </c>
      <c r="AK60" s="212">
        <f t="shared" si="53"/>
        <v>0</v>
      </c>
      <c r="AL60" s="213">
        <f t="shared" si="75"/>
        <v>0</v>
      </c>
      <c r="AM60" s="213">
        <f t="shared" si="76"/>
        <v>0</v>
      </c>
      <c r="AN60" s="212">
        <f t="shared" si="56"/>
        <v>0</v>
      </c>
      <c r="AO60" s="212">
        <f t="shared" si="57"/>
        <v>0</v>
      </c>
      <c r="AP60" s="213">
        <f t="shared" si="77"/>
        <v>0</v>
      </c>
      <c r="AQ60" s="213">
        <f t="shared" si="78"/>
        <v>0</v>
      </c>
      <c r="AR60" s="212">
        <f t="shared" si="60"/>
        <v>0</v>
      </c>
      <c r="AS60" s="212">
        <f t="shared" si="61"/>
        <v>0</v>
      </c>
      <c r="AT60" s="212">
        <f t="shared" si="62"/>
        <v>0</v>
      </c>
      <c r="AU60" s="212">
        <f t="shared" si="63"/>
        <v>0</v>
      </c>
      <c r="AV60" s="212">
        <f t="shared" si="64"/>
        <v>0</v>
      </c>
      <c r="AW60" s="212">
        <f t="shared" si="65"/>
        <v>0</v>
      </c>
      <c r="AX60" s="212">
        <f t="shared" si="66"/>
        <v>0</v>
      </c>
      <c r="AY60" s="212">
        <f t="shared" si="67"/>
        <v>0</v>
      </c>
      <c r="AZ60" s="212">
        <f t="shared" si="68"/>
        <v>0</v>
      </c>
      <c r="BA60" s="212">
        <f t="shared" si="69"/>
        <v>0</v>
      </c>
      <c r="BB60" s="213">
        <f t="shared" si="70"/>
        <v>0</v>
      </c>
      <c r="BC60" s="213">
        <f t="shared" si="79"/>
        <v>0</v>
      </c>
      <c r="BD60" s="212">
        <f>(AB60*AD60)/AE60</f>
        <v>0</v>
      </c>
      <c r="BE60" s="201"/>
      <c r="BF60" s="201"/>
      <c r="BG60" s="201"/>
      <c r="BH60" s="201"/>
      <c r="BI60" s="201"/>
      <c r="BJ60" s="201"/>
      <c r="BK60" s="201"/>
      <c r="BL60" s="201"/>
    </row>
    <row r="61" spans="1:64" ht="12.75" customHeight="1" x14ac:dyDescent="0.2">
      <c r="A61" s="377" t="s">
        <v>202</v>
      </c>
      <c r="B61" s="377"/>
      <c r="C61" s="377"/>
      <c r="D61" s="223">
        <f t="shared" ref="D61:I61" si="80">SUM(D8:D60)</f>
        <v>8615.59</v>
      </c>
      <c r="E61" s="223">
        <f t="shared" si="80"/>
        <v>0</v>
      </c>
      <c r="F61" s="223">
        <f t="shared" si="80"/>
        <v>3011.9</v>
      </c>
      <c r="G61" s="223">
        <f t="shared" si="80"/>
        <v>0</v>
      </c>
      <c r="H61" s="223">
        <f t="shared" si="80"/>
        <v>20.11</v>
      </c>
      <c r="I61" s="223">
        <f t="shared" si="80"/>
        <v>0</v>
      </c>
      <c r="J61" s="223"/>
      <c r="K61" s="223"/>
      <c r="L61" s="223">
        <f t="shared" ref="L61:Y61" si="81">SUM(L8:L60)</f>
        <v>1248.5100000000002</v>
      </c>
      <c r="M61" s="223">
        <f t="shared" si="81"/>
        <v>0</v>
      </c>
      <c r="N61" s="223">
        <f t="shared" si="81"/>
        <v>0</v>
      </c>
      <c r="O61" s="223">
        <f t="shared" si="81"/>
        <v>0</v>
      </c>
      <c r="P61" s="223">
        <f t="shared" si="81"/>
        <v>538</v>
      </c>
      <c r="Q61" s="223">
        <f t="shared" si="81"/>
        <v>0</v>
      </c>
      <c r="R61" s="223">
        <f t="shared" si="81"/>
        <v>0</v>
      </c>
      <c r="S61" s="223">
        <f t="shared" si="81"/>
        <v>0</v>
      </c>
      <c r="T61" s="223">
        <f t="shared" si="81"/>
        <v>0</v>
      </c>
      <c r="U61" s="223">
        <f t="shared" si="81"/>
        <v>465.03999999999996</v>
      </c>
      <c r="V61" s="223">
        <f t="shared" si="81"/>
        <v>507.76000000000005</v>
      </c>
      <c r="W61" s="223">
        <f t="shared" si="81"/>
        <v>728.54000000000008</v>
      </c>
      <c r="X61" s="223">
        <f t="shared" si="81"/>
        <v>456.36</v>
      </c>
      <c r="Y61" s="223">
        <f t="shared" si="81"/>
        <v>100.79</v>
      </c>
      <c r="Z61" s="223"/>
      <c r="AA61" s="223"/>
      <c r="AB61" s="223">
        <f t="shared" ref="AB61:BD61" si="82">SUM(AB8:AB60)</f>
        <v>335.22</v>
      </c>
      <c r="AC61" s="223">
        <f t="shared" si="82"/>
        <v>0</v>
      </c>
      <c r="AD61" s="223">
        <f t="shared" si="82"/>
        <v>1957.6399999999999</v>
      </c>
      <c r="AE61" s="223">
        <f t="shared" si="82"/>
        <v>1272</v>
      </c>
      <c r="AF61" s="223">
        <f t="shared" si="82"/>
        <v>13286.671008333335</v>
      </c>
      <c r="AG61" s="223">
        <f t="shared" si="82"/>
        <v>0</v>
      </c>
      <c r="AH61" s="223">
        <f t="shared" si="82"/>
        <v>7033.02</v>
      </c>
      <c r="AI61" s="223">
        <f t="shared" si="82"/>
        <v>0</v>
      </c>
      <c r="AJ61" s="223">
        <f t="shared" si="82"/>
        <v>20.11</v>
      </c>
      <c r="AK61" s="223">
        <f t="shared" si="82"/>
        <v>0</v>
      </c>
      <c r="AL61" s="223">
        <f t="shared" si="82"/>
        <v>0</v>
      </c>
      <c r="AM61" s="223">
        <f t="shared" si="82"/>
        <v>0</v>
      </c>
      <c r="AN61" s="223">
        <f t="shared" si="82"/>
        <v>3356.8600000000006</v>
      </c>
      <c r="AO61" s="223">
        <f t="shared" si="82"/>
        <v>0</v>
      </c>
      <c r="AP61" s="223">
        <f t="shared" si="82"/>
        <v>0</v>
      </c>
      <c r="AQ61" s="223">
        <f t="shared" si="82"/>
        <v>0</v>
      </c>
      <c r="AR61" s="223">
        <f t="shared" si="82"/>
        <v>538</v>
      </c>
      <c r="AS61" s="223">
        <f t="shared" si="82"/>
        <v>0</v>
      </c>
      <c r="AT61" s="223">
        <f t="shared" si="82"/>
        <v>0</v>
      </c>
      <c r="AU61" s="223">
        <f t="shared" si="82"/>
        <v>0</v>
      </c>
      <c r="AV61" s="223">
        <f t="shared" si="82"/>
        <v>0</v>
      </c>
      <c r="AW61" s="223">
        <f t="shared" si="82"/>
        <v>3.2940333333333336</v>
      </c>
      <c r="AX61" s="223">
        <f t="shared" si="82"/>
        <v>43.441545833333336</v>
      </c>
      <c r="AY61" s="223">
        <f t="shared" si="82"/>
        <v>238.37377916666671</v>
      </c>
      <c r="AZ61" s="223">
        <f t="shared" si="82"/>
        <v>77.676275000000004</v>
      </c>
      <c r="BA61" s="223">
        <f t="shared" si="82"/>
        <v>302.37</v>
      </c>
      <c r="BB61" s="223">
        <f t="shared" si="82"/>
        <v>1460.76</v>
      </c>
      <c r="BC61" s="223">
        <f t="shared" si="82"/>
        <v>152.2861</v>
      </c>
      <c r="BD61" s="223">
        <f t="shared" si="82"/>
        <v>60.479275000000008</v>
      </c>
      <c r="BE61" s="201"/>
      <c r="BF61" s="201"/>
      <c r="BG61" s="201"/>
      <c r="BH61" s="201"/>
      <c r="BI61" s="201"/>
      <c r="BJ61" s="201"/>
      <c r="BK61" s="201"/>
      <c r="BL61" s="201"/>
    </row>
    <row r="62" spans="1:64" ht="12.75" customHeight="1" x14ac:dyDescent="0.2"/>
    <row r="63" spans="1:64" ht="12.75" customHeight="1" x14ac:dyDescent="0.2"/>
    <row r="64" spans="1: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sheetData>
  <sheetProtection selectLockedCells="1" selectUnlockedCells="1"/>
  <mergeCells count="51">
    <mergeCell ref="A1:D4"/>
    <mergeCell ref="E1:S4"/>
    <mergeCell ref="T1:AB4"/>
    <mergeCell ref="AC1:AK4"/>
    <mergeCell ref="AN1:BD4"/>
    <mergeCell ref="A5:A7"/>
    <mergeCell ref="B5:B7"/>
    <mergeCell ref="C5:C7"/>
    <mergeCell ref="D5:D7"/>
    <mergeCell ref="E5:AB5"/>
    <mergeCell ref="AC5:AC7"/>
    <mergeCell ref="AD5:AD7"/>
    <mergeCell ref="AE5:AE7"/>
    <mergeCell ref="AG5:BD5"/>
    <mergeCell ref="E6:L6"/>
    <mergeCell ref="M6:T6"/>
    <mergeCell ref="U6:W6"/>
    <mergeCell ref="Z6:AB6"/>
    <mergeCell ref="AG6:AN6"/>
    <mergeCell ref="AO6:AV6"/>
    <mergeCell ref="AW6:AY6"/>
    <mergeCell ref="BB6:BD6"/>
    <mergeCell ref="A8:A15"/>
    <mergeCell ref="B8:B15"/>
    <mergeCell ref="D8:D15"/>
    <mergeCell ref="AF8:AF15"/>
    <mergeCell ref="A16:A22"/>
    <mergeCell ref="B16:B22"/>
    <mergeCell ref="D16:D22"/>
    <mergeCell ref="AF16:AF22"/>
    <mergeCell ref="A23:A30"/>
    <mergeCell ref="B23:B30"/>
    <mergeCell ref="D23:D30"/>
    <mergeCell ref="AF23:AF30"/>
    <mergeCell ref="A31:A39"/>
    <mergeCell ref="B31:B39"/>
    <mergeCell ref="D31:D39"/>
    <mergeCell ref="AF31:AF39"/>
    <mergeCell ref="A40:A46"/>
    <mergeCell ref="B40:B46"/>
    <mergeCell ref="D40:D46"/>
    <mergeCell ref="AF40:AF46"/>
    <mergeCell ref="A47:A53"/>
    <mergeCell ref="B47:B53"/>
    <mergeCell ref="D47:D53"/>
    <mergeCell ref="AF47:AF53"/>
    <mergeCell ref="A55:A60"/>
    <mergeCell ref="B55:B60"/>
    <mergeCell ref="D55:D60"/>
    <mergeCell ref="AF55:AF60"/>
    <mergeCell ref="A61:C61"/>
  </mergeCells>
  <dataValidations count="1">
    <dataValidation type="list" allowBlank="1" showInputMessage="1" showErrorMessage="1" prompt=" - " sqref="AC8:AC60">
      <formula1>"DIÁRIA,2xDIA,3xDIA,4xDIA,5xDIA,6xDIA,SEMANAL,2xSEMANA,3xSEMANA,QUINZENAL,MENSAL,BIMESTRAL,TRIMESTRAL,SEMESTRAL"</formula1>
      <formula2>0</formula2>
    </dataValidation>
  </dataValidations>
  <printOptions horizontalCentered="1" verticalCentered="1"/>
  <pageMargins left="0" right="0" top="0.39370078740157483" bottom="0" header="0" footer="0.51181102362204722"/>
  <pageSetup paperSize="9" scale="24" firstPageNumber="0" orientation="landscape" r:id="rId1"/>
  <headerFooter>
    <oddHeader>&amp;R&amp;P de &amp;N</oddHeader>
    <oddFooter>&amp;L&amp;F - &amp;A&amp;CPágina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1006"/>
  <sheetViews>
    <sheetView showGridLines="0" zoomScale="85" zoomScaleNormal="85" workbookViewId="0">
      <selection activeCell="A63" sqref="A63:B63"/>
    </sheetView>
  </sheetViews>
  <sheetFormatPr defaultRowHeight="14.25" x14ac:dyDescent="0.2"/>
  <cols>
    <col min="1" max="1" width="26.140625" style="51" customWidth="1"/>
    <col min="2" max="2" width="22.5703125" style="51" customWidth="1"/>
    <col min="3" max="3" width="17" style="51" customWidth="1"/>
    <col min="4" max="4" width="21" style="51" customWidth="1"/>
    <col min="5" max="5" width="17.5703125" style="51" customWidth="1"/>
    <col min="6" max="6" width="16.42578125" style="51" customWidth="1"/>
    <col min="7" max="7" width="16.28515625" style="51" customWidth="1"/>
    <col min="8" max="8" width="17.28515625" style="51" customWidth="1"/>
    <col min="9" max="9" width="5.85546875" style="51" customWidth="1"/>
    <col min="10" max="10" width="17.5703125" style="51" customWidth="1"/>
    <col min="11" max="11" width="4.7109375" style="51" customWidth="1"/>
    <col min="12" max="12" width="8.140625" style="51" customWidth="1"/>
    <col min="13" max="13" width="4.42578125" style="51" customWidth="1"/>
    <col min="14" max="14" width="15.5703125" style="51" customWidth="1"/>
    <col min="15" max="15" width="16.85546875" style="51" customWidth="1"/>
    <col min="16" max="16" width="9.5703125" style="51" customWidth="1"/>
    <col min="17" max="17" width="11.7109375" style="51" customWidth="1"/>
    <col min="18" max="19" width="9.140625" style="51" customWidth="1"/>
    <col min="20" max="26" width="8" style="51" customWidth="1"/>
    <col min="27" max="1025" width="14.42578125" style="51" customWidth="1"/>
    <col min="1026" max="16384" width="9.140625" style="51"/>
  </cols>
  <sheetData>
    <row r="1" spans="1:26" ht="15" x14ac:dyDescent="0.2">
      <c r="A1" s="402" t="s">
        <v>0</v>
      </c>
      <c r="B1" s="402"/>
      <c r="C1" s="402"/>
      <c r="D1" s="402"/>
      <c r="E1" s="402"/>
      <c r="F1" s="402"/>
      <c r="G1" s="402"/>
      <c r="H1" s="402"/>
      <c r="I1" s="402"/>
      <c r="J1" s="402"/>
      <c r="K1" s="402"/>
      <c r="L1" s="402"/>
      <c r="M1" s="402"/>
      <c r="N1" s="402"/>
      <c r="O1" s="402"/>
      <c r="P1" s="402"/>
      <c r="Q1" s="119"/>
      <c r="R1" s="119"/>
      <c r="S1" s="119"/>
      <c r="T1" s="119"/>
      <c r="U1" s="119"/>
      <c r="V1" s="119"/>
      <c r="W1" s="119"/>
      <c r="X1" s="119"/>
      <c r="Y1" s="119"/>
      <c r="Z1" s="119"/>
    </row>
    <row r="2" spans="1:26" ht="15" x14ac:dyDescent="0.2">
      <c r="A2" s="402" t="s">
        <v>1</v>
      </c>
      <c r="B2" s="402"/>
      <c r="C2" s="402"/>
      <c r="D2" s="402"/>
      <c r="E2" s="402"/>
      <c r="F2" s="402"/>
      <c r="G2" s="402"/>
      <c r="H2" s="402"/>
      <c r="I2" s="402"/>
      <c r="J2" s="402"/>
      <c r="K2" s="402"/>
      <c r="L2" s="402"/>
      <c r="M2" s="402"/>
      <c r="N2" s="402"/>
      <c r="O2" s="402"/>
      <c r="P2" s="402"/>
      <c r="Q2" s="119"/>
      <c r="R2" s="119"/>
      <c r="S2" s="119"/>
      <c r="T2" s="119"/>
      <c r="U2" s="119"/>
      <c r="V2" s="119"/>
      <c r="W2" s="119"/>
      <c r="X2" s="119"/>
      <c r="Y2" s="119"/>
      <c r="Z2" s="119"/>
    </row>
    <row r="3" spans="1:26" ht="15" x14ac:dyDescent="0.2">
      <c r="A3" s="402" t="s">
        <v>2</v>
      </c>
      <c r="B3" s="402"/>
      <c r="C3" s="402"/>
      <c r="D3" s="402"/>
      <c r="E3" s="402"/>
      <c r="F3" s="402"/>
      <c r="G3" s="402"/>
      <c r="H3" s="402"/>
      <c r="I3" s="402"/>
      <c r="J3" s="402"/>
      <c r="K3" s="402"/>
      <c r="L3" s="402"/>
      <c r="M3" s="402"/>
      <c r="N3" s="402"/>
      <c r="O3" s="402"/>
      <c r="P3" s="402"/>
      <c r="Q3" s="119"/>
      <c r="R3" s="119"/>
      <c r="S3" s="119"/>
      <c r="T3" s="119"/>
      <c r="U3" s="119"/>
      <c r="V3" s="119"/>
      <c r="W3" s="119"/>
      <c r="X3" s="119"/>
      <c r="Y3" s="119"/>
      <c r="Z3" s="119"/>
    </row>
    <row r="4" spans="1:26" ht="15" x14ac:dyDescent="0.2">
      <c r="A4" s="403" t="str">
        <f>'1. SAn ABA DE CARREGAMENTO'!A4</f>
        <v>CAMPUS SANTO ÂNGELO</v>
      </c>
      <c r="B4" s="403"/>
      <c r="C4" s="403"/>
      <c r="D4" s="403"/>
      <c r="E4" s="403"/>
      <c r="F4" s="403"/>
      <c r="G4" s="403"/>
      <c r="H4" s="403"/>
      <c r="I4" s="403"/>
      <c r="J4" s="403"/>
      <c r="K4" s="403"/>
      <c r="L4" s="403"/>
      <c r="M4" s="403"/>
      <c r="N4" s="403"/>
      <c r="O4" s="403"/>
      <c r="P4" s="403"/>
      <c r="Q4" s="119"/>
      <c r="R4" s="119"/>
      <c r="S4" s="119"/>
      <c r="T4" s="119"/>
      <c r="U4" s="119"/>
      <c r="V4" s="119"/>
      <c r="W4" s="119"/>
      <c r="X4" s="119"/>
      <c r="Y4" s="119"/>
      <c r="Z4" s="119"/>
    </row>
    <row r="5" spans="1:26" ht="20.25" customHeight="1" x14ac:dyDescent="0.2">
      <c r="A5" s="404" t="s">
        <v>269</v>
      </c>
      <c r="B5" s="404"/>
      <c r="C5" s="404"/>
      <c r="D5" s="404"/>
      <c r="E5" s="404"/>
      <c r="F5" s="404"/>
      <c r="G5" s="404"/>
      <c r="H5" s="404"/>
      <c r="I5" s="404"/>
      <c r="J5" s="404"/>
      <c r="K5" s="404"/>
      <c r="L5" s="404"/>
      <c r="M5" s="404"/>
      <c r="N5" s="404"/>
      <c r="O5" s="404"/>
      <c r="P5" s="404"/>
      <c r="Q5" s="119"/>
      <c r="R5" s="119"/>
      <c r="S5" s="119"/>
      <c r="T5" s="119"/>
      <c r="U5" s="119"/>
      <c r="V5" s="119"/>
      <c r="W5" s="119"/>
      <c r="X5" s="119"/>
      <c r="Y5" s="119"/>
      <c r="Z5" s="119"/>
    </row>
    <row r="6" spans="1:26" ht="15" x14ac:dyDescent="0.2">
      <c r="A6" s="136"/>
      <c r="B6" s="136"/>
      <c r="C6" s="136"/>
      <c r="D6" s="136"/>
      <c r="E6" s="136"/>
      <c r="F6" s="136"/>
      <c r="G6" s="136"/>
      <c r="H6" s="136"/>
      <c r="I6" s="136"/>
      <c r="J6" s="136"/>
      <c r="K6" s="136"/>
      <c r="L6" s="136"/>
      <c r="M6" s="136"/>
      <c r="N6" s="136"/>
      <c r="O6" s="136"/>
      <c r="P6" s="136"/>
      <c r="Q6" s="171"/>
      <c r="R6" s="171"/>
      <c r="S6" s="171"/>
      <c r="T6" s="171"/>
      <c r="U6" s="171"/>
      <c r="V6" s="171"/>
      <c r="W6" s="171"/>
      <c r="X6" s="171"/>
      <c r="Y6" s="171"/>
      <c r="Z6" s="171"/>
    </row>
    <row r="7" spans="1:26" ht="120" customHeight="1" x14ac:dyDescent="0.2">
      <c r="A7" s="20" t="s">
        <v>20</v>
      </c>
      <c r="B7" s="20" t="s">
        <v>21</v>
      </c>
      <c r="C7" s="20" t="s">
        <v>688</v>
      </c>
      <c r="D7" s="20" t="s">
        <v>677</v>
      </c>
      <c r="E7" s="20" t="s">
        <v>270</v>
      </c>
      <c r="F7" s="20" t="s">
        <v>271</v>
      </c>
      <c r="G7" s="20" t="s">
        <v>272</v>
      </c>
      <c r="H7" s="20" t="s">
        <v>273</v>
      </c>
      <c r="I7" s="392" t="s">
        <v>274</v>
      </c>
      <c r="J7" s="392"/>
      <c r="K7" s="392"/>
      <c r="L7" s="392"/>
      <c r="M7" s="392"/>
      <c r="N7" s="392"/>
      <c r="O7" s="392"/>
      <c r="P7" s="392"/>
      <c r="Q7" s="119"/>
      <c r="R7" s="119"/>
      <c r="S7" s="119"/>
      <c r="T7" s="119"/>
      <c r="U7" s="119"/>
      <c r="V7" s="119"/>
      <c r="W7" s="119"/>
      <c r="X7" s="119"/>
      <c r="Y7" s="119"/>
      <c r="Z7" s="119"/>
    </row>
    <row r="8" spans="1:26" ht="42.75" x14ac:dyDescent="0.2">
      <c r="A8" s="396" t="s">
        <v>22</v>
      </c>
      <c r="B8" s="172" t="s">
        <v>23</v>
      </c>
      <c r="C8" s="133">
        <f>'1. SAn ABA DE CARREGAMENTO'!$C$22</f>
        <v>1200</v>
      </c>
      <c r="D8" s="173">
        <f>'3. SAn Área'!AG61</f>
        <v>0</v>
      </c>
      <c r="E8" s="174">
        <f t="shared" ref="E8:E24" si="0">D8/C8</f>
        <v>0</v>
      </c>
      <c r="F8" s="165">
        <f t="shared" ref="F8:F25" si="1">TRUNC(E8,0)</f>
        <v>0</v>
      </c>
      <c r="G8" s="174">
        <f t="shared" ref="G8:G25" si="2">E8-F8</f>
        <v>0</v>
      </c>
      <c r="H8" s="174">
        <f t="shared" ref="H8:H25" si="3">G8*$C$27*60</f>
        <v>0</v>
      </c>
      <c r="I8" s="143">
        <f t="shared" ref="I8:I25" si="4">F8</f>
        <v>0</v>
      </c>
      <c r="J8" s="175" t="s">
        <v>275</v>
      </c>
      <c r="K8" s="143">
        <f t="shared" ref="K8:K23" si="5">$C$31</f>
        <v>0</v>
      </c>
      <c r="L8" s="175" t="s">
        <v>276</v>
      </c>
      <c r="M8" s="143">
        <v>1</v>
      </c>
      <c r="N8" s="175" t="s">
        <v>277</v>
      </c>
      <c r="O8" s="145">
        <f t="shared" ref="O8:O25" si="6">H8</f>
        <v>0</v>
      </c>
      <c r="P8" s="175" t="s">
        <v>278</v>
      </c>
      <c r="R8" s="176"/>
    </row>
    <row r="9" spans="1:26" ht="38.25" customHeight="1" x14ac:dyDescent="0.2">
      <c r="A9" s="396"/>
      <c r="B9" s="172" t="s">
        <v>24</v>
      </c>
      <c r="C9" s="133">
        <f>'1. SAn ABA DE CARREGAMENTO'!$C$23</f>
        <v>1200</v>
      </c>
      <c r="D9" s="173">
        <f>'3. SAn Área'!AH61</f>
        <v>7033.02</v>
      </c>
      <c r="E9" s="174">
        <f t="shared" si="0"/>
        <v>5.8608500000000001</v>
      </c>
      <c r="F9" s="165">
        <f t="shared" si="1"/>
        <v>5</v>
      </c>
      <c r="G9" s="174">
        <f t="shared" si="2"/>
        <v>0.86085000000000012</v>
      </c>
      <c r="H9" s="174">
        <f t="shared" si="3"/>
        <v>413.20800000000008</v>
      </c>
      <c r="I9" s="143">
        <f t="shared" si="4"/>
        <v>5</v>
      </c>
      <c r="J9" s="175" t="s">
        <v>275</v>
      </c>
      <c r="K9" s="143">
        <f t="shared" si="5"/>
        <v>0</v>
      </c>
      <c r="L9" s="175" t="s">
        <v>276</v>
      </c>
      <c r="M9" s="143">
        <v>1</v>
      </c>
      <c r="N9" s="175" t="s">
        <v>277</v>
      </c>
      <c r="O9" s="145">
        <f t="shared" si="6"/>
        <v>413.20800000000008</v>
      </c>
      <c r="P9" s="175" t="s">
        <v>278</v>
      </c>
    </row>
    <row r="10" spans="1:26" ht="38.25" customHeight="1" x14ac:dyDescent="0.2">
      <c r="A10" s="396"/>
      <c r="B10" s="172" t="s">
        <v>25</v>
      </c>
      <c r="C10" s="133">
        <f>'1. SAn ABA DE CARREGAMENTO'!$C$24</f>
        <v>450</v>
      </c>
      <c r="D10" s="173">
        <f>'3. SAn Área'!AI61</f>
        <v>0</v>
      </c>
      <c r="E10" s="174">
        <f t="shared" si="0"/>
        <v>0</v>
      </c>
      <c r="F10" s="165">
        <f t="shared" si="1"/>
        <v>0</v>
      </c>
      <c r="G10" s="174">
        <f t="shared" si="2"/>
        <v>0</v>
      </c>
      <c r="H10" s="174">
        <f t="shared" si="3"/>
        <v>0</v>
      </c>
      <c r="I10" s="143">
        <f t="shared" si="4"/>
        <v>0</v>
      </c>
      <c r="J10" s="175" t="s">
        <v>275</v>
      </c>
      <c r="K10" s="143">
        <f t="shared" si="5"/>
        <v>0</v>
      </c>
      <c r="L10" s="175" t="s">
        <v>276</v>
      </c>
      <c r="M10" s="143">
        <v>1</v>
      </c>
      <c r="N10" s="175" t="s">
        <v>277</v>
      </c>
      <c r="O10" s="145">
        <f t="shared" si="6"/>
        <v>0</v>
      </c>
      <c r="P10" s="175" t="s">
        <v>278</v>
      </c>
    </row>
    <row r="11" spans="1:26" ht="38.25" customHeight="1" x14ac:dyDescent="0.2">
      <c r="A11" s="396"/>
      <c r="B11" s="172" t="s">
        <v>26</v>
      </c>
      <c r="C11" s="133">
        <f>'1. SAn ABA DE CARREGAMENTO'!$C$25</f>
        <v>2500</v>
      </c>
      <c r="D11" s="173">
        <f>'3. SAn Área'!AJ61</f>
        <v>20.11</v>
      </c>
      <c r="E11" s="174">
        <f t="shared" si="0"/>
        <v>8.0439999999999991E-3</v>
      </c>
      <c r="F11" s="165">
        <f t="shared" si="1"/>
        <v>0</v>
      </c>
      <c r="G11" s="174">
        <f t="shared" si="2"/>
        <v>8.0439999999999991E-3</v>
      </c>
      <c r="H11" s="174">
        <f t="shared" si="3"/>
        <v>3.8611199999999997</v>
      </c>
      <c r="I11" s="143">
        <f t="shared" si="4"/>
        <v>0</v>
      </c>
      <c r="J11" s="175" t="s">
        <v>275</v>
      </c>
      <c r="K11" s="143">
        <f t="shared" si="5"/>
        <v>0</v>
      </c>
      <c r="L11" s="175" t="s">
        <v>276</v>
      </c>
      <c r="M11" s="143">
        <v>1</v>
      </c>
      <c r="N11" s="175" t="s">
        <v>277</v>
      </c>
      <c r="O11" s="145">
        <f t="shared" si="6"/>
        <v>3.8611199999999997</v>
      </c>
      <c r="P11" s="175" t="s">
        <v>278</v>
      </c>
    </row>
    <row r="12" spans="1:26" ht="38.25" customHeight="1" x14ac:dyDescent="0.2">
      <c r="A12" s="396"/>
      <c r="B12" s="172" t="s">
        <v>27</v>
      </c>
      <c r="C12" s="133">
        <f>'1. SAn ABA DE CARREGAMENTO'!$C$26</f>
        <v>1800</v>
      </c>
      <c r="D12" s="173">
        <f>'3. SAn Área'!AK61</f>
        <v>0</v>
      </c>
      <c r="E12" s="174">
        <f t="shared" si="0"/>
        <v>0</v>
      </c>
      <c r="F12" s="165">
        <f t="shared" si="1"/>
        <v>0</v>
      </c>
      <c r="G12" s="174">
        <f t="shared" si="2"/>
        <v>0</v>
      </c>
      <c r="H12" s="175">
        <f t="shared" si="3"/>
        <v>0</v>
      </c>
      <c r="I12" s="143">
        <f t="shared" si="4"/>
        <v>0</v>
      </c>
      <c r="J12" s="175" t="s">
        <v>275</v>
      </c>
      <c r="K12" s="143">
        <f t="shared" si="5"/>
        <v>0</v>
      </c>
      <c r="L12" s="175" t="s">
        <v>276</v>
      </c>
      <c r="M12" s="143">
        <v>1</v>
      </c>
      <c r="N12" s="175" t="s">
        <v>277</v>
      </c>
      <c r="O12" s="143">
        <f t="shared" si="6"/>
        <v>0</v>
      </c>
      <c r="P12" s="175" t="s">
        <v>278</v>
      </c>
    </row>
    <row r="13" spans="1:26" ht="38.25" customHeight="1" x14ac:dyDescent="0.2">
      <c r="A13" s="396"/>
      <c r="B13" s="172" t="s">
        <v>279</v>
      </c>
      <c r="C13" s="133">
        <f>'1. SAn ABA DE CARREGAMENTO'!$C$27</f>
        <v>1500</v>
      </c>
      <c r="D13" s="173">
        <f>'3. SAn Área'!AN61</f>
        <v>3356.8600000000006</v>
      </c>
      <c r="E13" s="174">
        <f t="shared" si="0"/>
        <v>2.2379066666666669</v>
      </c>
      <c r="F13" s="165">
        <f t="shared" si="1"/>
        <v>2</v>
      </c>
      <c r="G13" s="174">
        <f t="shared" si="2"/>
        <v>0.23790666666666693</v>
      </c>
      <c r="H13" s="174">
        <f t="shared" si="3"/>
        <v>114.19520000000013</v>
      </c>
      <c r="I13" s="143">
        <f t="shared" si="4"/>
        <v>2</v>
      </c>
      <c r="J13" s="175" t="s">
        <v>275</v>
      </c>
      <c r="K13" s="143">
        <f t="shared" si="5"/>
        <v>0</v>
      </c>
      <c r="L13" s="175" t="s">
        <v>276</v>
      </c>
      <c r="M13" s="143">
        <v>1</v>
      </c>
      <c r="N13" s="175" t="s">
        <v>277</v>
      </c>
      <c r="O13" s="145">
        <f t="shared" si="6"/>
        <v>114.19520000000013</v>
      </c>
      <c r="P13" s="175" t="s">
        <v>278</v>
      </c>
    </row>
    <row r="14" spans="1:26" ht="38.25" hidden="1" customHeight="1" x14ac:dyDescent="0.2">
      <c r="A14" s="396"/>
      <c r="B14" s="172" t="s">
        <v>228</v>
      </c>
      <c r="C14" s="133">
        <f>'1. SAn ABA DE CARREGAMENTO'!C29</f>
        <v>800</v>
      </c>
      <c r="D14" s="173">
        <f>'3. SAn Área'!AL61</f>
        <v>0</v>
      </c>
      <c r="E14" s="174">
        <f t="shared" si="0"/>
        <v>0</v>
      </c>
      <c r="F14" s="165">
        <f t="shared" si="1"/>
        <v>0</v>
      </c>
      <c r="G14" s="174">
        <f t="shared" si="2"/>
        <v>0</v>
      </c>
      <c r="H14" s="174">
        <f t="shared" si="3"/>
        <v>0</v>
      </c>
      <c r="I14" s="143">
        <f t="shared" si="4"/>
        <v>0</v>
      </c>
      <c r="J14" s="175" t="s">
        <v>275</v>
      </c>
      <c r="K14" s="143">
        <f t="shared" si="5"/>
        <v>0</v>
      </c>
      <c r="L14" s="175" t="s">
        <v>276</v>
      </c>
      <c r="M14" s="143">
        <v>1</v>
      </c>
      <c r="N14" s="175" t="s">
        <v>277</v>
      </c>
      <c r="O14" s="145">
        <f t="shared" si="6"/>
        <v>0</v>
      </c>
      <c r="P14" s="175" t="s">
        <v>278</v>
      </c>
    </row>
    <row r="15" spans="1:26" ht="38.25" hidden="1" customHeight="1" x14ac:dyDescent="0.2">
      <c r="A15" s="396"/>
      <c r="B15" s="172" t="s">
        <v>31</v>
      </c>
      <c r="C15" s="133">
        <f>'1. SAn ABA DE CARREGAMENTO'!C30</f>
        <v>450</v>
      </c>
      <c r="D15" s="173">
        <f>'3. SAn Área'!AM61</f>
        <v>0</v>
      </c>
      <c r="E15" s="174">
        <f t="shared" si="0"/>
        <v>0</v>
      </c>
      <c r="F15" s="165">
        <f t="shared" si="1"/>
        <v>0</v>
      </c>
      <c r="G15" s="174">
        <f t="shared" si="2"/>
        <v>0</v>
      </c>
      <c r="H15" s="174">
        <f t="shared" si="3"/>
        <v>0</v>
      </c>
      <c r="I15" s="143">
        <f t="shared" si="4"/>
        <v>0</v>
      </c>
      <c r="J15" s="175" t="s">
        <v>275</v>
      </c>
      <c r="K15" s="143">
        <f t="shared" si="5"/>
        <v>0</v>
      </c>
      <c r="L15" s="175" t="s">
        <v>276</v>
      </c>
      <c r="M15" s="143">
        <v>1</v>
      </c>
      <c r="N15" s="175" t="s">
        <v>277</v>
      </c>
      <c r="O15" s="145">
        <f t="shared" si="6"/>
        <v>0</v>
      </c>
      <c r="P15" s="175" t="s">
        <v>278</v>
      </c>
    </row>
    <row r="16" spans="1:26" ht="43.5" customHeight="1" x14ac:dyDescent="0.2">
      <c r="A16" s="397" t="s">
        <v>32</v>
      </c>
      <c r="B16" s="154" t="s">
        <v>33</v>
      </c>
      <c r="C16" s="133">
        <f>'1. SAn ABA DE CARREGAMENTO'!$C$31</f>
        <v>2700</v>
      </c>
      <c r="D16" s="155">
        <f>'3. SAn Área'!AO61</f>
        <v>0</v>
      </c>
      <c r="E16" s="156">
        <f t="shared" si="0"/>
        <v>0</v>
      </c>
      <c r="F16" s="153">
        <f t="shared" si="1"/>
        <v>0</v>
      </c>
      <c r="G16" s="156">
        <f t="shared" si="2"/>
        <v>0</v>
      </c>
      <c r="H16" s="156">
        <f t="shared" si="3"/>
        <v>0</v>
      </c>
      <c r="I16" s="143">
        <f t="shared" si="4"/>
        <v>0</v>
      </c>
      <c r="J16" s="157" t="s">
        <v>275</v>
      </c>
      <c r="K16" s="143">
        <f t="shared" si="5"/>
        <v>0</v>
      </c>
      <c r="L16" s="157" t="s">
        <v>276</v>
      </c>
      <c r="M16" s="143">
        <v>1</v>
      </c>
      <c r="N16" s="157" t="s">
        <v>277</v>
      </c>
      <c r="O16" s="145">
        <f t="shared" si="6"/>
        <v>0</v>
      </c>
      <c r="P16" s="157" t="s">
        <v>278</v>
      </c>
    </row>
    <row r="17" spans="1:18" ht="38.25" customHeight="1" x14ac:dyDescent="0.2">
      <c r="A17" s="397"/>
      <c r="B17" s="154" t="s">
        <v>231</v>
      </c>
      <c r="C17" s="133">
        <f>'1. SAn ABA DE CARREGAMENTO'!C32</f>
        <v>800</v>
      </c>
      <c r="D17" s="155">
        <f>'3. SAn Área'!AP61</f>
        <v>0</v>
      </c>
      <c r="E17" s="156">
        <f t="shared" si="0"/>
        <v>0</v>
      </c>
      <c r="F17" s="153">
        <f t="shared" si="1"/>
        <v>0</v>
      </c>
      <c r="G17" s="156">
        <f t="shared" si="2"/>
        <v>0</v>
      </c>
      <c r="H17" s="156">
        <f t="shared" si="3"/>
        <v>0</v>
      </c>
      <c r="I17" s="143">
        <f t="shared" si="4"/>
        <v>0</v>
      </c>
      <c r="J17" s="157" t="s">
        <v>275</v>
      </c>
      <c r="K17" s="143">
        <f t="shared" si="5"/>
        <v>0</v>
      </c>
      <c r="L17" s="157" t="s">
        <v>276</v>
      </c>
      <c r="M17" s="143">
        <v>1</v>
      </c>
      <c r="N17" s="157" t="s">
        <v>277</v>
      </c>
      <c r="O17" s="145">
        <f t="shared" si="6"/>
        <v>0</v>
      </c>
      <c r="P17" s="157" t="s">
        <v>278</v>
      </c>
    </row>
    <row r="18" spans="1:18" ht="38.25" customHeight="1" x14ac:dyDescent="0.2">
      <c r="A18" s="397"/>
      <c r="B18" s="154" t="s">
        <v>232</v>
      </c>
      <c r="C18" s="133">
        <f>'1. SAn ABA DE CARREGAMENTO'!C33</f>
        <v>450</v>
      </c>
      <c r="D18" s="155">
        <f>'3. SAn Área'!AQ61</f>
        <v>0</v>
      </c>
      <c r="E18" s="156">
        <f t="shared" si="0"/>
        <v>0</v>
      </c>
      <c r="F18" s="153">
        <f t="shared" si="1"/>
        <v>0</v>
      </c>
      <c r="G18" s="156">
        <f t="shared" si="2"/>
        <v>0</v>
      </c>
      <c r="H18" s="157">
        <f t="shared" si="3"/>
        <v>0</v>
      </c>
      <c r="I18" s="143">
        <f t="shared" si="4"/>
        <v>0</v>
      </c>
      <c r="J18" s="157" t="s">
        <v>275</v>
      </c>
      <c r="K18" s="143">
        <f t="shared" si="5"/>
        <v>0</v>
      </c>
      <c r="L18" s="157" t="s">
        <v>276</v>
      </c>
      <c r="M18" s="143">
        <v>1</v>
      </c>
      <c r="N18" s="157" t="s">
        <v>277</v>
      </c>
      <c r="O18" s="143">
        <f t="shared" si="6"/>
        <v>0</v>
      </c>
      <c r="P18" s="157" t="s">
        <v>278</v>
      </c>
    </row>
    <row r="19" spans="1:18" ht="38.25" customHeight="1" x14ac:dyDescent="0.2">
      <c r="A19" s="397"/>
      <c r="B19" s="154" t="s">
        <v>36</v>
      </c>
      <c r="C19" s="133">
        <f>'1. SAn ABA DE CARREGAMENTO'!$C$34</f>
        <v>9000</v>
      </c>
      <c r="D19" s="155">
        <f>'3. SAn Área'!AR61</f>
        <v>538</v>
      </c>
      <c r="E19" s="156">
        <f t="shared" si="0"/>
        <v>5.9777777777777777E-2</v>
      </c>
      <c r="F19" s="153">
        <f t="shared" si="1"/>
        <v>0</v>
      </c>
      <c r="G19" s="156">
        <f t="shared" si="2"/>
        <v>5.9777777777777777E-2</v>
      </c>
      <c r="H19" s="156">
        <f t="shared" si="3"/>
        <v>28.693333333333332</v>
      </c>
      <c r="I19" s="143">
        <f t="shared" si="4"/>
        <v>0</v>
      </c>
      <c r="J19" s="157" t="s">
        <v>275</v>
      </c>
      <c r="K19" s="143">
        <f t="shared" si="5"/>
        <v>0</v>
      </c>
      <c r="L19" s="157" t="s">
        <v>276</v>
      </c>
      <c r="M19" s="143">
        <v>1</v>
      </c>
      <c r="N19" s="157" t="s">
        <v>277</v>
      </c>
      <c r="O19" s="145">
        <f t="shared" si="6"/>
        <v>28.693333333333332</v>
      </c>
      <c r="P19" s="157" t="s">
        <v>278</v>
      </c>
    </row>
    <row r="20" spans="1:18" ht="38.25" customHeight="1" x14ac:dyDescent="0.2">
      <c r="A20" s="397"/>
      <c r="B20" s="154" t="s">
        <v>37</v>
      </c>
      <c r="C20" s="133">
        <f>'1. SAn ABA DE CARREGAMENTO'!$C$35</f>
        <v>2700</v>
      </c>
      <c r="D20" s="155">
        <f>'3. SAn Área'!AS61</f>
        <v>0</v>
      </c>
      <c r="E20" s="156">
        <f t="shared" si="0"/>
        <v>0</v>
      </c>
      <c r="F20" s="153">
        <f t="shared" si="1"/>
        <v>0</v>
      </c>
      <c r="G20" s="156">
        <f t="shared" si="2"/>
        <v>0</v>
      </c>
      <c r="H20" s="177">
        <f t="shared" si="3"/>
        <v>0</v>
      </c>
      <c r="I20" s="143">
        <f t="shared" si="4"/>
        <v>0</v>
      </c>
      <c r="J20" s="157" t="s">
        <v>275</v>
      </c>
      <c r="K20" s="143">
        <f t="shared" si="5"/>
        <v>0</v>
      </c>
      <c r="L20" s="157" t="s">
        <v>276</v>
      </c>
      <c r="M20" s="143">
        <v>1</v>
      </c>
      <c r="N20" s="157" t="s">
        <v>277</v>
      </c>
      <c r="O20" s="178">
        <f t="shared" si="6"/>
        <v>0</v>
      </c>
      <c r="P20" s="157" t="s">
        <v>278</v>
      </c>
    </row>
    <row r="21" spans="1:18" ht="38.25" customHeight="1" x14ac:dyDescent="0.2">
      <c r="A21" s="397"/>
      <c r="B21" s="154" t="s">
        <v>38</v>
      </c>
      <c r="C21" s="133">
        <f>'1. SAn ABA DE CARREGAMENTO'!$C$36</f>
        <v>2700</v>
      </c>
      <c r="D21" s="155">
        <f>'3. SAn Área'!AT61</f>
        <v>0</v>
      </c>
      <c r="E21" s="156">
        <f t="shared" si="0"/>
        <v>0</v>
      </c>
      <c r="F21" s="153">
        <f t="shared" si="1"/>
        <v>0</v>
      </c>
      <c r="G21" s="156">
        <f t="shared" si="2"/>
        <v>0</v>
      </c>
      <c r="H21" s="177">
        <f t="shared" si="3"/>
        <v>0</v>
      </c>
      <c r="I21" s="143">
        <f t="shared" si="4"/>
        <v>0</v>
      </c>
      <c r="J21" s="157" t="s">
        <v>275</v>
      </c>
      <c r="K21" s="143">
        <f t="shared" si="5"/>
        <v>0</v>
      </c>
      <c r="L21" s="157" t="s">
        <v>276</v>
      </c>
      <c r="M21" s="143">
        <v>1</v>
      </c>
      <c r="N21" s="157" t="s">
        <v>277</v>
      </c>
      <c r="O21" s="178">
        <f t="shared" si="6"/>
        <v>0</v>
      </c>
      <c r="P21" s="157" t="s">
        <v>278</v>
      </c>
    </row>
    <row r="22" spans="1:18" ht="38.25" customHeight="1" x14ac:dyDescent="0.2">
      <c r="A22" s="397"/>
      <c r="B22" s="154" t="s">
        <v>39</v>
      </c>
      <c r="C22" s="133">
        <f>'1. SAn ABA DE CARREGAMENTO'!$C$37</f>
        <v>2700</v>
      </c>
      <c r="D22" s="155">
        <f>'3. SAn Área'!AU61</f>
        <v>0</v>
      </c>
      <c r="E22" s="156">
        <f t="shared" si="0"/>
        <v>0</v>
      </c>
      <c r="F22" s="153">
        <f t="shared" si="1"/>
        <v>0</v>
      </c>
      <c r="G22" s="156">
        <f t="shared" si="2"/>
        <v>0</v>
      </c>
      <c r="H22" s="177">
        <f t="shared" si="3"/>
        <v>0</v>
      </c>
      <c r="I22" s="143">
        <f t="shared" si="4"/>
        <v>0</v>
      </c>
      <c r="J22" s="157" t="s">
        <v>275</v>
      </c>
      <c r="K22" s="143">
        <f t="shared" si="5"/>
        <v>0</v>
      </c>
      <c r="L22" s="157" t="s">
        <v>276</v>
      </c>
      <c r="M22" s="143">
        <v>1</v>
      </c>
      <c r="N22" s="157" t="s">
        <v>277</v>
      </c>
      <c r="O22" s="178">
        <f t="shared" si="6"/>
        <v>0</v>
      </c>
      <c r="P22" s="157" t="s">
        <v>278</v>
      </c>
    </row>
    <row r="23" spans="1:18" ht="42.75" customHeight="1" x14ac:dyDescent="0.2">
      <c r="A23" s="397"/>
      <c r="B23" s="154" t="s">
        <v>40</v>
      </c>
      <c r="C23" s="133">
        <f>'1. SAn ABA DE CARREGAMENTO'!$C$38</f>
        <v>100000</v>
      </c>
      <c r="D23" s="155">
        <f>'3. SAn Área'!AV61</f>
        <v>0</v>
      </c>
      <c r="E23" s="156">
        <f t="shared" si="0"/>
        <v>0</v>
      </c>
      <c r="F23" s="153">
        <f t="shared" si="1"/>
        <v>0</v>
      </c>
      <c r="G23" s="156">
        <f t="shared" si="2"/>
        <v>0</v>
      </c>
      <c r="H23" s="156">
        <f t="shared" si="3"/>
        <v>0</v>
      </c>
      <c r="I23" s="143">
        <f t="shared" si="4"/>
        <v>0</v>
      </c>
      <c r="J23" s="157" t="s">
        <v>275</v>
      </c>
      <c r="K23" s="143">
        <f t="shared" si="5"/>
        <v>0</v>
      </c>
      <c r="L23" s="157" t="s">
        <v>276</v>
      </c>
      <c r="M23" s="143">
        <v>1</v>
      </c>
      <c r="N23" s="157" t="s">
        <v>277</v>
      </c>
      <c r="O23" s="145">
        <f t="shared" si="6"/>
        <v>0</v>
      </c>
      <c r="P23" s="157" t="s">
        <v>278</v>
      </c>
    </row>
    <row r="24" spans="1:18" ht="38.25" customHeight="1" x14ac:dyDescent="0.2">
      <c r="A24" s="179" t="s">
        <v>51</v>
      </c>
      <c r="B24" s="180" t="s">
        <v>52</v>
      </c>
      <c r="C24" s="4">
        <f>'1. SAn ABA DE CARREGAMENTO'!$C$46</f>
        <v>450</v>
      </c>
      <c r="D24" s="181">
        <f>'3. SAn Área'!BA61</f>
        <v>302.37</v>
      </c>
      <c r="E24" s="182">
        <f t="shared" si="0"/>
        <v>0.67193333333333338</v>
      </c>
      <c r="F24" s="179">
        <f t="shared" si="1"/>
        <v>0</v>
      </c>
      <c r="G24" s="182">
        <f t="shared" si="2"/>
        <v>0.67193333333333338</v>
      </c>
      <c r="H24" s="182">
        <f t="shared" si="3"/>
        <v>322.52800000000002</v>
      </c>
      <c r="I24" s="183">
        <f t="shared" si="4"/>
        <v>0</v>
      </c>
      <c r="J24" s="184" t="s">
        <v>275</v>
      </c>
      <c r="K24" s="183">
        <f>$C$27</f>
        <v>8</v>
      </c>
      <c r="L24" s="184" t="s">
        <v>276</v>
      </c>
      <c r="M24" s="183">
        <v>1</v>
      </c>
      <c r="N24" s="184" t="s">
        <v>277</v>
      </c>
      <c r="O24" s="185">
        <f t="shared" si="6"/>
        <v>322.52800000000002</v>
      </c>
      <c r="P24" s="184" t="s">
        <v>278</v>
      </c>
    </row>
    <row r="25" spans="1:18" ht="52.5" customHeight="1" x14ac:dyDescent="0.2">
      <c r="A25" s="398" t="s">
        <v>280</v>
      </c>
      <c r="B25" s="398"/>
      <c r="C25" s="398"/>
      <c r="D25" s="186">
        <f>SUM(D8:D24)</f>
        <v>11250.360000000002</v>
      </c>
      <c r="E25" s="187">
        <f>SUM(E8:E24)</f>
        <v>8.8385117777777786</v>
      </c>
      <c r="F25" s="20">
        <f t="shared" si="1"/>
        <v>8</v>
      </c>
      <c r="G25" s="187">
        <f t="shared" si="2"/>
        <v>0.83851177777777863</v>
      </c>
      <c r="H25" s="188">
        <f t="shared" si="3"/>
        <v>402.48565333333374</v>
      </c>
      <c r="I25" s="189">
        <f t="shared" si="4"/>
        <v>8</v>
      </c>
      <c r="J25" s="188" t="s">
        <v>275</v>
      </c>
      <c r="K25" s="190">
        <f>$C$27</f>
        <v>8</v>
      </c>
      <c r="L25" s="188" t="s">
        <v>276</v>
      </c>
      <c r="M25" s="191">
        <v>1</v>
      </c>
      <c r="N25" s="188" t="s">
        <v>277</v>
      </c>
      <c r="O25" s="189">
        <f t="shared" si="6"/>
        <v>402.48565333333374</v>
      </c>
      <c r="P25" s="188" t="s">
        <v>278</v>
      </c>
      <c r="Q25" s="161"/>
      <c r="R25" s="161"/>
    </row>
    <row r="26" spans="1:18" ht="15.75" customHeight="1" x14ac:dyDescent="0.2">
      <c r="D26" s="162"/>
      <c r="E26" s="119"/>
      <c r="F26" s="18"/>
      <c r="G26" s="119"/>
      <c r="H26" s="119"/>
      <c r="J26" s="119"/>
      <c r="K26" s="119"/>
      <c r="L26" s="119"/>
      <c r="M26" s="119"/>
      <c r="N26" s="119"/>
      <c r="P26" s="119"/>
    </row>
    <row r="27" spans="1:18" ht="20.25" customHeight="1" x14ac:dyDescent="0.2">
      <c r="A27" s="399" t="s">
        <v>281</v>
      </c>
      <c r="B27" s="399"/>
      <c r="C27" s="192">
        <v>8</v>
      </c>
      <c r="D27" s="193" t="s">
        <v>282</v>
      </c>
      <c r="E27" s="400" t="s">
        <v>283</v>
      </c>
      <c r="F27" s="400"/>
      <c r="G27" s="400"/>
      <c r="H27" s="400"/>
      <c r="I27" s="400"/>
      <c r="J27" s="400"/>
      <c r="K27" s="400"/>
      <c r="L27" s="401">
        <f>F25+G25</f>
        <v>8.8385117777777786</v>
      </c>
      <c r="M27" s="401"/>
      <c r="N27" s="401"/>
      <c r="O27" s="401"/>
      <c r="P27" s="401"/>
    </row>
    <row r="28" spans="1:18" ht="18.75" customHeight="1" x14ac:dyDescent="0.2">
      <c r="A28" s="392" t="s">
        <v>284</v>
      </c>
      <c r="B28" s="392"/>
      <c r="C28" s="392"/>
      <c r="D28" s="392"/>
      <c r="E28" s="392"/>
      <c r="F28" s="392"/>
      <c r="G28" s="392"/>
      <c r="H28" s="392"/>
      <c r="I28" s="392"/>
      <c r="J28" s="392"/>
      <c r="K28" s="392"/>
      <c r="L28" s="392"/>
      <c r="M28" s="392"/>
      <c r="N28" s="392"/>
      <c r="O28" s="392"/>
      <c r="P28" s="392"/>
    </row>
    <row r="29" spans="1:18" ht="18.75" customHeight="1" x14ac:dyDescent="0.2">
      <c r="A29" s="393" t="s">
        <v>285</v>
      </c>
      <c r="B29" s="393"/>
      <c r="C29" s="393"/>
      <c r="D29" s="393"/>
      <c r="E29" s="393"/>
      <c r="F29" s="393"/>
      <c r="G29" s="393"/>
      <c r="H29" s="393"/>
      <c r="I29" s="393"/>
      <c r="J29" s="393"/>
      <c r="K29" s="393"/>
      <c r="L29" s="393"/>
      <c r="M29" s="393"/>
      <c r="N29" s="393"/>
      <c r="O29" s="393"/>
      <c r="P29" s="393"/>
    </row>
    <row r="30" spans="1:18" ht="35.25" customHeight="1" x14ac:dyDescent="0.2">
      <c r="A30" s="394" t="s">
        <v>286</v>
      </c>
      <c r="B30" s="394"/>
      <c r="C30" s="394"/>
      <c r="D30" s="394"/>
      <c r="E30" s="394"/>
      <c r="F30" s="394"/>
      <c r="G30" s="394"/>
      <c r="H30" s="394"/>
      <c r="I30" s="394"/>
      <c r="J30" s="394"/>
      <c r="K30" s="394"/>
      <c r="L30" s="394"/>
      <c r="M30" s="394"/>
      <c r="N30" s="394"/>
      <c r="O30" s="394"/>
      <c r="P30" s="394"/>
    </row>
    <row r="31" spans="1:18" ht="18.75" customHeight="1" x14ac:dyDescent="0.2">
      <c r="A31" s="394"/>
      <c r="B31" s="394"/>
      <c r="C31" s="394"/>
      <c r="D31" s="394"/>
      <c r="E31" s="394"/>
      <c r="F31" s="394"/>
      <c r="G31" s="394"/>
      <c r="H31" s="394"/>
      <c r="I31" s="394"/>
      <c r="J31" s="394"/>
      <c r="K31" s="394"/>
      <c r="L31" s="394"/>
      <c r="M31" s="394"/>
      <c r="N31" s="394"/>
      <c r="O31" s="394"/>
      <c r="P31" s="394"/>
    </row>
    <row r="32" spans="1:18" ht="36" customHeight="1" x14ac:dyDescent="0.2">
      <c r="A32" s="395" t="s">
        <v>287</v>
      </c>
      <c r="B32" s="395"/>
      <c r="C32" s="395"/>
      <c r="D32" s="395"/>
      <c r="E32" s="395"/>
      <c r="F32" s="395"/>
      <c r="G32" s="395"/>
      <c r="H32" s="395"/>
      <c r="I32" s="395"/>
      <c r="J32" s="395"/>
      <c r="K32" s="395"/>
      <c r="L32" s="395"/>
      <c r="M32" s="395"/>
      <c r="N32" s="395"/>
      <c r="O32" s="395"/>
      <c r="P32" s="395"/>
    </row>
    <row r="33" spans="1:16" ht="18" customHeight="1" x14ac:dyDescent="0.2">
      <c r="A33" s="194"/>
      <c r="E33" s="119"/>
      <c r="G33" s="119"/>
      <c r="H33" s="119"/>
      <c r="P33" s="195"/>
    </row>
    <row r="34" spans="1:16" ht="18.75" customHeight="1" x14ac:dyDescent="0.2">
      <c r="A34" s="390" t="s">
        <v>288</v>
      </c>
      <c r="B34" s="390"/>
      <c r="C34" s="390"/>
      <c r="D34" s="390"/>
      <c r="E34" s="390"/>
      <c r="F34" s="390"/>
      <c r="G34" s="390"/>
      <c r="H34" s="390"/>
      <c r="I34" s="390"/>
      <c r="J34" s="390"/>
      <c r="K34" s="390"/>
      <c r="L34" s="390"/>
      <c r="M34" s="390"/>
      <c r="N34" s="390"/>
      <c r="O34" s="390"/>
      <c r="P34" s="390"/>
    </row>
    <row r="35" spans="1:16" ht="18.75" customHeight="1" x14ac:dyDescent="0.2">
      <c r="A35" s="391" t="s">
        <v>289</v>
      </c>
      <c r="B35" s="391"/>
      <c r="C35" s="391"/>
      <c r="D35" s="391"/>
      <c r="E35" s="391"/>
      <c r="F35" s="391"/>
      <c r="G35" s="391"/>
      <c r="H35" s="391"/>
      <c r="I35" s="391"/>
      <c r="J35" s="391"/>
      <c r="K35" s="391"/>
      <c r="L35" s="391"/>
      <c r="M35" s="391"/>
      <c r="N35" s="391"/>
      <c r="O35" s="391"/>
      <c r="P35" s="196"/>
    </row>
    <row r="36" spans="1:16" ht="12.75" customHeight="1" x14ac:dyDescent="0.2"/>
    <row r="37" spans="1:16" ht="12.75" customHeight="1" x14ac:dyDescent="0.2"/>
    <row r="38" spans="1:16" ht="12.75" customHeight="1" x14ac:dyDescent="0.2"/>
    <row r="39" spans="1:16" ht="12.75" customHeight="1" x14ac:dyDescent="0.2"/>
    <row r="40" spans="1:16" ht="12.75" customHeight="1" x14ac:dyDescent="0.2"/>
    <row r="41" spans="1:16" ht="12.75" customHeight="1" x14ac:dyDescent="0.2"/>
    <row r="42" spans="1:16" ht="12.75" customHeight="1" x14ac:dyDescent="0.2"/>
    <row r="43" spans="1:16" ht="12.75" customHeight="1" x14ac:dyDescent="0.2"/>
    <row r="44" spans="1:16" ht="12.75" customHeight="1" x14ac:dyDescent="0.2"/>
    <row r="45" spans="1:16" ht="12.75" customHeight="1" x14ac:dyDescent="0.2"/>
    <row r="46" spans="1:16" ht="12.75" customHeight="1" x14ac:dyDescent="0.2"/>
    <row r="47" spans="1:16" ht="12.75" customHeight="1" x14ac:dyDescent="0.2"/>
    <row r="48" spans="1:16"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sheetData>
  <sheetProtection selectLockedCells="1" selectUnlockedCells="1"/>
  <mergeCells count="19">
    <mergeCell ref="A1:P1"/>
    <mergeCell ref="A2:P2"/>
    <mergeCell ref="A3:P3"/>
    <mergeCell ref="A4:P4"/>
    <mergeCell ref="A5:P5"/>
    <mergeCell ref="I7:P7"/>
    <mergeCell ref="A8:A15"/>
    <mergeCell ref="A16:A23"/>
    <mergeCell ref="A25:C25"/>
    <mergeCell ref="A27:B27"/>
    <mergeCell ref="E27:K27"/>
    <mergeCell ref="L27:P27"/>
    <mergeCell ref="A34:P34"/>
    <mergeCell ref="A35:O35"/>
    <mergeCell ref="A28:P28"/>
    <mergeCell ref="A29:P29"/>
    <mergeCell ref="A30:P30"/>
    <mergeCell ref="A31:P31"/>
    <mergeCell ref="A32:P32"/>
  </mergeCells>
  <printOptions horizontalCentered="1"/>
  <pageMargins left="0" right="0" top="0" bottom="0" header="0" footer="0.51181102362204722"/>
  <pageSetup paperSize="9" scale="49" firstPageNumber="0" pageOrder="overThenDown" orientation="landscape" r:id="rId1"/>
  <headerFooter>
    <oddHeader>&amp;R&amp;P de &amp;N</oddHeader>
    <oddFooter>&amp;L&amp;F - &amp;A&amp;CPágina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1007"/>
  <sheetViews>
    <sheetView showGridLines="0" zoomScale="85" zoomScaleNormal="85" workbookViewId="0">
      <selection activeCell="A63" sqref="A63:B63"/>
    </sheetView>
  </sheetViews>
  <sheetFormatPr defaultRowHeight="14.25" x14ac:dyDescent="0.2"/>
  <cols>
    <col min="1" max="1" width="18.85546875" style="51" customWidth="1"/>
    <col min="2" max="2" width="19.140625" style="51" customWidth="1"/>
    <col min="3" max="3" width="14.28515625" style="51" customWidth="1"/>
    <col min="4" max="5" width="15.140625" style="51" customWidth="1"/>
    <col min="6" max="6" width="14.140625" style="51" customWidth="1"/>
    <col min="7" max="7" width="13.42578125" style="51" customWidth="1"/>
    <col min="8" max="8" width="14.28515625" style="51" customWidth="1"/>
    <col min="9" max="9" width="8" style="51" customWidth="1"/>
    <col min="10" max="10" width="12.140625" style="51" customWidth="1"/>
    <col min="11" max="11" width="8" style="51" customWidth="1"/>
    <col min="12" max="12" width="8.85546875" style="51" customWidth="1"/>
    <col min="13" max="13" width="8" style="51" customWidth="1"/>
    <col min="14" max="14" width="11.28515625" style="51" customWidth="1"/>
    <col min="15" max="15" width="21.85546875" style="51" customWidth="1"/>
    <col min="16" max="26" width="8" style="51" customWidth="1"/>
    <col min="27" max="1025" width="14.42578125" style="51" customWidth="1"/>
    <col min="1026" max="16384" width="9.140625" style="51"/>
  </cols>
  <sheetData>
    <row r="1" spans="1:16" ht="15" x14ac:dyDescent="0.2">
      <c r="A1" s="402" t="s">
        <v>0</v>
      </c>
      <c r="B1" s="402"/>
      <c r="C1" s="402"/>
      <c r="D1" s="402"/>
      <c r="E1" s="402"/>
      <c r="F1" s="402"/>
      <c r="G1" s="402"/>
      <c r="H1" s="402"/>
      <c r="I1" s="402"/>
      <c r="J1" s="402"/>
      <c r="K1" s="402"/>
      <c r="L1" s="402"/>
      <c r="M1" s="402"/>
      <c r="N1" s="402"/>
      <c r="O1" s="402"/>
      <c r="P1" s="402"/>
    </row>
    <row r="2" spans="1:16" ht="15" x14ac:dyDescent="0.2">
      <c r="A2" s="402" t="s">
        <v>1</v>
      </c>
      <c r="B2" s="402"/>
      <c r="C2" s="402"/>
      <c r="D2" s="402"/>
      <c r="E2" s="402"/>
      <c r="F2" s="402"/>
      <c r="G2" s="402"/>
      <c r="H2" s="402"/>
      <c r="I2" s="402"/>
      <c r="J2" s="402"/>
      <c r="K2" s="402"/>
      <c r="L2" s="402"/>
      <c r="M2" s="402"/>
      <c r="N2" s="402"/>
      <c r="O2" s="402"/>
      <c r="P2" s="402"/>
    </row>
    <row r="3" spans="1:16" ht="15" x14ac:dyDescent="0.2">
      <c r="A3" s="402" t="s">
        <v>2</v>
      </c>
      <c r="B3" s="402"/>
      <c r="C3" s="402"/>
      <c r="D3" s="402"/>
      <c r="E3" s="402"/>
      <c r="F3" s="402"/>
      <c r="G3" s="402"/>
      <c r="H3" s="402"/>
      <c r="I3" s="402"/>
      <c r="J3" s="402"/>
      <c r="K3" s="402"/>
      <c r="L3" s="402"/>
      <c r="M3" s="402"/>
      <c r="N3" s="402"/>
      <c r="O3" s="402"/>
      <c r="P3" s="402"/>
    </row>
    <row r="4" spans="1:16" ht="15" x14ac:dyDescent="0.2">
      <c r="A4" s="403" t="str">
        <f>'1. SAn ABA DE CARREGAMENTO'!A4</f>
        <v>CAMPUS SANTO ÂNGELO</v>
      </c>
      <c r="B4" s="403"/>
      <c r="C4" s="403"/>
      <c r="D4" s="403"/>
      <c r="E4" s="403"/>
      <c r="F4" s="403"/>
      <c r="G4" s="403"/>
      <c r="H4" s="403"/>
      <c r="I4" s="403"/>
      <c r="J4" s="403"/>
      <c r="K4" s="403"/>
      <c r="L4" s="403"/>
      <c r="M4" s="403"/>
      <c r="N4" s="403"/>
      <c r="O4" s="403"/>
      <c r="P4" s="403"/>
    </row>
    <row r="5" spans="1:16" ht="20.25" customHeight="1" x14ac:dyDescent="0.2">
      <c r="A5" s="404" t="s">
        <v>269</v>
      </c>
      <c r="B5" s="404"/>
      <c r="C5" s="404"/>
      <c r="D5" s="404"/>
      <c r="E5" s="404"/>
      <c r="F5" s="404"/>
      <c r="G5" s="404"/>
      <c r="H5" s="404"/>
      <c r="I5" s="404"/>
      <c r="J5" s="404"/>
      <c r="K5" s="404"/>
      <c r="L5" s="404"/>
      <c r="M5" s="404"/>
      <c r="N5" s="404"/>
      <c r="O5" s="404"/>
      <c r="P5" s="404"/>
    </row>
    <row r="6" spans="1:16" ht="15" x14ac:dyDescent="0.2">
      <c r="A6" s="136"/>
      <c r="B6" s="136"/>
      <c r="C6" s="136"/>
      <c r="D6" s="136"/>
      <c r="E6" s="136"/>
      <c r="F6" s="136"/>
      <c r="G6" s="136"/>
      <c r="H6" s="136"/>
      <c r="I6" s="136"/>
      <c r="J6" s="136"/>
      <c r="K6" s="136"/>
      <c r="L6" s="136"/>
      <c r="M6" s="136"/>
      <c r="N6" s="136"/>
      <c r="O6" s="136"/>
      <c r="P6" s="136"/>
    </row>
    <row r="7" spans="1:16" ht="140.25" customHeight="1" x14ac:dyDescent="0.2">
      <c r="A7" s="137" t="s">
        <v>20</v>
      </c>
      <c r="B7" s="137" t="s">
        <v>21</v>
      </c>
      <c r="C7" s="137" t="s">
        <v>290</v>
      </c>
      <c r="D7" s="137" t="s">
        <v>291</v>
      </c>
      <c r="E7" s="137" t="s">
        <v>270</v>
      </c>
      <c r="F7" s="137" t="s">
        <v>271</v>
      </c>
      <c r="G7" s="137" t="s">
        <v>272</v>
      </c>
      <c r="H7" s="137" t="s">
        <v>273</v>
      </c>
      <c r="I7" s="405" t="s">
        <v>274</v>
      </c>
      <c r="J7" s="405"/>
      <c r="K7" s="405"/>
      <c r="L7" s="405"/>
      <c r="M7" s="405"/>
      <c r="N7" s="405"/>
      <c r="O7" s="405"/>
      <c r="P7" s="405"/>
    </row>
    <row r="8" spans="1:16" ht="51" customHeight="1" x14ac:dyDescent="0.2">
      <c r="A8" s="396" t="s">
        <v>224</v>
      </c>
      <c r="B8" s="165" t="s">
        <v>292</v>
      </c>
      <c r="C8" s="133">
        <f>'1. SAn ABA DE CARREGAMENTO'!$C$39</f>
        <v>300</v>
      </c>
      <c r="D8" s="166">
        <f>'3. SAn Área'!BB61</f>
        <v>1460.76</v>
      </c>
      <c r="E8" s="141">
        <f>D8/C8</f>
        <v>4.8692000000000002</v>
      </c>
      <c r="F8" s="142">
        <f>TRUNC(E8,0)</f>
        <v>4</v>
      </c>
      <c r="G8" s="141">
        <f>E8-F8</f>
        <v>0.86920000000000019</v>
      </c>
      <c r="H8" s="141">
        <f>G8*$C$13*60</f>
        <v>417.21600000000012</v>
      </c>
      <c r="I8" s="143">
        <f>F8</f>
        <v>4</v>
      </c>
      <c r="J8" s="144" t="s">
        <v>275</v>
      </c>
      <c r="K8" s="143">
        <v>8</v>
      </c>
      <c r="L8" s="144" t="s">
        <v>276</v>
      </c>
      <c r="M8" s="143">
        <v>1</v>
      </c>
      <c r="N8" s="144" t="s">
        <v>277</v>
      </c>
      <c r="O8" s="145">
        <f>H8</f>
        <v>417.21600000000012</v>
      </c>
      <c r="P8" s="144" t="s">
        <v>278</v>
      </c>
    </row>
    <row r="9" spans="1:16" ht="51" customHeight="1" x14ac:dyDescent="0.2">
      <c r="A9" s="396"/>
      <c r="B9" s="165" t="s">
        <v>228</v>
      </c>
      <c r="C9" s="133">
        <f>'1. SAn ABA DE CARREGAMENTO'!C40</f>
        <v>800</v>
      </c>
      <c r="D9" s="166">
        <f>'3. SAn Área'!BC61</f>
        <v>152.2861</v>
      </c>
      <c r="E9" s="141">
        <f>D9/C9</f>
        <v>0.190357625</v>
      </c>
      <c r="F9" s="142">
        <f>TRUNC(E9,0)</f>
        <v>0</v>
      </c>
      <c r="G9" s="141">
        <f>E9-F9</f>
        <v>0.190357625</v>
      </c>
      <c r="H9" s="141">
        <f>G9*$C$13*60</f>
        <v>91.371660000000006</v>
      </c>
      <c r="I9" s="143">
        <f>F9</f>
        <v>0</v>
      </c>
      <c r="J9" s="144" t="s">
        <v>275</v>
      </c>
      <c r="K9" s="143">
        <v>8</v>
      </c>
      <c r="L9" s="144" t="s">
        <v>276</v>
      </c>
      <c r="M9" s="143">
        <v>1</v>
      </c>
      <c r="N9" s="144" t="s">
        <v>277</v>
      </c>
      <c r="O9" s="145">
        <f>H9</f>
        <v>91.371660000000006</v>
      </c>
      <c r="P9" s="144" t="s">
        <v>278</v>
      </c>
    </row>
    <row r="10" spans="1:16" ht="51" customHeight="1" x14ac:dyDescent="0.2">
      <c r="A10" s="396"/>
      <c r="B10" s="165" t="s">
        <v>31</v>
      </c>
      <c r="C10" s="133">
        <f>'1. SAn ABA DE CARREGAMENTO'!C41</f>
        <v>450</v>
      </c>
      <c r="D10" s="166">
        <f>'3. SAn Área'!BD61</f>
        <v>60.479275000000008</v>
      </c>
      <c r="E10" s="141">
        <f>D10/C10</f>
        <v>0.13439838888888891</v>
      </c>
      <c r="F10" s="142">
        <f>TRUNC(E10,0)</f>
        <v>0</v>
      </c>
      <c r="G10" s="141">
        <f>E10-F10</f>
        <v>0.13439838888888891</v>
      </c>
      <c r="H10" s="144">
        <f>G10*$C$13*60</f>
        <v>64.511226666666673</v>
      </c>
      <c r="I10" s="143">
        <f>F10</f>
        <v>0</v>
      </c>
      <c r="J10" s="144" t="s">
        <v>275</v>
      </c>
      <c r="K10" s="143">
        <v>8</v>
      </c>
      <c r="L10" s="144" t="s">
        <v>276</v>
      </c>
      <c r="M10" s="143">
        <v>1</v>
      </c>
      <c r="N10" s="144" t="s">
        <v>277</v>
      </c>
      <c r="O10" s="143">
        <f>H10</f>
        <v>64.511226666666673</v>
      </c>
      <c r="P10" s="144" t="s">
        <v>278</v>
      </c>
    </row>
    <row r="11" spans="1:16" ht="51" customHeight="1" x14ac:dyDescent="0.2">
      <c r="A11" s="407" t="s">
        <v>293</v>
      </c>
      <c r="B11" s="407"/>
      <c r="C11" s="407"/>
      <c r="D11" s="167">
        <f>SUM(D8:D10)</f>
        <v>1673.5253749999999</v>
      </c>
      <c r="E11" s="168">
        <f>SUM(E8:E10)</f>
        <v>5.1939560138888892</v>
      </c>
      <c r="F11" s="137">
        <f>SUM(F8:F10)</f>
        <v>4</v>
      </c>
      <c r="G11" s="168">
        <f>SUM(G8:G10)</f>
        <v>1.1939560138888892</v>
      </c>
      <c r="H11" s="160">
        <f>G11*$C$13*60</f>
        <v>573.09888666666677</v>
      </c>
      <c r="I11" s="160">
        <f>SUM(I8:I10)</f>
        <v>4</v>
      </c>
      <c r="J11" s="169" t="s">
        <v>275</v>
      </c>
      <c r="K11" s="169">
        <f>$C$13</f>
        <v>8</v>
      </c>
      <c r="L11" s="169" t="s">
        <v>276</v>
      </c>
      <c r="M11" s="170">
        <v>1</v>
      </c>
      <c r="N11" s="169" t="s">
        <v>277</v>
      </c>
      <c r="O11" s="170">
        <f>H11</f>
        <v>573.09888666666677</v>
      </c>
      <c r="P11" s="169" t="s">
        <v>278</v>
      </c>
    </row>
    <row r="12" spans="1:16" ht="15.75" customHeight="1" x14ac:dyDescent="0.2">
      <c r="D12" s="162"/>
      <c r="E12" s="119"/>
      <c r="F12" s="18"/>
      <c r="G12" s="119"/>
      <c r="H12" s="119"/>
      <c r="J12" s="119"/>
      <c r="K12" s="119"/>
      <c r="L12" s="119"/>
      <c r="M12" s="119"/>
      <c r="N12" s="119"/>
      <c r="P12" s="119"/>
    </row>
    <row r="13" spans="1:16" ht="43.5" customHeight="1" x14ac:dyDescent="0.2">
      <c r="A13" s="405" t="s">
        <v>281</v>
      </c>
      <c r="B13" s="405"/>
      <c r="C13" s="163">
        <v>8</v>
      </c>
      <c r="D13" s="137" t="s">
        <v>282</v>
      </c>
      <c r="E13" s="405" t="s">
        <v>283</v>
      </c>
      <c r="F13" s="405"/>
      <c r="G13" s="405"/>
      <c r="H13" s="405"/>
      <c r="I13" s="405"/>
      <c r="J13" s="405"/>
      <c r="K13" s="405"/>
      <c r="L13" s="408">
        <f>F11+G11</f>
        <v>5.1939560138888892</v>
      </c>
      <c r="M13" s="408"/>
      <c r="N13" s="408"/>
      <c r="O13" s="408"/>
      <c r="P13" s="408"/>
    </row>
    <row r="14" spans="1:16" ht="18" customHeight="1" x14ac:dyDescent="0.2">
      <c r="A14" s="405" t="s">
        <v>284</v>
      </c>
      <c r="B14" s="405"/>
      <c r="C14" s="405"/>
      <c r="D14" s="405"/>
      <c r="E14" s="405"/>
      <c r="F14" s="405"/>
      <c r="G14" s="405"/>
      <c r="H14" s="405"/>
      <c r="I14" s="405"/>
      <c r="J14" s="405"/>
      <c r="K14" s="405"/>
      <c r="L14" s="405"/>
      <c r="M14" s="405"/>
      <c r="N14" s="405"/>
      <c r="O14" s="405"/>
      <c r="P14" s="405"/>
    </row>
    <row r="15" spans="1:16" ht="18" customHeight="1" x14ac:dyDescent="0.2">
      <c r="A15" s="393" t="s">
        <v>285</v>
      </c>
      <c r="B15" s="393"/>
      <c r="C15" s="393"/>
      <c r="D15" s="393"/>
      <c r="E15" s="393"/>
      <c r="F15" s="393"/>
      <c r="G15" s="393"/>
      <c r="H15" s="393"/>
      <c r="I15" s="393"/>
      <c r="J15" s="393"/>
      <c r="K15" s="393"/>
      <c r="L15" s="393"/>
      <c r="M15" s="393"/>
      <c r="N15" s="393"/>
      <c r="O15" s="393"/>
      <c r="P15" s="393"/>
    </row>
    <row r="16" spans="1:16" ht="40.5" customHeight="1" x14ac:dyDescent="0.2">
      <c r="A16" s="394" t="s">
        <v>286</v>
      </c>
      <c r="B16" s="394"/>
      <c r="C16" s="394"/>
      <c r="D16" s="394"/>
      <c r="E16" s="394"/>
      <c r="F16" s="394"/>
      <c r="G16" s="394"/>
      <c r="H16" s="394"/>
      <c r="I16" s="394"/>
      <c r="J16" s="394"/>
      <c r="K16" s="394"/>
      <c r="L16" s="394"/>
      <c r="M16" s="394"/>
      <c r="N16" s="394"/>
      <c r="O16" s="394"/>
      <c r="P16" s="394"/>
    </row>
    <row r="17" spans="1:16" ht="18" customHeight="1" x14ac:dyDescent="0.2">
      <c r="A17" s="406"/>
      <c r="B17" s="406"/>
      <c r="C17" s="406"/>
      <c r="D17" s="406"/>
      <c r="E17" s="406"/>
      <c r="F17" s="406"/>
      <c r="G17" s="406"/>
      <c r="H17" s="406"/>
      <c r="I17" s="406"/>
      <c r="J17" s="406"/>
      <c r="K17" s="406"/>
      <c r="L17" s="406"/>
      <c r="M17" s="406"/>
      <c r="N17" s="406"/>
      <c r="O17" s="406"/>
      <c r="P17" s="406"/>
    </row>
    <row r="18" spans="1:16" ht="33.75" customHeight="1" x14ac:dyDescent="0.2"/>
    <row r="19" spans="1:16" ht="12.75" customHeight="1" x14ac:dyDescent="0.2"/>
    <row r="20" spans="1:16" ht="12.75" customHeight="1" x14ac:dyDescent="0.2"/>
    <row r="21" spans="1:16" ht="12.75" customHeight="1" x14ac:dyDescent="0.2"/>
    <row r="22" spans="1:16" ht="12.75" customHeight="1" x14ac:dyDescent="0.2"/>
    <row r="23" spans="1:16" ht="12.75" customHeight="1" x14ac:dyDescent="0.2"/>
    <row r="24" spans="1:16" ht="12.75" customHeight="1" x14ac:dyDescent="0.2"/>
    <row r="25" spans="1:16" ht="12.75" customHeight="1" x14ac:dyDescent="0.2"/>
    <row r="26" spans="1:16" ht="12.75" customHeight="1" x14ac:dyDescent="0.2"/>
    <row r="27" spans="1:16" ht="12.75" customHeight="1" x14ac:dyDescent="0.2"/>
    <row r="28" spans="1:16" ht="12.75" customHeight="1" x14ac:dyDescent="0.2"/>
    <row r="29" spans="1:16" ht="12.75" customHeight="1" x14ac:dyDescent="0.2"/>
    <row r="30" spans="1:16" ht="12.75" customHeight="1" x14ac:dyDescent="0.2"/>
    <row r="31" spans="1:16" ht="12.75" customHeight="1" x14ac:dyDescent="0.2"/>
    <row r="32" spans="1:1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sheetData>
  <sheetProtection selectLockedCells="1" selectUnlockedCells="1"/>
  <mergeCells count="15">
    <mergeCell ref="A1:P1"/>
    <mergeCell ref="A2:P2"/>
    <mergeCell ref="A3:P3"/>
    <mergeCell ref="A4:P4"/>
    <mergeCell ref="A5:P5"/>
    <mergeCell ref="A14:P14"/>
    <mergeCell ref="A15:P15"/>
    <mergeCell ref="A16:P16"/>
    <mergeCell ref="A17:P17"/>
    <mergeCell ref="I7:P7"/>
    <mergeCell ref="A8:A10"/>
    <mergeCell ref="A11:C11"/>
    <mergeCell ref="A13:B13"/>
    <mergeCell ref="E13:K13"/>
    <mergeCell ref="L13:P13"/>
  </mergeCells>
  <printOptions horizontalCentered="1"/>
  <pageMargins left="0" right="0" top="0.39370078740157483" bottom="0" header="0" footer="0.51181102362204722"/>
  <pageSetup paperSize="9" scale="65" firstPageNumber="0" pageOrder="overThenDown" orientation="landscape" r:id="rId1"/>
  <headerFooter>
    <oddHeader>&amp;R&amp;P de &amp;N</oddHeader>
    <oddFooter>&amp;L&amp;F - &amp;A&amp;CPágina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1005"/>
  <sheetViews>
    <sheetView showGridLines="0" zoomScale="85" zoomScaleNormal="85" workbookViewId="0">
      <selection activeCell="A63" sqref="A63:B63"/>
    </sheetView>
  </sheetViews>
  <sheetFormatPr defaultRowHeight="14.25" x14ac:dyDescent="0.2"/>
  <cols>
    <col min="1" max="1" width="18" style="51" customWidth="1"/>
    <col min="2" max="2" width="17" style="51" customWidth="1"/>
    <col min="3" max="3" width="18.140625" style="51" customWidth="1"/>
    <col min="4" max="4" width="16.85546875" style="51" customWidth="1"/>
    <col min="5" max="5" width="18.7109375" style="51" customWidth="1"/>
    <col min="6" max="6" width="17.140625" style="51" customWidth="1"/>
    <col min="7" max="7" width="15.28515625" style="51" customWidth="1"/>
    <col min="8" max="8" width="16.140625" style="51" customWidth="1"/>
    <col min="9" max="9" width="8" style="51" customWidth="1"/>
    <col min="10" max="10" width="16" style="51" customWidth="1"/>
    <col min="11" max="11" width="8" style="51" customWidth="1"/>
    <col min="12" max="12" width="9.7109375" style="51" customWidth="1"/>
    <col min="13" max="13" width="8" style="51" customWidth="1"/>
    <col min="14" max="14" width="16.28515625" style="51" customWidth="1"/>
    <col min="15" max="15" width="15.42578125" style="51" customWidth="1"/>
    <col min="16" max="16" width="11.42578125" style="51" customWidth="1"/>
    <col min="17" max="26" width="8" style="51" customWidth="1"/>
    <col min="27" max="1025" width="14.42578125" style="51" customWidth="1"/>
    <col min="1026" max="16384" width="9.140625" style="51"/>
  </cols>
  <sheetData>
    <row r="1" spans="1:19" ht="15" x14ac:dyDescent="0.2">
      <c r="A1" s="402" t="s">
        <v>0</v>
      </c>
      <c r="B1" s="402"/>
      <c r="C1" s="402"/>
      <c r="D1" s="402"/>
      <c r="E1" s="402"/>
      <c r="F1" s="402"/>
      <c r="G1" s="402"/>
      <c r="H1" s="402"/>
      <c r="I1" s="402"/>
      <c r="J1" s="402"/>
      <c r="K1" s="402"/>
      <c r="L1" s="402"/>
      <c r="M1" s="402"/>
      <c r="N1" s="402"/>
      <c r="O1" s="402"/>
      <c r="P1" s="402"/>
    </row>
    <row r="2" spans="1:19" ht="15" x14ac:dyDescent="0.2">
      <c r="A2" s="402" t="s">
        <v>1</v>
      </c>
      <c r="B2" s="402"/>
      <c r="C2" s="402"/>
      <c r="D2" s="402"/>
      <c r="E2" s="402"/>
      <c r="F2" s="402"/>
      <c r="G2" s="402"/>
      <c r="H2" s="402"/>
      <c r="I2" s="402"/>
      <c r="J2" s="402"/>
      <c r="K2" s="402"/>
      <c r="L2" s="402"/>
      <c r="M2" s="402"/>
      <c r="N2" s="402"/>
      <c r="O2" s="402"/>
      <c r="P2" s="402"/>
    </row>
    <row r="3" spans="1:19" ht="15" x14ac:dyDescent="0.2">
      <c r="A3" s="402" t="s">
        <v>2</v>
      </c>
      <c r="B3" s="402"/>
      <c r="C3" s="402"/>
      <c r="D3" s="402"/>
      <c r="E3" s="402"/>
      <c r="F3" s="402"/>
      <c r="G3" s="402"/>
      <c r="H3" s="402"/>
      <c r="I3" s="402"/>
      <c r="J3" s="402"/>
      <c r="K3" s="402"/>
      <c r="L3" s="402"/>
      <c r="M3" s="402"/>
      <c r="N3" s="402"/>
      <c r="O3" s="402"/>
      <c r="P3" s="402"/>
    </row>
    <row r="4" spans="1:19" ht="15" x14ac:dyDescent="0.2">
      <c r="A4" s="403" t="str">
        <f>'1. SAn ABA DE CARREGAMENTO'!A4</f>
        <v>CAMPUS SANTO ÂNGELO</v>
      </c>
      <c r="B4" s="403"/>
      <c r="C4" s="403"/>
      <c r="D4" s="403"/>
      <c r="E4" s="403"/>
      <c r="F4" s="403"/>
      <c r="G4" s="403"/>
      <c r="H4" s="403"/>
      <c r="I4" s="403"/>
      <c r="J4" s="403"/>
      <c r="K4" s="403"/>
      <c r="L4" s="403"/>
      <c r="M4" s="403"/>
      <c r="N4" s="403"/>
      <c r="O4" s="403"/>
      <c r="P4" s="403"/>
    </row>
    <row r="5" spans="1:19" ht="20.25" customHeight="1" x14ac:dyDescent="0.2">
      <c r="A5" s="404" t="s">
        <v>269</v>
      </c>
      <c r="B5" s="404"/>
      <c r="C5" s="404"/>
      <c r="D5" s="404"/>
      <c r="E5" s="404"/>
      <c r="F5" s="404"/>
      <c r="G5" s="404"/>
      <c r="H5" s="404"/>
      <c r="I5" s="404"/>
      <c r="J5" s="404"/>
      <c r="K5" s="404"/>
      <c r="L5" s="404"/>
      <c r="M5" s="404"/>
      <c r="N5" s="404"/>
      <c r="O5" s="404"/>
      <c r="P5" s="404"/>
    </row>
    <row r="6" spans="1:19" ht="15" x14ac:dyDescent="0.2">
      <c r="A6" s="136"/>
      <c r="B6" s="136"/>
      <c r="C6" s="136"/>
      <c r="D6" s="136"/>
      <c r="E6" s="136"/>
      <c r="F6" s="136"/>
      <c r="G6" s="136"/>
      <c r="H6" s="136"/>
      <c r="I6" s="136"/>
      <c r="J6" s="136"/>
      <c r="K6" s="136"/>
      <c r="L6" s="136"/>
      <c r="M6" s="136"/>
      <c r="N6" s="136"/>
      <c r="O6" s="136"/>
      <c r="P6" s="136"/>
    </row>
    <row r="7" spans="1:19" ht="113.25" customHeight="1" x14ac:dyDescent="0.2">
      <c r="A7" s="137" t="s">
        <v>20</v>
      </c>
      <c r="B7" s="138" t="s">
        <v>21</v>
      </c>
      <c r="C7" s="138" t="s">
        <v>294</v>
      </c>
      <c r="D7" s="138" t="s">
        <v>291</v>
      </c>
      <c r="E7" s="138" t="s">
        <v>270</v>
      </c>
      <c r="F7" s="138" t="s">
        <v>271</v>
      </c>
      <c r="G7" s="138" t="s">
        <v>272</v>
      </c>
      <c r="H7" s="138" t="s">
        <v>273</v>
      </c>
      <c r="I7" s="405" t="s">
        <v>274</v>
      </c>
      <c r="J7" s="405"/>
      <c r="K7" s="405"/>
      <c r="L7" s="405"/>
      <c r="M7" s="405"/>
      <c r="N7" s="405"/>
      <c r="O7" s="405"/>
      <c r="P7" s="405"/>
      <c r="Q7" s="119"/>
      <c r="R7" s="119"/>
      <c r="S7" s="119"/>
    </row>
    <row r="8" spans="1:19" ht="51" customHeight="1" x14ac:dyDescent="0.2">
      <c r="A8" s="410" t="s">
        <v>295</v>
      </c>
      <c r="B8" s="139" t="s">
        <v>673</v>
      </c>
      <c r="C8" s="133">
        <f>'1. SAn ABA DE CARREGAMENTO'!$C$42</f>
        <v>160</v>
      </c>
      <c r="D8" s="140">
        <f>'3. SAn Área'!AW61</f>
        <v>3.2940333333333336</v>
      </c>
      <c r="E8" s="141">
        <f>D8/C8</f>
        <v>2.0587708333333336E-2</v>
      </c>
      <c r="F8" s="142">
        <f>TRUNC(E8,0)</f>
        <v>0</v>
      </c>
      <c r="G8" s="141">
        <f>E8-F8</f>
        <v>2.0587708333333336E-2</v>
      </c>
      <c r="H8" s="141">
        <f>G8*$C$14*60</f>
        <v>9.8821000000000012</v>
      </c>
      <c r="I8" s="143">
        <f>F8</f>
        <v>0</v>
      </c>
      <c r="J8" s="144" t="s">
        <v>275</v>
      </c>
      <c r="K8" s="143">
        <v>8</v>
      </c>
      <c r="L8" s="144" t="s">
        <v>276</v>
      </c>
      <c r="M8" s="143">
        <v>1</v>
      </c>
      <c r="N8" s="144" t="s">
        <v>277</v>
      </c>
      <c r="O8" s="145">
        <f>H8</f>
        <v>9.8821000000000012</v>
      </c>
      <c r="P8" s="144" t="s">
        <v>278</v>
      </c>
    </row>
    <row r="9" spans="1:19" ht="51" customHeight="1" x14ac:dyDescent="0.2">
      <c r="A9" s="410"/>
      <c r="B9" s="139" t="s">
        <v>674</v>
      </c>
      <c r="C9" s="133">
        <f>'1. SAn ABA DE CARREGAMENTO'!$C$43</f>
        <v>380</v>
      </c>
      <c r="D9" s="140">
        <f>'3. SAn Área'!AX61</f>
        <v>43.441545833333336</v>
      </c>
      <c r="E9" s="141">
        <f>D9/C9</f>
        <v>0.11431985745614036</v>
      </c>
      <c r="F9" s="142">
        <f>TRUNC(E9,0)</f>
        <v>0</v>
      </c>
      <c r="G9" s="141">
        <f>E9-F9</f>
        <v>0.11431985745614036</v>
      </c>
      <c r="H9" s="141">
        <f>G9*$C$14*60</f>
        <v>54.873531578947372</v>
      </c>
      <c r="I9" s="143">
        <f>F9</f>
        <v>0</v>
      </c>
      <c r="J9" s="144" t="s">
        <v>275</v>
      </c>
      <c r="K9" s="143">
        <v>8</v>
      </c>
      <c r="L9" s="144" t="s">
        <v>276</v>
      </c>
      <c r="M9" s="143">
        <v>1</v>
      </c>
      <c r="N9" s="144" t="s">
        <v>277</v>
      </c>
      <c r="O9" s="145">
        <f>H9</f>
        <v>54.873531578947372</v>
      </c>
      <c r="P9" s="144" t="s">
        <v>278</v>
      </c>
    </row>
    <row r="10" spans="1:19" ht="51" customHeight="1" x14ac:dyDescent="0.2">
      <c r="A10" s="410"/>
      <c r="B10" s="146" t="s">
        <v>48</v>
      </c>
      <c r="C10" s="134">
        <f>'1. SAn ABA DE CARREGAMENTO'!$C$44</f>
        <v>380</v>
      </c>
      <c r="D10" s="147">
        <f>'3. SAn Área'!AY61</f>
        <v>238.37377916666671</v>
      </c>
      <c r="E10" s="148">
        <f>D10/C10</f>
        <v>0.62729941885964924</v>
      </c>
      <c r="F10" s="149">
        <f>TRUNC(E10,0)</f>
        <v>0</v>
      </c>
      <c r="G10" s="148">
        <f>E10-F10</f>
        <v>0.62729941885964924</v>
      </c>
      <c r="H10" s="148">
        <f>G10*$C$14*60</f>
        <v>301.10372105263161</v>
      </c>
      <c r="I10" s="150">
        <f>F10</f>
        <v>0</v>
      </c>
      <c r="J10" s="151" t="s">
        <v>275</v>
      </c>
      <c r="K10" s="150">
        <v>8</v>
      </c>
      <c r="L10" s="151" t="s">
        <v>276</v>
      </c>
      <c r="M10" s="150">
        <v>1</v>
      </c>
      <c r="N10" s="151" t="s">
        <v>277</v>
      </c>
      <c r="O10" s="152">
        <f>H10</f>
        <v>301.10372105263161</v>
      </c>
      <c r="P10" s="151" t="s">
        <v>278</v>
      </c>
    </row>
    <row r="11" spans="1:19" ht="51" customHeight="1" x14ac:dyDescent="0.2">
      <c r="A11" s="153" t="s">
        <v>49</v>
      </c>
      <c r="B11" s="154" t="s">
        <v>50</v>
      </c>
      <c r="C11" s="135">
        <f>'1. SAn ABA DE CARREGAMENTO'!$C$45</f>
        <v>160</v>
      </c>
      <c r="D11" s="155">
        <f>'3. SAn Área'!AZ61</f>
        <v>77.676275000000004</v>
      </c>
      <c r="E11" s="156">
        <f>D11/C11</f>
        <v>0.48547671875000004</v>
      </c>
      <c r="F11" s="153">
        <f>TRUNC(E11,0)</f>
        <v>0</v>
      </c>
      <c r="G11" s="156">
        <f>E11-F11</f>
        <v>0.48547671875000004</v>
      </c>
      <c r="H11" s="156">
        <f>G11*$C$14*60</f>
        <v>233.02882500000001</v>
      </c>
      <c r="I11" s="143">
        <f>F11</f>
        <v>0</v>
      </c>
      <c r="J11" s="157" t="s">
        <v>275</v>
      </c>
      <c r="K11" s="143">
        <v>8</v>
      </c>
      <c r="L11" s="157" t="s">
        <v>276</v>
      </c>
      <c r="M11" s="143">
        <v>1</v>
      </c>
      <c r="N11" s="157" t="s">
        <v>277</v>
      </c>
      <c r="O11" s="145">
        <f>H11</f>
        <v>233.02882500000001</v>
      </c>
      <c r="P11" s="157" t="s">
        <v>278</v>
      </c>
    </row>
    <row r="12" spans="1:19" ht="51" customHeight="1" x14ac:dyDescent="0.2">
      <c r="A12" s="405" t="s">
        <v>296</v>
      </c>
      <c r="B12" s="405"/>
      <c r="C12" s="405"/>
      <c r="D12" s="158">
        <f>SUM(D8:D11)</f>
        <v>362.78563333333341</v>
      </c>
      <c r="E12" s="159">
        <f>SUM(E8:E11)</f>
        <v>1.247683703399123</v>
      </c>
      <c r="F12" s="137">
        <f>TRUNC(E12,0)</f>
        <v>1</v>
      </c>
      <c r="G12" s="159">
        <f>E12-F12</f>
        <v>0.24768370339912305</v>
      </c>
      <c r="H12" s="160">
        <f>G12*$C$14*60</f>
        <v>118.88817763157905</v>
      </c>
      <c r="I12" s="137">
        <f>F12</f>
        <v>1</v>
      </c>
      <c r="J12" s="160" t="s">
        <v>275</v>
      </c>
      <c r="K12" s="160">
        <f>$C$14</f>
        <v>8</v>
      </c>
      <c r="L12" s="160" t="s">
        <v>276</v>
      </c>
      <c r="M12" s="137">
        <v>1</v>
      </c>
      <c r="N12" s="160" t="s">
        <v>277</v>
      </c>
      <c r="O12" s="137">
        <f>H12</f>
        <v>118.88817763157905</v>
      </c>
      <c r="P12" s="160" t="s">
        <v>278</v>
      </c>
      <c r="Q12" s="161"/>
      <c r="R12" s="161"/>
    </row>
    <row r="13" spans="1:19" ht="15.75" customHeight="1" x14ac:dyDescent="0.2">
      <c r="D13" s="162"/>
      <c r="E13" s="119"/>
      <c r="F13" s="18"/>
      <c r="G13" s="119"/>
      <c r="H13" s="119"/>
      <c r="J13" s="119"/>
      <c r="K13" s="119"/>
      <c r="L13" s="119"/>
      <c r="M13" s="119"/>
      <c r="N13" s="119"/>
      <c r="P13" s="119"/>
    </row>
    <row r="14" spans="1:19" ht="19.5" customHeight="1" x14ac:dyDescent="0.2">
      <c r="A14" s="411" t="s">
        <v>281</v>
      </c>
      <c r="B14" s="411"/>
      <c r="C14" s="163">
        <v>8</v>
      </c>
      <c r="D14" s="164" t="s">
        <v>282</v>
      </c>
      <c r="E14" s="411" t="s">
        <v>283</v>
      </c>
      <c r="F14" s="411"/>
      <c r="G14" s="411"/>
      <c r="H14" s="411"/>
      <c r="I14" s="411"/>
      <c r="J14" s="411"/>
      <c r="K14" s="411"/>
      <c r="L14" s="408">
        <f>F12+G12</f>
        <v>1.247683703399123</v>
      </c>
      <c r="M14" s="408"/>
      <c r="N14" s="408"/>
      <c r="O14" s="408"/>
      <c r="P14" s="408"/>
    </row>
    <row r="15" spans="1:19" ht="18" customHeight="1" x14ac:dyDescent="0.2">
      <c r="A15" s="405" t="s">
        <v>284</v>
      </c>
      <c r="B15" s="405"/>
      <c r="C15" s="405"/>
      <c r="D15" s="405"/>
      <c r="E15" s="405"/>
      <c r="F15" s="405"/>
      <c r="G15" s="405"/>
      <c r="H15" s="405"/>
      <c r="I15" s="405"/>
      <c r="J15" s="405"/>
      <c r="K15" s="405"/>
      <c r="L15" s="405"/>
      <c r="M15" s="405"/>
      <c r="N15" s="405"/>
      <c r="O15" s="405"/>
      <c r="P15" s="405"/>
    </row>
    <row r="16" spans="1:19" ht="18" customHeight="1" x14ac:dyDescent="0.2">
      <c r="A16" s="393" t="s">
        <v>285</v>
      </c>
      <c r="B16" s="393"/>
      <c r="C16" s="393"/>
      <c r="D16" s="393"/>
      <c r="E16" s="393"/>
      <c r="F16" s="393"/>
      <c r="G16" s="393"/>
      <c r="H16" s="393"/>
      <c r="I16" s="393"/>
      <c r="J16" s="393"/>
      <c r="K16" s="393"/>
      <c r="L16" s="393"/>
      <c r="M16" s="393"/>
      <c r="N16" s="393"/>
      <c r="O16" s="393"/>
      <c r="P16" s="393"/>
    </row>
    <row r="17" spans="1:16" ht="57" customHeight="1" x14ac:dyDescent="0.2">
      <c r="A17" s="394" t="s">
        <v>286</v>
      </c>
      <c r="B17" s="394"/>
      <c r="C17" s="394"/>
      <c r="D17" s="394"/>
      <c r="E17" s="394"/>
      <c r="F17" s="394"/>
      <c r="G17" s="394"/>
      <c r="H17" s="394"/>
      <c r="I17" s="394"/>
      <c r="J17" s="394"/>
      <c r="K17" s="394"/>
      <c r="L17" s="394"/>
      <c r="M17" s="394"/>
      <c r="N17" s="394"/>
      <c r="O17" s="394"/>
      <c r="P17" s="394"/>
    </row>
    <row r="18" spans="1:16" ht="40.5" customHeight="1" x14ac:dyDescent="0.2">
      <c r="A18" s="395" t="s">
        <v>675</v>
      </c>
      <c r="B18" s="395"/>
      <c r="C18" s="395"/>
      <c r="D18" s="395"/>
      <c r="E18" s="395"/>
      <c r="F18" s="395"/>
      <c r="G18" s="395"/>
      <c r="H18" s="395"/>
      <c r="I18" s="395"/>
      <c r="J18" s="395"/>
      <c r="K18" s="395"/>
      <c r="L18" s="395"/>
      <c r="M18" s="395"/>
      <c r="N18" s="395"/>
      <c r="O18" s="395"/>
      <c r="P18" s="395"/>
    </row>
    <row r="19" spans="1:16" ht="49.5" customHeight="1" x14ac:dyDescent="0.2">
      <c r="A19" s="409" t="s">
        <v>676</v>
      </c>
      <c r="B19" s="409"/>
      <c r="C19" s="409"/>
      <c r="D19" s="409"/>
      <c r="E19" s="409"/>
      <c r="F19" s="409"/>
      <c r="G19" s="409"/>
      <c r="H19" s="409"/>
      <c r="I19" s="409"/>
      <c r="J19" s="409"/>
      <c r="K19" s="409"/>
      <c r="L19" s="409"/>
      <c r="M19" s="409"/>
      <c r="N19" s="409"/>
      <c r="O19" s="409"/>
      <c r="P19" s="409"/>
    </row>
    <row r="20" spans="1:16" ht="18" customHeight="1" x14ac:dyDescent="0.2"/>
    <row r="21" spans="1:16" ht="18" customHeight="1" x14ac:dyDescent="0.2"/>
    <row r="22" spans="1:16" ht="18" customHeight="1" x14ac:dyDescent="0.2"/>
    <row r="23" spans="1:16" ht="18" customHeight="1" x14ac:dyDescent="0.2"/>
    <row r="24" spans="1:16" ht="18" customHeight="1" x14ac:dyDescent="0.2"/>
    <row r="25" spans="1:16" ht="18" customHeight="1" x14ac:dyDescent="0.2"/>
    <row r="26" spans="1:16" ht="18" customHeight="1" x14ac:dyDescent="0.2"/>
    <row r="27" spans="1:16" ht="18" customHeight="1" x14ac:dyDescent="0.2"/>
    <row r="28" spans="1:16" ht="12.75" customHeight="1" x14ac:dyDescent="0.2"/>
    <row r="29" spans="1:16" ht="12.75" customHeight="1" x14ac:dyDescent="0.2"/>
    <row r="30" spans="1:16" ht="12.75" customHeight="1" x14ac:dyDescent="0.2"/>
    <row r="31" spans="1:16" ht="12.75" customHeight="1" x14ac:dyDescent="0.2"/>
    <row r="32" spans="1:1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sheetData>
  <sheetProtection selectLockedCells="1" selectUnlockedCells="1"/>
  <mergeCells count="16">
    <mergeCell ref="A1:P1"/>
    <mergeCell ref="A2:P2"/>
    <mergeCell ref="A3:P3"/>
    <mergeCell ref="A4:P4"/>
    <mergeCell ref="A5:P5"/>
    <mergeCell ref="I7:P7"/>
    <mergeCell ref="A8:A10"/>
    <mergeCell ref="A12:C12"/>
    <mergeCell ref="A14:B14"/>
    <mergeCell ref="E14:K14"/>
    <mergeCell ref="L14:P14"/>
    <mergeCell ref="A15:P15"/>
    <mergeCell ref="A16:P16"/>
    <mergeCell ref="A17:P17"/>
    <mergeCell ref="A18:P18"/>
    <mergeCell ref="A19:P19"/>
  </mergeCells>
  <printOptions horizontalCentered="1"/>
  <pageMargins left="0" right="0" top="0.39370078740157483" bottom="0" header="0" footer="0.51181102362204722"/>
  <pageSetup paperSize="9" scale="64" firstPageNumber="0" pageOrder="overThenDown" orientation="landscape"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Z986"/>
  <sheetViews>
    <sheetView showGridLines="0" topLeftCell="A60" zoomScaleNormal="100" workbookViewId="0">
      <selection activeCell="A63" sqref="A63:B63"/>
    </sheetView>
  </sheetViews>
  <sheetFormatPr defaultRowHeight="14.25" x14ac:dyDescent="0.2"/>
  <cols>
    <col min="1" max="1" width="20.5703125" style="51" customWidth="1"/>
    <col min="2" max="2" width="10.85546875" style="51" customWidth="1"/>
    <col min="3" max="3" width="19.5703125" style="51" customWidth="1"/>
    <col min="4" max="4" width="19" style="51" customWidth="1"/>
    <col min="5" max="5" width="17.42578125" style="51" customWidth="1"/>
    <col min="6" max="6" width="16.85546875" style="51" customWidth="1"/>
    <col min="7" max="7" width="15.42578125" style="51" customWidth="1"/>
    <col min="8" max="8" width="13" style="51" customWidth="1"/>
    <col min="9" max="9" width="21.85546875" style="51" customWidth="1"/>
    <col min="10" max="10" width="20.7109375" style="51" customWidth="1"/>
    <col min="11" max="11" width="11.140625" style="51" customWidth="1"/>
    <col min="12" max="12" width="11.28515625" style="51" customWidth="1"/>
    <col min="13" max="26" width="8" style="51" customWidth="1"/>
    <col min="27" max="1025" width="14.42578125" style="51" customWidth="1"/>
    <col min="1026" max="16384" width="9.140625" style="51"/>
  </cols>
  <sheetData>
    <row r="1" spans="1:26" ht="15" x14ac:dyDescent="0.2">
      <c r="A1" s="402" t="s">
        <v>0</v>
      </c>
      <c r="B1" s="402"/>
      <c r="C1" s="402"/>
      <c r="D1" s="402"/>
      <c r="E1" s="402"/>
      <c r="F1" s="402"/>
      <c r="G1" s="402"/>
      <c r="H1" s="402"/>
      <c r="I1" s="402"/>
      <c r="J1" s="402"/>
    </row>
    <row r="2" spans="1:26" ht="15" x14ac:dyDescent="0.2">
      <c r="A2" s="402" t="s">
        <v>1</v>
      </c>
      <c r="B2" s="402"/>
      <c r="C2" s="402"/>
      <c r="D2" s="402"/>
      <c r="E2" s="402"/>
      <c r="F2" s="402"/>
      <c r="G2" s="402"/>
      <c r="H2" s="402"/>
      <c r="I2" s="402"/>
      <c r="J2" s="402"/>
    </row>
    <row r="3" spans="1:26" ht="15" x14ac:dyDescent="0.2">
      <c r="A3" s="402" t="s">
        <v>2</v>
      </c>
      <c r="B3" s="402"/>
      <c r="C3" s="402"/>
      <c r="D3" s="402"/>
      <c r="E3" s="402"/>
      <c r="F3" s="402"/>
      <c r="G3" s="402"/>
      <c r="H3" s="402"/>
      <c r="I3" s="402"/>
      <c r="J3" s="402"/>
    </row>
    <row r="4" spans="1:26" ht="15" x14ac:dyDescent="0.2">
      <c r="A4" s="403" t="str">
        <f>'1. SAn ABA DE CARREGAMENTO'!A4</f>
        <v>CAMPUS SANTO ÂNGELO</v>
      </c>
      <c r="B4" s="403"/>
      <c r="C4" s="403"/>
      <c r="D4" s="403"/>
      <c r="E4" s="403"/>
      <c r="F4" s="403"/>
      <c r="G4" s="403"/>
      <c r="H4" s="403"/>
      <c r="I4" s="403"/>
      <c r="J4" s="403"/>
    </row>
    <row r="5" spans="1:26" ht="20.25" customHeight="1" x14ac:dyDescent="0.2">
      <c r="A5" s="404" t="s">
        <v>297</v>
      </c>
      <c r="B5" s="404"/>
      <c r="C5" s="404"/>
      <c r="D5" s="404"/>
      <c r="E5" s="404"/>
      <c r="F5" s="404"/>
      <c r="G5" s="404"/>
      <c r="H5" s="404"/>
      <c r="I5" s="404"/>
      <c r="J5" s="404"/>
      <c r="K5" s="52"/>
      <c r="L5" s="52"/>
      <c r="M5" s="52"/>
      <c r="N5" s="52"/>
      <c r="O5" s="52"/>
      <c r="P5" s="52"/>
      <c r="Q5" s="52"/>
      <c r="R5" s="52"/>
      <c r="S5" s="52"/>
      <c r="T5" s="52"/>
      <c r="U5" s="52"/>
      <c r="V5" s="52"/>
      <c r="W5" s="52"/>
      <c r="X5" s="52"/>
      <c r="Y5" s="52"/>
      <c r="Z5" s="52"/>
    </row>
    <row r="6" spans="1:26" ht="9.9499999999999993" customHeight="1" x14ac:dyDescent="0.2"/>
    <row r="7" spans="1:26" ht="20.25" customHeight="1" x14ac:dyDescent="0.2">
      <c r="A7" s="419" t="s">
        <v>642</v>
      </c>
      <c r="B7" s="419"/>
      <c r="C7" s="419"/>
      <c r="D7" s="419"/>
      <c r="E7" s="419"/>
      <c r="F7" s="419"/>
      <c r="G7" s="419"/>
      <c r="H7" s="419"/>
      <c r="I7" s="419"/>
      <c r="J7" s="419"/>
    </row>
    <row r="8" spans="1:26" ht="9.9499999999999993" customHeight="1" x14ac:dyDescent="0.2"/>
    <row r="9" spans="1:26" ht="17.25" customHeight="1" x14ac:dyDescent="0.2">
      <c r="A9" s="419" t="s">
        <v>298</v>
      </c>
      <c r="B9" s="419"/>
      <c r="C9" s="419"/>
      <c r="D9" s="508" t="s">
        <v>299</v>
      </c>
      <c r="E9" s="508"/>
      <c r="F9" s="508"/>
      <c r="G9" s="508"/>
      <c r="H9" s="508"/>
      <c r="I9" s="509" t="str">
        <f>'1. SAn ABA DE CARREGAMENTO'!A4</f>
        <v>CAMPUS SANTO ÂNGELO</v>
      </c>
      <c r="J9" s="509"/>
    </row>
    <row r="10" spans="1:26" ht="17.25" customHeight="1" x14ac:dyDescent="0.2">
      <c r="A10" s="419"/>
      <c r="B10" s="419"/>
      <c r="C10" s="419"/>
      <c r="D10" s="510" t="s">
        <v>300</v>
      </c>
      <c r="E10" s="510"/>
      <c r="F10" s="510"/>
      <c r="G10" s="113">
        <f>'4. SAn Cál DEMO Limpeza Geral'!D25</f>
        <v>11250.360000000002</v>
      </c>
      <c r="H10" s="5" t="s">
        <v>301</v>
      </c>
      <c r="I10" s="511" t="s">
        <v>302</v>
      </c>
      <c r="J10" s="511"/>
    </row>
    <row r="11" spans="1:26" ht="17.25" customHeight="1" x14ac:dyDescent="0.2">
      <c r="A11" s="53" t="s">
        <v>303</v>
      </c>
      <c r="B11" s="500" t="str">
        <f>'1. SAn ABA DE CARREGAMENTO'!B11</f>
        <v>23243.000810-2021-41</v>
      </c>
      <c r="C11" s="500"/>
      <c r="D11" s="53" t="s">
        <v>304</v>
      </c>
      <c r="E11" s="501" t="str">
        <f>'1. SAn ABA DE CARREGAMENTO'!B12</f>
        <v>33 / 2021</v>
      </c>
      <c r="F11" s="501"/>
      <c r="G11" s="53" t="s">
        <v>12</v>
      </c>
      <c r="H11" s="54">
        <f>'1. SAn ABA DE CARREGAMENTO'!B13</f>
        <v>0</v>
      </c>
      <c r="I11" s="55" t="s">
        <v>13</v>
      </c>
      <c r="J11" s="56" t="str">
        <f>'1. SAn ABA DE CARREGAMENTO'!B14</f>
        <v>09h (Horário de Brasília)</v>
      </c>
    </row>
    <row r="12" spans="1:26" ht="17.25" customHeight="1" x14ac:dyDescent="0.2">
      <c r="A12" s="57" t="s">
        <v>14</v>
      </c>
      <c r="B12" s="502" t="str">
        <f>'1. SAn ABA DE CARREGAMENTO'!B15</f>
        <v>xxxx xxxx xxxx</v>
      </c>
      <c r="C12" s="502"/>
      <c r="D12" s="502"/>
      <c r="E12" s="502"/>
      <c r="F12" s="502"/>
      <c r="G12" s="502"/>
      <c r="H12" s="58" t="s">
        <v>305</v>
      </c>
      <c r="I12" s="503" t="str">
        <f>'1. SAn ABA DE CARREGAMENTO'!B16</f>
        <v>zz.zzz.zzz/zzzz-zz</v>
      </c>
      <c r="J12" s="503"/>
    </row>
    <row r="13" spans="1:26" ht="17.25" customHeight="1" x14ac:dyDescent="0.2">
      <c r="A13" s="57" t="s">
        <v>306</v>
      </c>
      <c r="B13" s="502" t="str">
        <f>'1. SAn ABA DE CARREGAMENTO'!B17</f>
        <v>Nome Completo</v>
      </c>
      <c r="C13" s="502"/>
      <c r="D13" s="502"/>
      <c r="E13" s="57" t="s">
        <v>307</v>
      </c>
      <c r="F13" s="504" t="str">
        <f>'1. SAn ABA DE CARREGAMENTO'!B18</f>
        <v>yyy.yyy.yyy-yy</v>
      </c>
      <c r="G13" s="504"/>
      <c r="H13" s="57" t="s">
        <v>308</v>
      </c>
      <c r="I13" s="505" t="str">
        <f>'1. SAn ABA DE CARREGAMENTO'!B19</f>
        <v>tttt tttt tttt</v>
      </c>
      <c r="J13" s="505"/>
    </row>
    <row r="14" spans="1:26" ht="17.25" customHeight="1" x14ac:dyDescent="0.2">
      <c r="A14" s="506" t="str">
        <f>IF('1. SAn ABA DE CARREGAMENTO'!B15="","PLANILHA CUSTOS E FORMAÇÃO DE PREÇOS DA ADMINISTRAÇÃO DO","")</f>
        <v/>
      </c>
      <c r="B14" s="506"/>
      <c r="C14" s="506"/>
      <c r="D14" s="506"/>
      <c r="E14" s="506"/>
      <c r="F14" s="506"/>
      <c r="G14" s="506"/>
      <c r="H14" s="507" t="str">
        <f>IF('1. SAn ABA DE CARREGAMENTO'!B15="",'1. SAn ABA DE CARREGAMENTO'!A4,"")</f>
        <v/>
      </c>
      <c r="I14" s="507"/>
      <c r="J14" s="507"/>
    </row>
    <row r="15" spans="1:26" ht="28.5" customHeight="1" x14ac:dyDescent="0.2">
      <c r="A15" s="499" t="s">
        <v>638</v>
      </c>
      <c r="B15" s="499"/>
      <c r="C15" s="499"/>
      <c r="D15" s="499"/>
      <c r="E15" s="499"/>
      <c r="F15" s="499"/>
      <c r="G15" s="499"/>
      <c r="H15" s="21">
        <f>'1. SAn ABA DE CARREGAMENTO'!B51</f>
        <v>1</v>
      </c>
      <c r="I15" s="497" t="str">
        <f>IF(H15=1,"LUCRO REAL",IF(H15=2,"LUCRO PRESUMIDO",IF(H15=3,"SIMPLES-Anexo III",IF(H15=4,"SIMPLES-Anexo IV",IF(H15=5,"LUCRO REAL - PIS/COFINS Não Cumulativo","RT Inválido")))))</f>
        <v>LUCRO REAL</v>
      </c>
      <c r="J15" s="497"/>
    </row>
    <row r="16" spans="1:26" ht="17.25" customHeight="1" x14ac:dyDescent="0.2">
      <c r="A16" s="6"/>
      <c r="B16" s="6"/>
      <c r="C16" s="6"/>
      <c r="D16" s="6"/>
      <c r="E16" s="6"/>
      <c r="F16" s="6"/>
      <c r="G16" s="6"/>
      <c r="H16" s="6"/>
      <c r="I16" s="6"/>
      <c r="J16" s="6"/>
      <c r="K16" s="52"/>
      <c r="L16" s="52"/>
      <c r="M16" s="52"/>
      <c r="N16" s="52"/>
      <c r="O16" s="52"/>
      <c r="P16" s="52"/>
      <c r="Q16" s="52"/>
      <c r="R16" s="52"/>
      <c r="S16" s="52"/>
      <c r="T16" s="52"/>
      <c r="U16" s="52"/>
      <c r="V16" s="52"/>
      <c r="W16" s="52"/>
      <c r="X16" s="52"/>
      <c r="Y16" s="52"/>
      <c r="Z16" s="52"/>
    </row>
    <row r="17" spans="1:26" ht="17.25" customHeight="1" x14ac:dyDescent="0.2">
      <c r="A17" s="419" t="s">
        <v>309</v>
      </c>
      <c r="B17" s="419"/>
      <c r="C17" s="419"/>
      <c r="D17" s="419"/>
      <c r="E17" s="419"/>
      <c r="F17" s="419"/>
      <c r="G17" s="419"/>
      <c r="H17" s="419"/>
      <c r="I17" s="419"/>
      <c r="J17" s="419"/>
    </row>
    <row r="18" spans="1:26" ht="17.25" customHeight="1" x14ac:dyDescent="0.2">
      <c r="A18" s="22" t="s">
        <v>310</v>
      </c>
      <c r="B18" s="449" t="s">
        <v>311</v>
      </c>
      <c r="C18" s="449"/>
      <c r="D18" s="449"/>
      <c r="E18" s="449"/>
      <c r="F18" s="449"/>
      <c r="G18" s="449"/>
      <c r="H18" s="498">
        <f ca="1">'1. SAn ABA DE CARREGAMENTO'!B54</f>
        <v>44609</v>
      </c>
      <c r="I18" s="498"/>
      <c r="J18" s="498"/>
    </row>
    <row r="19" spans="1:26" ht="17.25" customHeight="1" x14ac:dyDescent="0.2">
      <c r="A19" s="22" t="s">
        <v>312</v>
      </c>
      <c r="B19" s="449" t="s">
        <v>57</v>
      </c>
      <c r="C19" s="449"/>
      <c r="D19" s="449"/>
      <c r="E19" s="449"/>
      <c r="F19" s="449"/>
      <c r="G19" s="449"/>
      <c r="H19" s="498" t="str">
        <f>'1. SAn ABA DE CARREGAMENTO'!B55</f>
        <v>Santo Ângelo/RS</v>
      </c>
      <c r="I19" s="498"/>
      <c r="J19" s="498"/>
    </row>
    <row r="20" spans="1:26" ht="30.75" customHeight="1" x14ac:dyDescent="0.2">
      <c r="A20" s="22" t="s">
        <v>313</v>
      </c>
      <c r="B20" s="449" t="s">
        <v>314</v>
      </c>
      <c r="C20" s="449"/>
      <c r="D20" s="449"/>
      <c r="E20" s="449"/>
      <c r="F20" s="449"/>
      <c r="G20" s="449"/>
      <c r="H20" s="498" t="str">
        <f>'1. SAn ABA DE CARREGAMENTO'!B56</f>
        <v>CCT Sindasseio 2022/2022 - Registro MTE: RS005021/2022</v>
      </c>
      <c r="I20" s="498"/>
      <c r="J20" s="498"/>
    </row>
    <row r="21" spans="1:26" ht="17.25" customHeight="1" x14ac:dyDescent="0.2">
      <c r="A21" s="22" t="s">
        <v>315</v>
      </c>
      <c r="B21" s="449" t="s">
        <v>316</v>
      </c>
      <c r="C21" s="449"/>
      <c r="D21" s="449"/>
      <c r="E21" s="449"/>
      <c r="F21" s="449"/>
      <c r="G21" s="449"/>
      <c r="H21" s="496">
        <f>'1. SAn ABA DE CARREGAMENTO'!B57</f>
        <v>20</v>
      </c>
      <c r="I21" s="496"/>
      <c r="J21" s="496"/>
    </row>
    <row r="22" spans="1:26" ht="17.25" customHeight="1" x14ac:dyDescent="0.2">
      <c r="A22" s="6"/>
      <c r="B22" s="6"/>
      <c r="C22" s="6"/>
      <c r="D22" s="6"/>
      <c r="E22" s="6"/>
      <c r="F22" s="6"/>
      <c r="G22" s="6"/>
      <c r="H22" s="6"/>
      <c r="I22" s="6"/>
      <c r="J22" s="6"/>
      <c r="K22" s="52"/>
      <c r="L22" s="52"/>
      <c r="M22" s="52"/>
      <c r="N22" s="52"/>
      <c r="O22" s="52"/>
      <c r="P22" s="52"/>
      <c r="Q22" s="52"/>
      <c r="R22" s="52"/>
      <c r="S22" s="52"/>
      <c r="T22" s="52"/>
      <c r="U22" s="52"/>
      <c r="V22" s="52"/>
      <c r="W22" s="52"/>
      <c r="X22" s="52"/>
      <c r="Y22" s="52"/>
      <c r="Z22" s="52"/>
    </row>
    <row r="23" spans="1:26" ht="17.25" customHeight="1" x14ac:dyDescent="0.2">
      <c r="A23" s="419" t="s">
        <v>317</v>
      </c>
      <c r="B23" s="419"/>
      <c r="C23" s="419"/>
      <c r="D23" s="419"/>
      <c r="E23" s="419"/>
      <c r="F23" s="419"/>
      <c r="G23" s="419"/>
      <c r="H23" s="419"/>
      <c r="I23" s="419"/>
      <c r="J23" s="419"/>
    </row>
    <row r="24" spans="1:26" ht="17.25" customHeight="1" x14ac:dyDescent="0.2">
      <c r="A24" s="474" t="s">
        <v>318</v>
      </c>
      <c r="B24" s="474"/>
      <c r="C24" s="474"/>
      <c r="D24" s="474"/>
      <c r="E24" s="474"/>
      <c r="F24" s="474"/>
      <c r="G24" s="474" t="s">
        <v>319</v>
      </c>
      <c r="H24" s="474"/>
      <c r="I24" s="474" t="s">
        <v>320</v>
      </c>
      <c r="J24" s="474"/>
    </row>
    <row r="25" spans="1:26" ht="17.25" customHeight="1" x14ac:dyDescent="0.2">
      <c r="A25" s="429" t="s">
        <v>321</v>
      </c>
      <c r="B25" s="429"/>
      <c r="C25" s="429"/>
      <c r="D25" s="429"/>
      <c r="E25" s="429"/>
      <c r="F25" s="429"/>
      <c r="G25" s="492" t="s">
        <v>322</v>
      </c>
      <c r="H25" s="492"/>
      <c r="I25" s="495">
        <f>'4. SAn Cál DEMO Limpeza Geral'!D8</f>
        <v>0</v>
      </c>
      <c r="J25" s="495"/>
    </row>
    <row r="26" spans="1:26" ht="17.25" customHeight="1" x14ac:dyDescent="0.2">
      <c r="A26" s="429" t="s">
        <v>323</v>
      </c>
      <c r="B26" s="429"/>
      <c r="C26" s="429"/>
      <c r="D26" s="429"/>
      <c r="E26" s="429"/>
      <c r="F26" s="429"/>
      <c r="G26" s="492" t="s">
        <v>322</v>
      </c>
      <c r="H26" s="492"/>
      <c r="I26" s="495">
        <f>'4. SAn Cál DEMO Limpeza Geral'!D9</f>
        <v>7033.02</v>
      </c>
      <c r="J26" s="495"/>
    </row>
    <row r="27" spans="1:26" ht="17.25" customHeight="1" x14ac:dyDescent="0.2">
      <c r="A27" s="429" t="s">
        <v>324</v>
      </c>
      <c r="B27" s="429"/>
      <c r="C27" s="429"/>
      <c r="D27" s="429"/>
      <c r="E27" s="429"/>
      <c r="F27" s="429"/>
      <c r="G27" s="492" t="s">
        <v>322</v>
      </c>
      <c r="H27" s="492"/>
      <c r="I27" s="495">
        <f>'4. SAn Cál DEMO Limpeza Geral'!D10</f>
        <v>0</v>
      </c>
      <c r="J27" s="495"/>
    </row>
    <row r="28" spans="1:26" ht="17.25" customHeight="1" x14ac:dyDescent="0.2">
      <c r="A28" s="429" t="s">
        <v>325</v>
      </c>
      <c r="B28" s="429"/>
      <c r="C28" s="429"/>
      <c r="D28" s="429"/>
      <c r="E28" s="429"/>
      <c r="F28" s="429"/>
      <c r="G28" s="492" t="s">
        <v>322</v>
      </c>
      <c r="H28" s="492"/>
      <c r="I28" s="495">
        <f>'4. SAn Cál DEMO Limpeza Geral'!D11</f>
        <v>20.11</v>
      </c>
      <c r="J28" s="495"/>
    </row>
    <row r="29" spans="1:26" ht="17.25" customHeight="1" x14ac:dyDescent="0.2">
      <c r="A29" s="429" t="s">
        <v>326</v>
      </c>
      <c r="B29" s="429"/>
      <c r="C29" s="429"/>
      <c r="D29" s="429"/>
      <c r="E29" s="429"/>
      <c r="F29" s="429"/>
      <c r="G29" s="492" t="s">
        <v>322</v>
      </c>
      <c r="H29" s="492"/>
      <c r="I29" s="495">
        <f>'4. SAn Cál DEMO Limpeza Geral'!D12</f>
        <v>0</v>
      </c>
      <c r="J29" s="495"/>
    </row>
    <row r="30" spans="1:26" ht="17.25" customHeight="1" x14ac:dyDescent="0.2">
      <c r="A30" s="429" t="s">
        <v>327</v>
      </c>
      <c r="B30" s="429"/>
      <c r="C30" s="429"/>
      <c r="D30" s="429"/>
      <c r="E30" s="429"/>
      <c r="F30" s="429"/>
      <c r="G30" s="492" t="s">
        <v>322</v>
      </c>
      <c r="H30" s="492"/>
      <c r="I30" s="495">
        <f>'4. SAn Cál DEMO Limpeza Geral'!D13</f>
        <v>3356.8600000000006</v>
      </c>
      <c r="J30" s="495"/>
    </row>
    <row r="31" spans="1:26" ht="17.25" customHeight="1" x14ac:dyDescent="0.2">
      <c r="A31" s="429" t="s">
        <v>630</v>
      </c>
      <c r="B31" s="429"/>
      <c r="C31" s="429"/>
      <c r="D31" s="429"/>
      <c r="E31" s="429"/>
      <c r="F31" s="429"/>
      <c r="G31" s="492" t="s">
        <v>322</v>
      </c>
      <c r="H31" s="492"/>
      <c r="I31" s="494">
        <f>'4. SAn Cál DEMO Limpeza Geral'!D14</f>
        <v>0</v>
      </c>
      <c r="J31" s="494"/>
    </row>
    <row r="32" spans="1:26" ht="17.25" customHeight="1" x14ac:dyDescent="0.2">
      <c r="A32" s="429" t="s">
        <v>631</v>
      </c>
      <c r="B32" s="429"/>
      <c r="C32" s="429"/>
      <c r="D32" s="429"/>
      <c r="E32" s="429"/>
      <c r="F32" s="429"/>
      <c r="G32" s="492" t="s">
        <v>322</v>
      </c>
      <c r="H32" s="492"/>
      <c r="I32" s="494">
        <f>'4. SAn Cál DEMO Limpeza Geral'!D15</f>
        <v>0</v>
      </c>
      <c r="J32" s="494"/>
    </row>
    <row r="33" spans="1:10" ht="17.25" customHeight="1" x14ac:dyDescent="0.2">
      <c r="A33" s="489" t="s">
        <v>328</v>
      </c>
      <c r="B33" s="489"/>
      <c r="C33" s="489"/>
      <c r="D33" s="489"/>
      <c r="E33" s="489"/>
      <c r="F33" s="489"/>
      <c r="G33" s="489"/>
      <c r="H33" s="489"/>
      <c r="I33" s="490">
        <f>SUM(I25:J32)</f>
        <v>10409.990000000002</v>
      </c>
      <c r="J33" s="490"/>
    </row>
    <row r="34" spans="1:10" ht="17.25" customHeight="1" x14ac:dyDescent="0.2">
      <c r="A34" s="429" t="s">
        <v>329</v>
      </c>
      <c r="B34" s="429"/>
      <c r="C34" s="429"/>
      <c r="D34" s="429"/>
      <c r="E34" s="429"/>
      <c r="F34" s="429"/>
      <c r="G34" s="492" t="s">
        <v>322</v>
      </c>
      <c r="H34" s="492"/>
      <c r="I34" s="494">
        <f>'4. SAn Cál DEMO Limpeza Geral'!D16</f>
        <v>0</v>
      </c>
      <c r="J34" s="494"/>
    </row>
    <row r="35" spans="1:10" ht="17.25" customHeight="1" x14ac:dyDescent="0.2">
      <c r="A35" s="429" t="s">
        <v>330</v>
      </c>
      <c r="B35" s="429"/>
      <c r="C35" s="429"/>
      <c r="D35" s="429"/>
      <c r="E35" s="429"/>
      <c r="F35" s="429"/>
      <c r="G35" s="492" t="s">
        <v>322</v>
      </c>
      <c r="H35" s="492"/>
      <c r="I35" s="494">
        <f>'4. SAn Cál DEMO Limpeza Geral'!D17</f>
        <v>0</v>
      </c>
      <c r="J35" s="494"/>
    </row>
    <row r="36" spans="1:10" ht="17.25" customHeight="1" x14ac:dyDescent="0.2">
      <c r="A36" s="429" t="s">
        <v>331</v>
      </c>
      <c r="B36" s="429"/>
      <c r="C36" s="429"/>
      <c r="D36" s="429"/>
      <c r="E36" s="429"/>
      <c r="F36" s="429"/>
      <c r="G36" s="492" t="s">
        <v>322</v>
      </c>
      <c r="H36" s="492"/>
      <c r="I36" s="494">
        <f>'4. SAn Cál DEMO Limpeza Geral'!D18</f>
        <v>0</v>
      </c>
      <c r="J36" s="494"/>
    </row>
    <row r="37" spans="1:10" ht="17.25" customHeight="1" x14ac:dyDescent="0.2">
      <c r="A37" s="429" t="s">
        <v>332</v>
      </c>
      <c r="B37" s="429"/>
      <c r="C37" s="429"/>
      <c r="D37" s="429"/>
      <c r="E37" s="429"/>
      <c r="F37" s="429"/>
      <c r="G37" s="492" t="s">
        <v>322</v>
      </c>
      <c r="H37" s="492"/>
      <c r="I37" s="494">
        <f>'4. SAn Cál DEMO Limpeza Geral'!D19</f>
        <v>538</v>
      </c>
      <c r="J37" s="494"/>
    </row>
    <row r="38" spans="1:10" ht="17.25" customHeight="1" x14ac:dyDescent="0.2">
      <c r="A38" s="429" t="s">
        <v>333</v>
      </c>
      <c r="B38" s="429"/>
      <c r="C38" s="429"/>
      <c r="D38" s="429"/>
      <c r="E38" s="429"/>
      <c r="F38" s="429"/>
      <c r="G38" s="492" t="s">
        <v>322</v>
      </c>
      <c r="H38" s="492"/>
      <c r="I38" s="494">
        <f>'4. SAn Cál DEMO Limpeza Geral'!D20</f>
        <v>0</v>
      </c>
      <c r="J38" s="494"/>
    </row>
    <row r="39" spans="1:10" ht="17.25" customHeight="1" x14ac:dyDescent="0.2">
      <c r="A39" s="429" t="s">
        <v>334</v>
      </c>
      <c r="B39" s="429"/>
      <c r="C39" s="429"/>
      <c r="D39" s="429"/>
      <c r="E39" s="429"/>
      <c r="F39" s="429"/>
      <c r="G39" s="492" t="s">
        <v>322</v>
      </c>
      <c r="H39" s="492"/>
      <c r="I39" s="494">
        <f>'4. SAn Cál DEMO Limpeza Geral'!D21</f>
        <v>0</v>
      </c>
      <c r="J39" s="494"/>
    </row>
    <row r="40" spans="1:10" ht="17.25" customHeight="1" x14ac:dyDescent="0.2">
      <c r="A40" s="429" t="s">
        <v>335</v>
      </c>
      <c r="B40" s="429"/>
      <c r="C40" s="429"/>
      <c r="D40" s="429"/>
      <c r="E40" s="429"/>
      <c r="F40" s="429"/>
      <c r="G40" s="492" t="s">
        <v>322</v>
      </c>
      <c r="H40" s="492"/>
      <c r="I40" s="494">
        <f>'4. SAn Cál DEMO Limpeza Geral'!D22</f>
        <v>0</v>
      </c>
      <c r="J40" s="494"/>
    </row>
    <row r="41" spans="1:10" ht="17.25" customHeight="1" x14ac:dyDescent="0.2">
      <c r="A41" s="429" t="s">
        <v>336</v>
      </c>
      <c r="B41" s="429"/>
      <c r="C41" s="429"/>
      <c r="D41" s="429"/>
      <c r="E41" s="429"/>
      <c r="F41" s="429"/>
      <c r="G41" s="492" t="s">
        <v>322</v>
      </c>
      <c r="H41" s="492"/>
      <c r="I41" s="494">
        <f>'4. SAn Cál DEMO Limpeza Geral'!D23</f>
        <v>0</v>
      </c>
      <c r="J41" s="494"/>
    </row>
    <row r="42" spans="1:10" ht="17.25" customHeight="1" x14ac:dyDescent="0.2">
      <c r="A42" s="489" t="s">
        <v>337</v>
      </c>
      <c r="B42" s="489"/>
      <c r="C42" s="489"/>
      <c r="D42" s="489"/>
      <c r="E42" s="489"/>
      <c r="F42" s="489"/>
      <c r="G42" s="489"/>
      <c r="H42" s="489"/>
      <c r="I42" s="490">
        <f>SUM(I34:J41)</f>
        <v>538</v>
      </c>
      <c r="J42" s="490"/>
    </row>
    <row r="43" spans="1:10" ht="17.25" customHeight="1" x14ac:dyDescent="0.2">
      <c r="A43" s="429" t="s">
        <v>338</v>
      </c>
      <c r="B43" s="429"/>
      <c r="C43" s="429"/>
      <c r="D43" s="429"/>
      <c r="E43" s="429"/>
      <c r="F43" s="429"/>
      <c r="G43" s="492" t="s">
        <v>322</v>
      </c>
      <c r="H43" s="492"/>
      <c r="I43" s="493">
        <f>'4. SAn Cál DEMO Limpeza Geral'!D24</f>
        <v>302.37</v>
      </c>
      <c r="J43" s="493"/>
    </row>
    <row r="44" spans="1:10" ht="17.25" customHeight="1" x14ac:dyDescent="0.2">
      <c r="A44" s="489" t="s">
        <v>339</v>
      </c>
      <c r="B44" s="489"/>
      <c r="C44" s="489"/>
      <c r="D44" s="489"/>
      <c r="E44" s="489"/>
      <c r="F44" s="489"/>
      <c r="G44" s="489"/>
      <c r="H44" s="489"/>
      <c r="I44" s="490">
        <f>I43</f>
        <v>302.37</v>
      </c>
      <c r="J44" s="490"/>
    </row>
    <row r="45" spans="1:10" ht="17.25" customHeight="1" x14ac:dyDescent="0.2">
      <c r="A45" s="429" t="s">
        <v>340</v>
      </c>
      <c r="B45" s="429"/>
      <c r="C45" s="429"/>
      <c r="D45" s="429"/>
      <c r="E45" s="429"/>
      <c r="F45" s="429"/>
      <c r="G45" s="492" t="s">
        <v>322</v>
      </c>
      <c r="H45" s="492"/>
      <c r="I45" s="493">
        <v>0</v>
      </c>
      <c r="J45" s="493"/>
    </row>
    <row r="46" spans="1:10" ht="17.25" customHeight="1" x14ac:dyDescent="0.2">
      <c r="A46" s="489" t="s">
        <v>341</v>
      </c>
      <c r="B46" s="489"/>
      <c r="C46" s="489"/>
      <c r="D46" s="489"/>
      <c r="E46" s="489"/>
      <c r="F46" s="489"/>
      <c r="G46" s="489"/>
      <c r="H46" s="489"/>
      <c r="I46" s="490">
        <v>0</v>
      </c>
      <c r="J46" s="490"/>
    </row>
    <row r="47" spans="1:10" ht="17.25" customHeight="1" x14ac:dyDescent="0.2">
      <c r="A47" s="489" t="s">
        <v>342</v>
      </c>
      <c r="B47" s="489"/>
      <c r="C47" s="489"/>
      <c r="D47" s="489"/>
      <c r="E47" s="489"/>
      <c r="F47" s="489"/>
      <c r="G47" s="489"/>
      <c r="H47" s="489"/>
      <c r="I47" s="490">
        <f>I46+I44+I42+I33</f>
        <v>11250.360000000002</v>
      </c>
      <c r="J47" s="490"/>
    </row>
    <row r="48" spans="1:10" ht="17.25" customHeight="1" x14ac:dyDescent="0.2">
      <c r="A48" s="491"/>
      <c r="B48" s="491"/>
      <c r="C48" s="491"/>
      <c r="D48" s="491"/>
      <c r="E48" s="491"/>
      <c r="F48" s="491"/>
      <c r="G48" s="491"/>
      <c r="H48" s="491"/>
      <c r="I48" s="491"/>
      <c r="J48" s="491"/>
    </row>
    <row r="49" spans="1:10" ht="17.25" customHeight="1" x14ac:dyDescent="0.2">
      <c r="A49" s="419" t="s">
        <v>343</v>
      </c>
      <c r="B49" s="419"/>
      <c r="C49" s="419"/>
      <c r="D49" s="419"/>
      <c r="E49" s="419"/>
      <c r="F49" s="419"/>
      <c r="G49" s="419"/>
      <c r="H49" s="419"/>
      <c r="I49" s="419"/>
      <c r="J49" s="419"/>
    </row>
    <row r="50" spans="1:10" ht="17.25" customHeight="1" x14ac:dyDescent="0.2">
      <c r="A50" s="419" t="s">
        <v>344</v>
      </c>
      <c r="B50" s="419"/>
      <c r="C50" s="419"/>
      <c r="D50" s="419"/>
      <c r="E50" s="419"/>
      <c r="F50" s="419"/>
      <c r="G50" s="419"/>
      <c r="H50" s="419"/>
      <c r="I50" s="419"/>
      <c r="J50" s="419"/>
    </row>
    <row r="51" spans="1:10" ht="17.25" customHeight="1" x14ac:dyDescent="0.2">
      <c r="A51" s="419" t="s">
        <v>345</v>
      </c>
      <c r="B51" s="419"/>
      <c r="C51" s="419"/>
      <c r="D51" s="419"/>
      <c r="E51" s="419"/>
      <c r="F51" s="419"/>
      <c r="G51" s="419"/>
      <c r="H51" s="419"/>
      <c r="I51" s="419"/>
      <c r="J51" s="419"/>
    </row>
    <row r="52" spans="1:10" ht="17.25" customHeight="1" x14ac:dyDescent="0.2">
      <c r="A52" s="59">
        <v>1</v>
      </c>
      <c r="B52" s="484" t="s">
        <v>62</v>
      </c>
      <c r="C52" s="484"/>
      <c r="D52" s="484"/>
      <c r="E52" s="484"/>
      <c r="F52" s="484"/>
      <c r="G52" s="484"/>
      <c r="H52" s="485" t="str">
        <f>'1. SAn ABA DE CARREGAMENTO'!B60</f>
        <v>Limpeza, Asseio e Conservação</v>
      </c>
      <c r="I52" s="485"/>
      <c r="J52" s="485"/>
    </row>
    <row r="53" spans="1:10" ht="17.25" customHeight="1" x14ac:dyDescent="0.2">
      <c r="A53" s="59">
        <v>2</v>
      </c>
      <c r="B53" s="484" t="s">
        <v>64</v>
      </c>
      <c r="C53" s="484"/>
      <c r="D53" s="484"/>
      <c r="E53" s="484"/>
      <c r="F53" s="484"/>
      <c r="G53" s="484"/>
      <c r="H53" s="485">
        <f>'1. SAn ABA DE CARREGAMENTO'!C61</f>
        <v>5143</v>
      </c>
      <c r="I53" s="485"/>
      <c r="J53" s="485"/>
    </row>
    <row r="54" spans="1:10" ht="17.25" customHeight="1" x14ac:dyDescent="0.2">
      <c r="A54" s="59">
        <v>3</v>
      </c>
      <c r="B54" s="484" t="s">
        <v>66</v>
      </c>
      <c r="C54" s="484"/>
      <c r="D54" s="484"/>
      <c r="E54" s="484"/>
      <c r="F54" s="484"/>
      <c r="G54" s="484"/>
      <c r="H54" s="486">
        <f>'1. SAn ABA DE CARREGAMENTO'!C63</f>
        <v>1314.09</v>
      </c>
      <c r="I54" s="486"/>
      <c r="J54" s="486"/>
    </row>
    <row r="55" spans="1:10" ht="17.25" customHeight="1" x14ac:dyDescent="0.2">
      <c r="A55" s="59">
        <v>4</v>
      </c>
      <c r="B55" s="484" t="s">
        <v>67</v>
      </c>
      <c r="C55" s="484"/>
      <c r="D55" s="484"/>
      <c r="E55" s="484"/>
      <c r="F55" s="484"/>
      <c r="G55" s="484"/>
      <c r="H55" s="485" t="str">
        <f>'1. SAn ABA DE CARREGAMENTO'!C64</f>
        <v>Servente de Limpeza</v>
      </c>
      <c r="I55" s="485"/>
      <c r="J55" s="485"/>
    </row>
    <row r="56" spans="1:10" ht="17.25" customHeight="1" x14ac:dyDescent="0.2">
      <c r="A56" s="59">
        <v>5</v>
      </c>
      <c r="B56" s="484" t="s">
        <v>69</v>
      </c>
      <c r="C56" s="484"/>
      <c r="D56" s="484"/>
      <c r="E56" s="484"/>
      <c r="F56" s="484"/>
      <c r="G56" s="484"/>
      <c r="H56" s="487">
        <f>'1. SAn ABA DE CARREGAMENTO'!C65</f>
        <v>44562</v>
      </c>
      <c r="I56" s="487"/>
      <c r="J56" s="487"/>
    </row>
    <row r="57" spans="1:10" ht="17.25" customHeight="1" x14ac:dyDescent="0.2">
      <c r="A57" s="60" t="s">
        <v>346</v>
      </c>
      <c r="B57" s="488" t="s">
        <v>347</v>
      </c>
      <c r="C57" s="488"/>
      <c r="D57" s="488"/>
      <c r="E57" s="488"/>
      <c r="F57" s="488"/>
      <c r="G57" s="488"/>
      <c r="H57" s="488"/>
      <c r="I57" s="488"/>
      <c r="J57" s="488"/>
    </row>
    <row r="58" spans="1:10" ht="17.25" customHeight="1" x14ac:dyDescent="0.2">
      <c r="A58" s="114"/>
      <c r="B58" s="115"/>
      <c r="C58" s="115"/>
      <c r="D58" s="115"/>
      <c r="E58" s="115"/>
      <c r="F58" s="115"/>
      <c r="G58" s="115"/>
      <c r="H58" s="115"/>
      <c r="I58" s="115"/>
      <c r="J58" s="116"/>
    </row>
    <row r="59" spans="1:10" ht="17.25" customHeight="1" x14ac:dyDescent="0.2">
      <c r="A59" s="419" t="s">
        <v>348</v>
      </c>
      <c r="B59" s="419"/>
      <c r="C59" s="419"/>
      <c r="D59" s="419"/>
      <c r="E59" s="419"/>
      <c r="F59" s="419"/>
      <c r="G59" s="419"/>
      <c r="H59" s="419"/>
      <c r="I59" s="419"/>
      <c r="J59" s="419"/>
    </row>
    <row r="60" spans="1:10" ht="17.25" customHeight="1" x14ac:dyDescent="0.2">
      <c r="A60" s="21">
        <v>1</v>
      </c>
      <c r="B60" s="419" t="s">
        <v>349</v>
      </c>
      <c r="C60" s="419"/>
      <c r="D60" s="419"/>
      <c r="E60" s="419"/>
      <c r="F60" s="419"/>
      <c r="G60" s="419"/>
      <c r="H60" s="419"/>
      <c r="I60" s="7" t="s">
        <v>350</v>
      </c>
      <c r="J60" s="21" t="s">
        <v>351</v>
      </c>
    </row>
    <row r="61" spans="1:10" ht="30.75" customHeight="1" x14ac:dyDescent="0.2">
      <c r="A61" s="22" t="s">
        <v>310</v>
      </c>
      <c r="B61" s="479" t="s">
        <v>643</v>
      </c>
      <c r="C61" s="479"/>
      <c r="D61" s="479"/>
      <c r="E61" s="61">
        <f>'1. SAn ABA DE CARREGAMENTO'!C68</f>
        <v>44</v>
      </c>
      <c r="F61" s="62" t="s">
        <v>352</v>
      </c>
      <c r="G61" s="483" t="str">
        <f>'1. SAn ABA DE CARREGAMENTO'!B62</f>
        <v>Cláusula Quarta da CCT 2022/2022</v>
      </c>
      <c r="H61" s="483"/>
      <c r="I61" s="483"/>
      <c r="J61" s="63">
        <f>H54/44*'1. SAn ABA DE CARREGAMENTO'!C68</f>
        <v>1314.09</v>
      </c>
    </row>
    <row r="62" spans="1:10" ht="17.25" customHeight="1" x14ac:dyDescent="0.2">
      <c r="A62" s="22" t="s">
        <v>312</v>
      </c>
      <c r="B62" s="479" t="s">
        <v>353</v>
      </c>
      <c r="C62" s="479"/>
      <c r="D62" s="483" t="str">
        <f>'1. SAn ABA DE CARREGAMENTO'!B69</f>
        <v>Cláusula Décima Sétima da CCT 2022/2022</v>
      </c>
      <c r="E62" s="483"/>
      <c r="F62" s="483"/>
      <c r="G62" s="483"/>
      <c r="H62" s="483"/>
      <c r="I62" s="64">
        <f>'1. SAn ABA DE CARREGAMENTO'!C71</f>
        <v>0.2</v>
      </c>
      <c r="J62" s="63">
        <f>ROUND(I62*J61,2)</f>
        <v>262.82</v>
      </c>
    </row>
    <row r="63" spans="1:10" ht="17.25" customHeight="1" x14ac:dyDescent="0.2">
      <c r="A63" s="22" t="s">
        <v>313</v>
      </c>
      <c r="B63" s="449" t="s">
        <v>644</v>
      </c>
      <c r="C63" s="449"/>
      <c r="D63" s="449"/>
      <c r="E63" s="449"/>
      <c r="F63" s="449"/>
      <c r="G63" s="449"/>
      <c r="H63" s="449"/>
      <c r="I63" s="449"/>
      <c r="J63" s="63">
        <v>0</v>
      </c>
    </row>
    <row r="64" spans="1:10" ht="17.25" customHeight="1" x14ac:dyDescent="0.2">
      <c r="A64" s="412" t="s">
        <v>354</v>
      </c>
      <c r="B64" s="412"/>
      <c r="C64" s="412"/>
      <c r="D64" s="412"/>
      <c r="E64" s="412"/>
      <c r="F64" s="412"/>
      <c r="G64" s="412"/>
      <c r="H64" s="412"/>
      <c r="I64" s="412"/>
      <c r="J64" s="11">
        <f>SUM(J61:J63)</f>
        <v>1576.9099999999999</v>
      </c>
    </row>
    <row r="65" spans="1:11" ht="17.25" customHeight="1" x14ac:dyDescent="0.2">
      <c r="A65" s="65" t="s">
        <v>355</v>
      </c>
      <c r="B65" s="450" t="s">
        <v>356</v>
      </c>
      <c r="C65" s="450"/>
      <c r="D65" s="450"/>
      <c r="E65" s="450"/>
      <c r="F65" s="450"/>
      <c r="G65" s="450"/>
      <c r="H65" s="450"/>
      <c r="I65" s="450"/>
      <c r="J65" s="450"/>
    </row>
    <row r="66" spans="1:11" ht="17.25" customHeight="1" x14ac:dyDescent="0.2">
      <c r="A66" s="117"/>
      <c r="B66" s="118"/>
      <c r="C66" s="115"/>
      <c r="D66" s="115"/>
      <c r="E66" s="115"/>
      <c r="F66" s="115"/>
      <c r="G66" s="115"/>
      <c r="H66" s="115"/>
      <c r="I66" s="115"/>
      <c r="J66" s="116"/>
    </row>
    <row r="67" spans="1:11" ht="17.25" customHeight="1" x14ac:dyDescent="0.2">
      <c r="A67" s="419" t="s">
        <v>357</v>
      </c>
      <c r="B67" s="419"/>
      <c r="C67" s="419"/>
      <c r="D67" s="419"/>
      <c r="E67" s="419"/>
      <c r="F67" s="419"/>
      <c r="G67" s="419"/>
      <c r="H67" s="419"/>
      <c r="I67" s="419"/>
      <c r="J67" s="419"/>
    </row>
    <row r="68" spans="1:11" ht="17.25" customHeight="1" x14ac:dyDescent="0.2">
      <c r="A68" s="21" t="s">
        <v>358</v>
      </c>
      <c r="B68" s="419" t="s">
        <v>359</v>
      </c>
      <c r="C68" s="419"/>
      <c r="D68" s="419"/>
      <c r="E68" s="419"/>
      <c r="F68" s="419"/>
      <c r="G68" s="419"/>
      <c r="H68" s="419"/>
      <c r="I68" s="419"/>
      <c r="J68" s="21" t="s">
        <v>360</v>
      </c>
      <c r="K68" s="119"/>
    </row>
    <row r="69" spans="1:11" ht="17.25" customHeight="1" x14ac:dyDescent="0.2">
      <c r="A69" s="22" t="s">
        <v>310</v>
      </c>
      <c r="B69" s="449" t="s">
        <v>645</v>
      </c>
      <c r="C69" s="449"/>
      <c r="D69" s="449"/>
      <c r="E69" s="449"/>
      <c r="F69" s="449"/>
      <c r="G69" s="449"/>
      <c r="H69" s="449"/>
      <c r="I69" s="449"/>
      <c r="J69" s="66">
        <f>ROUND($J$64/12,2)</f>
        <v>131.41</v>
      </c>
    </row>
    <row r="70" spans="1:11" ht="17.25" customHeight="1" x14ac:dyDescent="0.2">
      <c r="A70" s="22" t="s">
        <v>312</v>
      </c>
      <c r="B70" s="477" t="s">
        <v>695</v>
      </c>
      <c r="C70" s="477"/>
      <c r="D70" s="477"/>
      <c r="E70" s="477"/>
      <c r="F70" s="477"/>
      <c r="G70" s="477"/>
      <c r="H70" s="477"/>
      <c r="I70" s="477"/>
      <c r="J70" s="66">
        <f>ROUND(J64*3.025%,2)</f>
        <v>47.7</v>
      </c>
    </row>
    <row r="71" spans="1:11" ht="17.25" customHeight="1" x14ac:dyDescent="0.2">
      <c r="A71" s="412" t="s">
        <v>361</v>
      </c>
      <c r="B71" s="412"/>
      <c r="C71" s="412"/>
      <c r="D71" s="412"/>
      <c r="E71" s="412"/>
      <c r="F71" s="412"/>
      <c r="G71" s="412"/>
      <c r="H71" s="412"/>
      <c r="I71" s="412"/>
      <c r="J71" s="10">
        <f>SUM(J69:J70)</f>
        <v>179.11</v>
      </c>
    </row>
    <row r="72" spans="1:11" ht="30.75" customHeight="1" x14ac:dyDescent="0.2">
      <c r="A72" s="65" t="s">
        <v>362</v>
      </c>
      <c r="B72" s="450" t="s">
        <v>629</v>
      </c>
      <c r="C72" s="450"/>
      <c r="D72" s="450"/>
      <c r="E72" s="450"/>
      <c r="F72" s="450"/>
      <c r="G72" s="450"/>
      <c r="H72" s="450"/>
      <c r="I72" s="450"/>
      <c r="J72" s="450"/>
    </row>
    <row r="73" spans="1:11" ht="17.25" customHeight="1" x14ac:dyDescent="0.2">
      <c r="A73" s="117"/>
      <c r="B73" s="118"/>
      <c r="C73" s="115"/>
      <c r="D73" s="115"/>
      <c r="E73" s="115"/>
      <c r="F73" s="115"/>
      <c r="G73" s="115"/>
      <c r="H73" s="115"/>
      <c r="I73" s="115"/>
      <c r="J73" s="116"/>
    </row>
    <row r="74" spans="1:11" ht="32.25" customHeight="1" x14ac:dyDescent="0.2">
      <c r="A74" s="21" t="s">
        <v>364</v>
      </c>
      <c r="B74" s="419" t="s">
        <v>697</v>
      </c>
      <c r="C74" s="419"/>
      <c r="D74" s="419"/>
      <c r="E74" s="419"/>
      <c r="F74" s="419"/>
      <c r="G74" s="419"/>
      <c r="H74" s="419"/>
      <c r="I74" s="419"/>
      <c r="J74" s="419"/>
    </row>
    <row r="75" spans="1:11" ht="17.25" customHeight="1" x14ac:dyDescent="0.2">
      <c r="A75" s="21"/>
      <c r="B75" s="419" t="s">
        <v>365</v>
      </c>
      <c r="C75" s="419"/>
      <c r="D75" s="419"/>
      <c r="E75" s="419"/>
      <c r="F75" s="419"/>
      <c r="G75" s="419"/>
      <c r="H75" s="419"/>
      <c r="I75" s="21" t="s">
        <v>350</v>
      </c>
      <c r="J75" s="21" t="s">
        <v>360</v>
      </c>
    </row>
    <row r="76" spans="1:11" ht="17.25" customHeight="1" x14ac:dyDescent="0.2">
      <c r="A76" s="22" t="s">
        <v>310</v>
      </c>
      <c r="B76" s="449" t="s">
        <v>79</v>
      </c>
      <c r="C76" s="449"/>
      <c r="D76" s="449"/>
      <c r="E76" s="449"/>
      <c r="F76" s="449"/>
      <c r="G76" s="449"/>
      <c r="H76" s="449"/>
      <c r="I76" s="68">
        <f>'1. SAn ABA DE CARREGAMENTO'!C78</f>
        <v>0.2</v>
      </c>
      <c r="J76" s="66">
        <f>ROUND((J64+J71)*I76,2)</f>
        <v>351.2</v>
      </c>
    </row>
    <row r="77" spans="1:11" ht="17.25" customHeight="1" x14ac:dyDescent="0.2">
      <c r="A77" s="22" t="s">
        <v>312</v>
      </c>
      <c r="B77" s="449" t="s">
        <v>80</v>
      </c>
      <c r="C77" s="449"/>
      <c r="D77" s="449"/>
      <c r="E77" s="449"/>
      <c r="F77" s="449"/>
      <c r="G77" s="449"/>
      <c r="H77" s="449"/>
      <c r="I77" s="68">
        <f>IF($H$15=1,'1. SAn ABA DE CARREGAMENTO'!C79,IF($H$15=2,'1. SAn ABA DE CARREGAMENTO'!C79,0))</f>
        <v>2.5000000000000001E-2</v>
      </c>
      <c r="J77" s="66">
        <f>ROUND((J64+J71)*I77,2)</f>
        <v>43.9</v>
      </c>
    </row>
    <row r="78" spans="1:11" ht="33" customHeight="1" x14ac:dyDescent="0.2">
      <c r="A78" s="22" t="s">
        <v>313</v>
      </c>
      <c r="B78" s="449" t="s">
        <v>81</v>
      </c>
      <c r="C78" s="449"/>
      <c r="D78" s="449"/>
      <c r="E78" s="69" t="s">
        <v>366</v>
      </c>
      <c r="F78" s="68">
        <f>'1. SAn ABA DE CARREGAMENTO'!$B$74</f>
        <v>0.03</v>
      </c>
      <c r="G78" s="69" t="s">
        <v>367</v>
      </c>
      <c r="H78" s="70">
        <f>'1. SAn ABA DE CARREGAMENTO'!$B$75</f>
        <v>1</v>
      </c>
      <c r="I78" s="68">
        <f>'1. SAn ABA DE CARREGAMENTO'!C80</f>
        <v>0.03</v>
      </c>
      <c r="J78" s="66">
        <f>ROUND((J64+J71)*I78,2)</f>
        <v>52.68</v>
      </c>
    </row>
    <row r="79" spans="1:11" ht="17.25" customHeight="1" x14ac:dyDescent="0.2">
      <c r="A79" s="22" t="s">
        <v>315</v>
      </c>
      <c r="B79" s="449" t="s">
        <v>82</v>
      </c>
      <c r="C79" s="449"/>
      <c r="D79" s="449"/>
      <c r="E79" s="449"/>
      <c r="F79" s="449"/>
      <c r="G79" s="449"/>
      <c r="H79" s="449"/>
      <c r="I79" s="68">
        <f>IF($H$15=1,'1. SAn ABA DE CARREGAMENTO'!C81,IF($H$15=2,'1. SAn ABA DE CARREGAMENTO'!C81,0))</f>
        <v>1.4999999999999999E-2</v>
      </c>
      <c r="J79" s="66">
        <f>ROUND((J64+J71)*I79,2)</f>
        <v>26.34</v>
      </c>
    </row>
    <row r="80" spans="1:11" ht="17.25" customHeight="1" x14ac:dyDescent="0.2">
      <c r="A80" s="22" t="s">
        <v>368</v>
      </c>
      <c r="B80" s="449" t="s">
        <v>83</v>
      </c>
      <c r="C80" s="449"/>
      <c r="D80" s="449"/>
      <c r="E80" s="449"/>
      <c r="F80" s="449"/>
      <c r="G80" s="449"/>
      <c r="H80" s="449"/>
      <c r="I80" s="68">
        <f>IF($H$15=1,'1. SAn ABA DE CARREGAMENTO'!C82,IF($H$15=2,'1. SAn ABA DE CARREGAMENTO'!C82,0))</f>
        <v>0.01</v>
      </c>
      <c r="J80" s="66">
        <f>ROUND((J64+J71)*I80,2)</f>
        <v>17.559999999999999</v>
      </c>
    </row>
    <row r="81" spans="1:10" ht="17.25" customHeight="1" x14ac:dyDescent="0.2">
      <c r="A81" s="22" t="s">
        <v>369</v>
      </c>
      <c r="B81" s="449" t="s">
        <v>84</v>
      </c>
      <c r="C81" s="449"/>
      <c r="D81" s="449"/>
      <c r="E81" s="449"/>
      <c r="F81" s="449"/>
      <c r="G81" s="449"/>
      <c r="H81" s="449"/>
      <c r="I81" s="68">
        <f>IF($H$15=1,'1. SAn ABA DE CARREGAMENTO'!C83,IF($H$15=2,'1. SAn ABA DE CARREGAMENTO'!C83,0))</f>
        <v>6.0000000000000001E-3</v>
      </c>
      <c r="J81" s="66">
        <f>ROUND((J64+J71)*I81,2)</f>
        <v>10.54</v>
      </c>
    </row>
    <row r="82" spans="1:10" ht="17.25" customHeight="1" x14ac:dyDescent="0.2">
      <c r="A82" s="22" t="s">
        <v>370</v>
      </c>
      <c r="B82" s="449" t="s">
        <v>85</v>
      </c>
      <c r="C82" s="449"/>
      <c r="D82" s="449"/>
      <c r="E82" s="449"/>
      <c r="F82" s="449"/>
      <c r="G82" s="449"/>
      <c r="H82" s="449"/>
      <c r="I82" s="68">
        <f>IF($H$15=1,'1. SAn ABA DE CARREGAMENTO'!C84,IF($H$15=2,'1. SAn ABA DE CARREGAMENTO'!C84,0))</f>
        <v>2E-3</v>
      </c>
      <c r="J82" s="66">
        <f>ROUND((J64+J71)*I82,2)</f>
        <v>3.51</v>
      </c>
    </row>
    <row r="83" spans="1:10" ht="17.25" customHeight="1" x14ac:dyDescent="0.2">
      <c r="A83" s="22" t="s">
        <v>371</v>
      </c>
      <c r="B83" s="449" t="s">
        <v>86</v>
      </c>
      <c r="C83" s="449"/>
      <c r="D83" s="449"/>
      <c r="E83" s="449"/>
      <c r="F83" s="449"/>
      <c r="G83" s="449"/>
      <c r="H83" s="449"/>
      <c r="I83" s="68">
        <f>'1. SAn ABA DE CARREGAMENTO'!C85</f>
        <v>0.08</v>
      </c>
      <c r="J83" s="66">
        <f>ROUND((J64+J71)*I83,2)</f>
        <v>140.47999999999999</v>
      </c>
    </row>
    <row r="84" spans="1:10" ht="17.25" customHeight="1" x14ac:dyDescent="0.2">
      <c r="A84" s="412" t="s">
        <v>372</v>
      </c>
      <c r="B84" s="412"/>
      <c r="C84" s="412"/>
      <c r="D84" s="412"/>
      <c r="E84" s="412"/>
      <c r="F84" s="412"/>
      <c r="G84" s="412"/>
      <c r="H84" s="412"/>
      <c r="I84" s="71">
        <f>SUM(I76:I83)</f>
        <v>0.36800000000000005</v>
      </c>
      <c r="J84" s="10">
        <f>SUM(J76:J83)</f>
        <v>646.20999999999992</v>
      </c>
    </row>
    <row r="85" spans="1:10" ht="17.25" customHeight="1" x14ac:dyDescent="0.2">
      <c r="A85" s="65" t="s">
        <v>363</v>
      </c>
      <c r="B85" s="450" t="s">
        <v>374</v>
      </c>
      <c r="C85" s="450"/>
      <c r="D85" s="450"/>
      <c r="E85" s="450"/>
      <c r="F85" s="450"/>
      <c r="G85" s="450"/>
      <c r="H85" s="450"/>
      <c r="I85" s="450"/>
      <c r="J85" s="450"/>
    </row>
    <row r="86" spans="1:10" ht="17.25" customHeight="1" x14ac:dyDescent="0.2">
      <c r="A86" s="65" t="s">
        <v>373</v>
      </c>
      <c r="B86" s="450" t="s">
        <v>376</v>
      </c>
      <c r="C86" s="450"/>
      <c r="D86" s="450"/>
      <c r="E86" s="450"/>
      <c r="F86" s="450"/>
      <c r="G86" s="450"/>
      <c r="H86" s="450"/>
      <c r="I86" s="450"/>
      <c r="J86" s="450"/>
    </row>
    <row r="87" spans="1:10" ht="17.25" customHeight="1" x14ac:dyDescent="0.2">
      <c r="A87" s="117"/>
      <c r="B87" s="118"/>
      <c r="C87" s="115"/>
      <c r="D87" s="115"/>
      <c r="E87" s="115"/>
      <c r="F87" s="115"/>
      <c r="G87" s="115"/>
      <c r="H87" s="115"/>
      <c r="I87" s="115"/>
      <c r="J87" s="116"/>
    </row>
    <row r="88" spans="1:10" ht="17.25" customHeight="1" x14ac:dyDescent="0.2">
      <c r="A88" s="8" t="s">
        <v>377</v>
      </c>
      <c r="B88" s="419" t="s">
        <v>378</v>
      </c>
      <c r="C88" s="419"/>
      <c r="D88" s="419"/>
      <c r="E88" s="419"/>
      <c r="F88" s="419"/>
      <c r="G88" s="419"/>
      <c r="H88" s="419"/>
      <c r="I88" s="419"/>
      <c r="J88" s="419"/>
    </row>
    <row r="89" spans="1:10" ht="17.25" customHeight="1" x14ac:dyDescent="0.2">
      <c r="A89" s="21"/>
      <c r="B89" s="419" t="s">
        <v>378</v>
      </c>
      <c r="C89" s="419"/>
      <c r="D89" s="419"/>
      <c r="E89" s="419"/>
      <c r="F89" s="419"/>
      <c r="G89" s="419"/>
      <c r="H89" s="419"/>
      <c r="I89" s="419"/>
      <c r="J89" s="21" t="s">
        <v>360</v>
      </c>
    </row>
    <row r="90" spans="1:10" ht="17.25" customHeight="1" x14ac:dyDescent="0.2">
      <c r="A90" s="474" t="s">
        <v>310</v>
      </c>
      <c r="B90" s="449" t="s">
        <v>646</v>
      </c>
      <c r="C90" s="449"/>
      <c r="D90" s="449"/>
      <c r="E90" s="449"/>
      <c r="F90" s="449"/>
      <c r="G90" s="449"/>
      <c r="H90" s="449"/>
      <c r="I90" s="449"/>
      <c r="J90" s="480">
        <f>IF(ROUND((I93*I91*I92)-(J61*0.06),2)&lt;0,0,ROUND((I93*I91*I92)-(J61*0.06),2))*1+(I91*I92*21.726-0.06*J61)*0</f>
        <v>101.15</v>
      </c>
    </row>
    <row r="91" spans="1:10" ht="17.25" customHeight="1" x14ac:dyDescent="0.2">
      <c r="A91" s="474"/>
      <c r="B91" s="478" t="s">
        <v>379</v>
      </c>
      <c r="C91" s="478"/>
      <c r="D91" s="478"/>
      <c r="E91" s="478"/>
      <c r="F91" s="478"/>
      <c r="G91" s="478"/>
      <c r="H91" s="478"/>
      <c r="I91" s="74">
        <f>'1. SAn ABA DE CARREGAMENTO'!$B$88</f>
        <v>3.75</v>
      </c>
      <c r="J91" s="480"/>
    </row>
    <row r="92" spans="1:10" ht="17.25" customHeight="1" x14ac:dyDescent="0.2">
      <c r="A92" s="474"/>
      <c r="B92" s="478" t="s">
        <v>380</v>
      </c>
      <c r="C92" s="478"/>
      <c r="D92" s="478"/>
      <c r="E92" s="478"/>
      <c r="F92" s="478"/>
      <c r="G92" s="478"/>
      <c r="H92" s="478"/>
      <c r="I92" s="75">
        <f>'1. SAn ABA DE CARREGAMENTO'!$B$89</f>
        <v>2</v>
      </c>
      <c r="J92" s="480"/>
    </row>
    <row r="93" spans="1:10" ht="17.25" customHeight="1" x14ac:dyDescent="0.2">
      <c r="A93" s="474"/>
      <c r="B93" s="478" t="s">
        <v>381</v>
      </c>
      <c r="C93" s="478"/>
      <c r="D93" s="478"/>
      <c r="E93" s="478"/>
      <c r="F93" s="478"/>
      <c r="G93" s="478"/>
      <c r="H93" s="478"/>
      <c r="I93" s="75">
        <f>'1. SAn ABA DE CARREGAMENTO'!$B$90</f>
        <v>24</v>
      </c>
      <c r="J93" s="480"/>
    </row>
    <row r="94" spans="1:10" ht="17.25" customHeight="1" x14ac:dyDescent="0.2">
      <c r="A94" s="474"/>
      <c r="B94" s="478" t="s">
        <v>382</v>
      </c>
      <c r="C94" s="478"/>
      <c r="D94" s="478"/>
      <c r="E94" s="478"/>
      <c r="F94" s="478"/>
      <c r="G94" s="478"/>
      <c r="H94" s="478"/>
      <c r="I94" s="77">
        <f>'1. SAn ABA DE CARREGAMENTO'!B91</f>
        <v>0.06</v>
      </c>
      <c r="J94" s="480"/>
    </row>
    <row r="95" spans="1:10" ht="17.25" customHeight="1" x14ac:dyDescent="0.2">
      <c r="A95" s="474" t="s">
        <v>312</v>
      </c>
      <c r="B95" s="479" t="s">
        <v>647</v>
      </c>
      <c r="C95" s="479"/>
      <c r="D95" s="479"/>
      <c r="E95" s="481" t="str">
        <f>'1. SAn ABA DE CARREGAMENTO'!B94</f>
        <v>Cláusula Décima Oitava da CCT 2022/2022</v>
      </c>
      <c r="F95" s="481"/>
      <c r="G95" s="481"/>
      <c r="H95" s="481"/>
      <c r="I95" s="482"/>
      <c r="J95" s="480">
        <f>ROUND((I96*I97)-((I96*I97)*I98),2)</f>
        <v>392.3</v>
      </c>
    </row>
    <row r="96" spans="1:10" ht="17.25" customHeight="1" x14ac:dyDescent="0.2">
      <c r="A96" s="474"/>
      <c r="B96" s="478" t="s">
        <v>383</v>
      </c>
      <c r="C96" s="478"/>
      <c r="D96" s="478"/>
      <c r="E96" s="478"/>
      <c r="F96" s="478"/>
      <c r="G96" s="478"/>
      <c r="H96" s="478"/>
      <c r="I96" s="63">
        <f>'1. SAn ABA DE CARREGAMENTO'!B95</f>
        <v>20.18</v>
      </c>
      <c r="J96" s="480"/>
    </row>
    <row r="97" spans="1:10" ht="17.25" customHeight="1" x14ac:dyDescent="0.2">
      <c r="A97" s="474"/>
      <c r="B97" s="478" t="s">
        <v>384</v>
      </c>
      <c r="C97" s="478"/>
      <c r="D97" s="478"/>
      <c r="E97" s="478"/>
      <c r="F97" s="478"/>
      <c r="G97" s="478"/>
      <c r="H97" s="478"/>
      <c r="I97" s="75">
        <f>'1. SAn ABA DE CARREGAMENTO'!B97</f>
        <v>24</v>
      </c>
      <c r="J97" s="480"/>
    </row>
    <row r="98" spans="1:10" ht="17.25" customHeight="1" x14ac:dyDescent="0.2">
      <c r="A98" s="474"/>
      <c r="B98" s="478" t="s">
        <v>385</v>
      </c>
      <c r="C98" s="478"/>
      <c r="D98" s="478"/>
      <c r="E98" s="478"/>
      <c r="F98" s="478"/>
      <c r="G98" s="478"/>
      <c r="H98" s="478"/>
      <c r="I98" s="77">
        <f>'1. SAn ABA DE CARREGAMENTO'!B96</f>
        <v>0.19</v>
      </c>
      <c r="J98" s="480"/>
    </row>
    <row r="99" spans="1:10" ht="17.25" customHeight="1" x14ac:dyDescent="0.2">
      <c r="A99" s="22" t="s">
        <v>313</v>
      </c>
      <c r="B99" s="479" t="s">
        <v>386</v>
      </c>
      <c r="C99" s="479"/>
      <c r="D99" s="479"/>
      <c r="E99" s="481" t="str">
        <f>'1. SAn ABA DE CARREGAMENTO'!B100</f>
        <v>Cláusula Vigésima Nona da CCT 2022/2022</v>
      </c>
      <c r="F99" s="481"/>
      <c r="G99" s="481"/>
      <c r="H99" s="481"/>
      <c r="I99" s="482"/>
      <c r="J99" s="78">
        <f>'1. SAn ABA DE CARREGAMENTO'!C100</f>
        <v>17.32</v>
      </c>
    </row>
    <row r="100" spans="1:10" ht="17.25" customHeight="1" x14ac:dyDescent="0.2">
      <c r="A100" s="22" t="s">
        <v>315</v>
      </c>
      <c r="B100" s="449" t="s">
        <v>648</v>
      </c>
      <c r="C100" s="449"/>
      <c r="D100" s="449"/>
      <c r="E100" s="449"/>
      <c r="F100" s="449"/>
      <c r="G100" s="449"/>
      <c r="H100" s="449"/>
      <c r="I100" s="449"/>
      <c r="J100" s="66">
        <v>0</v>
      </c>
    </row>
    <row r="101" spans="1:10" ht="17.25" customHeight="1" x14ac:dyDescent="0.2">
      <c r="A101" s="412" t="s">
        <v>387</v>
      </c>
      <c r="B101" s="412"/>
      <c r="C101" s="412"/>
      <c r="D101" s="412"/>
      <c r="E101" s="412"/>
      <c r="F101" s="412"/>
      <c r="G101" s="412"/>
      <c r="H101" s="412"/>
      <c r="I101" s="412"/>
      <c r="J101" s="10">
        <f>SUM(J90:J99)</f>
        <v>510.77000000000004</v>
      </c>
    </row>
    <row r="102" spans="1:10" ht="17.25" customHeight="1" x14ac:dyDescent="0.2">
      <c r="A102" s="65" t="s">
        <v>375</v>
      </c>
      <c r="B102" s="450" t="s">
        <v>389</v>
      </c>
      <c r="C102" s="450"/>
      <c r="D102" s="450"/>
      <c r="E102" s="450"/>
      <c r="F102" s="450"/>
      <c r="G102" s="450"/>
      <c r="H102" s="450"/>
      <c r="I102" s="450"/>
      <c r="J102" s="450"/>
    </row>
    <row r="103" spans="1:10" ht="29.25" customHeight="1" x14ac:dyDescent="0.2">
      <c r="A103" s="65" t="s">
        <v>388</v>
      </c>
      <c r="B103" s="450" t="s">
        <v>391</v>
      </c>
      <c r="C103" s="450"/>
      <c r="D103" s="450"/>
      <c r="E103" s="450"/>
      <c r="F103" s="450"/>
      <c r="G103" s="450"/>
      <c r="H103" s="450"/>
      <c r="I103" s="450"/>
      <c r="J103" s="450"/>
    </row>
    <row r="104" spans="1:10" ht="17.25" customHeight="1" x14ac:dyDescent="0.2">
      <c r="A104" s="72"/>
      <c r="B104" s="73"/>
      <c r="C104" s="73"/>
      <c r="D104" s="73"/>
      <c r="E104" s="73"/>
      <c r="F104" s="73"/>
      <c r="G104" s="73"/>
      <c r="H104" s="73"/>
      <c r="I104" s="73"/>
      <c r="J104" s="73"/>
    </row>
    <row r="105" spans="1:10" ht="17.25" customHeight="1" x14ac:dyDescent="0.2">
      <c r="A105" s="419" t="s">
        <v>392</v>
      </c>
      <c r="B105" s="419"/>
      <c r="C105" s="419"/>
      <c r="D105" s="419"/>
      <c r="E105" s="419"/>
      <c r="F105" s="419"/>
      <c r="G105" s="419"/>
      <c r="H105" s="419"/>
      <c r="I105" s="419"/>
      <c r="J105" s="419"/>
    </row>
    <row r="106" spans="1:10" ht="17.25" customHeight="1" x14ac:dyDescent="0.2">
      <c r="A106" s="21" t="s">
        <v>393</v>
      </c>
      <c r="B106" s="419" t="s">
        <v>394</v>
      </c>
      <c r="C106" s="419"/>
      <c r="D106" s="419"/>
      <c r="E106" s="419"/>
      <c r="F106" s="419"/>
      <c r="G106" s="419"/>
      <c r="H106" s="419"/>
      <c r="I106" s="419"/>
      <c r="J106" s="21" t="s">
        <v>360</v>
      </c>
    </row>
    <row r="107" spans="1:10" ht="17.25" customHeight="1" x14ac:dyDescent="0.2">
      <c r="A107" s="22" t="s">
        <v>395</v>
      </c>
      <c r="B107" s="478" t="s">
        <v>396</v>
      </c>
      <c r="C107" s="478"/>
      <c r="D107" s="478"/>
      <c r="E107" s="478"/>
      <c r="F107" s="478"/>
      <c r="G107" s="478"/>
      <c r="H107" s="478"/>
      <c r="I107" s="478"/>
      <c r="J107" s="66">
        <f>J71</f>
        <v>179.11</v>
      </c>
    </row>
    <row r="108" spans="1:10" ht="17.25" customHeight="1" x14ac:dyDescent="0.2">
      <c r="A108" s="22" t="s">
        <v>364</v>
      </c>
      <c r="B108" s="478" t="s">
        <v>397</v>
      </c>
      <c r="C108" s="478"/>
      <c r="D108" s="478"/>
      <c r="E108" s="478"/>
      <c r="F108" s="478"/>
      <c r="G108" s="478"/>
      <c r="H108" s="478"/>
      <c r="I108" s="478"/>
      <c r="J108" s="66">
        <f>J84</f>
        <v>646.20999999999992</v>
      </c>
    </row>
    <row r="109" spans="1:10" ht="17.25" customHeight="1" x14ac:dyDescent="0.2">
      <c r="A109" s="22" t="s">
        <v>398</v>
      </c>
      <c r="B109" s="478" t="s">
        <v>399</v>
      </c>
      <c r="C109" s="478"/>
      <c r="D109" s="478"/>
      <c r="E109" s="478"/>
      <c r="F109" s="478"/>
      <c r="G109" s="478"/>
      <c r="H109" s="478"/>
      <c r="I109" s="478"/>
      <c r="J109" s="66">
        <f>J101</f>
        <v>510.77000000000004</v>
      </c>
    </row>
    <row r="110" spans="1:10" ht="17.25" customHeight="1" x14ac:dyDescent="0.2">
      <c r="A110" s="412" t="s">
        <v>400</v>
      </c>
      <c r="B110" s="412"/>
      <c r="C110" s="412"/>
      <c r="D110" s="412"/>
      <c r="E110" s="412"/>
      <c r="F110" s="412"/>
      <c r="G110" s="412"/>
      <c r="H110" s="412"/>
      <c r="I110" s="412"/>
      <c r="J110" s="10">
        <f>SUM(J107+J108+J109)</f>
        <v>1336.09</v>
      </c>
    </row>
    <row r="111" spans="1:10" ht="17.25" customHeight="1" x14ac:dyDescent="0.2">
      <c r="A111" s="120"/>
      <c r="B111" s="120"/>
      <c r="C111" s="120"/>
      <c r="D111" s="120"/>
      <c r="E111" s="120"/>
      <c r="F111" s="120"/>
      <c r="G111" s="120"/>
      <c r="H111" s="120"/>
      <c r="I111" s="120"/>
      <c r="J111" s="121"/>
    </row>
    <row r="112" spans="1:10" ht="17.25" customHeight="1" x14ac:dyDescent="0.2">
      <c r="A112" s="419" t="s">
        <v>401</v>
      </c>
      <c r="B112" s="419"/>
      <c r="C112" s="419"/>
      <c r="D112" s="419"/>
      <c r="E112" s="419"/>
      <c r="F112" s="419"/>
      <c r="G112" s="419"/>
      <c r="H112" s="419"/>
      <c r="I112" s="419"/>
      <c r="J112" s="419"/>
    </row>
    <row r="113" spans="1:11" ht="17.25" customHeight="1" x14ac:dyDescent="0.2">
      <c r="A113" s="21"/>
      <c r="B113" s="419" t="s">
        <v>394</v>
      </c>
      <c r="C113" s="419"/>
      <c r="D113" s="419"/>
      <c r="E113" s="419"/>
      <c r="F113" s="419"/>
      <c r="G113" s="419"/>
      <c r="H113" s="419"/>
      <c r="I113" s="419"/>
      <c r="J113" s="21" t="s">
        <v>402</v>
      </c>
    </row>
    <row r="114" spans="1:11" ht="17.25" customHeight="1" x14ac:dyDescent="0.2">
      <c r="A114" s="22" t="s">
        <v>310</v>
      </c>
      <c r="B114" s="449" t="s">
        <v>649</v>
      </c>
      <c r="C114" s="449"/>
      <c r="D114" s="449"/>
      <c r="E114" s="449"/>
      <c r="F114" s="449"/>
      <c r="G114" s="449"/>
      <c r="H114" s="449"/>
      <c r="I114" s="449"/>
      <c r="J114" s="66">
        <f>ROUND((($J$64/12)+($J$69/12)+($J$64/12/12)+($J$70/12))*(30/30)*0.05,2)</f>
        <v>7.86</v>
      </c>
    </row>
    <row r="115" spans="1:11" ht="17.25" customHeight="1" x14ac:dyDescent="0.2">
      <c r="A115" s="22" t="s">
        <v>312</v>
      </c>
      <c r="B115" s="449" t="s">
        <v>403</v>
      </c>
      <c r="C115" s="449"/>
      <c r="D115" s="449"/>
      <c r="E115" s="449"/>
      <c r="F115" s="449"/>
      <c r="G115" s="449"/>
      <c r="H115" s="449"/>
      <c r="I115" s="449"/>
      <c r="J115" s="66">
        <f>ROUND($J$114*I83,2)</f>
        <v>0.63</v>
      </c>
    </row>
    <row r="116" spans="1:11" ht="17.25" customHeight="1" x14ac:dyDescent="0.2">
      <c r="A116" s="22" t="s">
        <v>313</v>
      </c>
      <c r="B116" s="449" t="s">
        <v>650</v>
      </c>
      <c r="C116" s="449"/>
      <c r="D116" s="449"/>
      <c r="E116" s="449"/>
      <c r="F116" s="449"/>
      <c r="G116" s="449"/>
      <c r="H116" s="449"/>
      <c r="I116" s="449"/>
      <c r="J116" s="66">
        <f>ROUND(0.08*0.4*($J$64+$J$69+$J$70)*0.05,2)</f>
        <v>2.81</v>
      </c>
    </row>
    <row r="117" spans="1:11" ht="17.25" customHeight="1" x14ac:dyDescent="0.2">
      <c r="A117" s="22" t="s">
        <v>315</v>
      </c>
      <c r="B117" s="449" t="s">
        <v>651</v>
      </c>
      <c r="C117" s="449"/>
      <c r="D117" s="449"/>
      <c r="E117" s="449"/>
      <c r="F117" s="449"/>
      <c r="G117" s="449"/>
      <c r="H117" s="449"/>
      <c r="I117" s="449"/>
      <c r="J117" s="66">
        <f>ROUND(((($J$64/30)*7)/$H$21)*1,2)</f>
        <v>18.399999999999999</v>
      </c>
    </row>
    <row r="118" spans="1:11" ht="17.25" customHeight="1" x14ac:dyDescent="0.2">
      <c r="A118" s="22" t="s">
        <v>368</v>
      </c>
      <c r="B118" s="449" t="s">
        <v>404</v>
      </c>
      <c r="C118" s="449"/>
      <c r="D118" s="449"/>
      <c r="E118" s="449"/>
      <c r="F118" s="449"/>
      <c r="G118" s="449"/>
      <c r="H118" s="449"/>
      <c r="I118" s="449"/>
      <c r="J118" s="66">
        <f>ROUND($I$84*J117,2)</f>
        <v>6.77</v>
      </c>
    </row>
    <row r="119" spans="1:11" ht="17.25" customHeight="1" x14ac:dyDescent="0.2">
      <c r="A119" s="22" t="s">
        <v>369</v>
      </c>
      <c r="B119" s="449" t="s">
        <v>652</v>
      </c>
      <c r="C119" s="449"/>
      <c r="D119" s="449"/>
      <c r="E119" s="449"/>
      <c r="F119" s="449"/>
      <c r="G119" s="449"/>
      <c r="H119" s="449"/>
      <c r="I119" s="449"/>
      <c r="J119" s="66">
        <f>ROUND(0.08*0.4*($J$64+$J$69+$J$70)*0.9,2)</f>
        <v>50.57</v>
      </c>
    </row>
    <row r="120" spans="1:11" ht="17.25" customHeight="1" x14ac:dyDescent="0.2">
      <c r="A120" s="412" t="s">
        <v>405</v>
      </c>
      <c r="B120" s="412"/>
      <c r="C120" s="412"/>
      <c r="D120" s="412"/>
      <c r="E120" s="412"/>
      <c r="F120" s="412"/>
      <c r="G120" s="412"/>
      <c r="H120" s="412"/>
      <c r="I120" s="412"/>
      <c r="J120" s="10">
        <f>SUM(J114:J119)</f>
        <v>87.039999999999992</v>
      </c>
    </row>
    <row r="121" spans="1:11" ht="17.25" customHeight="1" x14ac:dyDescent="0.2">
      <c r="A121" s="120"/>
      <c r="B121" s="120"/>
      <c r="C121" s="120"/>
      <c r="D121" s="120"/>
      <c r="E121" s="120"/>
      <c r="F121" s="120"/>
      <c r="G121" s="120"/>
      <c r="H121" s="120"/>
      <c r="I121" s="120"/>
      <c r="J121" s="121"/>
    </row>
    <row r="122" spans="1:11" ht="17.25" customHeight="1" x14ac:dyDescent="0.2">
      <c r="A122" s="419" t="s">
        <v>406</v>
      </c>
      <c r="B122" s="419"/>
      <c r="C122" s="419"/>
      <c r="D122" s="419"/>
      <c r="E122" s="419"/>
      <c r="F122" s="419"/>
      <c r="G122" s="419"/>
      <c r="H122" s="419"/>
      <c r="I122" s="419"/>
      <c r="J122" s="419"/>
    </row>
    <row r="123" spans="1:11" ht="28.5" customHeight="1" x14ac:dyDescent="0.2">
      <c r="A123" s="419" t="s">
        <v>686</v>
      </c>
      <c r="B123" s="419"/>
      <c r="C123" s="419"/>
      <c r="D123" s="419"/>
      <c r="E123" s="419"/>
      <c r="F123" s="419"/>
      <c r="G123" s="419"/>
      <c r="H123" s="419"/>
      <c r="I123" s="419"/>
      <c r="J123" s="419"/>
    </row>
    <row r="124" spans="1:11" ht="44.25" customHeight="1" x14ac:dyDescent="0.2">
      <c r="A124" s="419" t="s">
        <v>408</v>
      </c>
      <c r="B124" s="419"/>
      <c r="C124" s="9">
        <f>J64</f>
        <v>1576.9099999999999</v>
      </c>
      <c r="D124" s="419" t="s">
        <v>409</v>
      </c>
      <c r="E124" s="419"/>
      <c r="F124" s="9">
        <f>J110-J95-J90</f>
        <v>842.64</v>
      </c>
      <c r="G124" s="419" t="s">
        <v>410</v>
      </c>
      <c r="H124" s="419"/>
      <c r="I124" s="9">
        <f>J120</f>
        <v>87.039999999999992</v>
      </c>
      <c r="J124" s="10">
        <f>ROUND((J64+(J110-J95-J90)+J120),2)</f>
        <v>2506.59</v>
      </c>
    </row>
    <row r="125" spans="1:11" ht="17.25" customHeight="1" x14ac:dyDescent="0.2">
      <c r="A125" s="419" t="s">
        <v>411</v>
      </c>
      <c r="B125" s="419"/>
      <c r="C125" s="419"/>
      <c r="D125" s="419"/>
      <c r="E125" s="419"/>
      <c r="F125" s="419"/>
      <c r="G125" s="419" t="s">
        <v>412</v>
      </c>
      <c r="H125" s="419"/>
      <c r="I125" s="419"/>
      <c r="J125" s="11">
        <f>ROUND(J124/30,2)</f>
        <v>83.55</v>
      </c>
    </row>
    <row r="126" spans="1:11" ht="17.25" customHeight="1" x14ac:dyDescent="0.2">
      <c r="A126" s="12"/>
      <c r="B126" s="13"/>
      <c r="C126" s="13"/>
      <c r="D126" s="13"/>
      <c r="E126" s="13"/>
      <c r="F126" s="14"/>
      <c r="G126" s="12"/>
      <c r="H126" s="13"/>
      <c r="I126" s="14"/>
      <c r="J126" s="15"/>
    </row>
    <row r="127" spans="1:11" ht="17.25" customHeight="1" x14ac:dyDescent="0.2">
      <c r="A127" s="21" t="s">
        <v>413</v>
      </c>
      <c r="B127" s="419" t="s">
        <v>414</v>
      </c>
      <c r="C127" s="419"/>
      <c r="D127" s="419"/>
      <c r="E127" s="419"/>
      <c r="F127" s="419"/>
      <c r="G127" s="419"/>
      <c r="H127" s="419"/>
      <c r="I127" s="419"/>
      <c r="J127" s="21" t="s">
        <v>360</v>
      </c>
    </row>
    <row r="128" spans="1:11" ht="17.25" customHeight="1" x14ac:dyDescent="0.2">
      <c r="A128" s="22" t="s">
        <v>310</v>
      </c>
      <c r="B128" s="477" t="s">
        <v>696</v>
      </c>
      <c r="C128" s="477"/>
      <c r="D128" s="477"/>
      <c r="E128" s="477"/>
      <c r="F128" s="477"/>
      <c r="G128" s="477"/>
      <c r="H128" s="477"/>
      <c r="I128" s="477"/>
      <c r="J128" s="66">
        <f>ROUND(J64*9.075%,2)</f>
        <v>143.1</v>
      </c>
      <c r="K128" s="122"/>
    </row>
    <row r="129" spans="1:11" ht="17.25" customHeight="1" x14ac:dyDescent="0.2">
      <c r="A129" s="22" t="s">
        <v>312</v>
      </c>
      <c r="B129" s="449" t="s">
        <v>653</v>
      </c>
      <c r="C129" s="449"/>
      <c r="D129" s="449"/>
      <c r="E129" s="449"/>
      <c r="F129" s="449"/>
      <c r="G129" s="449"/>
      <c r="H129" s="449"/>
      <c r="I129" s="449"/>
      <c r="J129" s="63">
        <f>ROUND((($J$124/30)*1)/12,2)</f>
        <v>6.96</v>
      </c>
    </row>
    <row r="130" spans="1:11" ht="17.25" customHeight="1" x14ac:dyDescent="0.2">
      <c r="A130" s="22" t="s">
        <v>313</v>
      </c>
      <c r="B130" s="449" t="s">
        <v>654</v>
      </c>
      <c r="C130" s="449"/>
      <c r="D130" s="449"/>
      <c r="E130" s="449"/>
      <c r="F130" s="449"/>
      <c r="G130" s="449"/>
      <c r="H130" s="449"/>
      <c r="I130" s="449"/>
      <c r="J130" s="63">
        <f>ROUND((($J$124/30)*5)/12*0.015,2)</f>
        <v>0.52</v>
      </c>
    </row>
    <row r="131" spans="1:11" ht="17.25" customHeight="1" x14ac:dyDescent="0.2">
      <c r="A131" s="22" t="s">
        <v>315</v>
      </c>
      <c r="B131" s="449" t="s">
        <v>655</v>
      </c>
      <c r="C131" s="449"/>
      <c r="D131" s="449"/>
      <c r="E131" s="449"/>
      <c r="F131" s="449"/>
      <c r="G131" s="449"/>
      <c r="H131" s="449"/>
      <c r="I131" s="449"/>
      <c r="J131" s="66">
        <f>ROUND(((($J$124/30)*15)/12)*0.0078,2)</f>
        <v>0.81</v>
      </c>
      <c r="K131" s="122"/>
    </row>
    <row r="132" spans="1:11" ht="17.25" customHeight="1" x14ac:dyDescent="0.2">
      <c r="A132" s="22" t="s">
        <v>368</v>
      </c>
      <c r="B132" s="449" t="s">
        <v>656</v>
      </c>
      <c r="C132" s="449"/>
      <c r="D132" s="449"/>
      <c r="E132" s="449"/>
      <c r="F132" s="449"/>
      <c r="G132" s="449"/>
      <c r="H132" s="449"/>
      <c r="I132" s="449"/>
      <c r="J132" s="66">
        <f>ROUND((((J64+J64/3)/12+(J84+J101-J95-J90+J120))*4/12)*0.02,2)</f>
        <v>6.17</v>
      </c>
    </row>
    <row r="133" spans="1:11" ht="17.25" customHeight="1" x14ac:dyDescent="0.2">
      <c r="A133" s="22" t="s">
        <v>369</v>
      </c>
      <c r="B133" s="449" t="s">
        <v>657</v>
      </c>
      <c r="C133" s="449"/>
      <c r="D133" s="449"/>
      <c r="E133" s="449"/>
      <c r="F133" s="449"/>
      <c r="G133" s="449"/>
      <c r="H133" s="449"/>
      <c r="I133" s="449"/>
      <c r="J133" s="66">
        <f>ROUND(((($J$124/30)*5)/12),2)</f>
        <v>34.81</v>
      </c>
    </row>
    <row r="134" spans="1:11" ht="17.25" customHeight="1" x14ac:dyDescent="0.2">
      <c r="A134" s="412" t="s">
        <v>415</v>
      </c>
      <c r="B134" s="412"/>
      <c r="C134" s="412"/>
      <c r="D134" s="412"/>
      <c r="E134" s="412"/>
      <c r="F134" s="412"/>
      <c r="G134" s="412"/>
      <c r="H134" s="412"/>
      <c r="I134" s="412"/>
      <c r="J134" s="10">
        <f>SUM(J128:J133)</f>
        <v>192.37</v>
      </c>
    </row>
    <row r="135" spans="1:11" ht="17.25" customHeight="1" x14ac:dyDescent="0.2">
      <c r="A135" s="475"/>
      <c r="B135" s="475"/>
      <c r="C135" s="475"/>
      <c r="D135" s="475"/>
      <c r="E135" s="475"/>
      <c r="F135" s="475"/>
      <c r="G135" s="475"/>
      <c r="H135" s="475"/>
      <c r="I135" s="475"/>
      <c r="J135" s="475"/>
    </row>
    <row r="136" spans="1:11" ht="17.25" customHeight="1" x14ac:dyDescent="0.2">
      <c r="A136" s="21" t="s">
        <v>416</v>
      </c>
      <c r="B136" s="419" t="s">
        <v>417</v>
      </c>
      <c r="C136" s="419"/>
      <c r="D136" s="419"/>
      <c r="E136" s="419"/>
      <c r="F136" s="419"/>
      <c r="G136" s="419"/>
      <c r="H136" s="419"/>
      <c r="I136" s="419"/>
      <c r="J136" s="21" t="s">
        <v>360</v>
      </c>
    </row>
    <row r="137" spans="1:11" ht="17.25" customHeight="1" x14ac:dyDescent="0.2">
      <c r="A137" s="22" t="s">
        <v>310</v>
      </c>
      <c r="B137" s="449" t="s">
        <v>418</v>
      </c>
      <c r="C137" s="449"/>
      <c r="D137" s="449"/>
      <c r="E137" s="449"/>
      <c r="F137" s="449"/>
      <c r="G137" s="449"/>
      <c r="H137" s="449"/>
      <c r="I137" s="449"/>
      <c r="J137" s="66">
        <v>0</v>
      </c>
    </row>
    <row r="138" spans="1:11" ht="17.25" customHeight="1" x14ac:dyDescent="0.2">
      <c r="A138" s="412" t="s">
        <v>419</v>
      </c>
      <c r="B138" s="412"/>
      <c r="C138" s="412"/>
      <c r="D138" s="412"/>
      <c r="E138" s="412"/>
      <c r="F138" s="412"/>
      <c r="G138" s="412"/>
      <c r="H138" s="412"/>
      <c r="I138" s="412"/>
      <c r="J138" s="10">
        <f>SUM(J137)</f>
        <v>0</v>
      </c>
    </row>
    <row r="139" spans="1:11" ht="17.25" customHeight="1" x14ac:dyDescent="0.2">
      <c r="A139" s="476"/>
      <c r="B139" s="476"/>
      <c r="C139" s="476"/>
      <c r="D139" s="476"/>
      <c r="E139" s="476"/>
      <c r="F139" s="476"/>
      <c r="G139" s="476"/>
      <c r="H139" s="476"/>
      <c r="I139" s="476"/>
      <c r="J139" s="476"/>
    </row>
    <row r="140" spans="1:11" ht="17.25" customHeight="1" x14ac:dyDescent="0.2">
      <c r="A140" s="419" t="s">
        <v>420</v>
      </c>
      <c r="B140" s="419"/>
      <c r="C140" s="419"/>
      <c r="D140" s="419"/>
      <c r="E140" s="419"/>
      <c r="F140" s="419"/>
      <c r="G140" s="419"/>
      <c r="H140" s="419"/>
      <c r="I140" s="419"/>
      <c r="J140" s="419"/>
    </row>
    <row r="141" spans="1:11" ht="17.25" customHeight="1" x14ac:dyDescent="0.2">
      <c r="A141" s="21" t="s">
        <v>421</v>
      </c>
      <c r="B141" s="419" t="s">
        <v>394</v>
      </c>
      <c r="C141" s="419"/>
      <c r="D141" s="419"/>
      <c r="E141" s="419"/>
      <c r="F141" s="419"/>
      <c r="G141" s="419"/>
      <c r="H141" s="419"/>
      <c r="I141" s="419"/>
      <c r="J141" s="16" t="s">
        <v>360</v>
      </c>
    </row>
    <row r="142" spans="1:11" ht="17.25" customHeight="1" x14ac:dyDescent="0.2">
      <c r="A142" s="22" t="s">
        <v>413</v>
      </c>
      <c r="B142" s="449" t="s">
        <v>414</v>
      </c>
      <c r="C142" s="449"/>
      <c r="D142" s="449"/>
      <c r="E142" s="449"/>
      <c r="F142" s="449"/>
      <c r="G142" s="449"/>
      <c r="H142" s="449"/>
      <c r="I142" s="449"/>
      <c r="J142" s="66">
        <f>J134</f>
        <v>192.37</v>
      </c>
    </row>
    <row r="143" spans="1:11" ht="17.25" customHeight="1" x14ac:dyDescent="0.2">
      <c r="A143" s="22" t="s">
        <v>422</v>
      </c>
      <c r="B143" s="449" t="s">
        <v>417</v>
      </c>
      <c r="C143" s="449"/>
      <c r="D143" s="449"/>
      <c r="E143" s="449"/>
      <c r="F143" s="449"/>
      <c r="G143" s="449"/>
      <c r="H143" s="449"/>
      <c r="I143" s="449"/>
      <c r="J143" s="66">
        <f>J138</f>
        <v>0</v>
      </c>
    </row>
    <row r="144" spans="1:11" ht="17.25" customHeight="1" x14ac:dyDescent="0.2">
      <c r="A144" s="412" t="s">
        <v>423</v>
      </c>
      <c r="B144" s="412"/>
      <c r="C144" s="412"/>
      <c r="D144" s="412"/>
      <c r="E144" s="412"/>
      <c r="F144" s="412"/>
      <c r="G144" s="412"/>
      <c r="H144" s="412"/>
      <c r="I144" s="412"/>
      <c r="J144" s="10">
        <f>SUM(J142+J143)</f>
        <v>192.37</v>
      </c>
    </row>
    <row r="145" spans="1:10" ht="34.5" customHeight="1" x14ac:dyDescent="0.2">
      <c r="A145" s="65" t="s">
        <v>390</v>
      </c>
      <c r="B145" s="450" t="s">
        <v>425</v>
      </c>
      <c r="C145" s="450"/>
      <c r="D145" s="450"/>
      <c r="E145" s="450"/>
      <c r="F145" s="450"/>
      <c r="G145" s="450"/>
      <c r="H145" s="450"/>
      <c r="I145" s="450"/>
      <c r="J145" s="450"/>
    </row>
    <row r="146" spans="1:10" ht="17.25" customHeight="1" x14ac:dyDescent="0.2">
      <c r="A146" s="117"/>
      <c r="B146" s="118"/>
      <c r="C146" s="115"/>
      <c r="D146" s="115"/>
      <c r="E146" s="115"/>
      <c r="F146" s="115"/>
      <c r="G146" s="115"/>
      <c r="H146" s="115"/>
      <c r="I146" s="115"/>
      <c r="J146" s="116"/>
    </row>
    <row r="147" spans="1:10" ht="17.25" customHeight="1" x14ac:dyDescent="0.2">
      <c r="A147" s="419" t="s">
        <v>426</v>
      </c>
      <c r="B147" s="419"/>
      <c r="C147" s="419"/>
      <c r="D147" s="419"/>
      <c r="E147" s="419"/>
      <c r="F147" s="419"/>
      <c r="G147" s="419"/>
      <c r="H147" s="419"/>
      <c r="I147" s="419"/>
      <c r="J147" s="419"/>
    </row>
    <row r="148" spans="1:10" ht="17.25" customHeight="1" x14ac:dyDescent="0.2">
      <c r="A148" s="21"/>
      <c r="B148" s="419" t="s">
        <v>394</v>
      </c>
      <c r="C148" s="419"/>
      <c r="D148" s="419"/>
      <c r="E148" s="419"/>
      <c r="F148" s="419"/>
      <c r="G148" s="419"/>
      <c r="H148" s="419"/>
      <c r="I148" s="419"/>
      <c r="J148" s="21" t="s">
        <v>360</v>
      </c>
    </row>
    <row r="149" spans="1:10" ht="17.25" customHeight="1" x14ac:dyDescent="0.2">
      <c r="A149" s="22" t="s">
        <v>310</v>
      </c>
      <c r="B149" s="449" t="s">
        <v>427</v>
      </c>
      <c r="C149" s="449"/>
      <c r="D149" s="449"/>
      <c r="E149" s="449"/>
      <c r="F149" s="449"/>
      <c r="G149" s="449"/>
      <c r="H149" s="449"/>
      <c r="I149" s="449"/>
      <c r="J149" s="66">
        <f>'2. SAn INSUMOS'!G95</f>
        <v>110.10250000000002</v>
      </c>
    </row>
    <row r="150" spans="1:10" ht="17.25" customHeight="1" x14ac:dyDescent="0.2">
      <c r="A150" s="22" t="s">
        <v>312</v>
      </c>
      <c r="B150" s="449" t="s">
        <v>428</v>
      </c>
      <c r="C150" s="449"/>
      <c r="D150" s="449"/>
      <c r="E150" s="449"/>
      <c r="F150" s="449"/>
      <c r="G150" s="449"/>
      <c r="H150" s="449"/>
      <c r="I150" s="449"/>
      <c r="J150" s="66">
        <f>'2. SAn INSUMOS'!G91</f>
        <v>698.59200480529694</v>
      </c>
    </row>
    <row r="151" spans="1:10" ht="17.25" customHeight="1" x14ac:dyDescent="0.2">
      <c r="A151" s="22" t="s">
        <v>313</v>
      </c>
      <c r="B151" s="449" t="s">
        <v>429</v>
      </c>
      <c r="C151" s="449"/>
      <c r="D151" s="449"/>
      <c r="E151" s="449"/>
      <c r="F151" s="449"/>
      <c r="G151" s="449"/>
      <c r="H151" s="449"/>
      <c r="I151" s="449"/>
      <c r="J151" s="66">
        <f>'2. SAn INSUMOS'!G93</f>
        <v>22.696742684695057</v>
      </c>
    </row>
    <row r="152" spans="1:10" ht="17.25" customHeight="1" x14ac:dyDescent="0.2">
      <c r="A152" s="22" t="s">
        <v>315</v>
      </c>
      <c r="B152" s="449" t="s">
        <v>663</v>
      </c>
      <c r="C152" s="449"/>
      <c r="D152" s="449"/>
      <c r="E152" s="449"/>
      <c r="F152" s="449"/>
      <c r="G152" s="449"/>
      <c r="H152" s="449"/>
      <c r="I152" s="449"/>
      <c r="J152" s="66" t="s">
        <v>430</v>
      </c>
    </row>
    <row r="153" spans="1:10" ht="17.25" customHeight="1" x14ac:dyDescent="0.2">
      <c r="A153" s="412" t="s">
        <v>431</v>
      </c>
      <c r="B153" s="412"/>
      <c r="C153" s="412"/>
      <c r="D153" s="412"/>
      <c r="E153" s="412"/>
      <c r="F153" s="412"/>
      <c r="G153" s="412"/>
      <c r="H153" s="412"/>
      <c r="I153" s="412"/>
      <c r="J153" s="10">
        <f>SUM(J149:J152)</f>
        <v>831.391247489992</v>
      </c>
    </row>
    <row r="154" spans="1:10" ht="17.25" customHeight="1" x14ac:dyDescent="0.2">
      <c r="A154" s="65" t="s">
        <v>424</v>
      </c>
      <c r="B154" s="450" t="s">
        <v>433</v>
      </c>
      <c r="C154" s="450"/>
      <c r="D154" s="450"/>
      <c r="E154" s="450"/>
      <c r="F154" s="450"/>
      <c r="G154" s="450"/>
      <c r="H154" s="450"/>
      <c r="I154" s="450"/>
      <c r="J154" s="450"/>
    </row>
    <row r="155" spans="1:10" ht="17.25" customHeight="1" x14ac:dyDescent="0.2">
      <c r="A155" s="475"/>
      <c r="B155" s="475"/>
      <c r="C155" s="475"/>
      <c r="D155" s="475"/>
      <c r="E155" s="475"/>
      <c r="F155" s="475"/>
      <c r="G155" s="475"/>
      <c r="H155" s="475"/>
      <c r="I155" s="475"/>
      <c r="J155" s="475"/>
    </row>
    <row r="156" spans="1:10" ht="17.25" customHeight="1" x14ac:dyDescent="0.2">
      <c r="A156" s="419" t="s">
        <v>434</v>
      </c>
      <c r="B156" s="419"/>
      <c r="C156" s="419"/>
      <c r="D156" s="419"/>
      <c r="E156" s="419"/>
      <c r="F156" s="419"/>
      <c r="G156" s="419"/>
      <c r="H156" s="419"/>
      <c r="I156" s="419"/>
      <c r="J156" s="419"/>
    </row>
    <row r="157" spans="1:10" ht="17.25" customHeight="1" x14ac:dyDescent="0.2">
      <c r="A157" s="21"/>
      <c r="B157" s="419" t="s">
        <v>435</v>
      </c>
      <c r="C157" s="419"/>
      <c r="D157" s="419"/>
      <c r="E157" s="419"/>
      <c r="F157" s="419"/>
      <c r="G157" s="419"/>
      <c r="H157" s="419"/>
      <c r="I157" s="21" t="s">
        <v>350</v>
      </c>
      <c r="J157" s="16" t="s">
        <v>360</v>
      </c>
    </row>
    <row r="158" spans="1:10" ht="50.25" customHeight="1" x14ac:dyDescent="0.2">
      <c r="A158" s="449" t="s">
        <v>658</v>
      </c>
      <c r="B158" s="449"/>
      <c r="C158" s="449"/>
      <c r="D158" s="449"/>
      <c r="E158" s="449"/>
      <c r="F158" s="449"/>
      <c r="G158" s="449"/>
      <c r="H158" s="449"/>
      <c r="I158" s="449"/>
      <c r="J158" s="78">
        <f>SUM(J64+J110+J120+J144+J153)</f>
        <v>4023.801247489992</v>
      </c>
    </row>
    <row r="159" spans="1:10" ht="17.25" customHeight="1" x14ac:dyDescent="0.2">
      <c r="A159" s="21" t="s">
        <v>310</v>
      </c>
      <c r="B159" s="415" t="s">
        <v>436</v>
      </c>
      <c r="C159" s="415"/>
      <c r="D159" s="415"/>
      <c r="E159" s="415"/>
      <c r="F159" s="415"/>
      <c r="G159" s="415"/>
      <c r="H159" s="415"/>
      <c r="I159" s="82">
        <f>'1. SAn ABA DE CARREGAMENTO'!$B$103</f>
        <v>0.06</v>
      </c>
      <c r="J159" s="10">
        <f>ROUND(I159*J158,2)</f>
        <v>241.43</v>
      </c>
    </row>
    <row r="160" spans="1:10" ht="51.75" customHeight="1" x14ac:dyDescent="0.2">
      <c r="A160" s="449" t="s">
        <v>659</v>
      </c>
      <c r="B160" s="449"/>
      <c r="C160" s="449"/>
      <c r="D160" s="449"/>
      <c r="E160" s="449"/>
      <c r="F160" s="449"/>
      <c r="G160" s="449"/>
      <c r="H160" s="449"/>
      <c r="I160" s="449"/>
      <c r="J160" s="78">
        <f>SUM(J64+J110+J120+J144+J153+J159)</f>
        <v>4265.2312474899918</v>
      </c>
    </row>
    <row r="161" spans="1:12" ht="17.25" customHeight="1" x14ac:dyDescent="0.2">
      <c r="A161" s="21" t="s">
        <v>312</v>
      </c>
      <c r="B161" s="415" t="s">
        <v>99</v>
      </c>
      <c r="C161" s="415"/>
      <c r="D161" s="415"/>
      <c r="E161" s="415"/>
      <c r="F161" s="415"/>
      <c r="G161" s="415"/>
      <c r="H161" s="415"/>
      <c r="I161" s="82">
        <f>'1. SAn ABA DE CARREGAMENTO'!$B$104</f>
        <v>6.7900000000000002E-2</v>
      </c>
      <c r="J161" s="10">
        <f>ROUND(I161*J160,2)</f>
        <v>289.61</v>
      </c>
    </row>
    <row r="162" spans="1:12" ht="47.25" customHeight="1" x14ac:dyDescent="0.2">
      <c r="A162" s="449" t="s">
        <v>660</v>
      </c>
      <c r="B162" s="449"/>
      <c r="C162" s="449"/>
      <c r="D162" s="449"/>
      <c r="E162" s="449"/>
      <c r="F162" s="449"/>
      <c r="G162" s="449"/>
      <c r="H162" s="449"/>
      <c r="I162" s="449"/>
      <c r="J162" s="78">
        <f>SUM(J64+J110+J120+J144+J153+J159+J161)</f>
        <v>4554.8412474899915</v>
      </c>
    </row>
    <row r="163" spans="1:12" ht="17.25" customHeight="1" x14ac:dyDescent="0.2">
      <c r="A163" s="21" t="s">
        <v>313</v>
      </c>
      <c r="B163" s="415" t="s">
        <v>437</v>
      </c>
      <c r="C163" s="415"/>
      <c r="D163" s="415"/>
      <c r="E163" s="415"/>
      <c r="F163" s="415"/>
      <c r="G163" s="415"/>
      <c r="H163" s="415"/>
      <c r="I163" s="82">
        <f>SUM(I164:I167)</f>
        <v>0.1225</v>
      </c>
      <c r="J163" s="10">
        <f>SUM(J164:J167)</f>
        <v>635.86</v>
      </c>
      <c r="K163" s="473"/>
      <c r="L163" s="473"/>
    </row>
    <row r="164" spans="1:12" ht="17.25" customHeight="1" x14ac:dyDescent="0.2">
      <c r="A164" s="474" t="s">
        <v>438</v>
      </c>
      <c r="B164" s="449" t="s">
        <v>439</v>
      </c>
      <c r="C164" s="449"/>
      <c r="D164" s="449"/>
      <c r="E164" s="449"/>
      <c r="F164" s="449" t="s">
        <v>102</v>
      </c>
      <c r="G164" s="449"/>
      <c r="H164" s="449"/>
      <c r="I164" s="68">
        <f>IF(H15=1,0.0165,IF(H15=2,0.0065,IF(H15=3,'1. SAn ABA DE CARREGAMENTO'!B108,IF(H15=4,'1. SAn ABA DE CARREGAMENTO'!B108,IF(H15=5,'1. SAn ABA DE CARREGAMENTO'!B112,"RT Indefinido")))))</f>
        <v>1.6500000000000001E-2</v>
      </c>
      <c r="J164" s="78">
        <f>ROUND(($J$162/(1-$I$163))*I164,2)</f>
        <v>85.65</v>
      </c>
      <c r="K164" s="83"/>
      <c r="L164" s="84"/>
    </row>
    <row r="165" spans="1:12" ht="17.25" customHeight="1" x14ac:dyDescent="0.2">
      <c r="A165" s="474"/>
      <c r="B165" s="449"/>
      <c r="C165" s="449"/>
      <c r="D165" s="449"/>
      <c r="E165" s="449"/>
      <c r="F165" s="449" t="s">
        <v>103</v>
      </c>
      <c r="G165" s="449"/>
      <c r="H165" s="449"/>
      <c r="I165" s="68">
        <f>IF(H15=1,0.076,IF(H15=2,0.03,IF(H15=3,'1. SAn ABA DE CARREGAMENTO'!B109,IF(H15=4,'1. SAn ABA DE CARREGAMENTO'!B109,IF(H15=5,'1. SAn ABA DE CARREGAMENTO'!B113,"RT Indefinido")))))</f>
        <v>7.5999999999999998E-2</v>
      </c>
      <c r="J165" s="78">
        <f>ROUND(($J$162/(1-$I$163))*I165,2)</f>
        <v>394.49</v>
      </c>
      <c r="K165" s="83"/>
      <c r="L165" s="84"/>
    </row>
    <row r="166" spans="1:12" ht="17.25" customHeight="1" x14ac:dyDescent="0.2">
      <c r="A166" s="22" t="s">
        <v>440</v>
      </c>
      <c r="B166" s="449" t="s">
        <v>441</v>
      </c>
      <c r="C166" s="449"/>
      <c r="D166" s="449"/>
      <c r="E166" s="449"/>
      <c r="F166" s="449" t="s">
        <v>442</v>
      </c>
      <c r="G166" s="449"/>
      <c r="H166" s="449"/>
      <c r="I166" s="68">
        <v>0</v>
      </c>
      <c r="J166" s="66">
        <v>0</v>
      </c>
      <c r="K166" s="83"/>
      <c r="L166" s="84"/>
    </row>
    <row r="167" spans="1:12" ht="17.25" customHeight="1" x14ac:dyDescent="0.2">
      <c r="A167" s="22" t="s">
        <v>443</v>
      </c>
      <c r="B167" s="449" t="s">
        <v>444</v>
      </c>
      <c r="C167" s="449"/>
      <c r="D167" s="449"/>
      <c r="E167" s="449"/>
      <c r="F167" s="449" t="s">
        <v>445</v>
      </c>
      <c r="G167" s="449"/>
      <c r="H167" s="449"/>
      <c r="I167" s="68">
        <f>'1. SAn ABA DE CARREGAMENTO'!$B$105</f>
        <v>0.03</v>
      </c>
      <c r="J167" s="78">
        <f>ROUND(($J$162/(1-$I$163))*I167,2)</f>
        <v>155.72</v>
      </c>
    </row>
    <row r="168" spans="1:12" ht="17.25" customHeight="1" x14ac:dyDescent="0.2">
      <c r="A168" s="412" t="s">
        <v>446</v>
      </c>
      <c r="B168" s="412"/>
      <c r="C168" s="412"/>
      <c r="D168" s="412"/>
      <c r="E168" s="412"/>
      <c r="F168" s="412"/>
      <c r="G168" s="412"/>
      <c r="H168" s="412"/>
      <c r="I168" s="412"/>
      <c r="J168" s="10">
        <f>SUM(J159+J161+J163)</f>
        <v>1166.9000000000001</v>
      </c>
    </row>
    <row r="169" spans="1:12" ht="17.25" customHeight="1" x14ac:dyDescent="0.2">
      <c r="A169" s="65" t="s">
        <v>432</v>
      </c>
      <c r="B169" s="450" t="s">
        <v>448</v>
      </c>
      <c r="C169" s="450"/>
      <c r="D169" s="450"/>
      <c r="E169" s="450"/>
      <c r="F169" s="450"/>
      <c r="G169" s="450"/>
      <c r="H169" s="450"/>
      <c r="I169" s="450"/>
      <c r="J169" s="450"/>
    </row>
    <row r="170" spans="1:12" ht="17.25" customHeight="1" x14ac:dyDescent="0.2">
      <c r="A170" s="451" t="s">
        <v>447</v>
      </c>
      <c r="B170" s="452" t="s">
        <v>449</v>
      </c>
      <c r="C170" s="453"/>
      <c r="D170" s="458" t="s">
        <v>680</v>
      </c>
      <c r="E170" s="459"/>
      <c r="F170" s="459"/>
      <c r="G170" s="464" t="s">
        <v>681</v>
      </c>
      <c r="H170" s="465"/>
      <c r="I170" s="293"/>
      <c r="J170" s="470"/>
    </row>
    <row r="171" spans="1:12" ht="17.25" customHeight="1" x14ac:dyDescent="0.2">
      <c r="A171" s="451"/>
      <c r="B171" s="454"/>
      <c r="C171" s="455"/>
      <c r="D171" s="460"/>
      <c r="E171" s="461"/>
      <c r="F171" s="461"/>
      <c r="G171" s="466"/>
      <c r="H171" s="467"/>
      <c r="I171" s="294"/>
      <c r="J171" s="471"/>
    </row>
    <row r="172" spans="1:12" ht="17.25" customHeight="1" x14ac:dyDescent="0.2">
      <c r="A172" s="451"/>
      <c r="B172" s="456"/>
      <c r="C172" s="457"/>
      <c r="D172" s="462"/>
      <c r="E172" s="463"/>
      <c r="F172" s="463"/>
      <c r="G172" s="468"/>
      <c r="H172" s="469"/>
      <c r="I172" s="295"/>
      <c r="J172" s="472"/>
    </row>
    <row r="173" spans="1:12" ht="17.25" customHeight="1" x14ac:dyDescent="0.2">
      <c r="A173" s="123"/>
      <c r="B173" s="124"/>
      <c r="C173" s="125"/>
      <c r="D173" s="126"/>
      <c r="E173" s="126"/>
      <c r="F173" s="126"/>
      <c r="G173" s="126"/>
      <c r="H173" s="126"/>
      <c r="I173" s="126"/>
      <c r="J173" s="126"/>
    </row>
    <row r="174" spans="1:12" ht="17.25" customHeight="1" x14ac:dyDescent="0.2">
      <c r="A174" s="445" t="s">
        <v>682</v>
      </c>
      <c r="B174" s="445"/>
      <c r="C174" s="445"/>
      <c r="D174" s="445"/>
      <c r="E174" s="445"/>
      <c r="F174" s="445"/>
      <c r="G174" s="445"/>
      <c r="H174" s="445"/>
      <c r="I174" s="445"/>
      <c r="J174" s="445"/>
    </row>
    <row r="175" spans="1:12" ht="17.25" customHeight="1" x14ac:dyDescent="0.2">
      <c r="A175" s="446" t="s">
        <v>450</v>
      </c>
      <c r="B175" s="446"/>
      <c r="C175" s="446"/>
      <c r="D175" s="446"/>
      <c r="E175" s="446"/>
      <c r="F175" s="446"/>
      <c r="G175" s="446"/>
      <c r="H175" s="446"/>
      <c r="I175" s="446"/>
      <c r="J175" s="21" t="s">
        <v>360</v>
      </c>
    </row>
    <row r="176" spans="1:12" ht="17.25" customHeight="1" x14ac:dyDescent="0.2">
      <c r="A176" s="85" t="s">
        <v>310</v>
      </c>
      <c r="B176" s="447" t="s">
        <v>451</v>
      </c>
      <c r="C176" s="447"/>
      <c r="D176" s="447"/>
      <c r="E176" s="447"/>
      <c r="F176" s="447"/>
      <c r="G176" s="447"/>
      <c r="H176" s="447"/>
      <c r="I176" s="447"/>
      <c r="J176" s="66">
        <f>J64</f>
        <v>1576.9099999999999</v>
      </c>
    </row>
    <row r="177" spans="1:10" ht="17.25" customHeight="1" x14ac:dyDescent="0.2">
      <c r="A177" s="85" t="s">
        <v>312</v>
      </c>
      <c r="B177" s="447" t="s">
        <v>452</v>
      </c>
      <c r="C177" s="447"/>
      <c r="D177" s="447"/>
      <c r="E177" s="447"/>
      <c r="F177" s="447"/>
      <c r="G177" s="447"/>
      <c r="H177" s="447"/>
      <c r="I177" s="447"/>
      <c r="J177" s="66">
        <f>J110</f>
        <v>1336.09</v>
      </c>
    </row>
    <row r="178" spans="1:10" ht="17.25" customHeight="1" x14ac:dyDescent="0.2">
      <c r="A178" s="85" t="s">
        <v>313</v>
      </c>
      <c r="B178" s="447" t="s">
        <v>453</v>
      </c>
      <c r="C178" s="447"/>
      <c r="D178" s="447"/>
      <c r="E178" s="447"/>
      <c r="F178" s="447"/>
      <c r="G178" s="447"/>
      <c r="H178" s="447"/>
      <c r="I178" s="447"/>
      <c r="J178" s="66">
        <f>J120</f>
        <v>87.039999999999992</v>
      </c>
    </row>
    <row r="179" spans="1:10" ht="17.25" customHeight="1" x14ac:dyDescent="0.2">
      <c r="A179" s="85" t="s">
        <v>315</v>
      </c>
      <c r="B179" s="447" t="s">
        <v>454</v>
      </c>
      <c r="C179" s="447"/>
      <c r="D179" s="447"/>
      <c r="E179" s="447"/>
      <c r="F179" s="447"/>
      <c r="G179" s="447"/>
      <c r="H179" s="447"/>
      <c r="I179" s="447"/>
      <c r="J179" s="66">
        <f>J144</f>
        <v>192.37</v>
      </c>
    </row>
    <row r="180" spans="1:10" ht="17.25" customHeight="1" x14ac:dyDescent="0.2">
      <c r="A180" s="85" t="s">
        <v>368</v>
      </c>
      <c r="B180" s="447" t="s">
        <v>455</v>
      </c>
      <c r="C180" s="447"/>
      <c r="D180" s="447"/>
      <c r="E180" s="447"/>
      <c r="F180" s="447"/>
      <c r="G180" s="447"/>
      <c r="H180" s="447"/>
      <c r="I180" s="447"/>
      <c r="J180" s="66">
        <f>J153</f>
        <v>831.391247489992</v>
      </c>
    </row>
    <row r="181" spans="1:10" ht="17.25" customHeight="1" x14ac:dyDescent="0.2">
      <c r="A181" s="448" t="s">
        <v>456</v>
      </c>
      <c r="B181" s="448"/>
      <c r="C181" s="448"/>
      <c r="D181" s="448"/>
      <c r="E181" s="448"/>
      <c r="F181" s="448"/>
      <c r="G181" s="448"/>
      <c r="H181" s="448"/>
      <c r="I181" s="448"/>
      <c r="J181" s="10">
        <f>SUM(J176:J180)</f>
        <v>4023.801247489992</v>
      </c>
    </row>
    <row r="182" spans="1:10" ht="17.25" customHeight="1" x14ac:dyDescent="0.2">
      <c r="A182" s="85" t="s">
        <v>369</v>
      </c>
      <c r="B182" s="447" t="s">
        <v>457</v>
      </c>
      <c r="C182" s="447"/>
      <c r="D182" s="447"/>
      <c r="E182" s="447"/>
      <c r="F182" s="447"/>
      <c r="G182" s="447"/>
      <c r="H182" s="447"/>
      <c r="I182" s="447"/>
      <c r="J182" s="66">
        <f>J168</f>
        <v>1166.9000000000001</v>
      </c>
    </row>
    <row r="183" spans="1:10" ht="17.25" customHeight="1" x14ac:dyDescent="0.2">
      <c r="A183" s="444" t="s">
        <v>458</v>
      </c>
      <c r="B183" s="444"/>
      <c r="C183" s="444"/>
      <c r="D183" s="444"/>
      <c r="E183" s="444"/>
      <c r="F183" s="444"/>
      <c r="G183" s="444"/>
      <c r="H183" s="86">
        <f>'1. SAn ABA DE CARREGAMENTO'!C68</f>
        <v>44</v>
      </c>
      <c r="I183" s="87" t="s">
        <v>352</v>
      </c>
      <c r="J183" s="10">
        <f>SUM(J181:J182)</f>
        <v>5190.7012474899921</v>
      </c>
    </row>
    <row r="184" spans="1:10" ht="17.25" customHeight="1" x14ac:dyDescent="0.2">
      <c r="A184" s="127"/>
      <c r="B184" s="127"/>
      <c r="C184" s="127"/>
      <c r="D184" s="127"/>
      <c r="E184" s="127"/>
      <c r="F184" s="127"/>
      <c r="G184" s="127"/>
      <c r="H184" s="127"/>
      <c r="I184" s="127"/>
      <c r="J184" s="121"/>
    </row>
    <row r="185" spans="1:10" ht="17.25" customHeight="1" x14ac:dyDescent="0.2">
      <c r="A185" s="419" t="s">
        <v>459</v>
      </c>
      <c r="B185" s="419"/>
      <c r="C185" s="419"/>
      <c r="D185" s="419"/>
      <c r="E185" s="419"/>
      <c r="F185" s="419"/>
      <c r="G185" s="419"/>
      <c r="H185" s="419"/>
      <c r="I185" s="419"/>
      <c r="J185" s="419"/>
    </row>
    <row r="186" spans="1:10" ht="17.25" customHeight="1" x14ac:dyDescent="0.2">
      <c r="A186" s="423" t="s">
        <v>661</v>
      </c>
      <c r="B186" s="423"/>
      <c r="C186" s="423"/>
      <c r="D186" s="423"/>
      <c r="E186" s="423"/>
      <c r="F186" s="423"/>
      <c r="G186" s="423"/>
      <c r="H186" s="423"/>
      <c r="I186" s="423"/>
      <c r="J186" s="423"/>
    </row>
    <row r="187" spans="1:10" ht="17.25" customHeight="1" x14ac:dyDescent="0.2">
      <c r="A187" s="415" t="s">
        <v>687</v>
      </c>
      <c r="B187" s="415"/>
      <c r="C187" s="415"/>
      <c r="D187" s="415"/>
      <c r="E187" s="415"/>
      <c r="F187" s="415"/>
      <c r="G187" s="415"/>
      <c r="H187" s="415"/>
      <c r="I187" s="415"/>
      <c r="J187" s="415"/>
    </row>
    <row r="188" spans="1:10" ht="40.5" customHeight="1" x14ac:dyDescent="0.2">
      <c r="A188" s="419" t="s">
        <v>685</v>
      </c>
      <c r="B188" s="419"/>
      <c r="C188" s="419"/>
      <c r="D188" s="419" t="s">
        <v>460</v>
      </c>
      <c r="E188" s="419"/>
      <c r="F188" s="419"/>
      <c r="G188" s="419" t="s">
        <v>461</v>
      </c>
      <c r="H188" s="419"/>
      <c r="I188" s="419" t="s">
        <v>462</v>
      </c>
      <c r="J188" s="419"/>
    </row>
    <row r="189" spans="1:10" ht="17.25" customHeight="1" x14ac:dyDescent="0.2">
      <c r="A189" s="429" t="s">
        <v>463</v>
      </c>
      <c r="B189" s="429"/>
      <c r="C189" s="429"/>
      <c r="D189" s="94">
        <v>1</v>
      </c>
      <c r="E189" s="94">
        <v>30</v>
      </c>
      <c r="F189" s="111">
        <f>E190</f>
        <v>1200</v>
      </c>
      <c r="G189" s="430">
        <v>0</v>
      </c>
      <c r="H189" s="430"/>
      <c r="I189" s="431">
        <f>G189/F189/E189</f>
        <v>0</v>
      </c>
      <c r="J189" s="431"/>
    </row>
    <row r="190" spans="1:10" ht="17.25" customHeight="1" x14ac:dyDescent="0.2">
      <c r="A190" s="429" t="s">
        <v>666</v>
      </c>
      <c r="B190" s="429"/>
      <c r="C190" s="429"/>
      <c r="D190" s="94">
        <v>1</v>
      </c>
      <c r="E190" s="432">
        <f>'4. SAn Cál DEMO Limpeza Geral'!C8</f>
        <v>1200</v>
      </c>
      <c r="F190" s="432"/>
      <c r="G190" s="430">
        <f>J183</f>
        <v>5190.7012474899921</v>
      </c>
      <c r="H190" s="430"/>
      <c r="I190" s="431">
        <f>ROUND((D190/E190)*G190,2)</f>
        <v>4.33</v>
      </c>
      <c r="J190" s="431"/>
    </row>
    <row r="191" spans="1:10" ht="17.25" customHeight="1" x14ac:dyDescent="0.2">
      <c r="A191" s="412" t="s">
        <v>464</v>
      </c>
      <c r="B191" s="412"/>
      <c r="C191" s="412"/>
      <c r="D191" s="412"/>
      <c r="E191" s="412"/>
      <c r="F191" s="412"/>
      <c r="G191" s="412"/>
      <c r="H191" s="412"/>
      <c r="I191" s="413">
        <f>SUM(I189+I190)</f>
        <v>4.33</v>
      </c>
      <c r="J191" s="413"/>
    </row>
    <row r="192" spans="1:10" ht="17.25" customHeight="1" x14ac:dyDescent="0.2">
      <c r="A192" s="429" t="s">
        <v>667</v>
      </c>
      <c r="B192" s="429"/>
      <c r="C192" s="429"/>
      <c r="D192" s="94">
        <v>1</v>
      </c>
      <c r="E192" s="94">
        <v>30</v>
      </c>
      <c r="F192" s="111">
        <f>E193</f>
        <v>1200</v>
      </c>
      <c r="G192" s="430">
        <f>G189</f>
        <v>0</v>
      </c>
      <c r="H192" s="430"/>
      <c r="I192" s="431">
        <f>G192/F192/E192</f>
        <v>0</v>
      </c>
      <c r="J192" s="431"/>
    </row>
    <row r="193" spans="1:10" ht="17.25" customHeight="1" x14ac:dyDescent="0.2">
      <c r="A193" s="429" t="s">
        <v>465</v>
      </c>
      <c r="B193" s="429"/>
      <c r="C193" s="429"/>
      <c r="D193" s="94">
        <v>1</v>
      </c>
      <c r="E193" s="432">
        <f>'4. SAn Cál DEMO Limpeza Geral'!C9</f>
        <v>1200</v>
      </c>
      <c r="F193" s="432"/>
      <c r="G193" s="430">
        <f>J183</f>
        <v>5190.7012474899921</v>
      </c>
      <c r="H193" s="430"/>
      <c r="I193" s="431">
        <f>ROUND((D193/E193)*G193,2)</f>
        <v>4.33</v>
      </c>
      <c r="J193" s="431"/>
    </row>
    <row r="194" spans="1:10" ht="17.25" customHeight="1" x14ac:dyDescent="0.2">
      <c r="A194" s="412" t="s">
        <v>464</v>
      </c>
      <c r="B194" s="412"/>
      <c r="C194" s="412"/>
      <c r="D194" s="412"/>
      <c r="E194" s="412"/>
      <c r="F194" s="412"/>
      <c r="G194" s="412"/>
      <c r="H194" s="412"/>
      <c r="I194" s="413">
        <f>SUM(I192+I193)</f>
        <v>4.33</v>
      </c>
      <c r="J194" s="413"/>
    </row>
    <row r="195" spans="1:10" ht="17.25" customHeight="1" x14ac:dyDescent="0.2">
      <c r="A195" s="429" t="s">
        <v>668</v>
      </c>
      <c r="B195" s="429"/>
      <c r="C195" s="429"/>
      <c r="D195" s="94">
        <v>1</v>
      </c>
      <c r="E195" s="94">
        <v>30</v>
      </c>
      <c r="F195" s="111">
        <f>E196</f>
        <v>450</v>
      </c>
      <c r="G195" s="430">
        <f>G189</f>
        <v>0</v>
      </c>
      <c r="H195" s="430"/>
      <c r="I195" s="431">
        <f>G195/F195/E195</f>
        <v>0</v>
      </c>
      <c r="J195" s="431"/>
    </row>
    <row r="196" spans="1:10" ht="17.25" customHeight="1" x14ac:dyDescent="0.2">
      <c r="A196" s="429" t="s">
        <v>669</v>
      </c>
      <c r="B196" s="429"/>
      <c r="C196" s="429"/>
      <c r="D196" s="94">
        <v>1</v>
      </c>
      <c r="E196" s="432">
        <f>'4. SAn Cál DEMO Limpeza Geral'!C10</f>
        <v>450</v>
      </c>
      <c r="F196" s="432"/>
      <c r="G196" s="430">
        <f>J183</f>
        <v>5190.7012474899921</v>
      </c>
      <c r="H196" s="430"/>
      <c r="I196" s="431">
        <f>ROUND((D196/E196)*G196,2)</f>
        <v>11.53</v>
      </c>
      <c r="J196" s="431"/>
    </row>
    <row r="197" spans="1:10" ht="17.25" customHeight="1" x14ac:dyDescent="0.2">
      <c r="A197" s="412" t="s">
        <v>464</v>
      </c>
      <c r="B197" s="412"/>
      <c r="C197" s="412"/>
      <c r="D197" s="412"/>
      <c r="E197" s="412"/>
      <c r="F197" s="412"/>
      <c r="G197" s="412"/>
      <c r="H197" s="412"/>
      <c r="I197" s="413">
        <f>SUM(I195+I196)</f>
        <v>11.53</v>
      </c>
      <c r="J197" s="413"/>
    </row>
    <row r="198" spans="1:10" ht="17.25" customHeight="1" x14ac:dyDescent="0.2">
      <c r="A198" s="429" t="s">
        <v>466</v>
      </c>
      <c r="B198" s="429"/>
      <c r="C198" s="429"/>
      <c r="D198" s="94">
        <v>1</v>
      </c>
      <c r="E198" s="94">
        <v>30</v>
      </c>
      <c r="F198" s="111">
        <f>E199</f>
        <v>2500</v>
      </c>
      <c r="G198" s="430">
        <f>G189</f>
        <v>0</v>
      </c>
      <c r="H198" s="430"/>
      <c r="I198" s="431">
        <f>G198/F198/E198</f>
        <v>0</v>
      </c>
      <c r="J198" s="431"/>
    </row>
    <row r="199" spans="1:10" ht="17.25" customHeight="1" x14ac:dyDescent="0.2">
      <c r="A199" s="429" t="s">
        <v>467</v>
      </c>
      <c r="B199" s="429"/>
      <c r="C199" s="429"/>
      <c r="D199" s="94">
        <v>1</v>
      </c>
      <c r="E199" s="432">
        <f>'4. SAn Cál DEMO Limpeza Geral'!C11</f>
        <v>2500</v>
      </c>
      <c r="F199" s="432"/>
      <c r="G199" s="430">
        <f>J183</f>
        <v>5190.7012474899921</v>
      </c>
      <c r="H199" s="430"/>
      <c r="I199" s="431">
        <f>ROUND((D199/E199)*G199,2)</f>
        <v>2.08</v>
      </c>
      <c r="J199" s="431"/>
    </row>
    <row r="200" spans="1:10" ht="17.25" customHeight="1" x14ac:dyDescent="0.2">
      <c r="A200" s="412" t="s">
        <v>464</v>
      </c>
      <c r="B200" s="412"/>
      <c r="C200" s="412"/>
      <c r="D200" s="412"/>
      <c r="E200" s="412"/>
      <c r="F200" s="412"/>
      <c r="G200" s="412"/>
      <c r="H200" s="412"/>
      <c r="I200" s="413">
        <f>SUM(I198+I199)</f>
        <v>2.08</v>
      </c>
      <c r="J200" s="413"/>
    </row>
    <row r="201" spans="1:10" ht="17.25" customHeight="1" x14ac:dyDescent="0.2">
      <c r="A201" s="429" t="s">
        <v>468</v>
      </c>
      <c r="B201" s="429"/>
      <c r="C201" s="429"/>
      <c r="D201" s="94">
        <v>1</v>
      </c>
      <c r="E201" s="94">
        <v>30</v>
      </c>
      <c r="F201" s="111">
        <f>E202</f>
        <v>1800</v>
      </c>
      <c r="G201" s="430">
        <f>G189</f>
        <v>0</v>
      </c>
      <c r="H201" s="430"/>
      <c r="I201" s="431">
        <f>G201/F201/E201</f>
        <v>0</v>
      </c>
      <c r="J201" s="431"/>
    </row>
    <row r="202" spans="1:10" ht="17.25" customHeight="1" x14ac:dyDescent="0.2">
      <c r="A202" s="429" t="s">
        <v>469</v>
      </c>
      <c r="B202" s="429"/>
      <c r="C202" s="429"/>
      <c r="D202" s="94">
        <v>1</v>
      </c>
      <c r="E202" s="432">
        <f>'4. SAn Cál DEMO Limpeza Geral'!C12</f>
        <v>1800</v>
      </c>
      <c r="F202" s="432"/>
      <c r="G202" s="430">
        <f>J183</f>
        <v>5190.7012474899921</v>
      </c>
      <c r="H202" s="430"/>
      <c r="I202" s="431">
        <f>ROUND((D202/E202)*G202,2)</f>
        <v>2.88</v>
      </c>
      <c r="J202" s="431"/>
    </row>
    <row r="203" spans="1:10" ht="17.25" customHeight="1" x14ac:dyDescent="0.2">
      <c r="A203" s="412" t="s">
        <v>464</v>
      </c>
      <c r="B203" s="412"/>
      <c r="C203" s="412"/>
      <c r="D203" s="412"/>
      <c r="E203" s="412"/>
      <c r="F203" s="412"/>
      <c r="G203" s="412"/>
      <c r="H203" s="412"/>
      <c r="I203" s="413">
        <f>SUM(I201+I202)</f>
        <v>2.88</v>
      </c>
      <c r="J203" s="413"/>
    </row>
    <row r="204" spans="1:10" ht="17.25" customHeight="1" x14ac:dyDescent="0.2">
      <c r="A204" s="429" t="s">
        <v>470</v>
      </c>
      <c r="B204" s="429"/>
      <c r="C204" s="429"/>
      <c r="D204" s="94">
        <v>1</v>
      </c>
      <c r="E204" s="94">
        <v>30</v>
      </c>
      <c r="F204" s="111">
        <f>E205</f>
        <v>1500</v>
      </c>
      <c r="G204" s="430">
        <f>G189</f>
        <v>0</v>
      </c>
      <c r="H204" s="430"/>
      <c r="I204" s="431">
        <f>G204/F204/E204</f>
        <v>0</v>
      </c>
      <c r="J204" s="431"/>
    </row>
    <row r="205" spans="1:10" ht="17.25" customHeight="1" x14ac:dyDescent="0.2">
      <c r="A205" s="429" t="s">
        <v>471</v>
      </c>
      <c r="B205" s="429"/>
      <c r="C205" s="429"/>
      <c r="D205" s="94">
        <v>1</v>
      </c>
      <c r="E205" s="432">
        <f>'4. SAn Cál DEMO Limpeza Geral'!C13</f>
        <v>1500</v>
      </c>
      <c r="F205" s="432"/>
      <c r="G205" s="430">
        <f>J183</f>
        <v>5190.7012474899921</v>
      </c>
      <c r="H205" s="430"/>
      <c r="I205" s="431">
        <f>ROUND((D205/E205)*G205,2)</f>
        <v>3.46</v>
      </c>
      <c r="J205" s="431"/>
    </row>
    <row r="206" spans="1:10" ht="17.25" customHeight="1" x14ac:dyDescent="0.2">
      <c r="A206" s="412" t="s">
        <v>464</v>
      </c>
      <c r="B206" s="412"/>
      <c r="C206" s="412"/>
      <c r="D206" s="412"/>
      <c r="E206" s="412"/>
      <c r="F206" s="412"/>
      <c r="G206" s="412"/>
      <c r="H206" s="412"/>
      <c r="I206" s="413">
        <f>SUM(I204+I205)</f>
        <v>3.46</v>
      </c>
      <c r="J206" s="413"/>
    </row>
    <row r="207" spans="1:10" ht="17.25" customHeight="1" x14ac:dyDescent="0.2">
      <c r="A207" s="429" t="s">
        <v>473</v>
      </c>
      <c r="B207" s="429"/>
      <c r="C207" s="429"/>
      <c r="D207" s="94">
        <v>1</v>
      </c>
      <c r="E207" s="94">
        <v>30</v>
      </c>
      <c r="F207" s="111">
        <f>E208</f>
        <v>800</v>
      </c>
      <c r="G207" s="430">
        <f>G189</f>
        <v>0</v>
      </c>
      <c r="H207" s="430"/>
      <c r="I207" s="431">
        <f>G207/F207/E207</f>
        <v>0</v>
      </c>
      <c r="J207" s="431"/>
    </row>
    <row r="208" spans="1:10" ht="17.25" customHeight="1" x14ac:dyDescent="0.2">
      <c r="A208" s="429" t="s">
        <v>474</v>
      </c>
      <c r="B208" s="429"/>
      <c r="C208" s="429"/>
      <c r="D208" s="94">
        <v>1</v>
      </c>
      <c r="E208" s="432">
        <f>'4. SAn Cál DEMO Limpeza Geral'!C14</f>
        <v>800</v>
      </c>
      <c r="F208" s="432"/>
      <c r="G208" s="442">
        <f>J183</f>
        <v>5190.7012474899921</v>
      </c>
      <c r="H208" s="442"/>
      <c r="I208" s="431">
        <f>ROUND((D208/E208)*G208,2)</f>
        <v>6.49</v>
      </c>
      <c r="J208" s="431"/>
    </row>
    <row r="209" spans="1:26" ht="17.25" customHeight="1" x14ac:dyDescent="0.2">
      <c r="A209" s="412" t="s">
        <v>472</v>
      </c>
      <c r="B209" s="412"/>
      <c r="C209" s="412"/>
      <c r="D209" s="412"/>
      <c r="E209" s="412"/>
      <c r="F209" s="412"/>
      <c r="G209" s="412"/>
      <c r="H209" s="412"/>
      <c r="I209" s="413">
        <f>SUM(I207:J208)</f>
        <v>6.49</v>
      </c>
      <c r="J209" s="413"/>
    </row>
    <row r="210" spans="1:26" ht="17.25" customHeight="1" x14ac:dyDescent="0.2">
      <c r="A210" s="429" t="s">
        <v>475</v>
      </c>
      <c r="B210" s="429"/>
      <c r="C210" s="429"/>
      <c r="D210" s="94">
        <v>1</v>
      </c>
      <c r="E210" s="94">
        <v>30</v>
      </c>
      <c r="F210" s="111">
        <f>E211</f>
        <v>450</v>
      </c>
      <c r="G210" s="430">
        <f>G189</f>
        <v>0</v>
      </c>
      <c r="H210" s="430"/>
      <c r="I210" s="431">
        <f>G210/F210/E210</f>
        <v>0</v>
      </c>
      <c r="J210" s="431"/>
    </row>
    <row r="211" spans="1:26" ht="17.25" customHeight="1" x14ac:dyDescent="0.2">
      <c r="A211" s="429" t="s">
        <v>476</v>
      </c>
      <c r="B211" s="429"/>
      <c r="C211" s="429"/>
      <c r="D211" s="94">
        <v>1</v>
      </c>
      <c r="E211" s="432">
        <f>'4. SAn Cál DEMO Limpeza Geral'!C15</f>
        <v>450</v>
      </c>
      <c r="F211" s="432"/>
      <c r="G211" s="442">
        <f>J183</f>
        <v>5190.7012474899921</v>
      </c>
      <c r="H211" s="442"/>
      <c r="I211" s="431">
        <f>ROUND((D211/E211)*G211,2)</f>
        <v>11.53</v>
      </c>
      <c r="J211" s="431"/>
    </row>
    <row r="212" spans="1:26" ht="17.25" customHeight="1" x14ac:dyDescent="0.2">
      <c r="A212" s="412" t="s">
        <v>477</v>
      </c>
      <c r="B212" s="412"/>
      <c r="C212" s="412"/>
      <c r="D212" s="412"/>
      <c r="E212" s="412"/>
      <c r="F212" s="412"/>
      <c r="G212" s="412"/>
      <c r="H212" s="412"/>
      <c r="I212" s="413">
        <f>SUM(I210:J211)</f>
        <v>11.53</v>
      </c>
      <c r="J212" s="413"/>
    </row>
    <row r="213" spans="1:26" ht="17.25" customHeight="1" x14ac:dyDescent="0.2">
      <c r="A213" s="443"/>
      <c r="B213" s="443"/>
      <c r="C213" s="443"/>
      <c r="D213" s="443"/>
      <c r="E213" s="443"/>
      <c r="F213" s="443"/>
      <c r="G213" s="443"/>
      <c r="H213" s="443"/>
      <c r="I213" s="443"/>
      <c r="J213" s="443"/>
      <c r="K213" s="52"/>
      <c r="L213" s="52"/>
      <c r="M213" s="52"/>
      <c r="N213" s="52"/>
      <c r="O213" s="52"/>
      <c r="P213" s="52"/>
      <c r="Q213" s="52"/>
      <c r="R213" s="52"/>
      <c r="S213" s="52"/>
      <c r="T213" s="52"/>
      <c r="U213" s="52"/>
      <c r="V213" s="52"/>
      <c r="W213" s="52"/>
      <c r="X213" s="52"/>
      <c r="Y213" s="52"/>
      <c r="Z213" s="52"/>
    </row>
    <row r="214" spans="1:26" ht="17.25" customHeight="1" x14ac:dyDescent="0.2">
      <c r="A214" s="415" t="s">
        <v>670</v>
      </c>
      <c r="B214" s="415"/>
      <c r="C214" s="415"/>
      <c r="D214" s="415"/>
      <c r="E214" s="415"/>
      <c r="F214" s="415"/>
      <c r="G214" s="415"/>
      <c r="H214" s="415"/>
      <c r="I214" s="415"/>
      <c r="J214" s="415"/>
    </row>
    <row r="215" spans="1:26" ht="39" customHeight="1" x14ac:dyDescent="0.2">
      <c r="A215" s="419" t="s">
        <v>685</v>
      </c>
      <c r="B215" s="419"/>
      <c r="C215" s="419"/>
      <c r="D215" s="419" t="s">
        <v>478</v>
      </c>
      <c r="E215" s="419"/>
      <c r="F215" s="419"/>
      <c r="G215" s="419" t="s">
        <v>479</v>
      </c>
      <c r="H215" s="419"/>
      <c r="I215" s="419" t="s">
        <v>462</v>
      </c>
      <c r="J215" s="419"/>
    </row>
    <row r="216" spans="1:26" ht="32.25" customHeight="1" x14ac:dyDescent="0.2">
      <c r="A216" s="429" t="s">
        <v>671</v>
      </c>
      <c r="B216" s="429"/>
      <c r="C216" s="429"/>
      <c r="D216" s="93">
        <v>1</v>
      </c>
      <c r="E216" s="94" t="s">
        <v>480</v>
      </c>
      <c r="F216" s="111">
        <f>E217</f>
        <v>2700</v>
      </c>
      <c r="G216" s="430">
        <f>G189</f>
        <v>0</v>
      </c>
      <c r="H216" s="430"/>
      <c r="I216" s="431">
        <f>G216/F216/E216</f>
        <v>0</v>
      </c>
      <c r="J216" s="431"/>
    </row>
    <row r="217" spans="1:26" ht="34.5" customHeight="1" x14ac:dyDescent="0.2">
      <c r="A217" s="429" t="s">
        <v>481</v>
      </c>
      <c r="B217" s="429"/>
      <c r="C217" s="429"/>
      <c r="D217" s="93">
        <v>1</v>
      </c>
      <c r="E217" s="432">
        <f>'4. SAn Cál DEMO Limpeza Geral'!C16</f>
        <v>2700</v>
      </c>
      <c r="F217" s="432"/>
      <c r="G217" s="430">
        <f>J183</f>
        <v>5190.7012474899921</v>
      </c>
      <c r="H217" s="430"/>
      <c r="I217" s="431">
        <f>ROUND((D217/E217)*G217,2)</f>
        <v>1.92</v>
      </c>
      <c r="J217" s="431"/>
    </row>
    <row r="218" spans="1:26" ht="17.25" customHeight="1" x14ac:dyDescent="0.2">
      <c r="A218" s="412" t="s">
        <v>464</v>
      </c>
      <c r="B218" s="412"/>
      <c r="C218" s="412"/>
      <c r="D218" s="412"/>
      <c r="E218" s="412"/>
      <c r="F218" s="412"/>
      <c r="G218" s="412"/>
      <c r="H218" s="412"/>
      <c r="I218" s="413">
        <f>SUM(I216+I217)</f>
        <v>1.92</v>
      </c>
      <c r="J218" s="413"/>
    </row>
    <row r="219" spans="1:26" ht="17.25" customHeight="1" x14ac:dyDescent="0.2">
      <c r="A219" s="437" t="s">
        <v>482</v>
      </c>
      <c r="B219" s="437"/>
      <c r="C219" s="437"/>
      <c r="D219" s="128">
        <v>1</v>
      </c>
      <c r="E219" s="128">
        <v>30</v>
      </c>
      <c r="F219" s="129">
        <f>E220</f>
        <v>800</v>
      </c>
      <c r="G219" s="438">
        <f>G216</f>
        <v>0</v>
      </c>
      <c r="H219" s="438"/>
      <c r="I219" s="439">
        <f>G219/F219/E219</f>
        <v>0</v>
      </c>
      <c r="J219" s="439"/>
      <c r="K219" s="52"/>
      <c r="L219" s="52"/>
      <c r="M219" s="52"/>
      <c r="N219" s="52"/>
      <c r="O219" s="52"/>
      <c r="P219" s="52"/>
      <c r="Q219" s="52"/>
      <c r="R219" s="52"/>
      <c r="S219" s="52"/>
      <c r="T219" s="52"/>
      <c r="U219" s="52"/>
      <c r="V219" s="52"/>
      <c r="W219" s="52"/>
      <c r="X219" s="52"/>
      <c r="Y219" s="52"/>
      <c r="Z219" s="52"/>
    </row>
    <row r="220" spans="1:26" ht="17.25" customHeight="1" x14ac:dyDescent="0.2">
      <c r="A220" s="437" t="s">
        <v>483</v>
      </c>
      <c r="B220" s="437"/>
      <c r="C220" s="437"/>
      <c r="D220" s="128">
        <v>1</v>
      </c>
      <c r="E220" s="440">
        <f>'4. SAn Cál DEMO Limpeza Geral'!C17</f>
        <v>800</v>
      </c>
      <c r="F220" s="440"/>
      <c r="G220" s="441">
        <f>J183</f>
        <v>5190.7012474899921</v>
      </c>
      <c r="H220" s="441"/>
      <c r="I220" s="439">
        <f>ROUND((D220/E220)*G220,2)</f>
        <v>6.49</v>
      </c>
      <c r="J220" s="439"/>
      <c r="K220" s="52"/>
      <c r="L220" s="52"/>
      <c r="M220" s="52"/>
      <c r="N220" s="52"/>
      <c r="O220" s="52"/>
      <c r="P220" s="52"/>
      <c r="Q220" s="52"/>
      <c r="R220" s="52"/>
      <c r="S220" s="52"/>
      <c r="T220" s="52"/>
      <c r="U220" s="52"/>
      <c r="V220" s="52"/>
      <c r="W220" s="52"/>
      <c r="X220" s="52"/>
      <c r="Y220" s="52"/>
      <c r="Z220" s="52"/>
    </row>
    <row r="221" spans="1:26" ht="17.25" customHeight="1" x14ac:dyDescent="0.2">
      <c r="A221" s="412" t="s">
        <v>464</v>
      </c>
      <c r="B221" s="412"/>
      <c r="C221" s="412"/>
      <c r="D221" s="412"/>
      <c r="E221" s="412"/>
      <c r="F221" s="412"/>
      <c r="G221" s="412"/>
      <c r="H221" s="412"/>
      <c r="I221" s="413">
        <f>SUM(I219:J220)</f>
        <v>6.49</v>
      </c>
      <c r="J221" s="413"/>
      <c r="K221" s="52"/>
      <c r="L221" s="52"/>
      <c r="M221" s="52"/>
      <c r="N221" s="52"/>
      <c r="O221" s="52"/>
      <c r="P221" s="52"/>
      <c r="Q221" s="52"/>
      <c r="R221" s="52"/>
      <c r="S221" s="52"/>
      <c r="T221" s="52"/>
      <c r="U221" s="52"/>
      <c r="V221" s="52"/>
      <c r="W221" s="52"/>
      <c r="X221" s="52"/>
      <c r="Y221" s="52"/>
      <c r="Z221" s="52"/>
    </row>
    <row r="222" spans="1:26" ht="17.25" customHeight="1" x14ac:dyDescent="0.2">
      <c r="A222" s="437" t="s">
        <v>484</v>
      </c>
      <c r="B222" s="437"/>
      <c r="C222" s="437"/>
      <c r="D222" s="128">
        <v>1</v>
      </c>
      <c r="E222" s="128">
        <v>30</v>
      </c>
      <c r="F222" s="129">
        <f>E223</f>
        <v>450</v>
      </c>
      <c r="G222" s="438">
        <f>G189</f>
        <v>0</v>
      </c>
      <c r="H222" s="438"/>
      <c r="I222" s="439">
        <f>G222/F222/E222</f>
        <v>0</v>
      </c>
      <c r="J222" s="439"/>
      <c r="K222" s="52"/>
      <c r="L222" s="52"/>
      <c r="M222" s="52"/>
      <c r="N222" s="52"/>
      <c r="O222" s="52"/>
      <c r="P222" s="52"/>
      <c r="Q222" s="52"/>
      <c r="R222" s="52"/>
      <c r="S222" s="52"/>
      <c r="T222" s="52"/>
      <c r="U222" s="52"/>
      <c r="V222" s="52"/>
      <c r="W222" s="52"/>
      <c r="X222" s="52"/>
      <c r="Y222" s="52"/>
      <c r="Z222" s="52"/>
    </row>
    <row r="223" spans="1:26" ht="17.25" customHeight="1" x14ac:dyDescent="0.2">
      <c r="A223" s="437" t="s">
        <v>485</v>
      </c>
      <c r="B223" s="437"/>
      <c r="C223" s="437"/>
      <c r="D223" s="128">
        <v>1</v>
      </c>
      <c r="E223" s="440">
        <f>'4. SAn Cál DEMO Limpeza Geral'!C18</f>
        <v>450</v>
      </c>
      <c r="F223" s="440"/>
      <c r="G223" s="441">
        <f>J183</f>
        <v>5190.7012474899921</v>
      </c>
      <c r="H223" s="441"/>
      <c r="I223" s="439">
        <f>ROUND((D223/E223)*G223,2)</f>
        <v>11.53</v>
      </c>
      <c r="J223" s="439"/>
      <c r="K223" s="52"/>
      <c r="L223" s="52"/>
      <c r="M223" s="52"/>
      <c r="N223" s="52"/>
      <c r="O223" s="52"/>
      <c r="P223" s="52"/>
      <c r="Q223" s="52"/>
      <c r="R223" s="52"/>
      <c r="S223" s="52"/>
      <c r="T223" s="52"/>
      <c r="U223" s="52"/>
      <c r="V223" s="52"/>
      <c r="W223" s="52"/>
      <c r="X223" s="52"/>
      <c r="Y223" s="52"/>
      <c r="Z223" s="52"/>
    </row>
    <row r="224" spans="1:26" ht="17.25" customHeight="1" x14ac:dyDescent="0.2">
      <c r="A224" s="412" t="s">
        <v>464</v>
      </c>
      <c r="B224" s="412"/>
      <c r="C224" s="412"/>
      <c r="D224" s="412"/>
      <c r="E224" s="412"/>
      <c r="F224" s="412"/>
      <c r="G224" s="412"/>
      <c r="H224" s="412"/>
      <c r="I224" s="413">
        <f>SUM(I222:J223)</f>
        <v>11.53</v>
      </c>
      <c r="J224" s="413"/>
      <c r="K224" s="52"/>
      <c r="L224" s="52"/>
      <c r="M224" s="52"/>
      <c r="N224" s="52"/>
      <c r="O224" s="52"/>
      <c r="P224" s="52"/>
      <c r="Q224" s="52"/>
      <c r="R224" s="52"/>
      <c r="S224" s="52"/>
      <c r="T224" s="52"/>
      <c r="U224" s="52"/>
      <c r="V224" s="52"/>
      <c r="W224" s="52"/>
      <c r="X224" s="52"/>
      <c r="Y224" s="52"/>
      <c r="Z224" s="52"/>
    </row>
    <row r="225" spans="1:26" ht="17.25" customHeight="1" x14ac:dyDescent="0.2">
      <c r="A225" s="429" t="s">
        <v>672</v>
      </c>
      <c r="B225" s="429"/>
      <c r="C225" s="429"/>
      <c r="D225" s="93">
        <v>1</v>
      </c>
      <c r="E225" s="94" t="s">
        <v>480</v>
      </c>
      <c r="F225" s="111">
        <f>E226</f>
        <v>9000</v>
      </c>
      <c r="G225" s="430">
        <f>G189</f>
        <v>0</v>
      </c>
      <c r="H225" s="430"/>
      <c r="I225" s="431">
        <f>G225/F225/E225</f>
        <v>0</v>
      </c>
      <c r="J225" s="431"/>
    </row>
    <row r="226" spans="1:26" ht="17.25" customHeight="1" x14ac:dyDescent="0.2">
      <c r="A226" s="429" t="s">
        <v>486</v>
      </c>
      <c r="B226" s="429"/>
      <c r="C226" s="429"/>
      <c r="D226" s="93">
        <v>1</v>
      </c>
      <c r="E226" s="432">
        <f>'4. SAn Cál DEMO Limpeza Geral'!C19</f>
        <v>9000</v>
      </c>
      <c r="F226" s="432"/>
      <c r="G226" s="430">
        <f>J183</f>
        <v>5190.7012474899921</v>
      </c>
      <c r="H226" s="430"/>
      <c r="I226" s="431">
        <f>ROUND((D226/E226)*G226,2)</f>
        <v>0.57999999999999996</v>
      </c>
      <c r="J226" s="431"/>
    </row>
    <row r="227" spans="1:26" ht="17.25" customHeight="1" x14ac:dyDescent="0.2">
      <c r="A227" s="412" t="s">
        <v>464</v>
      </c>
      <c r="B227" s="412"/>
      <c r="C227" s="412"/>
      <c r="D227" s="412"/>
      <c r="E227" s="412"/>
      <c r="F227" s="412"/>
      <c r="G227" s="412"/>
      <c r="H227" s="412"/>
      <c r="I227" s="413">
        <f>SUM(I225+I226)</f>
        <v>0.57999999999999996</v>
      </c>
      <c r="J227" s="413"/>
    </row>
    <row r="228" spans="1:26" ht="32.25" customHeight="1" x14ac:dyDescent="0.2">
      <c r="A228" s="429" t="s">
        <v>487</v>
      </c>
      <c r="B228" s="429"/>
      <c r="C228" s="429"/>
      <c r="D228" s="93">
        <v>1</v>
      </c>
      <c r="E228" s="94" t="s">
        <v>480</v>
      </c>
      <c r="F228" s="111">
        <f>E229</f>
        <v>2700</v>
      </c>
      <c r="G228" s="430">
        <f>G189</f>
        <v>0</v>
      </c>
      <c r="H228" s="430"/>
      <c r="I228" s="431">
        <f>G228/F228/E228</f>
        <v>0</v>
      </c>
      <c r="J228" s="431"/>
    </row>
    <row r="229" spans="1:26" ht="32.25" customHeight="1" x14ac:dyDescent="0.2">
      <c r="A229" s="429" t="s">
        <v>488</v>
      </c>
      <c r="B229" s="429"/>
      <c r="C229" s="429"/>
      <c r="D229" s="93">
        <v>1</v>
      </c>
      <c r="E229" s="432">
        <f>'4. SAn Cál DEMO Limpeza Geral'!C20</f>
        <v>2700</v>
      </c>
      <c r="F229" s="432"/>
      <c r="G229" s="430">
        <f>J183</f>
        <v>5190.7012474899921</v>
      </c>
      <c r="H229" s="430"/>
      <c r="I229" s="431">
        <f>ROUND((D229/E229)*G229,2)</f>
        <v>1.92</v>
      </c>
      <c r="J229" s="431"/>
    </row>
    <row r="230" spans="1:26" ht="17.25" customHeight="1" x14ac:dyDescent="0.2">
      <c r="A230" s="412" t="s">
        <v>464</v>
      </c>
      <c r="B230" s="412"/>
      <c r="C230" s="412"/>
      <c r="D230" s="412"/>
      <c r="E230" s="412"/>
      <c r="F230" s="412"/>
      <c r="G230" s="412"/>
      <c r="H230" s="412"/>
      <c r="I230" s="413">
        <f>SUM(I228+I229)</f>
        <v>1.92</v>
      </c>
      <c r="J230" s="413"/>
    </row>
    <row r="231" spans="1:26" ht="28.5" customHeight="1" x14ac:dyDescent="0.2">
      <c r="A231" s="429" t="s">
        <v>489</v>
      </c>
      <c r="B231" s="429"/>
      <c r="C231" s="429"/>
      <c r="D231" s="93">
        <v>1</v>
      </c>
      <c r="E231" s="94" t="s">
        <v>480</v>
      </c>
      <c r="F231" s="111">
        <f>E232</f>
        <v>2700</v>
      </c>
      <c r="G231" s="430">
        <f>G189</f>
        <v>0</v>
      </c>
      <c r="H231" s="430"/>
      <c r="I231" s="431">
        <f>G231/F231/E231</f>
        <v>0</v>
      </c>
      <c r="J231" s="431"/>
    </row>
    <row r="232" spans="1:26" ht="33.75" customHeight="1" x14ac:dyDescent="0.2">
      <c r="A232" s="429" t="s">
        <v>490</v>
      </c>
      <c r="B232" s="429"/>
      <c r="C232" s="429"/>
      <c r="D232" s="93">
        <v>1</v>
      </c>
      <c r="E232" s="432">
        <f>'4. SAn Cál DEMO Limpeza Geral'!C21</f>
        <v>2700</v>
      </c>
      <c r="F232" s="432"/>
      <c r="G232" s="430">
        <f>J183</f>
        <v>5190.7012474899921</v>
      </c>
      <c r="H232" s="430"/>
      <c r="I232" s="431">
        <f>ROUND((D232/E232)*G232,2)</f>
        <v>1.92</v>
      </c>
      <c r="J232" s="431"/>
    </row>
    <row r="233" spans="1:26" ht="17.25" customHeight="1" x14ac:dyDescent="0.2">
      <c r="A233" s="412" t="s">
        <v>464</v>
      </c>
      <c r="B233" s="412"/>
      <c r="C233" s="412"/>
      <c r="D233" s="412"/>
      <c r="E233" s="412"/>
      <c r="F233" s="412"/>
      <c r="G233" s="412"/>
      <c r="H233" s="412"/>
      <c r="I233" s="413">
        <f>SUM(I231+I232)</f>
        <v>1.92</v>
      </c>
      <c r="J233" s="413"/>
    </row>
    <row r="234" spans="1:26" ht="26.25" customHeight="1" x14ac:dyDescent="0.2">
      <c r="A234" s="429" t="s">
        <v>491</v>
      </c>
      <c r="B234" s="429"/>
      <c r="C234" s="429"/>
      <c r="D234" s="93" t="s">
        <v>492</v>
      </c>
      <c r="E234" s="94" t="s">
        <v>480</v>
      </c>
      <c r="F234" s="111">
        <f>E235</f>
        <v>2700</v>
      </c>
      <c r="G234" s="430">
        <f>G189</f>
        <v>0</v>
      </c>
      <c r="H234" s="430"/>
      <c r="I234" s="431">
        <f>G234/F234/E234</f>
        <v>0</v>
      </c>
      <c r="J234" s="431"/>
    </row>
    <row r="235" spans="1:26" ht="32.25" customHeight="1" x14ac:dyDescent="0.2">
      <c r="A235" s="429" t="s">
        <v>493</v>
      </c>
      <c r="B235" s="429"/>
      <c r="C235" s="429"/>
      <c r="D235" s="93">
        <v>1</v>
      </c>
      <c r="E235" s="432">
        <f>'4. SAn Cál DEMO Limpeza Geral'!C22</f>
        <v>2700</v>
      </c>
      <c r="F235" s="432"/>
      <c r="G235" s="430">
        <f>J183</f>
        <v>5190.7012474899921</v>
      </c>
      <c r="H235" s="430"/>
      <c r="I235" s="431">
        <f>ROUND((D235/E235)*G235,2)</f>
        <v>1.92</v>
      </c>
      <c r="J235" s="431"/>
    </row>
    <row r="236" spans="1:26" ht="17.25" customHeight="1" x14ac:dyDescent="0.2">
      <c r="A236" s="412" t="s">
        <v>464</v>
      </c>
      <c r="B236" s="412"/>
      <c r="C236" s="412"/>
      <c r="D236" s="412"/>
      <c r="E236" s="412"/>
      <c r="F236" s="412"/>
      <c r="G236" s="412"/>
      <c r="H236" s="412"/>
      <c r="I236" s="413">
        <f>SUM(I234+I235)</f>
        <v>1.92</v>
      </c>
      <c r="J236" s="413"/>
    </row>
    <row r="237" spans="1:26" ht="26.25" customHeight="1" x14ac:dyDescent="0.2">
      <c r="A237" s="429" t="s">
        <v>494</v>
      </c>
      <c r="B237" s="429"/>
      <c r="C237" s="429"/>
      <c r="D237" s="93" t="s">
        <v>492</v>
      </c>
      <c r="E237" s="94" t="s">
        <v>480</v>
      </c>
      <c r="F237" s="111">
        <f>E238</f>
        <v>100000</v>
      </c>
      <c r="G237" s="430">
        <f>G189</f>
        <v>0</v>
      </c>
      <c r="H237" s="430"/>
      <c r="I237" s="431">
        <f>G237/F237/E237</f>
        <v>0</v>
      </c>
      <c r="J237" s="431"/>
    </row>
    <row r="238" spans="1:26" ht="26.25" customHeight="1" x14ac:dyDescent="0.2">
      <c r="A238" s="433" t="s">
        <v>495</v>
      </c>
      <c r="B238" s="433"/>
      <c r="C238" s="433"/>
      <c r="D238" s="130" t="s">
        <v>492</v>
      </c>
      <c r="E238" s="434">
        <f>'4. SAn Cál DEMO Limpeza Geral'!C23</f>
        <v>100000</v>
      </c>
      <c r="F238" s="434"/>
      <c r="G238" s="435">
        <f>J183</f>
        <v>5190.7012474899921</v>
      </c>
      <c r="H238" s="435"/>
      <c r="I238" s="436">
        <f>ROUND((D238/E238)*G238,2)</f>
        <v>0.05</v>
      </c>
      <c r="J238" s="436"/>
    </row>
    <row r="239" spans="1:26" ht="17.25" customHeight="1" x14ac:dyDescent="0.2">
      <c r="A239" s="412" t="s">
        <v>464</v>
      </c>
      <c r="B239" s="412"/>
      <c r="C239" s="412"/>
      <c r="D239" s="412"/>
      <c r="E239" s="412"/>
      <c r="F239" s="412"/>
      <c r="G239" s="412"/>
      <c r="H239" s="412"/>
      <c r="I239" s="413">
        <f>SUM(I237+I238)</f>
        <v>0.05</v>
      </c>
      <c r="J239" s="413"/>
    </row>
    <row r="240" spans="1:26" ht="17.25" customHeight="1" x14ac:dyDescent="0.2">
      <c r="A240" s="131"/>
      <c r="B240" s="131"/>
      <c r="C240" s="131"/>
      <c r="D240" s="131"/>
      <c r="E240" s="131"/>
      <c r="F240" s="131"/>
      <c r="G240" s="131"/>
      <c r="H240" s="131"/>
      <c r="I240" s="132"/>
      <c r="J240" s="131"/>
      <c r="K240" s="52"/>
      <c r="L240" s="52"/>
      <c r="M240" s="52"/>
      <c r="N240" s="52"/>
      <c r="O240" s="52"/>
      <c r="P240" s="52"/>
      <c r="Q240" s="52"/>
      <c r="R240" s="52"/>
      <c r="S240" s="52"/>
      <c r="T240" s="52"/>
      <c r="U240" s="52"/>
      <c r="V240" s="52"/>
      <c r="W240" s="52"/>
      <c r="X240" s="52"/>
      <c r="Y240" s="52"/>
      <c r="Z240" s="52"/>
    </row>
    <row r="241" spans="1:10" ht="17.25" customHeight="1" x14ac:dyDescent="0.2">
      <c r="A241" s="415" t="s">
        <v>496</v>
      </c>
      <c r="B241" s="415"/>
      <c r="C241" s="415"/>
      <c r="D241" s="415"/>
      <c r="E241" s="415"/>
      <c r="F241" s="415"/>
      <c r="G241" s="415"/>
      <c r="H241" s="415"/>
      <c r="I241" s="415"/>
      <c r="J241" s="415"/>
    </row>
    <row r="242" spans="1:10" ht="17.25" customHeight="1" x14ac:dyDescent="0.2">
      <c r="A242" s="415"/>
      <c r="B242" s="415"/>
      <c r="C242" s="415"/>
      <c r="D242" s="415"/>
      <c r="E242" s="415"/>
      <c r="F242" s="415"/>
      <c r="G242" s="415"/>
      <c r="H242" s="415"/>
      <c r="I242" s="415"/>
      <c r="J242" s="415"/>
    </row>
    <row r="243" spans="1:10" ht="28.5" customHeight="1" x14ac:dyDescent="0.2">
      <c r="A243" s="419" t="s">
        <v>683</v>
      </c>
      <c r="B243" s="419"/>
      <c r="C243" s="419"/>
      <c r="D243" s="419" t="s">
        <v>460</v>
      </c>
      <c r="E243" s="419"/>
      <c r="F243" s="419"/>
      <c r="G243" s="419" t="s">
        <v>497</v>
      </c>
      <c r="H243" s="419"/>
      <c r="I243" s="419" t="s">
        <v>462</v>
      </c>
      <c r="J243" s="419"/>
    </row>
    <row r="244" spans="1:10" ht="17.25" customHeight="1" x14ac:dyDescent="0.2">
      <c r="A244" s="429" t="s">
        <v>498</v>
      </c>
      <c r="B244" s="429"/>
      <c r="C244" s="429"/>
      <c r="D244" s="94">
        <v>1</v>
      </c>
      <c r="E244" s="94">
        <v>30</v>
      </c>
      <c r="F244" s="111">
        <f>E245</f>
        <v>450</v>
      </c>
      <c r="G244" s="430">
        <f>G189</f>
        <v>0</v>
      </c>
      <c r="H244" s="430"/>
      <c r="I244" s="431">
        <f>G244/F244/E244</f>
        <v>0</v>
      </c>
      <c r="J244" s="431"/>
    </row>
    <row r="245" spans="1:10" ht="17.25" customHeight="1" x14ac:dyDescent="0.2">
      <c r="A245" s="429" t="s">
        <v>499</v>
      </c>
      <c r="B245" s="429"/>
      <c r="C245" s="429"/>
      <c r="D245" s="94">
        <v>1</v>
      </c>
      <c r="E245" s="432">
        <f>'4. SAn Cál DEMO Limpeza Geral'!C24</f>
        <v>450</v>
      </c>
      <c r="F245" s="432"/>
      <c r="G245" s="430">
        <f>J183</f>
        <v>5190.7012474899921</v>
      </c>
      <c r="H245" s="430"/>
      <c r="I245" s="431">
        <f>ROUND(D245/E245*G245,2)</f>
        <v>11.53</v>
      </c>
      <c r="J245" s="431"/>
    </row>
    <row r="246" spans="1:10" ht="17.25" customHeight="1" x14ac:dyDescent="0.2">
      <c r="A246" s="412" t="s">
        <v>464</v>
      </c>
      <c r="B246" s="412"/>
      <c r="C246" s="412"/>
      <c r="D246" s="412"/>
      <c r="E246" s="412"/>
      <c r="F246" s="412"/>
      <c r="G246" s="412"/>
      <c r="H246" s="412"/>
      <c r="I246" s="413">
        <f>SUM(I244+I245)</f>
        <v>11.53</v>
      </c>
      <c r="J246" s="413"/>
    </row>
    <row r="247" spans="1:10" ht="94.5" customHeight="1" x14ac:dyDescent="0.2">
      <c r="A247" s="428" t="s">
        <v>500</v>
      </c>
      <c r="B247" s="428"/>
      <c r="C247" s="428"/>
      <c r="D247" s="428"/>
      <c r="E247" s="428"/>
      <c r="F247" s="428"/>
      <c r="G247" s="428"/>
      <c r="H247" s="428"/>
      <c r="I247" s="428"/>
      <c r="J247" s="428"/>
    </row>
    <row r="248" spans="1:10" ht="17.25" customHeight="1" x14ac:dyDescent="0.2">
      <c r="A248" s="419" t="s">
        <v>501</v>
      </c>
      <c r="B248" s="419"/>
      <c r="C248" s="419"/>
      <c r="D248" s="419"/>
      <c r="E248" s="419"/>
      <c r="F248" s="419"/>
      <c r="G248" s="419"/>
      <c r="H248" s="419"/>
      <c r="I248" s="419"/>
      <c r="J248" s="419"/>
    </row>
    <row r="249" spans="1:10" ht="33.75" customHeight="1" x14ac:dyDescent="0.2">
      <c r="A249" s="419" t="s">
        <v>20</v>
      </c>
      <c r="B249" s="419"/>
      <c r="C249" s="419"/>
      <c r="D249" s="419"/>
      <c r="E249" s="419"/>
      <c r="F249" s="419" t="s">
        <v>502</v>
      </c>
      <c r="G249" s="419"/>
      <c r="H249" s="21" t="s">
        <v>503</v>
      </c>
      <c r="I249" s="419" t="s">
        <v>504</v>
      </c>
      <c r="J249" s="419"/>
    </row>
    <row r="250" spans="1:10" ht="17.25" customHeight="1" x14ac:dyDescent="0.2">
      <c r="A250" s="423" t="s">
        <v>321</v>
      </c>
      <c r="B250" s="423"/>
      <c r="C250" s="423"/>
      <c r="D250" s="423"/>
      <c r="E250" s="423"/>
      <c r="F250" s="424">
        <f>I191</f>
        <v>4.33</v>
      </c>
      <c r="G250" s="424"/>
      <c r="H250" s="106">
        <f t="shared" ref="H250:H267" si="0">I25</f>
        <v>0</v>
      </c>
      <c r="I250" s="425">
        <f t="shared" ref="I250:I257" si="1">ROUND(F250*H250,2)</f>
        <v>0</v>
      </c>
      <c r="J250" s="425"/>
    </row>
    <row r="251" spans="1:10" ht="17.25" customHeight="1" x14ac:dyDescent="0.2">
      <c r="A251" s="423" t="s">
        <v>323</v>
      </c>
      <c r="B251" s="423"/>
      <c r="C251" s="423"/>
      <c r="D251" s="423"/>
      <c r="E251" s="423"/>
      <c r="F251" s="424">
        <f>I194</f>
        <v>4.33</v>
      </c>
      <c r="G251" s="424"/>
      <c r="H251" s="106">
        <f t="shared" si="0"/>
        <v>7033.02</v>
      </c>
      <c r="I251" s="425">
        <f t="shared" si="1"/>
        <v>30452.98</v>
      </c>
      <c r="J251" s="425"/>
    </row>
    <row r="252" spans="1:10" ht="17.25" customHeight="1" x14ac:dyDescent="0.2">
      <c r="A252" s="423" t="s">
        <v>324</v>
      </c>
      <c r="B252" s="423"/>
      <c r="C252" s="423"/>
      <c r="D252" s="423"/>
      <c r="E252" s="423"/>
      <c r="F252" s="424">
        <f>I197</f>
        <v>11.53</v>
      </c>
      <c r="G252" s="424"/>
      <c r="H252" s="106">
        <f t="shared" si="0"/>
        <v>0</v>
      </c>
      <c r="I252" s="425">
        <f t="shared" si="1"/>
        <v>0</v>
      </c>
      <c r="J252" s="425"/>
    </row>
    <row r="253" spans="1:10" ht="17.25" customHeight="1" x14ac:dyDescent="0.2">
      <c r="A253" s="423" t="s">
        <v>325</v>
      </c>
      <c r="B253" s="423"/>
      <c r="C253" s="423"/>
      <c r="D253" s="423"/>
      <c r="E253" s="423"/>
      <c r="F253" s="424">
        <f>I200</f>
        <v>2.08</v>
      </c>
      <c r="G253" s="424"/>
      <c r="H253" s="106">
        <f t="shared" si="0"/>
        <v>20.11</v>
      </c>
      <c r="I253" s="425">
        <f t="shared" si="1"/>
        <v>41.83</v>
      </c>
      <c r="J253" s="425"/>
    </row>
    <row r="254" spans="1:10" ht="17.25" customHeight="1" x14ac:dyDescent="0.2">
      <c r="A254" s="423" t="s">
        <v>326</v>
      </c>
      <c r="B254" s="423"/>
      <c r="C254" s="423"/>
      <c r="D254" s="423"/>
      <c r="E254" s="423"/>
      <c r="F254" s="424">
        <f>I203</f>
        <v>2.88</v>
      </c>
      <c r="G254" s="424"/>
      <c r="H254" s="106">
        <f t="shared" si="0"/>
        <v>0</v>
      </c>
      <c r="I254" s="425">
        <f t="shared" si="1"/>
        <v>0</v>
      </c>
      <c r="J254" s="425"/>
    </row>
    <row r="255" spans="1:10" ht="17.25" customHeight="1" x14ac:dyDescent="0.2">
      <c r="A255" s="423" t="s">
        <v>327</v>
      </c>
      <c r="B255" s="423"/>
      <c r="C255" s="423"/>
      <c r="D255" s="423"/>
      <c r="E255" s="423"/>
      <c r="F255" s="424">
        <f>I206</f>
        <v>3.46</v>
      </c>
      <c r="G255" s="424"/>
      <c r="H255" s="106">
        <f t="shared" si="0"/>
        <v>3356.8600000000006</v>
      </c>
      <c r="I255" s="425">
        <f t="shared" si="1"/>
        <v>11614.74</v>
      </c>
      <c r="J255" s="425"/>
    </row>
    <row r="256" spans="1:10" ht="17.25" customHeight="1" x14ac:dyDescent="0.2">
      <c r="A256" s="423" t="s">
        <v>630</v>
      </c>
      <c r="B256" s="423"/>
      <c r="C256" s="423"/>
      <c r="D256" s="423"/>
      <c r="E256" s="423"/>
      <c r="F256" s="427">
        <f>I209</f>
        <v>6.49</v>
      </c>
      <c r="G256" s="427"/>
      <c r="H256" s="106">
        <f t="shared" si="0"/>
        <v>0</v>
      </c>
      <c r="I256" s="425">
        <f t="shared" si="1"/>
        <v>0</v>
      </c>
      <c r="J256" s="425"/>
    </row>
    <row r="257" spans="1:10" ht="17.25" customHeight="1" x14ac:dyDescent="0.2">
      <c r="A257" s="423" t="s">
        <v>631</v>
      </c>
      <c r="B257" s="423"/>
      <c r="C257" s="423"/>
      <c r="D257" s="423"/>
      <c r="E257" s="423"/>
      <c r="F257" s="427">
        <f>I212</f>
        <v>11.53</v>
      </c>
      <c r="G257" s="427"/>
      <c r="H257" s="106">
        <f t="shared" si="0"/>
        <v>0</v>
      </c>
      <c r="I257" s="425">
        <f t="shared" si="1"/>
        <v>0</v>
      </c>
      <c r="J257" s="425"/>
    </row>
    <row r="258" spans="1:10" ht="17.25" customHeight="1" x14ac:dyDescent="0.2">
      <c r="A258" s="412" t="s">
        <v>328</v>
      </c>
      <c r="B258" s="412"/>
      <c r="C258" s="412"/>
      <c r="D258" s="412"/>
      <c r="E258" s="412"/>
      <c r="F258" s="412"/>
      <c r="G258" s="412"/>
      <c r="H258" s="107">
        <f t="shared" si="0"/>
        <v>10409.990000000002</v>
      </c>
      <c r="I258" s="422">
        <f>SUM(I250:I257)</f>
        <v>42109.55</v>
      </c>
      <c r="J258" s="422"/>
    </row>
    <row r="259" spans="1:10" ht="33" customHeight="1" x14ac:dyDescent="0.2">
      <c r="A259" s="423" t="s">
        <v>329</v>
      </c>
      <c r="B259" s="423"/>
      <c r="C259" s="423"/>
      <c r="D259" s="423"/>
      <c r="E259" s="423"/>
      <c r="F259" s="424">
        <f>I218</f>
        <v>1.92</v>
      </c>
      <c r="G259" s="424"/>
      <c r="H259" s="108">
        <f t="shared" si="0"/>
        <v>0</v>
      </c>
      <c r="I259" s="425">
        <f t="shared" ref="I259:I266" si="2">ROUND(F259*H259,2)</f>
        <v>0</v>
      </c>
      <c r="J259" s="425"/>
    </row>
    <row r="260" spans="1:10" ht="17.25" customHeight="1" x14ac:dyDescent="0.2">
      <c r="A260" s="423" t="s">
        <v>330</v>
      </c>
      <c r="B260" s="423"/>
      <c r="C260" s="423"/>
      <c r="D260" s="423"/>
      <c r="E260" s="423"/>
      <c r="F260" s="424">
        <f>I221</f>
        <v>6.49</v>
      </c>
      <c r="G260" s="424"/>
      <c r="H260" s="108">
        <f t="shared" si="0"/>
        <v>0</v>
      </c>
      <c r="I260" s="425">
        <f t="shared" si="2"/>
        <v>0</v>
      </c>
      <c r="J260" s="425"/>
    </row>
    <row r="261" spans="1:10" ht="17.25" customHeight="1" x14ac:dyDescent="0.2">
      <c r="A261" s="423" t="s">
        <v>331</v>
      </c>
      <c r="B261" s="423"/>
      <c r="C261" s="423"/>
      <c r="D261" s="423"/>
      <c r="E261" s="423"/>
      <c r="F261" s="424">
        <f>I224</f>
        <v>11.53</v>
      </c>
      <c r="G261" s="424"/>
      <c r="H261" s="108">
        <f t="shared" si="0"/>
        <v>0</v>
      </c>
      <c r="I261" s="425">
        <f t="shared" si="2"/>
        <v>0</v>
      </c>
      <c r="J261" s="425"/>
    </row>
    <row r="262" spans="1:10" ht="17.25" customHeight="1" x14ac:dyDescent="0.2">
      <c r="A262" s="423" t="s">
        <v>505</v>
      </c>
      <c r="B262" s="423"/>
      <c r="C262" s="423"/>
      <c r="D262" s="423"/>
      <c r="E262" s="423"/>
      <c r="F262" s="424">
        <f>I227</f>
        <v>0.57999999999999996</v>
      </c>
      <c r="G262" s="424"/>
      <c r="H262" s="108">
        <f t="shared" si="0"/>
        <v>538</v>
      </c>
      <c r="I262" s="425">
        <f t="shared" si="2"/>
        <v>312.04000000000002</v>
      </c>
      <c r="J262" s="425"/>
    </row>
    <row r="263" spans="1:10" ht="17.25" customHeight="1" x14ac:dyDescent="0.2">
      <c r="A263" s="423" t="s">
        <v>506</v>
      </c>
      <c r="B263" s="423"/>
      <c r="C263" s="423"/>
      <c r="D263" s="423"/>
      <c r="E263" s="423"/>
      <c r="F263" s="424">
        <f>I230</f>
        <v>1.92</v>
      </c>
      <c r="G263" s="424"/>
      <c r="H263" s="108">
        <f t="shared" si="0"/>
        <v>0</v>
      </c>
      <c r="I263" s="425">
        <f t="shared" si="2"/>
        <v>0</v>
      </c>
      <c r="J263" s="425"/>
    </row>
    <row r="264" spans="1:10" ht="17.25" customHeight="1" x14ac:dyDescent="0.2">
      <c r="A264" s="423" t="s">
        <v>507</v>
      </c>
      <c r="B264" s="423"/>
      <c r="C264" s="423"/>
      <c r="D264" s="423"/>
      <c r="E264" s="423"/>
      <c r="F264" s="424">
        <f>I233</f>
        <v>1.92</v>
      </c>
      <c r="G264" s="424"/>
      <c r="H264" s="108">
        <f t="shared" si="0"/>
        <v>0</v>
      </c>
      <c r="I264" s="425">
        <f t="shared" si="2"/>
        <v>0</v>
      </c>
      <c r="J264" s="425"/>
    </row>
    <row r="265" spans="1:10" ht="17.25" customHeight="1" x14ac:dyDescent="0.2">
      <c r="A265" s="423" t="s">
        <v>508</v>
      </c>
      <c r="B265" s="423"/>
      <c r="C265" s="423"/>
      <c r="D265" s="423"/>
      <c r="E265" s="423"/>
      <c r="F265" s="424">
        <f>I236</f>
        <v>1.92</v>
      </c>
      <c r="G265" s="424"/>
      <c r="H265" s="108">
        <f t="shared" si="0"/>
        <v>0</v>
      </c>
      <c r="I265" s="425">
        <f t="shared" si="2"/>
        <v>0</v>
      </c>
      <c r="J265" s="425"/>
    </row>
    <row r="266" spans="1:10" ht="27.75" customHeight="1" x14ac:dyDescent="0.2">
      <c r="A266" s="423" t="s">
        <v>509</v>
      </c>
      <c r="B266" s="423"/>
      <c r="C266" s="423"/>
      <c r="D266" s="423"/>
      <c r="E266" s="423"/>
      <c r="F266" s="424">
        <f>I239</f>
        <v>0.05</v>
      </c>
      <c r="G266" s="424"/>
      <c r="H266" s="108">
        <f t="shared" si="0"/>
        <v>0</v>
      </c>
      <c r="I266" s="425">
        <f t="shared" si="2"/>
        <v>0</v>
      </c>
      <c r="J266" s="425"/>
    </row>
    <row r="267" spans="1:10" ht="17.25" customHeight="1" x14ac:dyDescent="0.2">
      <c r="A267" s="412" t="s">
        <v>337</v>
      </c>
      <c r="B267" s="412"/>
      <c r="C267" s="412"/>
      <c r="D267" s="412"/>
      <c r="E267" s="412"/>
      <c r="F267" s="412"/>
      <c r="G267" s="412"/>
      <c r="H267" s="107">
        <f t="shared" si="0"/>
        <v>538</v>
      </c>
      <c r="I267" s="422">
        <f>SUM(I259:I266)</f>
        <v>312.04000000000002</v>
      </c>
      <c r="J267" s="422"/>
    </row>
    <row r="268" spans="1:10" ht="17.25" customHeight="1" x14ac:dyDescent="0.2">
      <c r="A268" s="423" t="s">
        <v>338</v>
      </c>
      <c r="B268" s="423"/>
      <c r="C268" s="423"/>
      <c r="D268" s="423"/>
      <c r="E268" s="423"/>
      <c r="F268" s="424">
        <f>I246</f>
        <v>11.53</v>
      </c>
      <c r="G268" s="424"/>
      <c r="H268" s="106">
        <f>I44</f>
        <v>302.37</v>
      </c>
      <c r="I268" s="425">
        <f>ROUND(F268*H268,2)</f>
        <v>3486.33</v>
      </c>
      <c r="J268" s="425"/>
    </row>
    <row r="269" spans="1:10" ht="17.25" customHeight="1" x14ac:dyDescent="0.2">
      <c r="A269" s="412" t="s">
        <v>510</v>
      </c>
      <c r="B269" s="412"/>
      <c r="C269" s="412"/>
      <c r="D269" s="412"/>
      <c r="E269" s="412"/>
      <c r="F269" s="412"/>
      <c r="G269" s="412"/>
      <c r="H269" s="107">
        <f>H268</f>
        <v>302.37</v>
      </c>
      <c r="I269" s="422">
        <f>I268</f>
        <v>3486.33</v>
      </c>
      <c r="J269" s="422"/>
    </row>
    <row r="270" spans="1:10" ht="17.25" customHeight="1" x14ac:dyDescent="0.2">
      <c r="A270" s="423" t="s">
        <v>340</v>
      </c>
      <c r="B270" s="423"/>
      <c r="C270" s="423"/>
      <c r="D270" s="423"/>
      <c r="E270" s="423"/>
      <c r="F270" s="423"/>
      <c r="G270" s="423"/>
      <c r="H270" s="106">
        <f>I45</f>
        <v>0</v>
      </c>
      <c r="I270" s="426">
        <v>0</v>
      </c>
      <c r="J270" s="426"/>
    </row>
    <row r="271" spans="1:10" ht="17.25" customHeight="1" x14ac:dyDescent="0.2">
      <c r="A271" s="412" t="s">
        <v>341</v>
      </c>
      <c r="B271" s="412"/>
      <c r="C271" s="412"/>
      <c r="D271" s="412"/>
      <c r="E271" s="412"/>
      <c r="F271" s="412"/>
      <c r="G271" s="412"/>
      <c r="H271" s="107">
        <f>H270</f>
        <v>0</v>
      </c>
      <c r="I271" s="413">
        <v>0</v>
      </c>
      <c r="J271" s="413"/>
    </row>
    <row r="272" spans="1:10" ht="17.25" customHeight="1" x14ac:dyDescent="0.2">
      <c r="A272" s="412" t="s">
        <v>511</v>
      </c>
      <c r="B272" s="412"/>
      <c r="C272" s="412"/>
      <c r="D272" s="412"/>
      <c r="E272" s="412"/>
      <c r="F272" s="412"/>
      <c r="G272" s="412"/>
      <c r="H272" s="107">
        <f>ROUND(H258+H267+H269+H271,2)</f>
        <v>11250.36</v>
      </c>
      <c r="I272" s="413">
        <f>SUM(I258+I267+I269+I271)</f>
        <v>45907.920000000006</v>
      </c>
      <c r="J272" s="413"/>
    </row>
    <row r="273" spans="1:26" ht="17.25" customHeight="1" x14ac:dyDescent="0.2">
      <c r="A273" s="414"/>
      <c r="B273" s="414"/>
      <c r="C273" s="414"/>
      <c r="D273" s="414"/>
      <c r="E273" s="414"/>
      <c r="F273" s="414"/>
      <c r="G273" s="414"/>
      <c r="H273" s="414"/>
      <c r="I273" s="414"/>
      <c r="J273" s="414"/>
      <c r="K273" s="52"/>
      <c r="L273" s="52"/>
      <c r="M273" s="52"/>
      <c r="N273" s="52"/>
      <c r="O273" s="52"/>
      <c r="P273" s="52"/>
      <c r="Q273" s="52"/>
      <c r="R273" s="52"/>
      <c r="S273" s="52"/>
      <c r="T273" s="52"/>
      <c r="U273" s="52"/>
      <c r="V273" s="52"/>
      <c r="W273" s="52"/>
      <c r="X273" s="52"/>
      <c r="Y273" s="52"/>
      <c r="Z273" s="52"/>
    </row>
    <row r="274" spans="1:26" ht="17.25" customHeight="1" x14ac:dyDescent="0.2">
      <c r="A274" s="415" t="s">
        <v>512</v>
      </c>
      <c r="B274" s="415"/>
      <c r="C274" s="415"/>
      <c r="D274" s="415"/>
      <c r="E274" s="415"/>
      <c r="F274" s="415"/>
      <c r="G274" s="415"/>
      <c r="H274" s="415"/>
      <c r="I274" s="416">
        <f>I272</f>
        <v>45907.920000000006</v>
      </c>
      <c r="J274" s="416"/>
    </row>
    <row r="275" spans="1:26" ht="17.25" customHeight="1" x14ac:dyDescent="0.2">
      <c r="A275" s="415" t="s">
        <v>513</v>
      </c>
      <c r="B275" s="415"/>
      <c r="C275" s="415"/>
      <c r="D275" s="415"/>
      <c r="E275" s="415"/>
      <c r="F275" s="415"/>
      <c r="G275" s="415"/>
      <c r="H275" s="415"/>
      <c r="I275" s="418">
        <f>H21</f>
        <v>20</v>
      </c>
      <c r="J275" s="418"/>
    </row>
    <row r="276" spans="1:26" ht="17.25" customHeight="1" x14ac:dyDescent="0.2">
      <c r="A276" s="415" t="s">
        <v>514</v>
      </c>
      <c r="B276" s="415"/>
      <c r="C276" s="415"/>
      <c r="D276" s="415"/>
      <c r="E276" s="415"/>
      <c r="F276" s="415"/>
      <c r="G276" s="415"/>
      <c r="H276" s="415"/>
      <c r="I276" s="416">
        <f>ROUND(I272*I275,2)</f>
        <v>918158.4</v>
      </c>
      <c r="J276" s="416"/>
    </row>
    <row r="277" spans="1:26" ht="17.25" customHeight="1" x14ac:dyDescent="0.2">
      <c r="A277" s="419" t="s">
        <v>515</v>
      </c>
      <c r="B277" s="419"/>
      <c r="C277" s="419"/>
      <c r="D277" s="419"/>
      <c r="E277" s="419"/>
      <c r="F277" s="419"/>
      <c r="G277" s="419"/>
      <c r="H277" s="419"/>
      <c r="I277" s="419"/>
      <c r="J277" s="419"/>
    </row>
    <row r="278" spans="1:26" ht="17.25" customHeight="1" x14ac:dyDescent="0.2">
      <c r="A278" s="419" t="s">
        <v>516</v>
      </c>
      <c r="B278" s="419"/>
      <c r="C278" s="419"/>
      <c r="D278" s="419"/>
      <c r="E278" s="419"/>
      <c r="F278" s="419"/>
      <c r="G278" s="419" t="s">
        <v>517</v>
      </c>
      <c r="H278" s="419"/>
      <c r="I278" s="419"/>
      <c r="J278" s="419"/>
    </row>
    <row r="279" spans="1:26" ht="17.25" customHeight="1" x14ac:dyDescent="0.2">
      <c r="A279" s="420" t="s">
        <v>68</v>
      </c>
      <c r="B279" s="420"/>
      <c r="C279" s="420"/>
      <c r="D279" s="420"/>
      <c r="E279" s="420"/>
      <c r="F279" s="420"/>
      <c r="G279" s="421">
        <f>'4. SAn Cál DEMO Limpeza Geral'!$L$27</f>
        <v>8.8385117777777786</v>
      </c>
      <c r="H279" s="421"/>
      <c r="I279" s="421"/>
      <c r="J279" s="421"/>
    </row>
    <row r="280" spans="1:26" ht="31.5" customHeight="1" x14ac:dyDescent="0.2">
      <c r="A280" s="417" t="s">
        <v>518</v>
      </c>
      <c r="B280" s="417"/>
      <c r="C280" s="417"/>
      <c r="D280" s="417"/>
      <c r="E280" s="417"/>
      <c r="F280" s="417"/>
      <c r="G280" s="417"/>
      <c r="H280" s="417"/>
      <c r="I280" s="417"/>
      <c r="J280" s="417"/>
    </row>
    <row r="281" spans="1:26" ht="12.75" customHeight="1" x14ac:dyDescent="0.2"/>
    <row r="282" spans="1:26" ht="12.75" customHeight="1" x14ac:dyDescent="0.2"/>
    <row r="283" spans="1:26" ht="12.75" customHeight="1" x14ac:dyDescent="0.2"/>
    <row r="284" spans="1:26" ht="12.75" customHeight="1" x14ac:dyDescent="0.2"/>
    <row r="285" spans="1:26" ht="12.75" customHeight="1" x14ac:dyDescent="0.2"/>
    <row r="286" spans="1:26" ht="12.75" customHeight="1" x14ac:dyDescent="0.2"/>
    <row r="287" spans="1:26" ht="12.75" customHeight="1" x14ac:dyDescent="0.2"/>
    <row r="288" spans="1:26"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sheetData>
  <sheetProtection selectLockedCells="1" selectUnlockedCells="1"/>
  <mergeCells count="500">
    <mergeCell ref="A1:J1"/>
    <mergeCell ref="A2:J2"/>
    <mergeCell ref="A3:J3"/>
    <mergeCell ref="A4:J4"/>
    <mergeCell ref="A5:J5"/>
    <mergeCell ref="A7:J7"/>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5:G15"/>
    <mergeCell ref="B21:G21"/>
    <mergeCell ref="H21:J21"/>
    <mergeCell ref="A23:J23"/>
    <mergeCell ref="A24:F24"/>
    <mergeCell ref="G24:H24"/>
    <mergeCell ref="I24:J24"/>
    <mergeCell ref="A25:F25"/>
    <mergeCell ref="G25:H25"/>
    <mergeCell ref="I25:J25"/>
    <mergeCell ref="A26:F26"/>
    <mergeCell ref="G26:H26"/>
    <mergeCell ref="I26:J26"/>
    <mergeCell ref="A27:F27"/>
    <mergeCell ref="G27:H27"/>
    <mergeCell ref="I27:J27"/>
    <mergeCell ref="A28:F28"/>
    <mergeCell ref="G28:H28"/>
    <mergeCell ref="I28:J28"/>
    <mergeCell ref="A29:F29"/>
    <mergeCell ref="G29:H29"/>
    <mergeCell ref="I29:J29"/>
    <mergeCell ref="A30:F30"/>
    <mergeCell ref="G30:H30"/>
    <mergeCell ref="I30:J30"/>
    <mergeCell ref="A31:F31"/>
    <mergeCell ref="G31:H31"/>
    <mergeCell ref="I31:J31"/>
    <mergeCell ref="A32:F32"/>
    <mergeCell ref="G32:H32"/>
    <mergeCell ref="I32:J32"/>
    <mergeCell ref="A33:H33"/>
    <mergeCell ref="I33:J33"/>
    <mergeCell ref="A34:F34"/>
    <mergeCell ref="G34:H34"/>
    <mergeCell ref="I34:J34"/>
    <mergeCell ref="A35:F35"/>
    <mergeCell ref="G35:H35"/>
    <mergeCell ref="I35:J35"/>
    <mergeCell ref="A36:F36"/>
    <mergeCell ref="G36:H36"/>
    <mergeCell ref="I36:J36"/>
    <mergeCell ref="A37:F37"/>
    <mergeCell ref="G37:H37"/>
    <mergeCell ref="I37:J37"/>
    <mergeCell ref="A38:F38"/>
    <mergeCell ref="G38:H38"/>
    <mergeCell ref="I38:J38"/>
    <mergeCell ref="A39:F39"/>
    <mergeCell ref="G39:H39"/>
    <mergeCell ref="I39:J39"/>
    <mergeCell ref="A40:F40"/>
    <mergeCell ref="G40:H40"/>
    <mergeCell ref="I40:J40"/>
    <mergeCell ref="A41:F41"/>
    <mergeCell ref="G41:H41"/>
    <mergeCell ref="I41:J41"/>
    <mergeCell ref="A42:H42"/>
    <mergeCell ref="I42:J42"/>
    <mergeCell ref="A43:F43"/>
    <mergeCell ref="G43:H43"/>
    <mergeCell ref="I43:J43"/>
    <mergeCell ref="A44:H44"/>
    <mergeCell ref="I44:J44"/>
    <mergeCell ref="A45:F45"/>
    <mergeCell ref="G45:H45"/>
    <mergeCell ref="I45:J45"/>
    <mergeCell ref="A46:H46"/>
    <mergeCell ref="I46:J46"/>
    <mergeCell ref="A47:H47"/>
    <mergeCell ref="I47:J47"/>
    <mergeCell ref="A48:J48"/>
    <mergeCell ref="A49:J49"/>
    <mergeCell ref="A50:J50"/>
    <mergeCell ref="A51:J51"/>
    <mergeCell ref="B52:G52"/>
    <mergeCell ref="H52:J52"/>
    <mergeCell ref="B53:G53"/>
    <mergeCell ref="H53:J53"/>
    <mergeCell ref="B54:G54"/>
    <mergeCell ref="H54:J54"/>
    <mergeCell ref="B55:G55"/>
    <mergeCell ref="H55:J55"/>
    <mergeCell ref="B56:G56"/>
    <mergeCell ref="H56:J56"/>
    <mergeCell ref="B57:J57"/>
    <mergeCell ref="A59:J59"/>
    <mergeCell ref="B60:H60"/>
    <mergeCell ref="B61:D61"/>
    <mergeCell ref="G61:I61"/>
    <mergeCell ref="B62:C62"/>
    <mergeCell ref="D62:H62"/>
    <mergeCell ref="B63:I63"/>
    <mergeCell ref="A64:I64"/>
    <mergeCell ref="B65:J65"/>
    <mergeCell ref="A67:J67"/>
    <mergeCell ref="B68:I68"/>
    <mergeCell ref="B69:I69"/>
    <mergeCell ref="B70:I70"/>
    <mergeCell ref="A71:I71"/>
    <mergeCell ref="B72:J72"/>
    <mergeCell ref="B74:J74"/>
    <mergeCell ref="B75:H75"/>
    <mergeCell ref="B76:H76"/>
    <mergeCell ref="B77:H77"/>
    <mergeCell ref="B78:D78"/>
    <mergeCell ref="B79:H79"/>
    <mergeCell ref="B80:H80"/>
    <mergeCell ref="B81:H81"/>
    <mergeCell ref="B82:H82"/>
    <mergeCell ref="B83:H83"/>
    <mergeCell ref="A84:H84"/>
    <mergeCell ref="B85:J85"/>
    <mergeCell ref="B86:J86"/>
    <mergeCell ref="B88:J88"/>
    <mergeCell ref="B89:I89"/>
    <mergeCell ref="A90:A94"/>
    <mergeCell ref="B90:I90"/>
    <mergeCell ref="J90:J94"/>
    <mergeCell ref="B91:H91"/>
    <mergeCell ref="B92:H92"/>
    <mergeCell ref="B93:H93"/>
    <mergeCell ref="B94:H94"/>
    <mergeCell ref="A95:A98"/>
    <mergeCell ref="B95:D95"/>
    <mergeCell ref="J95:J98"/>
    <mergeCell ref="B96:H96"/>
    <mergeCell ref="B97:H97"/>
    <mergeCell ref="B98:H98"/>
    <mergeCell ref="B99:D99"/>
    <mergeCell ref="B100:I100"/>
    <mergeCell ref="A101:I101"/>
    <mergeCell ref="E95:I95"/>
    <mergeCell ref="E99:I99"/>
    <mergeCell ref="B102:J102"/>
    <mergeCell ref="B103:J103"/>
    <mergeCell ref="A105:J105"/>
    <mergeCell ref="B106:I106"/>
    <mergeCell ref="B107:I107"/>
    <mergeCell ref="B108:I108"/>
    <mergeCell ref="B109:I109"/>
    <mergeCell ref="A110:I110"/>
    <mergeCell ref="A112:J112"/>
    <mergeCell ref="B113:I113"/>
    <mergeCell ref="B114:I114"/>
    <mergeCell ref="B115:I115"/>
    <mergeCell ref="B116:I116"/>
    <mergeCell ref="B117:I117"/>
    <mergeCell ref="B118:I118"/>
    <mergeCell ref="B119:I119"/>
    <mergeCell ref="A120:I120"/>
    <mergeCell ref="A122:J122"/>
    <mergeCell ref="A123:J123"/>
    <mergeCell ref="A124:B124"/>
    <mergeCell ref="D124:E124"/>
    <mergeCell ref="G124:H124"/>
    <mergeCell ref="A125:F125"/>
    <mergeCell ref="G125:I125"/>
    <mergeCell ref="B127:I127"/>
    <mergeCell ref="B128:I128"/>
    <mergeCell ref="B129:I129"/>
    <mergeCell ref="B130:I130"/>
    <mergeCell ref="B131:I131"/>
    <mergeCell ref="B132:I132"/>
    <mergeCell ref="B133:I133"/>
    <mergeCell ref="A134:I134"/>
    <mergeCell ref="A135:J135"/>
    <mergeCell ref="B136:I136"/>
    <mergeCell ref="B137:I137"/>
    <mergeCell ref="A138:I138"/>
    <mergeCell ref="A139:J139"/>
    <mergeCell ref="A140:J140"/>
    <mergeCell ref="B141:I141"/>
    <mergeCell ref="B142:I142"/>
    <mergeCell ref="B143:I143"/>
    <mergeCell ref="A144:I144"/>
    <mergeCell ref="B145:J145"/>
    <mergeCell ref="A147:J147"/>
    <mergeCell ref="B148:I148"/>
    <mergeCell ref="B149:I149"/>
    <mergeCell ref="B150:I150"/>
    <mergeCell ref="B151:I151"/>
    <mergeCell ref="B152:I152"/>
    <mergeCell ref="A153:I153"/>
    <mergeCell ref="B154:J154"/>
    <mergeCell ref="A155:J155"/>
    <mergeCell ref="A156:J156"/>
    <mergeCell ref="B157:H157"/>
    <mergeCell ref="A158:I158"/>
    <mergeCell ref="B159:H159"/>
    <mergeCell ref="A160:I160"/>
    <mergeCell ref="B161:H161"/>
    <mergeCell ref="A162:I162"/>
    <mergeCell ref="B163:H163"/>
    <mergeCell ref="K163:L163"/>
    <mergeCell ref="A164:A165"/>
    <mergeCell ref="B164:E165"/>
    <mergeCell ref="F164:H164"/>
    <mergeCell ref="F165:H165"/>
    <mergeCell ref="B166:E166"/>
    <mergeCell ref="F166:H166"/>
    <mergeCell ref="B167:E167"/>
    <mergeCell ref="F167:H167"/>
    <mergeCell ref="A168:I168"/>
    <mergeCell ref="B169:J169"/>
    <mergeCell ref="A170:A172"/>
    <mergeCell ref="B170:C172"/>
    <mergeCell ref="D170:F172"/>
    <mergeCell ref="G170:H172"/>
    <mergeCell ref="J170:J172"/>
    <mergeCell ref="A174:J174"/>
    <mergeCell ref="A175:I175"/>
    <mergeCell ref="B176:I176"/>
    <mergeCell ref="B177:I177"/>
    <mergeCell ref="B178:I178"/>
    <mergeCell ref="B179:I179"/>
    <mergeCell ref="B180:I180"/>
    <mergeCell ref="A181:I181"/>
    <mergeCell ref="B182:I182"/>
    <mergeCell ref="A183:G183"/>
    <mergeCell ref="A185:J185"/>
    <mergeCell ref="A186:J186"/>
    <mergeCell ref="A187:J187"/>
    <mergeCell ref="A188:C188"/>
    <mergeCell ref="D188:F188"/>
    <mergeCell ref="G188:H188"/>
    <mergeCell ref="I188:J188"/>
    <mergeCell ref="A189:C189"/>
    <mergeCell ref="G189:H189"/>
    <mergeCell ref="I189:J189"/>
    <mergeCell ref="A190:C190"/>
    <mergeCell ref="E190:F190"/>
    <mergeCell ref="G190:H190"/>
    <mergeCell ref="I190:J190"/>
    <mergeCell ref="A191:H191"/>
    <mergeCell ref="I191:J191"/>
    <mergeCell ref="A192:C192"/>
    <mergeCell ref="G192:H192"/>
    <mergeCell ref="I192:J192"/>
    <mergeCell ref="A193:C193"/>
    <mergeCell ref="E193:F193"/>
    <mergeCell ref="G193:H193"/>
    <mergeCell ref="I193:J193"/>
    <mergeCell ref="A194:H194"/>
    <mergeCell ref="I194:J194"/>
    <mergeCell ref="A195:C195"/>
    <mergeCell ref="G195:H195"/>
    <mergeCell ref="I195:J195"/>
    <mergeCell ref="A196:C196"/>
    <mergeCell ref="E196:F196"/>
    <mergeCell ref="G196:H196"/>
    <mergeCell ref="I196:J196"/>
    <mergeCell ref="A197:H197"/>
    <mergeCell ref="I197:J197"/>
    <mergeCell ref="A198:C198"/>
    <mergeCell ref="G198:H198"/>
    <mergeCell ref="I198:J198"/>
    <mergeCell ref="A199:C199"/>
    <mergeCell ref="E199:F199"/>
    <mergeCell ref="G199:H199"/>
    <mergeCell ref="I199:J199"/>
    <mergeCell ref="A200:H200"/>
    <mergeCell ref="I200:J200"/>
    <mergeCell ref="A201:C201"/>
    <mergeCell ref="G201:H201"/>
    <mergeCell ref="I201:J201"/>
    <mergeCell ref="A202:C202"/>
    <mergeCell ref="E202:F202"/>
    <mergeCell ref="G202:H202"/>
    <mergeCell ref="I202:J202"/>
    <mergeCell ref="A203:H203"/>
    <mergeCell ref="I203:J203"/>
    <mergeCell ref="A204:C204"/>
    <mergeCell ref="G204:H204"/>
    <mergeCell ref="I204:J204"/>
    <mergeCell ref="A205:C205"/>
    <mergeCell ref="E205:F205"/>
    <mergeCell ref="G205:H205"/>
    <mergeCell ref="I205:J205"/>
    <mergeCell ref="A206:H206"/>
    <mergeCell ref="I206:J206"/>
    <mergeCell ref="A207:C207"/>
    <mergeCell ref="G207:H207"/>
    <mergeCell ref="I207:J207"/>
    <mergeCell ref="A208:C208"/>
    <mergeCell ref="E208:F208"/>
    <mergeCell ref="G208:H208"/>
    <mergeCell ref="I208:J208"/>
    <mergeCell ref="A209:H209"/>
    <mergeCell ref="I209:J209"/>
    <mergeCell ref="A210:C210"/>
    <mergeCell ref="G210:H210"/>
    <mergeCell ref="I210:J210"/>
    <mergeCell ref="A211:C211"/>
    <mergeCell ref="E211:F211"/>
    <mergeCell ref="G211:H211"/>
    <mergeCell ref="I211:J211"/>
    <mergeCell ref="A212:H212"/>
    <mergeCell ref="I212:J212"/>
    <mergeCell ref="A213:J213"/>
    <mergeCell ref="A214:J214"/>
    <mergeCell ref="A215:C215"/>
    <mergeCell ref="D215:F215"/>
    <mergeCell ref="G215:H215"/>
    <mergeCell ref="I215:J215"/>
    <mergeCell ref="A216:C216"/>
    <mergeCell ref="G216:H216"/>
    <mergeCell ref="I216:J216"/>
    <mergeCell ref="A217:C217"/>
    <mergeCell ref="E217:F217"/>
    <mergeCell ref="G217:H217"/>
    <mergeCell ref="I217:J217"/>
    <mergeCell ref="A218:H218"/>
    <mergeCell ref="I218:J218"/>
    <mergeCell ref="A219:C219"/>
    <mergeCell ref="G219:H219"/>
    <mergeCell ref="I219:J219"/>
    <mergeCell ref="A220:C220"/>
    <mergeCell ref="E220:F220"/>
    <mergeCell ref="G220:H220"/>
    <mergeCell ref="I220:J220"/>
    <mergeCell ref="A221:H221"/>
    <mergeCell ref="I221:J221"/>
    <mergeCell ref="A222:C222"/>
    <mergeCell ref="G222:H222"/>
    <mergeCell ref="I222:J222"/>
    <mergeCell ref="A223:C223"/>
    <mergeCell ref="E223:F223"/>
    <mergeCell ref="G223:H223"/>
    <mergeCell ref="I223:J223"/>
    <mergeCell ref="A224:H224"/>
    <mergeCell ref="I224:J224"/>
    <mergeCell ref="A225:C225"/>
    <mergeCell ref="G225:H225"/>
    <mergeCell ref="I225:J225"/>
    <mergeCell ref="A226:C226"/>
    <mergeCell ref="E226:F226"/>
    <mergeCell ref="G226:H226"/>
    <mergeCell ref="I226:J226"/>
    <mergeCell ref="A227:H227"/>
    <mergeCell ref="I227:J227"/>
    <mergeCell ref="A228:C228"/>
    <mergeCell ref="G228:H228"/>
    <mergeCell ref="I228:J228"/>
    <mergeCell ref="A229:C229"/>
    <mergeCell ref="E229:F229"/>
    <mergeCell ref="G229:H229"/>
    <mergeCell ref="I229:J229"/>
    <mergeCell ref="A230:H230"/>
    <mergeCell ref="I230:J230"/>
    <mergeCell ref="A231:C231"/>
    <mergeCell ref="G231:H231"/>
    <mergeCell ref="I231:J231"/>
    <mergeCell ref="A232:C232"/>
    <mergeCell ref="E232:F232"/>
    <mergeCell ref="G232:H232"/>
    <mergeCell ref="I232:J232"/>
    <mergeCell ref="A233:H233"/>
    <mergeCell ref="I233:J233"/>
    <mergeCell ref="A234:C234"/>
    <mergeCell ref="G234:H234"/>
    <mergeCell ref="I234:J234"/>
    <mergeCell ref="A235:C235"/>
    <mergeCell ref="E235:F235"/>
    <mergeCell ref="G235:H235"/>
    <mergeCell ref="I235:J235"/>
    <mergeCell ref="A236:H236"/>
    <mergeCell ref="I236:J236"/>
    <mergeCell ref="A237:C237"/>
    <mergeCell ref="G237:H237"/>
    <mergeCell ref="I237:J237"/>
    <mergeCell ref="A238:C238"/>
    <mergeCell ref="E238:F238"/>
    <mergeCell ref="G238:H238"/>
    <mergeCell ref="I238:J238"/>
    <mergeCell ref="A239:H239"/>
    <mergeCell ref="I239:J239"/>
    <mergeCell ref="A241:J242"/>
    <mergeCell ref="A243:C243"/>
    <mergeCell ref="D243:F243"/>
    <mergeCell ref="G243:H243"/>
    <mergeCell ref="I243:J243"/>
    <mergeCell ref="A244:C244"/>
    <mergeCell ref="G244:H244"/>
    <mergeCell ref="I244:J244"/>
    <mergeCell ref="A245:C245"/>
    <mergeCell ref="E245:F245"/>
    <mergeCell ref="G245:H245"/>
    <mergeCell ref="I245:J245"/>
    <mergeCell ref="A246:H246"/>
    <mergeCell ref="I246:J246"/>
    <mergeCell ref="A247:J247"/>
    <mergeCell ref="A248:J248"/>
    <mergeCell ref="A249:E249"/>
    <mergeCell ref="F249:G249"/>
    <mergeCell ref="I249:J249"/>
    <mergeCell ref="A250:E250"/>
    <mergeCell ref="F250:G250"/>
    <mergeCell ref="I250:J250"/>
    <mergeCell ref="A251:E251"/>
    <mergeCell ref="F251:G251"/>
    <mergeCell ref="I251:J251"/>
    <mergeCell ref="A252:E252"/>
    <mergeCell ref="F252:G252"/>
    <mergeCell ref="I252:J252"/>
    <mergeCell ref="A253:E253"/>
    <mergeCell ref="F253:G253"/>
    <mergeCell ref="I253:J253"/>
    <mergeCell ref="A254:E254"/>
    <mergeCell ref="F254:G254"/>
    <mergeCell ref="I254:J254"/>
    <mergeCell ref="A255:E255"/>
    <mergeCell ref="F255:G255"/>
    <mergeCell ref="I255:J255"/>
    <mergeCell ref="A256:E256"/>
    <mergeCell ref="F256:G256"/>
    <mergeCell ref="I256:J256"/>
    <mergeCell ref="A257:E257"/>
    <mergeCell ref="F257:G257"/>
    <mergeCell ref="I257:J257"/>
    <mergeCell ref="A258:G258"/>
    <mergeCell ref="I258:J258"/>
    <mergeCell ref="A259:E259"/>
    <mergeCell ref="F259:G259"/>
    <mergeCell ref="I259:J259"/>
    <mergeCell ref="A260:E260"/>
    <mergeCell ref="F260:G260"/>
    <mergeCell ref="I260:J260"/>
    <mergeCell ref="A261:E261"/>
    <mergeCell ref="F261:G261"/>
    <mergeCell ref="I261:J261"/>
    <mergeCell ref="A262:E262"/>
    <mergeCell ref="F262:G262"/>
    <mergeCell ref="I262:J262"/>
    <mergeCell ref="A263:E263"/>
    <mergeCell ref="F263:G263"/>
    <mergeCell ref="I263:J263"/>
    <mergeCell ref="A264:E264"/>
    <mergeCell ref="F264:G264"/>
    <mergeCell ref="I264:J264"/>
    <mergeCell ref="A265:E265"/>
    <mergeCell ref="F265:G265"/>
    <mergeCell ref="I265:J265"/>
    <mergeCell ref="A266:E266"/>
    <mergeCell ref="F266:G266"/>
    <mergeCell ref="I266:J266"/>
    <mergeCell ref="A267:G267"/>
    <mergeCell ref="I267:J267"/>
    <mergeCell ref="A268:E268"/>
    <mergeCell ref="F268:G268"/>
    <mergeCell ref="I268:J268"/>
    <mergeCell ref="A269:G269"/>
    <mergeCell ref="I269:J269"/>
    <mergeCell ref="A270:G270"/>
    <mergeCell ref="I270:J270"/>
    <mergeCell ref="A271:G271"/>
    <mergeCell ref="I271:J271"/>
    <mergeCell ref="A272:G272"/>
    <mergeCell ref="I272:J272"/>
    <mergeCell ref="A273:J273"/>
    <mergeCell ref="A274:H274"/>
    <mergeCell ref="I274:J274"/>
    <mergeCell ref="A280:J280"/>
    <mergeCell ref="A275:H275"/>
    <mergeCell ref="I275:J275"/>
    <mergeCell ref="A276:H276"/>
    <mergeCell ref="I276:J276"/>
    <mergeCell ref="A277:J277"/>
    <mergeCell ref="A278:F278"/>
    <mergeCell ref="G278:J278"/>
    <mergeCell ref="A279:F279"/>
    <mergeCell ref="G279:J279"/>
  </mergeCells>
  <conditionalFormatting sqref="A14:G14">
    <cfRule type="expression" dxfId="7" priority="2">
      <formula>LEN(TRIM(A14))&gt;0</formula>
    </cfRule>
  </conditionalFormatting>
  <conditionalFormatting sqref="H14:J14">
    <cfRule type="expression" dxfId="6" priority="3">
      <formula>LEN(TRIM(H14))&gt;0</formula>
    </cfRule>
  </conditionalFormatting>
  <printOptions horizontalCentered="1"/>
  <pageMargins left="0" right="0" top="0.39370078740157483" bottom="0" header="0" footer="0.51181102362204722"/>
  <pageSetup paperSize="9" scale="46" firstPageNumber="0" pageOrder="overThenDown" orientation="portrait" r:id="rId1"/>
  <headerFooter>
    <oddHeader>&amp;R&amp;P de &amp;N</oddHeader>
    <oddFooter>&amp;L&amp;F - &amp;A&amp;CPágina &amp;P de &amp;N</oddFooter>
  </headerFooter>
  <rowBreaks count="3" manualBreakCount="3">
    <brk id="94" max="9" man="1"/>
    <brk id="173" max="9" man="1"/>
    <brk id="247" max="9"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4"/>
  <sheetViews>
    <sheetView showGridLines="0" topLeftCell="A45" zoomScaleNormal="100" workbookViewId="0">
      <selection activeCell="A63" sqref="A63:B63"/>
    </sheetView>
  </sheetViews>
  <sheetFormatPr defaultRowHeight="14.25" x14ac:dyDescent="0.2"/>
  <cols>
    <col min="1" max="1" width="17.28515625" style="51" customWidth="1"/>
    <col min="2" max="2" width="8" style="51" customWidth="1"/>
    <col min="3" max="3" width="17.28515625" style="51" customWidth="1"/>
    <col min="4" max="7" width="15.42578125" style="51" customWidth="1"/>
    <col min="8" max="8" width="12.28515625" style="51" customWidth="1"/>
    <col min="9" max="9" width="20.42578125" style="51" customWidth="1"/>
    <col min="10" max="10" width="21.42578125" style="51" customWidth="1"/>
    <col min="11" max="11" width="12.5703125" style="51" customWidth="1"/>
    <col min="12" max="12" width="12.7109375" style="51" customWidth="1"/>
    <col min="13" max="26" width="8" style="51" customWidth="1"/>
    <col min="27" max="1025" width="14.42578125" style="51" customWidth="1"/>
    <col min="1026" max="16384" width="9.140625" style="51"/>
  </cols>
  <sheetData>
    <row r="1" spans="1:26" ht="15" x14ac:dyDescent="0.2">
      <c r="A1" s="402" t="s">
        <v>0</v>
      </c>
      <c r="B1" s="402"/>
      <c r="C1" s="402"/>
      <c r="D1" s="402"/>
      <c r="E1" s="402"/>
      <c r="F1" s="402"/>
      <c r="G1" s="402"/>
      <c r="H1" s="402"/>
      <c r="I1" s="402"/>
      <c r="J1" s="402"/>
    </row>
    <row r="2" spans="1:26" ht="15" x14ac:dyDescent="0.2">
      <c r="A2" s="402" t="s">
        <v>1</v>
      </c>
      <c r="B2" s="402"/>
      <c r="C2" s="402"/>
      <c r="D2" s="402"/>
      <c r="E2" s="402"/>
      <c r="F2" s="402"/>
      <c r="G2" s="402"/>
      <c r="H2" s="402"/>
      <c r="I2" s="402"/>
      <c r="J2" s="402"/>
    </row>
    <row r="3" spans="1:26" ht="15" x14ac:dyDescent="0.2">
      <c r="A3" s="402" t="s">
        <v>2</v>
      </c>
      <c r="B3" s="402"/>
      <c r="C3" s="402"/>
      <c r="D3" s="402"/>
      <c r="E3" s="402"/>
      <c r="F3" s="402"/>
      <c r="G3" s="402"/>
      <c r="H3" s="402"/>
      <c r="I3" s="402"/>
      <c r="J3" s="402"/>
    </row>
    <row r="4" spans="1:26" ht="15" x14ac:dyDescent="0.2">
      <c r="A4" s="403" t="str">
        <f>'1. SAn ABA DE CARREGAMENTO'!A4</f>
        <v>CAMPUS SANTO ÂNGELO</v>
      </c>
      <c r="B4" s="403"/>
      <c r="C4" s="403"/>
      <c r="D4" s="403"/>
      <c r="E4" s="403"/>
      <c r="F4" s="403"/>
      <c r="G4" s="403"/>
      <c r="H4" s="403"/>
      <c r="I4" s="403"/>
      <c r="J4" s="403"/>
    </row>
    <row r="5" spans="1:26" ht="20.25" customHeight="1" x14ac:dyDescent="0.2">
      <c r="A5" s="404" t="s">
        <v>297</v>
      </c>
      <c r="B5" s="404"/>
      <c r="C5" s="404"/>
      <c r="D5" s="404"/>
      <c r="E5" s="404"/>
      <c r="F5" s="404"/>
      <c r="G5" s="404"/>
      <c r="H5" s="404"/>
      <c r="I5" s="404"/>
      <c r="J5" s="404"/>
    </row>
    <row r="6" spans="1:26" ht="9.9499999999999993" customHeight="1" x14ac:dyDescent="0.2">
      <c r="A6" s="6"/>
      <c r="B6" s="6"/>
      <c r="C6" s="6"/>
      <c r="D6" s="6"/>
      <c r="E6" s="6"/>
      <c r="F6" s="6"/>
      <c r="G6" s="6"/>
      <c r="H6" s="6"/>
      <c r="I6" s="6"/>
      <c r="J6" s="6"/>
      <c r="K6" s="52"/>
      <c r="L6" s="52"/>
      <c r="M6" s="52"/>
      <c r="N6" s="52"/>
      <c r="O6" s="52"/>
      <c r="P6" s="52"/>
      <c r="Q6" s="52"/>
      <c r="R6" s="52"/>
      <c r="S6" s="52"/>
      <c r="T6" s="52"/>
      <c r="U6" s="52"/>
      <c r="V6" s="52"/>
      <c r="W6" s="52"/>
      <c r="X6" s="52"/>
      <c r="Y6" s="52"/>
      <c r="Z6" s="52"/>
    </row>
    <row r="7" spans="1:26" ht="20.25" customHeight="1" x14ac:dyDescent="0.2">
      <c r="A7" s="419" t="str">
        <f>'7. SAn Planilha Área Geral'!A7:J7</f>
        <v>IN/MPDG Nº 05/2017 - Anexo VII-D</v>
      </c>
      <c r="B7" s="419"/>
      <c r="C7" s="419"/>
      <c r="D7" s="419"/>
      <c r="E7" s="419"/>
      <c r="F7" s="419"/>
      <c r="G7" s="419"/>
      <c r="H7" s="419"/>
      <c r="I7" s="419"/>
      <c r="J7" s="419"/>
    </row>
    <row r="8" spans="1:26" ht="9.9499999999999993" customHeight="1" x14ac:dyDescent="0.2">
      <c r="A8" s="443"/>
      <c r="B8" s="443"/>
      <c r="C8" s="443"/>
      <c r="D8" s="443"/>
      <c r="E8" s="443"/>
      <c r="F8" s="443"/>
      <c r="G8" s="443"/>
      <c r="H8" s="443"/>
      <c r="I8" s="443"/>
      <c r="J8" s="443"/>
      <c r="K8" s="52"/>
      <c r="L8" s="52"/>
      <c r="M8" s="52"/>
      <c r="N8" s="52"/>
      <c r="O8" s="52"/>
      <c r="P8" s="52"/>
      <c r="Q8" s="52"/>
      <c r="R8" s="52"/>
      <c r="S8" s="52"/>
      <c r="T8" s="52"/>
      <c r="U8" s="52"/>
      <c r="V8" s="52"/>
      <c r="W8" s="52"/>
      <c r="X8" s="52"/>
      <c r="Y8" s="52"/>
      <c r="Z8" s="52"/>
    </row>
    <row r="9" spans="1:26" ht="17.25" customHeight="1" x14ac:dyDescent="0.2">
      <c r="A9" s="419" t="s">
        <v>519</v>
      </c>
      <c r="B9" s="419"/>
      <c r="C9" s="419"/>
      <c r="D9" s="508" t="s">
        <v>520</v>
      </c>
      <c r="E9" s="508"/>
      <c r="F9" s="508"/>
      <c r="G9" s="508"/>
      <c r="H9" s="508"/>
      <c r="I9" s="509" t="str">
        <f>'1. SAn ABA DE CARREGAMENTO'!A4</f>
        <v>CAMPUS SANTO ÂNGELO</v>
      </c>
      <c r="J9" s="509"/>
    </row>
    <row r="10" spans="1:26" ht="17.25" customHeight="1" x14ac:dyDescent="0.2">
      <c r="A10" s="419"/>
      <c r="B10" s="419"/>
      <c r="C10" s="419"/>
      <c r="D10" s="522" t="s">
        <v>300</v>
      </c>
      <c r="E10" s="522"/>
      <c r="F10" s="522"/>
      <c r="G10" s="50">
        <f>'5. SAn Cálc. DEMO Banheiros'!D11</f>
        <v>1673.5253749999999</v>
      </c>
      <c r="H10" s="17" t="s">
        <v>301</v>
      </c>
      <c r="I10" s="523" t="s">
        <v>302</v>
      </c>
      <c r="J10" s="523"/>
    </row>
    <row r="11" spans="1:26" ht="17.25" customHeight="1" x14ac:dyDescent="0.2">
      <c r="A11" s="53" t="s">
        <v>303</v>
      </c>
      <c r="B11" s="500" t="str">
        <f>'1. SAn ABA DE CARREGAMENTO'!B11</f>
        <v>23243.000810-2021-41</v>
      </c>
      <c r="C11" s="500"/>
      <c r="D11" s="53" t="s">
        <v>304</v>
      </c>
      <c r="E11" s="501" t="str">
        <f>'1. SAn ABA DE CARREGAMENTO'!B12</f>
        <v>33 / 2021</v>
      </c>
      <c r="F11" s="501"/>
      <c r="G11" s="53" t="s">
        <v>12</v>
      </c>
      <c r="H11" s="54">
        <f>'1. SAn ABA DE CARREGAMENTO'!B13</f>
        <v>0</v>
      </c>
      <c r="I11" s="55" t="s">
        <v>13</v>
      </c>
      <c r="J11" s="56" t="str">
        <f>'1. SAn ABA DE CARREGAMENTO'!B14</f>
        <v>09h (Horário de Brasília)</v>
      </c>
    </row>
    <row r="12" spans="1:26" ht="17.25" customHeight="1" x14ac:dyDescent="0.2">
      <c r="A12" s="57" t="s">
        <v>14</v>
      </c>
      <c r="B12" s="502" t="str">
        <f>'1. SAn ABA DE CARREGAMENTO'!B15</f>
        <v>xxxx xxxx xxxx</v>
      </c>
      <c r="C12" s="502"/>
      <c r="D12" s="502"/>
      <c r="E12" s="502"/>
      <c r="F12" s="502"/>
      <c r="G12" s="502"/>
      <c r="H12" s="58" t="s">
        <v>305</v>
      </c>
      <c r="I12" s="503" t="str">
        <f>'1. SAn ABA DE CARREGAMENTO'!B16</f>
        <v>zz.zzz.zzz/zzzz-zz</v>
      </c>
      <c r="J12" s="503"/>
    </row>
    <row r="13" spans="1:26" ht="17.25" customHeight="1" x14ac:dyDescent="0.2">
      <c r="A13" s="57" t="s">
        <v>306</v>
      </c>
      <c r="B13" s="502" t="str">
        <f>'1. SAn ABA DE CARREGAMENTO'!B17</f>
        <v>Nome Completo</v>
      </c>
      <c r="C13" s="502"/>
      <c r="D13" s="502"/>
      <c r="E13" s="57" t="s">
        <v>307</v>
      </c>
      <c r="F13" s="504" t="str">
        <f>'1. SAn ABA DE CARREGAMENTO'!B18</f>
        <v>yyy.yyy.yyy-yy</v>
      </c>
      <c r="G13" s="504"/>
      <c r="H13" s="57" t="s">
        <v>308</v>
      </c>
      <c r="I13" s="505" t="str">
        <f>'1. SAn ABA DE CARREGAMENTO'!B19</f>
        <v>tttt tttt tttt</v>
      </c>
      <c r="J13" s="505"/>
    </row>
    <row r="14" spans="1:26" ht="17.25" customHeight="1" x14ac:dyDescent="0.2">
      <c r="A14" s="506" t="str">
        <f>IF('1. SAn ABA DE CARREGAMENTO'!B15="","PLANILHA CUSTOS E FORMAÇÃO DE PREÇOS DA ADMINISTRAÇÃO DO","")</f>
        <v/>
      </c>
      <c r="B14" s="506"/>
      <c r="C14" s="506"/>
      <c r="D14" s="506"/>
      <c r="E14" s="506"/>
      <c r="F14" s="506"/>
      <c r="G14" s="506"/>
      <c r="H14" s="507" t="str">
        <f>IF('1. SAn ABA DE CARREGAMENTO'!B15="",'1. SAn ABA DE CARREGAMENTO'!A4,"")</f>
        <v/>
      </c>
      <c r="I14" s="507"/>
      <c r="J14" s="507"/>
    </row>
    <row r="15" spans="1:26" ht="17.25" customHeight="1" x14ac:dyDescent="0.2">
      <c r="A15" s="499" t="s">
        <v>638</v>
      </c>
      <c r="B15" s="499"/>
      <c r="C15" s="499"/>
      <c r="D15" s="499"/>
      <c r="E15" s="499"/>
      <c r="F15" s="499"/>
      <c r="G15" s="499"/>
      <c r="H15" s="21">
        <f>'1. SAn ABA DE CARREGAMENTO'!B51</f>
        <v>1</v>
      </c>
      <c r="I15" s="497" t="str">
        <f>IF(H15=1,"LUCRO REAL",IF(H15=2,"LUCRO PRESUMIDO",IF(H15=3,"SIMPLES-Anexo III",IF(H15=4,"SIMPLES-Anexo IV",IF(H15=5,"LUCRO REAL - PIS/COFINS Não Cumulativo","RT Inválido")))))</f>
        <v>LUCRO REAL</v>
      </c>
      <c r="J15" s="497"/>
    </row>
    <row r="16" spans="1:26" ht="17.25" customHeight="1" x14ac:dyDescent="0.2">
      <c r="A16" s="6"/>
      <c r="B16" s="6"/>
      <c r="C16" s="6"/>
      <c r="D16" s="6"/>
      <c r="E16" s="6"/>
      <c r="F16" s="6"/>
      <c r="G16" s="6"/>
      <c r="H16" s="6"/>
      <c r="I16" s="6"/>
      <c r="J16" s="6"/>
      <c r="K16" s="52"/>
      <c r="L16" s="52"/>
      <c r="M16" s="52"/>
      <c r="N16" s="52"/>
      <c r="O16" s="52"/>
      <c r="P16" s="52"/>
      <c r="Q16" s="52"/>
      <c r="R16" s="52"/>
      <c r="S16" s="52"/>
      <c r="T16" s="52"/>
      <c r="U16" s="52"/>
      <c r="V16" s="52"/>
      <c r="W16" s="52"/>
      <c r="X16" s="52"/>
      <c r="Y16" s="52"/>
      <c r="Z16" s="52"/>
    </row>
    <row r="17" spans="1:26" ht="17.25" customHeight="1" x14ac:dyDescent="0.2">
      <c r="A17" s="419" t="s">
        <v>309</v>
      </c>
      <c r="B17" s="419"/>
      <c r="C17" s="419"/>
      <c r="D17" s="419"/>
      <c r="E17" s="419"/>
      <c r="F17" s="419"/>
      <c r="G17" s="419"/>
      <c r="H17" s="419"/>
      <c r="I17" s="419"/>
      <c r="J17" s="419"/>
    </row>
    <row r="18" spans="1:26" ht="17.25" customHeight="1" x14ac:dyDescent="0.2">
      <c r="A18" s="22" t="s">
        <v>310</v>
      </c>
      <c r="B18" s="449" t="s">
        <v>311</v>
      </c>
      <c r="C18" s="449"/>
      <c r="D18" s="449"/>
      <c r="E18" s="449"/>
      <c r="F18" s="449"/>
      <c r="G18" s="449"/>
      <c r="H18" s="498">
        <f ca="1">'1. SAn ABA DE CARREGAMENTO'!B54</f>
        <v>44609</v>
      </c>
      <c r="I18" s="498"/>
      <c r="J18" s="498"/>
    </row>
    <row r="19" spans="1:26" ht="17.25" customHeight="1" x14ac:dyDescent="0.2">
      <c r="A19" s="22" t="s">
        <v>312</v>
      </c>
      <c r="B19" s="449" t="s">
        <v>57</v>
      </c>
      <c r="C19" s="449"/>
      <c r="D19" s="449"/>
      <c r="E19" s="449"/>
      <c r="F19" s="449"/>
      <c r="G19" s="449"/>
      <c r="H19" s="498" t="str">
        <f>'1. SAn ABA DE CARREGAMENTO'!B55</f>
        <v>Santo Ângelo/RS</v>
      </c>
      <c r="I19" s="498"/>
      <c r="J19" s="498"/>
    </row>
    <row r="20" spans="1:26" ht="32.25" customHeight="1" x14ac:dyDescent="0.2">
      <c r="A20" s="22" t="s">
        <v>313</v>
      </c>
      <c r="B20" s="449" t="s">
        <v>314</v>
      </c>
      <c r="C20" s="449"/>
      <c r="D20" s="449"/>
      <c r="E20" s="449"/>
      <c r="F20" s="449"/>
      <c r="G20" s="449"/>
      <c r="H20" s="498" t="str">
        <f>'1. SAn ABA DE CARREGAMENTO'!B56</f>
        <v>CCT Sindasseio 2022/2022 - Registro MTE: RS005021/2022</v>
      </c>
      <c r="I20" s="498"/>
      <c r="J20" s="498"/>
    </row>
    <row r="21" spans="1:26" ht="17.25" customHeight="1" x14ac:dyDescent="0.2">
      <c r="A21" s="22" t="s">
        <v>315</v>
      </c>
      <c r="B21" s="449" t="s">
        <v>316</v>
      </c>
      <c r="C21" s="449"/>
      <c r="D21" s="449"/>
      <c r="E21" s="449"/>
      <c r="F21" s="449"/>
      <c r="G21" s="449"/>
      <c r="H21" s="496">
        <f>'1. SAn ABA DE CARREGAMENTO'!B57</f>
        <v>20</v>
      </c>
      <c r="I21" s="496"/>
      <c r="J21" s="496"/>
    </row>
    <row r="22" spans="1:26" ht="17.25" customHeight="1" x14ac:dyDescent="0.2">
      <c r="A22" s="6"/>
      <c r="B22" s="6"/>
      <c r="C22" s="6"/>
      <c r="D22" s="6"/>
      <c r="E22" s="6"/>
      <c r="F22" s="6"/>
      <c r="G22" s="6"/>
      <c r="H22" s="6"/>
      <c r="I22" s="6"/>
      <c r="J22" s="6"/>
      <c r="K22" s="52"/>
      <c r="L22" s="52"/>
      <c r="M22" s="52"/>
      <c r="N22" s="52"/>
      <c r="O22" s="52"/>
      <c r="P22" s="52"/>
      <c r="Q22" s="52"/>
      <c r="R22" s="52"/>
      <c r="S22" s="52"/>
      <c r="T22" s="52"/>
      <c r="U22" s="52"/>
      <c r="V22" s="52"/>
      <c r="W22" s="52"/>
      <c r="X22" s="52"/>
      <c r="Y22" s="52"/>
      <c r="Z22" s="52"/>
    </row>
    <row r="23" spans="1:26" ht="17.25" customHeight="1" x14ac:dyDescent="0.2">
      <c r="A23" s="419" t="s">
        <v>317</v>
      </c>
      <c r="B23" s="419"/>
      <c r="C23" s="419"/>
      <c r="D23" s="419"/>
      <c r="E23" s="419"/>
      <c r="F23" s="419"/>
      <c r="G23" s="419"/>
      <c r="H23" s="419"/>
      <c r="I23" s="419"/>
      <c r="J23" s="419"/>
    </row>
    <row r="24" spans="1:26" ht="17.25" customHeight="1" x14ac:dyDescent="0.2">
      <c r="A24" s="474" t="s">
        <v>318</v>
      </c>
      <c r="B24" s="474"/>
      <c r="C24" s="474"/>
      <c r="D24" s="474"/>
      <c r="E24" s="474"/>
      <c r="F24" s="474"/>
      <c r="G24" s="474" t="s">
        <v>319</v>
      </c>
      <c r="H24" s="474"/>
      <c r="I24" s="474" t="s">
        <v>320</v>
      </c>
      <c r="J24" s="474"/>
    </row>
    <row r="25" spans="1:26" ht="17.25" customHeight="1" x14ac:dyDescent="0.2">
      <c r="A25" s="429" t="s">
        <v>521</v>
      </c>
      <c r="B25" s="429"/>
      <c r="C25" s="429"/>
      <c r="D25" s="429"/>
      <c r="E25" s="429"/>
      <c r="F25" s="429"/>
      <c r="G25" s="492" t="s">
        <v>322</v>
      </c>
      <c r="H25" s="492"/>
      <c r="I25" s="495">
        <f>'5. SAn Cálc. DEMO Banheiros'!D8</f>
        <v>1460.76</v>
      </c>
      <c r="J25" s="495"/>
    </row>
    <row r="26" spans="1:26" ht="17.25" customHeight="1" x14ac:dyDescent="0.2">
      <c r="A26" s="429" t="s">
        <v>522</v>
      </c>
      <c r="B26" s="429"/>
      <c r="C26" s="429"/>
      <c r="D26" s="429"/>
      <c r="E26" s="429"/>
      <c r="F26" s="429"/>
      <c r="G26" s="492" t="s">
        <v>322</v>
      </c>
      <c r="H26" s="492"/>
      <c r="I26" s="495">
        <f>'5. SAn Cálc. DEMO Banheiros'!D9</f>
        <v>152.2861</v>
      </c>
      <c r="J26" s="495"/>
    </row>
    <row r="27" spans="1:26" ht="17.25" customHeight="1" x14ac:dyDescent="0.2">
      <c r="A27" s="429" t="s">
        <v>523</v>
      </c>
      <c r="B27" s="429"/>
      <c r="C27" s="429"/>
      <c r="D27" s="429"/>
      <c r="E27" s="429"/>
      <c r="F27" s="429"/>
      <c r="G27" s="492" t="s">
        <v>322</v>
      </c>
      <c r="H27" s="492"/>
      <c r="I27" s="495">
        <f>'5. SAn Cálc. DEMO Banheiros'!D10</f>
        <v>60.479275000000008</v>
      </c>
      <c r="J27" s="495"/>
    </row>
    <row r="28" spans="1:26" ht="17.25" customHeight="1" x14ac:dyDescent="0.2">
      <c r="A28" s="489" t="s">
        <v>524</v>
      </c>
      <c r="B28" s="489"/>
      <c r="C28" s="489"/>
      <c r="D28" s="489"/>
      <c r="E28" s="489"/>
      <c r="F28" s="489"/>
      <c r="G28" s="489"/>
      <c r="H28" s="489"/>
      <c r="I28" s="490">
        <f>SUM(I25:J27)</f>
        <v>1673.5253749999999</v>
      </c>
      <c r="J28" s="490"/>
    </row>
    <row r="29" spans="1:26" ht="17.25" customHeight="1" x14ac:dyDescent="0.2">
      <c r="A29" s="429" t="s">
        <v>340</v>
      </c>
      <c r="B29" s="429"/>
      <c r="C29" s="429"/>
      <c r="D29" s="429"/>
      <c r="E29" s="429"/>
      <c r="F29" s="429"/>
      <c r="G29" s="492" t="s">
        <v>322</v>
      </c>
      <c r="H29" s="492"/>
      <c r="I29" s="493">
        <v>0</v>
      </c>
      <c r="J29" s="493"/>
    </row>
    <row r="30" spans="1:26" ht="17.25" customHeight="1" x14ac:dyDescent="0.2">
      <c r="A30" s="489" t="s">
        <v>341</v>
      </c>
      <c r="B30" s="489"/>
      <c r="C30" s="489"/>
      <c r="D30" s="489"/>
      <c r="E30" s="489"/>
      <c r="F30" s="489"/>
      <c r="G30" s="489"/>
      <c r="H30" s="489"/>
      <c r="I30" s="490">
        <v>0</v>
      </c>
      <c r="J30" s="490"/>
    </row>
    <row r="31" spans="1:26" ht="17.25" customHeight="1" x14ac:dyDescent="0.2">
      <c r="A31" s="489" t="s">
        <v>525</v>
      </c>
      <c r="B31" s="489"/>
      <c r="C31" s="489"/>
      <c r="D31" s="489"/>
      <c r="E31" s="489"/>
      <c r="F31" s="489"/>
      <c r="G31" s="489"/>
      <c r="H31" s="489"/>
      <c r="I31" s="490">
        <f>I28+I30</f>
        <v>1673.5253749999999</v>
      </c>
      <c r="J31" s="490"/>
    </row>
    <row r="32" spans="1:26" ht="17.25" customHeight="1" x14ac:dyDescent="0.2">
      <c r="A32" s="521"/>
      <c r="B32" s="521"/>
      <c r="C32" s="521"/>
      <c r="D32" s="521"/>
      <c r="E32" s="521"/>
      <c r="F32" s="521"/>
      <c r="G32" s="521"/>
      <c r="H32" s="521"/>
      <c r="I32" s="521"/>
      <c r="J32" s="521"/>
    </row>
    <row r="33" spans="1:10" ht="17.25" customHeight="1" x14ac:dyDescent="0.2">
      <c r="A33" s="419" t="s">
        <v>343</v>
      </c>
      <c r="B33" s="419"/>
      <c r="C33" s="419"/>
      <c r="D33" s="419"/>
      <c r="E33" s="419"/>
      <c r="F33" s="419"/>
      <c r="G33" s="419"/>
      <c r="H33" s="419"/>
      <c r="I33" s="419"/>
      <c r="J33" s="419"/>
    </row>
    <row r="34" spans="1:10" ht="17.25" customHeight="1" x14ac:dyDescent="0.2">
      <c r="A34" s="419" t="s">
        <v>344</v>
      </c>
      <c r="B34" s="419"/>
      <c r="C34" s="419"/>
      <c r="D34" s="419"/>
      <c r="E34" s="419"/>
      <c r="F34" s="419"/>
      <c r="G34" s="419"/>
      <c r="H34" s="419"/>
      <c r="I34" s="419"/>
      <c r="J34" s="419"/>
    </row>
    <row r="35" spans="1:10" ht="17.25" customHeight="1" x14ac:dyDescent="0.2">
      <c r="A35" s="419" t="s">
        <v>345</v>
      </c>
      <c r="B35" s="419"/>
      <c r="C35" s="419"/>
      <c r="D35" s="419"/>
      <c r="E35" s="419"/>
      <c r="F35" s="419"/>
      <c r="G35" s="419"/>
      <c r="H35" s="419"/>
      <c r="I35" s="419"/>
      <c r="J35" s="419"/>
    </row>
    <row r="36" spans="1:10" ht="17.25" customHeight="1" x14ac:dyDescent="0.2">
      <c r="A36" s="59">
        <v>1</v>
      </c>
      <c r="B36" s="484" t="s">
        <v>62</v>
      </c>
      <c r="C36" s="484"/>
      <c r="D36" s="484"/>
      <c r="E36" s="484"/>
      <c r="F36" s="484"/>
      <c r="G36" s="484"/>
      <c r="H36" s="485" t="str">
        <f>'1. SAn ABA DE CARREGAMENTO'!B60</f>
        <v>Limpeza, Asseio e Conservação</v>
      </c>
      <c r="I36" s="485"/>
      <c r="J36" s="485"/>
    </row>
    <row r="37" spans="1:10" ht="17.25" customHeight="1" x14ac:dyDescent="0.2">
      <c r="A37" s="59">
        <v>2</v>
      </c>
      <c r="B37" s="484" t="s">
        <v>64</v>
      </c>
      <c r="C37" s="484"/>
      <c r="D37" s="484"/>
      <c r="E37" s="484"/>
      <c r="F37" s="484"/>
      <c r="G37" s="484"/>
      <c r="H37" s="485">
        <f>'1. SAn ABA DE CARREGAMENTO'!C61</f>
        <v>5143</v>
      </c>
      <c r="I37" s="485"/>
      <c r="J37" s="485"/>
    </row>
    <row r="38" spans="1:10" ht="17.25" customHeight="1" x14ac:dyDescent="0.2">
      <c r="A38" s="59">
        <v>3</v>
      </c>
      <c r="B38" s="484" t="s">
        <v>66</v>
      </c>
      <c r="C38" s="484"/>
      <c r="D38" s="484"/>
      <c r="E38" s="484"/>
      <c r="F38" s="484"/>
      <c r="G38" s="484"/>
      <c r="H38" s="486">
        <f>'1. SAn ABA DE CARREGAMENTO'!C63</f>
        <v>1314.09</v>
      </c>
      <c r="I38" s="486"/>
      <c r="J38" s="486"/>
    </row>
    <row r="39" spans="1:10" ht="17.25" customHeight="1" x14ac:dyDescent="0.2">
      <c r="A39" s="59">
        <v>4</v>
      </c>
      <c r="B39" s="484" t="s">
        <v>67</v>
      </c>
      <c r="C39" s="484"/>
      <c r="D39" s="484"/>
      <c r="E39" s="484"/>
      <c r="F39" s="484"/>
      <c r="G39" s="484"/>
      <c r="H39" s="485" t="str">
        <f>'1. SAn ABA DE CARREGAMENTO'!C64</f>
        <v>Servente de Limpeza</v>
      </c>
      <c r="I39" s="485"/>
      <c r="J39" s="485"/>
    </row>
    <row r="40" spans="1:10" ht="17.25" customHeight="1" x14ac:dyDescent="0.2">
      <c r="A40" s="59">
        <v>5</v>
      </c>
      <c r="B40" s="484" t="s">
        <v>69</v>
      </c>
      <c r="C40" s="484"/>
      <c r="D40" s="484"/>
      <c r="E40" s="484"/>
      <c r="F40" s="484"/>
      <c r="G40" s="484"/>
      <c r="H40" s="487">
        <f>'1. SAn ABA DE CARREGAMENTO'!C65</f>
        <v>44562</v>
      </c>
      <c r="I40" s="487"/>
      <c r="J40" s="487"/>
    </row>
    <row r="41" spans="1:10" ht="17.25" customHeight="1" x14ac:dyDescent="0.2">
      <c r="A41" s="60" t="s">
        <v>346</v>
      </c>
      <c r="B41" s="488" t="s">
        <v>347</v>
      </c>
      <c r="C41" s="488"/>
      <c r="D41" s="488"/>
      <c r="E41" s="488"/>
      <c r="F41" s="488"/>
      <c r="G41" s="488"/>
      <c r="H41" s="488"/>
      <c r="I41" s="488"/>
      <c r="J41" s="488"/>
    </row>
    <row r="42" spans="1:10" ht="17.25" customHeight="1" x14ac:dyDescent="0.2">
      <c r="A42" s="517"/>
      <c r="B42" s="517"/>
      <c r="C42" s="517"/>
      <c r="D42" s="517"/>
      <c r="E42" s="517"/>
      <c r="F42" s="517"/>
      <c r="G42" s="517"/>
      <c r="H42" s="517"/>
      <c r="I42" s="517"/>
      <c r="J42" s="517"/>
    </row>
    <row r="43" spans="1:10" ht="17.25" customHeight="1" x14ac:dyDescent="0.2">
      <c r="A43" s="419" t="s">
        <v>348</v>
      </c>
      <c r="B43" s="419"/>
      <c r="C43" s="419"/>
      <c r="D43" s="419"/>
      <c r="E43" s="419"/>
      <c r="F43" s="419"/>
      <c r="G43" s="419"/>
      <c r="H43" s="419"/>
      <c r="I43" s="419"/>
      <c r="J43" s="419"/>
    </row>
    <row r="44" spans="1:10" ht="17.25" customHeight="1" x14ac:dyDescent="0.2">
      <c r="A44" s="21">
        <v>1</v>
      </c>
      <c r="B44" s="419" t="s">
        <v>349</v>
      </c>
      <c r="C44" s="419"/>
      <c r="D44" s="419"/>
      <c r="E44" s="419"/>
      <c r="F44" s="419"/>
      <c r="G44" s="419"/>
      <c r="H44" s="419"/>
      <c r="I44" s="7" t="s">
        <v>350</v>
      </c>
      <c r="J44" s="21" t="s">
        <v>351</v>
      </c>
    </row>
    <row r="45" spans="1:10" ht="34.5" customHeight="1" x14ac:dyDescent="0.2">
      <c r="A45" s="22" t="s">
        <v>310</v>
      </c>
      <c r="B45" s="479" t="s">
        <v>643</v>
      </c>
      <c r="C45" s="479"/>
      <c r="D45" s="479"/>
      <c r="E45" s="61">
        <f>'1. SAn ABA DE CARREGAMENTO'!C68</f>
        <v>44</v>
      </c>
      <c r="F45" s="62" t="s">
        <v>352</v>
      </c>
      <c r="G45" s="483" t="str">
        <f>'1. SAn ABA DE CARREGAMENTO'!B62</f>
        <v>Cláusula Quarta da CCT 2022/2022</v>
      </c>
      <c r="H45" s="483"/>
      <c r="I45" s="483"/>
      <c r="J45" s="63">
        <f>H38/44*'1. SAn ABA DE CARREGAMENTO'!C68</f>
        <v>1314.09</v>
      </c>
    </row>
    <row r="46" spans="1:10" ht="17.25" customHeight="1" x14ac:dyDescent="0.2">
      <c r="A46" s="22" t="s">
        <v>312</v>
      </c>
      <c r="B46" s="479" t="s">
        <v>353</v>
      </c>
      <c r="C46" s="479"/>
      <c r="D46" s="483" t="str">
        <f>'1. SAn ABA DE CARREGAMENTO'!B69</f>
        <v>Cláusula Décima Sétima da CCT 2022/2022</v>
      </c>
      <c r="E46" s="483"/>
      <c r="F46" s="483"/>
      <c r="G46" s="483"/>
      <c r="H46" s="483"/>
      <c r="I46" s="64">
        <f>'1. SAn ABA DE CARREGAMENTO'!C70</f>
        <v>0.4</v>
      </c>
      <c r="J46" s="63">
        <f>ROUND(I46*J45,2)</f>
        <v>525.64</v>
      </c>
    </row>
    <row r="47" spans="1:10" ht="17.25" customHeight="1" x14ac:dyDescent="0.2">
      <c r="A47" s="22" t="s">
        <v>313</v>
      </c>
      <c r="B47" s="449" t="s">
        <v>644</v>
      </c>
      <c r="C47" s="449"/>
      <c r="D47" s="449"/>
      <c r="E47" s="449"/>
      <c r="F47" s="449"/>
      <c r="G47" s="449"/>
      <c r="H47" s="449"/>
      <c r="I47" s="449"/>
      <c r="J47" s="63">
        <v>0</v>
      </c>
    </row>
    <row r="48" spans="1:10" ht="17.25" customHeight="1" x14ac:dyDescent="0.2">
      <c r="A48" s="412" t="s">
        <v>354</v>
      </c>
      <c r="B48" s="412"/>
      <c r="C48" s="412"/>
      <c r="D48" s="412"/>
      <c r="E48" s="412"/>
      <c r="F48" s="412"/>
      <c r="G48" s="412"/>
      <c r="H48" s="412"/>
      <c r="I48" s="412"/>
      <c r="J48" s="11">
        <f>SUM(J45:J47)</f>
        <v>1839.73</v>
      </c>
    </row>
    <row r="49" spans="1:10" ht="17.25" customHeight="1" x14ac:dyDescent="0.2">
      <c r="A49" s="65" t="s">
        <v>355</v>
      </c>
      <c r="B49" s="450" t="s">
        <v>526</v>
      </c>
      <c r="C49" s="450"/>
      <c r="D49" s="450"/>
      <c r="E49" s="450"/>
      <c r="F49" s="450"/>
      <c r="G49" s="450"/>
      <c r="H49" s="450"/>
      <c r="I49" s="450"/>
      <c r="J49" s="450"/>
    </row>
    <row r="50" spans="1:10" ht="17.25" customHeight="1" x14ac:dyDescent="0.2">
      <c r="A50" s="520"/>
      <c r="B50" s="520"/>
      <c r="C50" s="520"/>
      <c r="D50" s="520"/>
      <c r="E50" s="520"/>
      <c r="F50" s="520"/>
      <c r="G50" s="520"/>
      <c r="H50" s="520"/>
      <c r="I50" s="520"/>
      <c r="J50" s="520"/>
    </row>
    <row r="51" spans="1:10" ht="17.25" customHeight="1" x14ac:dyDescent="0.2">
      <c r="A51" s="419" t="s">
        <v>357</v>
      </c>
      <c r="B51" s="419"/>
      <c r="C51" s="419"/>
      <c r="D51" s="419"/>
      <c r="E51" s="419"/>
      <c r="F51" s="419"/>
      <c r="G51" s="419"/>
      <c r="H51" s="419"/>
      <c r="I51" s="419"/>
      <c r="J51" s="419"/>
    </row>
    <row r="52" spans="1:10" ht="17.25" customHeight="1" x14ac:dyDescent="0.2">
      <c r="A52" s="21" t="s">
        <v>358</v>
      </c>
      <c r="B52" s="419" t="s">
        <v>359</v>
      </c>
      <c r="C52" s="419"/>
      <c r="D52" s="419"/>
      <c r="E52" s="419"/>
      <c r="F52" s="419"/>
      <c r="G52" s="419"/>
      <c r="H52" s="419"/>
      <c r="I52" s="419"/>
      <c r="J52" s="21" t="s">
        <v>360</v>
      </c>
    </row>
    <row r="53" spans="1:10" ht="17.25" customHeight="1" x14ac:dyDescent="0.2">
      <c r="A53" s="22" t="s">
        <v>310</v>
      </c>
      <c r="B53" s="449" t="s">
        <v>645</v>
      </c>
      <c r="C53" s="449"/>
      <c r="D53" s="449"/>
      <c r="E53" s="449"/>
      <c r="F53" s="449"/>
      <c r="G53" s="449"/>
      <c r="H53" s="449"/>
      <c r="I53" s="449"/>
      <c r="J53" s="66">
        <f>ROUND(J48/12,2)</f>
        <v>153.31</v>
      </c>
    </row>
    <row r="54" spans="1:10" ht="17.25" customHeight="1" x14ac:dyDescent="0.2">
      <c r="A54" s="22" t="s">
        <v>312</v>
      </c>
      <c r="B54" s="477" t="s">
        <v>695</v>
      </c>
      <c r="C54" s="477"/>
      <c r="D54" s="477"/>
      <c r="E54" s="477"/>
      <c r="F54" s="477"/>
      <c r="G54" s="477"/>
      <c r="H54" s="477"/>
      <c r="I54" s="477"/>
      <c r="J54" s="66">
        <f>ROUND(J48*3.025%,2)</f>
        <v>55.65</v>
      </c>
    </row>
    <row r="55" spans="1:10" ht="17.25" customHeight="1" x14ac:dyDescent="0.2">
      <c r="A55" s="412" t="s">
        <v>361</v>
      </c>
      <c r="B55" s="412"/>
      <c r="C55" s="412"/>
      <c r="D55" s="412"/>
      <c r="E55" s="412"/>
      <c r="F55" s="412"/>
      <c r="G55" s="412"/>
      <c r="H55" s="412"/>
      <c r="I55" s="412"/>
      <c r="J55" s="10">
        <f>SUM(J53:J54)</f>
        <v>208.96</v>
      </c>
    </row>
    <row r="56" spans="1:10" ht="27.75" customHeight="1" x14ac:dyDescent="0.2">
      <c r="A56" s="65" t="s">
        <v>362</v>
      </c>
      <c r="B56" s="450" t="s">
        <v>629</v>
      </c>
      <c r="C56" s="450"/>
      <c r="D56" s="450"/>
      <c r="E56" s="450"/>
      <c r="F56" s="450"/>
      <c r="G56" s="450"/>
      <c r="H56" s="450"/>
      <c r="I56" s="450"/>
      <c r="J56" s="450"/>
    </row>
    <row r="57" spans="1:10" ht="17.25" customHeight="1" x14ac:dyDescent="0.2">
      <c r="A57" s="518"/>
      <c r="B57" s="518"/>
      <c r="C57" s="518"/>
      <c r="D57" s="518"/>
      <c r="E57" s="518"/>
      <c r="F57" s="518"/>
      <c r="G57" s="518"/>
      <c r="H57" s="518"/>
      <c r="I57" s="518"/>
      <c r="J57" s="67"/>
    </row>
    <row r="58" spans="1:10" ht="30.75" customHeight="1" x14ac:dyDescent="0.2">
      <c r="A58" s="21" t="s">
        <v>364</v>
      </c>
      <c r="B58" s="419" t="s">
        <v>527</v>
      </c>
      <c r="C58" s="419"/>
      <c r="D58" s="419"/>
      <c r="E58" s="419"/>
      <c r="F58" s="419"/>
      <c r="G58" s="419"/>
      <c r="H58" s="419"/>
      <c r="I58" s="419"/>
      <c r="J58" s="419"/>
    </row>
    <row r="59" spans="1:10" ht="17.25" customHeight="1" x14ac:dyDescent="0.2">
      <c r="A59" s="21"/>
      <c r="B59" s="419" t="s">
        <v>365</v>
      </c>
      <c r="C59" s="419"/>
      <c r="D59" s="419"/>
      <c r="E59" s="419"/>
      <c r="F59" s="419"/>
      <c r="G59" s="419"/>
      <c r="H59" s="419"/>
      <c r="I59" s="21" t="s">
        <v>350</v>
      </c>
      <c r="J59" s="21" t="s">
        <v>360</v>
      </c>
    </row>
    <row r="60" spans="1:10" ht="17.25" customHeight="1" x14ac:dyDescent="0.2">
      <c r="A60" s="22" t="s">
        <v>310</v>
      </c>
      <c r="B60" s="449" t="s">
        <v>79</v>
      </c>
      <c r="C60" s="449"/>
      <c r="D60" s="449"/>
      <c r="E60" s="449"/>
      <c r="F60" s="449"/>
      <c r="G60" s="449"/>
      <c r="H60" s="449"/>
      <c r="I60" s="68">
        <f>'1. SAn ABA DE CARREGAMENTO'!C78</f>
        <v>0.2</v>
      </c>
      <c r="J60" s="66">
        <f>ROUND((J48+J55)*I60,2)</f>
        <v>409.74</v>
      </c>
    </row>
    <row r="61" spans="1:10" ht="17.25" customHeight="1" x14ac:dyDescent="0.2">
      <c r="A61" s="22" t="s">
        <v>312</v>
      </c>
      <c r="B61" s="449" t="s">
        <v>80</v>
      </c>
      <c r="C61" s="449"/>
      <c r="D61" s="449"/>
      <c r="E61" s="449"/>
      <c r="F61" s="449"/>
      <c r="G61" s="449"/>
      <c r="H61" s="449"/>
      <c r="I61" s="68">
        <f>IF($H$15=1,'1. SAn ABA DE CARREGAMENTO'!C79,IF($H$15=2,'1. SAn ABA DE CARREGAMENTO'!C79,0))</f>
        <v>2.5000000000000001E-2</v>
      </c>
      <c r="J61" s="66">
        <f>ROUND((J48+J55)*I61,2)</f>
        <v>51.22</v>
      </c>
    </row>
    <row r="62" spans="1:10" ht="42" customHeight="1" x14ac:dyDescent="0.2">
      <c r="A62" s="22" t="s">
        <v>313</v>
      </c>
      <c r="B62" s="449" t="s">
        <v>81</v>
      </c>
      <c r="C62" s="449"/>
      <c r="D62" s="449"/>
      <c r="E62" s="69" t="s">
        <v>366</v>
      </c>
      <c r="F62" s="68">
        <f>'1. SAn ABA DE CARREGAMENTO'!$B$74</f>
        <v>0.03</v>
      </c>
      <c r="G62" s="69" t="s">
        <v>367</v>
      </c>
      <c r="H62" s="70">
        <f>'1. SAn ABA DE CARREGAMENTO'!$B$75</f>
        <v>1</v>
      </c>
      <c r="I62" s="68">
        <f>'1. SAn ABA DE CARREGAMENTO'!C80</f>
        <v>0.03</v>
      </c>
      <c r="J62" s="66">
        <f>ROUND((J48+J55)*I62,2)</f>
        <v>61.46</v>
      </c>
    </row>
    <row r="63" spans="1:10" ht="17.25" customHeight="1" x14ac:dyDescent="0.2">
      <c r="A63" s="22" t="s">
        <v>315</v>
      </c>
      <c r="B63" s="449" t="s">
        <v>82</v>
      </c>
      <c r="C63" s="449"/>
      <c r="D63" s="449"/>
      <c r="E63" s="449"/>
      <c r="F63" s="449"/>
      <c r="G63" s="449"/>
      <c r="H63" s="449"/>
      <c r="I63" s="68">
        <f>IF($H$15=1,'1. SAn ABA DE CARREGAMENTO'!C81,IF($H$15=2,'1. SAn ABA DE CARREGAMENTO'!C81,0))</f>
        <v>1.4999999999999999E-2</v>
      </c>
      <c r="J63" s="66">
        <f>ROUND((J48+J55)*I63,2)</f>
        <v>30.73</v>
      </c>
    </row>
    <row r="64" spans="1:10" ht="17.25" customHeight="1" x14ac:dyDescent="0.2">
      <c r="A64" s="22" t="s">
        <v>368</v>
      </c>
      <c r="B64" s="449" t="s">
        <v>83</v>
      </c>
      <c r="C64" s="449"/>
      <c r="D64" s="449"/>
      <c r="E64" s="449"/>
      <c r="F64" s="449"/>
      <c r="G64" s="449"/>
      <c r="H64" s="449"/>
      <c r="I64" s="68">
        <f>IF($H$15=1,'1. SAn ABA DE CARREGAMENTO'!C82,IF($H$15=2,'1. SAn ABA DE CARREGAMENTO'!C82,0))</f>
        <v>0.01</v>
      </c>
      <c r="J64" s="66">
        <f>ROUND((J48+J55)*I64,2)</f>
        <v>20.49</v>
      </c>
    </row>
    <row r="65" spans="1:10" ht="17.25" customHeight="1" x14ac:dyDescent="0.2">
      <c r="A65" s="22" t="s">
        <v>369</v>
      </c>
      <c r="B65" s="449" t="s">
        <v>84</v>
      </c>
      <c r="C65" s="449"/>
      <c r="D65" s="449"/>
      <c r="E65" s="449"/>
      <c r="F65" s="449"/>
      <c r="G65" s="449"/>
      <c r="H65" s="449"/>
      <c r="I65" s="68">
        <f>IF($H$15=1,'1. SAn ABA DE CARREGAMENTO'!C83,IF($H$15=2,'1. SAn ABA DE CARREGAMENTO'!C83,0))</f>
        <v>6.0000000000000001E-3</v>
      </c>
      <c r="J65" s="66">
        <f>ROUND((J48+J55)*I65,2)</f>
        <v>12.29</v>
      </c>
    </row>
    <row r="66" spans="1:10" ht="17.25" customHeight="1" x14ac:dyDescent="0.2">
      <c r="A66" s="22" t="s">
        <v>370</v>
      </c>
      <c r="B66" s="449" t="s">
        <v>85</v>
      </c>
      <c r="C66" s="449"/>
      <c r="D66" s="449"/>
      <c r="E66" s="449"/>
      <c r="F66" s="449"/>
      <c r="G66" s="449"/>
      <c r="H66" s="449"/>
      <c r="I66" s="68">
        <f>IF($H$15=1,'1. SAn ABA DE CARREGAMENTO'!C84,IF($H$15=2,'1. SAn ABA DE CARREGAMENTO'!C84,0))</f>
        <v>2E-3</v>
      </c>
      <c r="J66" s="66">
        <f>ROUND((J48+J55)*I66,2)</f>
        <v>4.0999999999999996</v>
      </c>
    </row>
    <row r="67" spans="1:10" ht="17.25" customHeight="1" x14ac:dyDescent="0.2">
      <c r="A67" s="22" t="s">
        <v>371</v>
      </c>
      <c r="B67" s="449" t="s">
        <v>86</v>
      </c>
      <c r="C67" s="449"/>
      <c r="D67" s="449"/>
      <c r="E67" s="449"/>
      <c r="F67" s="449"/>
      <c r="G67" s="449"/>
      <c r="H67" s="449"/>
      <c r="I67" s="68">
        <f>'1. SAn ABA DE CARREGAMENTO'!C85</f>
        <v>0.08</v>
      </c>
      <c r="J67" s="66">
        <f>ROUND((J48+J55)*I67,2)</f>
        <v>163.9</v>
      </c>
    </row>
    <row r="68" spans="1:10" ht="17.25" customHeight="1" x14ac:dyDescent="0.2">
      <c r="A68" s="412" t="s">
        <v>372</v>
      </c>
      <c r="B68" s="412"/>
      <c r="C68" s="412"/>
      <c r="D68" s="412"/>
      <c r="E68" s="412"/>
      <c r="F68" s="412"/>
      <c r="G68" s="412"/>
      <c r="H68" s="412"/>
      <c r="I68" s="71">
        <f>SUM(I60:I67)</f>
        <v>0.36800000000000005</v>
      </c>
      <c r="J68" s="10">
        <f>SUM(J60:J67)</f>
        <v>753.93000000000006</v>
      </c>
    </row>
    <row r="69" spans="1:10" ht="17.25" customHeight="1" x14ac:dyDescent="0.2">
      <c r="A69" s="65" t="s">
        <v>363</v>
      </c>
      <c r="B69" s="450" t="s">
        <v>374</v>
      </c>
      <c r="C69" s="450"/>
      <c r="D69" s="450"/>
      <c r="E69" s="450"/>
      <c r="F69" s="450"/>
      <c r="G69" s="450"/>
      <c r="H69" s="450"/>
      <c r="I69" s="450"/>
      <c r="J69" s="450"/>
    </row>
    <row r="70" spans="1:10" ht="17.25" customHeight="1" x14ac:dyDescent="0.2">
      <c r="A70" s="65" t="s">
        <v>373</v>
      </c>
      <c r="B70" s="450" t="s">
        <v>376</v>
      </c>
      <c r="C70" s="450"/>
      <c r="D70" s="450"/>
      <c r="E70" s="450"/>
      <c r="F70" s="450"/>
      <c r="G70" s="450"/>
      <c r="H70" s="450"/>
      <c r="I70" s="450"/>
      <c r="J70" s="450"/>
    </row>
    <row r="71" spans="1:10" ht="17.25" customHeight="1" x14ac:dyDescent="0.2">
      <c r="A71" s="72"/>
      <c r="B71" s="73"/>
      <c r="C71" s="73"/>
      <c r="D71" s="73"/>
      <c r="E71" s="73"/>
      <c r="F71" s="73"/>
      <c r="G71" s="73"/>
      <c r="H71" s="73"/>
      <c r="I71" s="73"/>
      <c r="J71" s="73"/>
    </row>
    <row r="72" spans="1:10" ht="17.25" customHeight="1" x14ac:dyDescent="0.2">
      <c r="A72" s="8" t="s">
        <v>377</v>
      </c>
      <c r="B72" s="419" t="s">
        <v>378</v>
      </c>
      <c r="C72" s="419"/>
      <c r="D72" s="419"/>
      <c r="E72" s="419"/>
      <c r="F72" s="419"/>
      <c r="G72" s="419"/>
      <c r="H72" s="419"/>
      <c r="I72" s="419"/>
      <c r="J72" s="419"/>
    </row>
    <row r="73" spans="1:10" ht="17.25" customHeight="1" x14ac:dyDescent="0.2">
      <c r="A73" s="21"/>
      <c r="B73" s="419" t="s">
        <v>378</v>
      </c>
      <c r="C73" s="419"/>
      <c r="D73" s="419"/>
      <c r="E73" s="419"/>
      <c r="F73" s="419"/>
      <c r="G73" s="419"/>
      <c r="H73" s="419"/>
      <c r="I73" s="419"/>
      <c r="J73" s="21" t="s">
        <v>360</v>
      </c>
    </row>
    <row r="74" spans="1:10" ht="17.25" customHeight="1" x14ac:dyDescent="0.2">
      <c r="A74" s="474" t="s">
        <v>310</v>
      </c>
      <c r="B74" s="449" t="s">
        <v>646</v>
      </c>
      <c r="C74" s="449"/>
      <c r="D74" s="449"/>
      <c r="E74" s="449"/>
      <c r="F74" s="449"/>
      <c r="G74" s="449"/>
      <c r="H74" s="449"/>
      <c r="I74" s="449"/>
      <c r="J74" s="480">
        <f>IF(ROUND((I77*I75*I76)-(J45*0.06),2)&lt;0,0,ROUND((I77*I75*I76)-(J45*0.06),2))*1+(I75*I76*21.726-0.06*J45)*0</f>
        <v>101.15</v>
      </c>
    </row>
    <row r="75" spans="1:10" ht="17.25" customHeight="1" x14ac:dyDescent="0.2">
      <c r="A75" s="474"/>
      <c r="B75" s="478" t="s">
        <v>379</v>
      </c>
      <c r="C75" s="478"/>
      <c r="D75" s="478"/>
      <c r="E75" s="478"/>
      <c r="F75" s="478"/>
      <c r="G75" s="478"/>
      <c r="H75" s="478"/>
      <c r="I75" s="74">
        <f>'1. SAn ABA DE CARREGAMENTO'!$B$88</f>
        <v>3.75</v>
      </c>
      <c r="J75" s="480"/>
    </row>
    <row r="76" spans="1:10" ht="17.25" customHeight="1" x14ac:dyDescent="0.2">
      <c r="A76" s="474"/>
      <c r="B76" s="478" t="s">
        <v>380</v>
      </c>
      <c r="C76" s="478"/>
      <c r="D76" s="478"/>
      <c r="E76" s="478"/>
      <c r="F76" s="478"/>
      <c r="G76" s="478"/>
      <c r="H76" s="478"/>
      <c r="I76" s="75">
        <f>'1. SAn ABA DE CARREGAMENTO'!$B$89</f>
        <v>2</v>
      </c>
      <c r="J76" s="480"/>
    </row>
    <row r="77" spans="1:10" ht="17.25" customHeight="1" x14ac:dyDescent="0.2">
      <c r="A77" s="474"/>
      <c r="B77" s="478" t="s">
        <v>381</v>
      </c>
      <c r="C77" s="478"/>
      <c r="D77" s="478"/>
      <c r="E77" s="478"/>
      <c r="F77" s="478"/>
      <c r="G77" s="478"/>
      <c r="H77" s="478"/>
      <c r="I77" s="75">
        <f>'1. SAn ABA DE CARREGAMENTO'!$B$90</f>
        <v>24</v>
      </c>
      <c r="J77" s="480"/>
    </row>
    <row r="78" spans="1:10" ht="17.25" customHeight="1" x14ac:dyDescent="0.2">
      <c r="A78" s="474"/>
      <c r="B78" s="478" t="s">
        <v>382</v>
      </c>
      <c r="C78" s="478"/>
      <c r="D78" s="478"/>
      <c r="E78" s="478"/>
      <c r="F78" s="478"/>
      <c r="G78" s="478"/>
      <c r="H78" s="478"/>
      <c r="I78" s="76">
        <f>'1. SAn ABA DE CARREGAMENTO'!B91</f>
        <v>0.06</v>
      </c>
      <c r="J78" s="480"/>
    </row>
    <row r="79" spans="1:10" ht="17.25" customHeight="1" x14ac:dyDescent="0.2">
      <c r="A79" s="474" t="s">
        <v>312</v>
      </c>
      <c r="B79" s="479" t="s">
        <v>647</v>
      </c>
      <c r="C79" s="479"/>
      <c r="D79" s="479"/>
      <c r="E79" s="481" t="str">
        <f>'1. SAn ABA DE CARREGAMENTO'!B94</f>
        <v>Cláusula Décima Oitava da CCT 2022/2022</v>
      </c>
      <c r="F79" s="481"/>
      <c r="G79" s="481"/>
      <c r="H79" s="481"/>
      <c r="I79" s="482"/>
      <c r="J79" s="480">
        <f>ROUND((I80*I81)-((I80*I81)*I82),2)</f>
        <v>392.3</v>
      </c>
    </row>
    <row r="80" spans="1:10" ht="17.25" customHeight="1" x14ac:dyDescent="0.2">
      <c r="A80" s="474"/>
      <c r="B80" s="478" t="s">
        <v>383</v>
      </c>
      <c r="C80" s="478"/>
      <c r="D80" s="478"/>
      <c r="E80" s="478"/>
      <c r="F80" s="478"/>
      <c r="G80" s="478"/>
      <c r="H80" s="478"/>
      <c r="I80" s="63">
        <f>'1. SAn ABA DE CARREGAMENTO'!B95</f>
        <v>20.18</v>
      </c>
      <c r="J80" s="480"/>
    </row>
    <row r="81" spans="1:10" ht="17.25" customHeight="1" x14ac:dyDescent="0.2">
      <c r="A81" s="474"/>
      <c r="B81" s="478" t="s">
        <v>384</v>
      </c>
      <c r="C81" s="478"/>
      <c r="D81" s="478"/>
      <c r="E81" s="478"/>
      <c r="F81" s="478"/>
      <c r="G81" s="478"/>
      <c r="H81" s="478"/>
      <c r="I81" s="75">
        <f>'1. SAn ABA DE CARREGAMENTO'!B97</f>
        <v>24</v>
      </c>
      <c r="J81" s="480"/>
    </row>
    <row r="82" spans="1:10" ht="17.25" customHeight="1" x14ac:dyDescent="0.2">
      <c r="A82" s="474"/>
      <c r="B82" s="478" t="s">
        <v>385</v>
      </c>
      <c r="C82" s="478"/>
      <c r="D82" s="478"/>
      <c r="E82" s="478"/>
      <c r="F82" s="478"/>
      <c r="G82" s="478"/>
      <c r="H82" s="478"/>
      <c r="I82" s="77">
        <f>'1. SAn ABA DE CARREGAMENTO'!B96</f>
        <v>0.19</v>
      </c>
      <c r="J82" s="480"/>
    </row>
    <row r="83" spans="1:10" ht="17.25" customHeight="1" x14ac:dyDescent="0.2">
      <c r="A83" s="22" t="s">
        <v>313</v>
      </c>
      <c r="B83" s="479" t="s">
        <v>386</v>
      </c>
      <c r="C83" s="479"/>
      <c r="D83" s="479"/>
      <c r="E83" s="481" t="str">
        <f>'1. SAn ABA DE CARREGAMENTO'!B100</f>
        <v>Cláusula Vigésima Nona da CCT 2022/2022</v>
      </c>
      <c r="F83" s="481"/>
      <c r="G83" s="481"/>
      <c r="H83" s="481"/>
      <c r="I83" s="482"/>
      <c r="J83" s="78">
        <f>'1. SAn ABA DE CARREGAMENTO'!C100</f>
        <v>17.32</v>
      </c>
    </row>
    <row r="84" spans="1:10" ht="17.25" customHeight="1" x14ac:dyDescent="0.2">
      <c r="A84" s="22" t="s">
        <v>315</v>
      </c>
      <c r="B84" s="449" t="s">
        <v>648</v>
      </c>
      <c r="C84" s="449"/>
      <c r="D84" s="449"/>
      <c r="E84" s="449"/>
      <c r="F84" s="449"/>
      <c r="G84" s="449"/>
      <c r="H84" s="449"/>
      <c r="I84" s="449"/>
      <c r="J84" s="66">
        <v>0</v>
      </c>
    </row>
    <row r="85" spans="1:10" ht="17.25" customHeight="1" x14ac:dyDescent="0.2">
      <c r="A85" s="412" t="s">
        <v>387</v>
      </c>
      <c r="B85" s="412"/>
      <c r="C85" s="412"/>
      <c r="D85" s="412"/>
      <c r="E85" s="412"/>
      <c r="F85" s="412"/>
      <c r="G85" s="412"/>
      <c r="H85" s="412"/>
      <c r="I85" s="412"/>
      <c r="J85" s="10">
        <f>SUM(J74:J83)</f>
        <v>510.77000000000004</v>
      </c>
    </row>
    <row r="86" spans="1:10" ht="17.25" customHeight="1" x14ac:dyDescent="0.2">
      <c r="A86" s="65" t="s">
        <v>375</v>
      </c>
      <c r="B86" s="450" t="s">
        <v>389</v>
      </c>
      <c r="C86" s="450"/>
      <c r="D86" s="450"/>
      <c r="E86" s="450"/>
      <c r="F86" s="450"/>
      <c r="G86" s="450"/>
      <c r="H86" s="450"/>
      <c r="I86" s="450"/>
      <c r="J86" s="450"/>
    </row>
    <row r="87" spans="1:10" ht="39" customHeight="1" x14ac:dyDescent="0.2">
      <c r="A87" s="65" t="s">
        <v>388</v>
      </c>
      <c r="B87" s="450" t="s">
        <v>391</v>
      </c>
      <c r="C87" s="450"/>
      <c r="D87" s="450"/>
      <c r="E87" s="450"/>
      <c r="F87" s="450"/>
      <c r="G87" s="450"/>
      <c r="H87" s="450"/>
      <c r="I87" s="450"/>
      <c r="J87" s="450"/>
    </row>
    <row r="88" spans="1:10" ht="17.25" customHeight="1" x14ac:dyDescent="0.2">
      <c r="A88" s="72"/>
      <c r="B88" s="73"/>
      <c r="C88" s="73"/>
      <c r="D88" s="73"/>
      <c r="E88" s="73"/>
      <c r="F88" s="73"/>
      <c r="G88" s="73"/>
      <c r="H88" s="73"/>
      <c r="I88" s="73"/>
      <c r="J88" s="73"/>
    </row>
    <row r="89" spans="1:10" ht="17.25" customHeight="1" x14ac:dyDescent="0.2">
      <c r="A89" s="419" t="s">
        <v>392</v>
      </c>
      <c r="B89" s="419"/>
      <c r="C89" s="419"/>
      <c r="D89" s="419"/>
      <c r="E89" s="419"/>
      <c r="F89" s="419"/>
      <c r="G89" s="419"/>
      <c r="H89" s="419"/>
      <c r="I89" s="419"/>
      <c r="J89" s="419"/>
    </row>
    <row r="90" spans="1:10" ht="17.25" customHeight="1" x14ac:dyDescent="0.2">
      <c r="A90" s="21" t="s">
        <v>393</v>
      </c>
      <c r="B90" s="419" t="s">
        <v>394</v>
      </c>
      <c r="C90" s="419"/>
      <c r="D90" s="419"/>
      <c r="E90" s="419"/>
      <c r="F90" s="419"/>
      <c r="G90" s="419"/>
      <c r="H90" s="419"/>
      <c r="I90" s="419"/>
      <c r="J90" s="21" t="s">
        <v>360</v>
      </c>
    </row>
    <row r="91" spans="1:10" ht="17.25" customHeight="1" x14ac:dyDescent="0.2">
      <c r="A91" s="22" t="s">
        <v>395</v>
      </c>
      <c r="B91" s="478" t="s">
        <v>396</v>
      </c>
      <c r="C91" s="478"/>
      <c r="D91" s="478"/>
      <c r="E91" s="478"/>
      <c r="F91" s="478"/>
      <c r="G91" s="478"/>
      <c r="H91" s="478"/>
      <c r="I91" s="478"/>
      <c r="J91" s="66">
        <f>J55</f>
        <v>208.96</v>
      </c>
    </row>
    <row r="92" spans="1:10" ht="17.25" customHeight="1" x14ac:dyDescent="0.2">
      <c r="A92" s="22" t="s">
        <v>364</v>
      </c>
      <c r="B92" s="478" t="s">
        <v>397</v>
      </c>
      <c r="C92" s="478"/>
      <c r="D92" s="478"/>
      <c r="E92" s="478"/>
      <c r="F92" s="478"/>
      <c r="G92" s="478"/>
      <c r="H92" s="478"/>
      <c r="I92" s="478"/>
      <c r="J92" s="66">
        <f>J68</f>
        <v>753.93000000000006</v>
      </c>
    </row>
    <row r="93" spans="1:10" ht="17.25" customHeight="1" x14ac:dyDescent="0.2">
      <c r="A93" s="22" t="s">
        <v>398</v>
      </c>
      <c r="B93" s="478" t="s">
        <v>399</v>
      </c>
      <c r="C93" s="478"/>
      <c r="D93" s="478"/>
      <c r="E93" s="478"/>
      <c r="F93" s="478"/>
      <c r="G93" s="478"/>
      <c r="H93" s="478"/>
      <c r="I93" s="478"/>
      <c r="J93" s="66">
        <f>J85</f>
        <v>510.77000000000004</v>
      </c>
    </row>
    <row r="94" spans="1:10" ht="17.25" customHeight="1" x14ac:dyDescent="0.2">
      <c r="A94" s="412" t="s">
        <v>400</v>
      </c>
      <c r="B94" s="412"/>
      <c r="C94" s="412"/>
      <c r="D94" s="412"/>
      <c r="E94" s="412"/>
      <c r="F94" s="412"/>
      <c r="G94" s="412"/>
      <c r="H94" s="412"/>
      <c r="I94" s="412"/>
      <c r="J94" s="10">
        <f>SUM(J91+J92+J93)</f>
        <v>1473.66</v>
      </c>
    </row>
    <row r="95" spans="1:10" ht="17.25" customHeight="1" x14ac:dyDescent="0.2">
      <c r="A95" s="79"/>
      <c r="B95" s="79"/>
      <c r="C95" s="79"/>
      <c r="D95" s="79"/>
      <c r="E95" s="79"/>
      <c r="F95" s="79"/>
      <c r="G95" s="79"/>
      <c r="H95" s="79"/>
      <c r="I95" s="79"/>
      <c r="J95" s="80"/>
    </row>
    <row r="96" spans="1:10" ht="17.25" customHeight="1" x14ac:dyDescent="0.2">
      <c r="A96" s="419" t="s">
        <v>401</v>
      </c>
      <c r="B96" s="419"/>
      <c r="C96" s="419"/>
      <c r="D96" s="419"/>
      <c r="E96" s="419"/>
      <c r="F96" s="419"/>
      <c r="G96" s="419"/>
      <c r="H96" s="419"/>
      <c r="I96" s="419"/>
      <c r="J96" s="419"/>
    </row>
    <row r="97" spans="1:10" ht="17.25" customHeight="1" x14ac:dyDescent="0.2">
      <c r="A97" s="21"/>
      <c r="B97" s="419" t="s">
        <v>394</v>
      </c>
      <c r="C97" s="419"/>
      <c r="D97" s="419"/>
      <c r="E97" s="419"/>
      <c r="F97" s="419"/>
      <c r="G97" s="419"/>
      <c r="H97" s="419"/>
      <c r="I97" s="419"/>
      <c r="J97" s="21" t="s">
        <v>402</v>
      </c>
    </row>
    <row r="98" spans="1:10" ht="17.25" customHeight="1" x14ac:dyDescent="0.2">
      <c r="A98" s="22" t="s">
        <v>310</v>
      </c>
      <c r="B98" s="449" t="s">
        <v>649</v>
      </c>
      <c r="C98" s="449"/>
      <c r="D98" s="449"/>
      <c r="E98" s="449"/>
      <c r="F98" s="449"/>
      <c r="G98" s="449"/>
      <c r="H98" s="449"/>
      <c r="I98" s="449"/>
      <c r="J98" s="66">
        <f>ROUND((($J$48/12)+($J$53/12)+($J$48/12/12)+($J$54/12))*(30/30)*0.05,2)</f>
        <v>9.18</v>
      </c>
    </row>
    <row r="99" spans="1:10" ht="17.25" customHeight="1" x14ac:dyDescent="0.2">
      <c r="A99" s="22" t="s">
        <v>312</v>
      </c>
      <c r="B99" s="449" t="s">
        <v>403</v>
      </c>
      <c r="C99" s="449"/>
      <c r="D99" s="449"/>
      <c r="E99" s="449"/>
      <c r="F99" s="449"/>
      <c r="G99" s="449"/>
      <c r="H99" s="449"/>
      <c r="I99" s="449"/>
      <c r="J99" s="66">
        <f>ROUND($J$98*I67,2)</f>
        <v>0.73</v>
      </c>
    </row>
    <row r="100" spans="1:10" ht="17.25" customHeight="1" x14ac:dyDescent="0.2">
      <c r="A100" s="22" t="s">
        <v>313</v>
      </c>
      <c r="B100" s="449" t="s">
        <v>650</v>
      </c>
      <c r="C100" s="449"/>
      <c r="D100" s="449"/>
      <c r="E100" s="449"/>
      <c r="F100" s="449"/>
      <c r="G100" s="449"/>
      <c r="H100" s="449"/>
      <c r="I100" s="449"/>
      <c r="J100" s="66">
        <f>ROUND(0.08*0.4*($J$48+$J$53+$J$54)*0.05,2)</f>
        <v>3.28</v>
      </c>
    </row>
    <row r="101" spans="1:10" ht="17.25" customHeight="1" x14ac:dyDescent="0.2">
      <c r="A101" s="22" t="s">
        <v>315</v>
      </c>
      <c r="B101" s="449" t="s">
        <v>651</v>
      </c>
      <c r="C101" s="449"/>
      <c r="D101" s="449"/>
      <c r="E101" s="449"/>
      <c r="F101" s="449"/>
      <c r="G101" s="449"/>
      <c r="H101" s="449"/>
      <c r="I101" s="449"/>
      <c r="J101" s="66">
        <f>ROUND(((($J$48/30)*7)/$H$21)*1,2)</f>
        <v>21.46</v>
      </c>
    </row>
    <row r="102" spans="1:10" ht="17.25" customHeight="1" x14ac:dyDescent="0.2">
      <c r="A102" s="22" t="s">
        <v>368</v>
      </c>
      <c r="B102" s="449" t="s">
        <v>404</v>
      </c>
      <c r="C102" s="449"/>
      <c r="D102" s="449"/>
      <c r="E102" s="449"/>
      <c r="F102" s="449"/>
      <c r="G102" s="449"/>
      <c r="H102" s="449"/>
      <c r="I102" s="449"/>
      <c r="J102" s="66">
        <f>ROUND($I$68*J101,2)</f>
        <v>7.9</v>
      </c>
    </row>
    <row r="103" spans="1:10" ht="17.25" customHeight="1" x14ac:dyDescent="0.2">
      <c r="A103" s="22" t="s">
        <v>369</v>
      </c>
      <c r="B103" s="449" t="s">
        <v>652</v>
      </c>
      <c r="C103" s="449"/>
      <c r="D103" s="449"/>
      <c r="E103" s="449"/>
      <c r="F103" s="449"/>
      <c r="G103" s="449"/>
      <c r="H103" s="449"/>
      <c r="I103" s="449"/>
      <c r="J103" s="66">
        <f>ROUND(0.08*0.4*($J$48+$J$53+$J$54)*0.9,2)</f>
        <v>59</v>
      </c>
    </row>
    <row r="104" spans="1:10" ht="17.25" customHeight="1" x14ac:dyDescent="0.2">
      <c r="A104" s="412" t="s">
        <v>405</v>
      </c>
      <c r="B104" s="412"/>
      <c r="C104" s="412"/>
      <c r="D104" s="412"/>
      <c r="E104" s="412"/>
      <c r="F104" s="412"/>
      <c r="G104" s="412"/>
      <c r="H104" s="412"/>
      <c r="I104" s="412"/>
      <c r="J104" s="10">
        <f>SUM(J98:J103)</f>
        <v>101.55</v>
      </c>
    </row>
    <row r="105" spans="1:10" ht="17.25" customHeight="1" x14ac:dyDescent="0.2">
      <c r="A105" s="79"/>
      <c r="B105" s="79"/>
      <c r="C105" s="79"/>
      <c r="D105" s="79"/>
      <c r="E105" s="79"/>
      <c r="F105" s="79"/>
      <c r="G105" s="79"/>
      <c r="H105" s="79"/>
      <c r="I105" s="79"/>
      <c r="J105" s="80"/>
    </row>
    <row r="106" spans="1:10" ht="17.25" customHeight="1" x14ac:dyDescent="0.2">
      <c r="A106" s="419" t="s">
        <v>406</v>
      </c>
      <c r="B106" s="419"/>
      <c r="C106" s="419"/>
      <c r="D106" s="419"/>
      <c r="E106" s="419"/>
      <c r="F106" s="419"/>
      <c r="G106" s="419"/>
      <c r="H106" s="419"/>
      <c r="I106" s="419"/>
      <c r="J106" s="419"/>
    </row>
    <row r="107" spans="1:10" ht="39" customHeight="1" x14ac:dyDescent="0.2">
      <c r="A107" s="419" t="s">
        <v>686</v>
      </c>
      <c r="B107" s="419"/>
      <c r="C107" s="419"/>
      <c r="D107" s="419"/>
      <c r="E107" s="419"/>
      <c r="F107" s="419"/>
      <c r="G107" s="419"/>
      <c r="H107" s="419"/>
      <c r="I107" s="419"/>
      <c r="J107" s="419"/>
    </row>
    <row r="108" spans="1:10" ht="33" customHeight="1" x14ac:dyDescent="0.2">
      <c r="A108" s="419" t="s">
        <v>528</v>
      </c>
      <c r="B108" s="419"/>
      <c r="C108" s="9">
        <f>J48</f>
        <v>1839.73</v>
      </c>
      <c r="D108" s="419" t="s">
        <v>529</v>
      </c>
      <c r="E108" s="419"/>
      <c r="F108" s="9">
        <f>J94-J79-J74</f>
        <v>980.21000000000015</v>
      </c>
      <c r="G108" s="419" t="s">
        <v>410</v>
      </c>
      <c r="H108" s="419"/>
      <c r="I108" s="9">
        <f>J104</f>
        <v>101.55</v>
      </c>
      <c r="J108" s="10">
        <f>ROUND((J48+(J94-J79-J74)+J104),2)</f>
        <v>2921.49</v>
      </c>
    </row>
    <row r="109" spans="1:10" ht="17.25" customHeight="1" x14ac:dyDescent="0.2">
      <c r="A109" s="419" t="s">
        <v>411</v>
      </c>
      <c r="B109" s="419"/>
      <c r="C109" s="419"/>
      <c r="D109" s="419"/>
      <c r="E109" s="419"/>
      <c r="F109" s="419"/>
      <c r="G109" s="419" t="s">
        <v>412</v>
      </c>
      <c r="H109" s="419"/>
      <c r="I109" s="419"/>
      <c r="J109" s="11">
        <f>ROUND(J108/30,2)</f>
        <v>97.38</v>
      </c>
    </row>
    <row r="110" spans="1:10" ht="17.25" customHeight="1" x14ac:dyDescent="0.2">
      <c r="A110" s="109"/>
      <c r="B110" s="109"/>
      <c r="C110" s="109"/>
      <c r="D110" s="109"/>
      <c r="E110" s="109"/>
      <c r="F110" s="109"/>
      <c r="G110" s="109"/>
      <c r="H110" s="109"/>
      <c r="I110" s="109"/>
      <c r="J110" s="109"/>
    </row>
    <row r="111" spans="1:10" ht="17.25" customHeight="1" x14ac:dyDescent="0.2">
      <c r="A111" s="21" t="s">
        <v>413</v>
      </c>
      <c r="B111" s="419" t="s">
        <v>414</v>
      </c>
      <c r="C111" s="419"/>
      <c r="D111" s="419"/>
      <c r="E111" s="419"/>
      <c r="F111" s="419"/>
      <c r="G111" s="419"/>
      <c r="H111" s="419"/>
      <c r="I111" s="419"/>
      <c r="J111" s="21" t="s">
        <v>360</v>
      </c>
    </row>
    <row r="112" spans="1:10" ht="17.25" customHeight="1" x14ac:dyDescent="0.2">
      <c r="A112" s="22" t="s">
        <v>310</v>
      </c>
      <c r="B112" s="477" t="s">
        <v>696</v>
      </c>
      <c r="C112" s="477"/>
      <c r="D112" s="477"/>
      <c r="E112" s="477"/>
      <c r="F112" s="477"/>
      <c r="G112" s="477"/>
      <c r="H112" s="477"/>
      <c r="I112" s="477"/>
      <c r="J112" s="66">
        <f>ROUND(J48*9.075%,2)</f>
        <v>166.96</v>
      </c>
    </row>
    <row r="113" spans="1:10" ht="17.25" customHeight="1" x14ac:dyDescent="0.2">
      <c r="A113" s="22" t="s">
        <v>312</v>
      </c>
      <c r="B113" s="449" t="s">
        <v>653</v>
      </c>
      <c r="C113" s="449"/>
      <c r="D113" s="449"/>
      <c r="E113" s="449"/>
      <c r="F113" s="449"/>
      <c r="G113" s="449"/>
      <c r="H113" s="449"/>
      <c r="I113" s="449"/>
      <c r="J113" s="63">
        <f>ROUND((($J$108/30)*1)/12,2)</f>
        <v>8.1199999999999992</v>
      </c>
    </row>
    <row r="114" spans="1:10" ht="17.25" customHeight="1" x14ac:dyDescent="0.2">
      <c r="A114" s="22" t="s">
        <v>313</v>
      </c>
      <c r="B114" s="449" t="s">
        <v>654</v>
      </c>
      <c r="C114" s="449"/>
      <c r="D114" s="449"/>
      <c r="E114" s="449"/>
      <c r="F114" s="449"/>
      <c r="G114" s="449"/>
      <c r="H114" s="449"/>
      <c r="I114" s="449"/>
      <c r="J114" s="63">
        <f>ROUND((($J$108/30)*5)/12*0.015,2)</f>
        <v>0.61</v>
      </c>
    </row>
    <row r="115" spans="1:10" ht="17.25" customHeight="1" x14ac:dyDescent="0.2">
      <c r="A115" s="22" t="s">
        <v>315</v>
      </c>
      <c r="B115" s="449" t="s">
        <v>655</v>
      </c>
      <c r="C115" s="449"/>
      <c r="D115" s="449"/>
      <c r="E115" s="449"/>
      <c r="F115" s="449"/>
      <c r="G115" s="449"/>
      <c r="H115" s="449"/>
      <c r="I115" s="449"/>
      <c r="J115" s="66">
        <f>ROUND(((($J$108/30)*15)/12)*0.0078,2)</f>
        <v>0.95</v>
      </c>
    </row>
    <row r="116" spans="1:10" ht="17.25" customHeight="1" x14ac:dyDescent="0.2">
      <c r="A116" s="22" t="s">
        <v>368</v>
      </c>
      <c r="B116" s="449" t="s">
        <v>656</v>
      </c>
      <c r="C116" s="449"/>
      <c r="D116" s="449"/>
      <c r="E116" s="449"/>
      <c r="F116" s="449"/>
      <c r="G116" s="449"/>
      <c r="H116" s="449"/>
      <c r="I116" s="449"/>
      <c r="J116" s="66">
        <f>ROUND((((J48+J48/3)/12+(J68+J85-J79-J74+J104))*4/12)*0.02,2)</f>
        <v>7.18</v>
      </c>
    </row>
    <row r="117" spans="1:10" ht="17.25" customHeight="1" x14ac:dyDescent="0.2">
      <c r="A117" s="22" t="s">
        <v>369</v>
      </c>
      <c r="B117" s="449" t="s">
        <v>657</v>
      </c>
      <c r="C117" s="449"/>
      <c r="D117" s="449"/>
      <c r="E117" s="449"/>
      <c r="F117" s="449"/>
      <c r="G117" s="449"/>
      <c r="H117" s="449"/>
      <c r="I117" s="449"/>
      <c r="J117" s="66">
        <f>ROUND(((($J$108/30)*5)/12),2)</f>
        <v>40.58</v>
      </c>
    </row>
    <row r="118" spans="1:10" ht="17.25" customHeight="1" x14ac:dyDescent="0.2">
      <c r="A118" s="412" t="s">
        <v>415</v>
      </c>
      <c r="B118" s="412"/>
      <c r="C118" s="412"/>
      <c r="D118" s="412"/>
      <c r="E118" s="412"/>
      <c r="F118" s="412"/>
      <c r="G118" s="412"/>
      <c r="H118" s="412"/>
      <c r="I118" s="412"/>
      <c r="J118" s="10">
        <f>SUM(J112:J117)</f>
        <v>224.40000000000003</v>
      </c>
    </row>
    <row r="119" spans="1:10" ht="17.25" customHeight="1" x14ac:dyDescent="0.2">
      <c r="A119" s="110"/>
      <c r="B119" s="519"/>
      <c r="C119" s="519"/>
      <c r="D119" s="519"/>
      <c r="E119" s="519"/>
      <c r="F119" s="519"/>
      <c r="G119" s="519"/>
      <c r="H119" s="519"/>
      <c r="I119" s="519"/>
      <c r="J119" s="67"/>
    </row>
    <row r="120" spans="1:10" ht="17.25" customHeight="1" x14ac:dyDescent="0.2">
      <c r="A120" s="21" t="s">
        <v>416</v>
      </c>
      <c r="B120" s="419" t="s">
        <v>417</v>
      </c>
      <c r="C120" s="419"/>
      <c r="D120" s="419"/>
      <c r="E120" s="419"/>
      <c r="F120" s="419"/>
      <c r="G120" s="419"/>
      <c r="H120" s="419"/>
      <c r="I120" s="419"/>
      <c r="J120" s="21" t="s">
        <v>360</v>
      </c>
    </row>
    <row r="121" spans="1:10" ht="17.25" customHeight="1" x14ac:dyDescent="0.2">
      <c r="A121" s="22" t="s">
        <v>310</v>
      </c>
      <c r="B121" s="449" t="s">
        <v>418</v>
      </c>
      <c r="C121" s="449"/>
      <c r="D121" s="449"/>
      <c r="E121" s="449"/>
      <c r="F121" s="449"/>
      <c r="G121" s="449"/>
      <c r="H121" s="449"/>
      <c r="I121" s="449"/>
      <c r="J121" s="66">
        <v>0</v>
      </c>
    </row>
    <row r="122" spans="1:10" ht="17.25" customHeight="1" x14ac:dyDescent="0.2">
      <c r="A122" s="412" t="s">
        <v>419</v>
      </c>
      <c r="B122" s="412"/>
      <c r="C122" s="412"/>
      <c r="D122" s="412"/>
      <c r="E122" s="412"/>
      <c r="F122" s="412"/>
      <c r="G122" s="412"/>
      <c r="H122" s="412"/>
      <c r="I122" s="412"/>
      <c r="J122" s="10">
        <f>SUM(J121)</f>
        <v>0</v>
      </c>
    </row>
    <row r="123" spans="1:10" ht="17.25" customHeight="1" x14ac:dyDescent="0.2">
      <c r="A123" s="518"/>
      <c r="B123" s="518"/>
      <c r="C123" s="518"/>
      <c r="D123" s="518"/>
      <c r="E123" s="518"/>
      <c r="F123" s="518"/>
      <c r="G123" s="518"/>
      <c r="H123" s="518"/>
      <c r="I123" s="518"/>
      <c r="J123" s="67"/>
    </row>
    <row r="124" spans="1:10" ht="17.25" customHeight="1" x14ac:dyDescent="0.2">
      <c r="A124" s="419" t="s">
        <v>420</v>
      </c>
      <c r="B124" s="419"/>
      <c r="C124" s="419"/>
      <c r="D124" s="419"/>
      <c r="E124" s="419"/>
      <c r="F124" s="419"/>
      <c r="G124" s="419"/>
      <c r="H124" s="419"/>
      <c r="I124" s="419"/>
      <c r="J124" s="419"/>
    </row>
    <row r="125" spans="1:10" ht="17.25" customHeight="1" x14ac:dyDescent="0.2">
      <c r="A125" s="21" t="s">
        <v>421</v>
      </c>
      <c r="B125" s="419" t="s">
        <v>394</v>
      </c>
      <c r="C125" s="419"/>
      <c r="D125" s="419"/>
      <c r="E125" s="419"/>
      <c r="F125" s="419"/>
      <c r="G125" s="419"/>
      <c r="H125" s="419"/>
      <c r="I125" s="419"/>
      <c r="J125" s="16" t="s">
        <v>360</v>
      </c>
    </row>
    <row r="126" spans="1:10" ht="17.25" customHeight="1" x14ac:dyDescent="0.2">
      <c r="A126" s="22" t="s">
        <v>413</v>
      </c>
      <c r="B126" s="449" t="s">
        <v>414</v>
      </c>
      <c r="C126" s="449"/>
      <c r="D126" s="449"/>
      <c r="E126" s="449"/>
      <c r="F126" s="449"/>
      <c r="G126" s="449"/>
      <c r="H126" s="449"/>
      <c r="I126" s="449"/>
      <c r="J126" s="66">
        <f>J118</f>
        <v>224.40000000000003</v>
      </c>
    </row>
    <row r="127" spans="1:10" ht="17.25" customHeight="1" x14ac:dyDescent="0.2">
      <c r="A127" s="22" t="s">
        <v>422</v>
      </c>
      <c r="B127" s="449" t="s">
        <v>417</v>
      </c>
      <c r="C127" s="449"/>
      <c r="D127" s="449"/>
      <c r="E127" s="449"/>
      <c r="F127" s="449"/>
      <c r="G127" s="449"/>
      <c r="H127" s="449"/>
      <c r="I127" s="449"/>
      <c r="J127" s="66">
        <f>J122</f>
        <v>0</v>
      </c>
    </row>
    <row r="128" spans="1:10" ht="17.25" customHeight="1" x14ac:dyDescent="0.2">
      <c r="A128" s="412" t="s">
        <v>423</v>
      </c>
      <c r="B128" s="412"/>
      <c r="C128" s="412"/>
      <c r="D128" s="412"/>
      <c r="E128" s="412"/>
      <c r="F128" s="412"/>
      <c r="G128" s="412"/>
      <c r="H128" s="412"/>
      <c r="I128" s="412"/>
      <c r="J128" s="10">
        <f>SUM(J126+J127)</f>
        <v>224.40000000000003</v>
      </c>
    </row>
    <row r="129" spans="1:10" ht="48.75" customHeight="1" x14ac:dyDescent="0.2">
      <c r="A129" s="65" t="s">
        <v>390</v>
      </c>
      <c r="B129" s="450" t="s">
        <v>425</v>
      </c>
      <c r="C129" s="450"/>
      <c r="D129" s="450"/>
      <c r="E129" s="450"/>
      <c r="F129" s="450"/>
      <c r="G129" s="450"/>
      <c r="H129" s="450"/>
      <c r="I129" s="450"/>
      <c r="J129" s="450"/>
    </row>
    <row r="130" spans="1:10" ht="17.25" customHeight="1" x14ac:dyDescent="0.2">
      <c r="A130" s="72"/>
      <c r="B130" s="73"/>
      <c r="C130" s="73"/>
      <c r="D130" s="73"/>
      <c r="E130" s="73"/>
      <c r="F130" s="73"/>
      <c r="G130" s="73"/>
      <c r="H130" s="73"/>
      <c r="I130" s="73"/>
      <c r="J130" s="73"/>
    </row>
    <row r="131" spans="1:10" ht="17.25" customHeight="1" x14ac:dyDescent="0.2">
      <c r="A131" s="419" t="s">
        <v>426</v>
      </c>
      <c r="B131" s="419"/>
      <c r="C131" s="419"/>
      <c r="D131" s="419"/>
      <c r="E131" s="419"/>
      <c r="F131" s="419"/>
      <c r="G131" s="419"/>
      <c r="H131" s="419"/>
      <c r="I131" s="419"/>
      <c r="J131" s="419"/>
    </row>
    <row r="132" spans="1:10" ht="17.25" customHeight="1" x14ac:dyDescent="0.2">
      <c r="A132" s="21"/>
      <c r="B132" s="419" t="s">
        <v>394</v>
      </c>
      <c r="C132" s="419"/>
      <c r="D132" s="419"/>
      <c r="E132" s="419"/>
      <c r="F132" s="419"/>
      <c r="G132" s="419"/>
      <c r="H132" s="419"/>
      <c r="I132" s="419"/>
      <c r="J132" s="21" t="s">
        <v>360</v>
      </c>
    </row>
    <row r="133" spans="1:10" ht="17.25" customHeight="1" x14ac:dyDescent="0.2">
      <c r="A133" s="22" t="s">
        <v>310</v>
      </c>
      <c r="B133" s="449" t="s">
        <v>427</v>
      </c>
      <c r="C133" s="449"/>
      <c r="D133" s="449"/>
      <c r="E133" s="449"/>
      <c r="F133" s="449"/>
      <c r="G133" s="449"/>
      <c r="H133" s="449"/>
      <c r="I133" s="449"/>
      <c r="J133" s="88">
        <f>'2. SAn INSUMOS'!G95</f>
        <v>110.10250000000002</v>
      </c>
    </row>
    <row r="134" spans="1:10" ht="17.25" customHeight="1" x14ac:dyDescent="0.2">
      <c r="A134" s="22" t="s">
        <v>312</v>
      </c>
      <c r="B134" s="449" t="s">
        <v>428</v>
      </c>
      <c r="C134" s="449"/>
      <c r="D134" s="449"/>
      <c r="E134" s="449"/>
      <c r="F134" s="449"/>
      <c r="G134" s="449"/>
      <c r="H134" s="449"/>
      <c r="I134" s="449"/>
      <c r="J134" s="88">
        <f>'2. SAn INSUMOS'!G91</f>
        <v>698.59200480529694</v>
      </c>
    </row>
    <row r="135" spans="1:10" ht="17.25" customHeight="1" x14ac:dyDescent="0.2">
      <c r="A135" s="22" t="s">
        <v>313</v>
      </c>
      <c r="B135" s="449" t="s">
        <v>429</v>
      </c>
      <c r="C135" s="449"/>
      <c r="D135" s="449"/>
      <c r="E135" s="449"/>
      <c r="F135" s="449"/>
      <c r="G135" s="449"/>
      <c r="H135" s="449"/>
      <c r="I135" s="449"/>
      <c r="J135" s="88">
        <f>'2. SAn INSUMOS'!G93</f>
        <v>22.696742684695057</v>
      </c>
    </row>
    <row r="136" spans="1:10" ht="17.25" customHeight="1" x14ac:dyDescent="0.2">
      <c r="A136" s="22" t="s">
        <v>315</v>
      </c>
      <c r="B136" s="449" t="s">
        <v>663</v>
      </c>
      <c r="C136" s="449"/>
      <c r="D136" s="449"/>
      <c r="E136" s="449"/>
      <c r="F136" s="449"/>
      <c r="G136" s="449"/>
      <c r="H136" s="449"/>
      <c r="I136" s="449"/>
      <c r="J136" s="88" t="s">
        <v>430</v>
      </c>
    </row>
    <row r="137" spans="1:10" ht="17.25" customHeight="1" x14ac:dyDescent="0.2">
      <c r="A137" s="412" t="s">
        <v>530</v>
      </c>
      <c r="B137" s="412"/>
      <c r="C137" s="412"/>
      <c r="D137" s="412"/>
      <c r="E137" s="412"/>
      <c r="F137" s="412"/>
      <c r="G137" s="412"/>
      <c r="H137" s="412"/>
      <c r="I137" s="412"/>
      <c r="J137" s="89">
        <f>SUM(J133:J136)</f>
        <v>831.391247489992</v>
      </c>
    </row>
    <row r="138" spans="1:10" ht="17.25" customHeight="1" x14ac:dyDescent="0.2">
      <c r="A138" s="65" t="s">
        <v>424</v>
      </c>
      <c r="B138" s="450" t="s">
        <v>433</v>
      </c>
      <c r="C138" s="450"/>
      <c r="D138" s="450"/>
      <c r="E138" s="450"/>
      <c r="F138" s="450"/>
      <c r="G138" s="450"/>
      <c r="H138" s="450"/>
      <c r="I138" s="450"/>
      <c r="J138" s="450"/>
    </row>
    <row r="139" spans="1:10" ht="17.25" customHeight="1" x14ac:dyDescent="0.2">
      <c r="A139" s="517"/>
      <c r="B139" s="517"/>
      <c r="C139" s="517"/>
      <c r="D139" s="517"/>
      <c r="E139" s="517"/>
      <c r="F139" s="517"/>
      <c r="G139" s="517"/>
      <c r="H139" s="517"/>
      <c r="I139" s="517"/>
      <c r="J139" s="517"/>
    </row>
    <row r="140" spans="1:10" ht="17.25" customHeight="1" x14ac:dyDescent="0.2">
      <c r="A140" s="419" t="s">
        <v>434</v>
      </c>
      <c r="B140" s="419"/>
      <c r="C140" s="419"/>
      <c r="D140" s="419"/>
      <c r="E140" s="419"/>
      <c r="F140" s="419"/>
      <c r="G140" s="419"/>
      <c r="H140" s="419"/>
      <c r="I140" s="419"/>
      <c r="J140" s="419"/>
    </row>
    <row r="141" spans="1:10" ht="17.25" customHeight="1" x14ac:dyDescent="0.2">
      <c r="A141" s="21"/>
      <c r="B141" s="419" t="s">
        <v>435</v>
      </c>
      <c r="C141" s="419"/>
      <c r="D141" s="419"/>
      <c r="E141" s="419"/>
      <c r="F141" s="419"/>
      <c r="G141" s="419"/>
      <c r="H141" s="419"/>
      <c r="I141" s="21" t="s">
        <v>350</v>
      </c>
      <c r="J141" s="16" t="s">
        <v>360</v>
      </c>
    </row>
    <row r="142" spans="1:10" ht="63.75" customHeight="1" x14ac:dyDescent="0.2">
      <c r="A142" s="449" t="s">
        <v>658</v>
      </c>
      <c r="B142" s="449"/>
      <c r="C142" s="449"/>
      <c r="D142" s="449"/>
      <c r="E142" s="449"/>
      <c r="F142" s="449"/>
      <c r="G142" s="449"/>
      <c r="H142" s="449"/>
      <c r="I142" s="449"/>
      <c r="J142" s="78">
        <f>SUM(J48+J94+J104+J128+J137)</f>
        <v>4470.7312474899927</v>
      </c>
    </row>
    <row r="143" spans="1:10" ht="17.25" customHeight="1" x14ac:dyDescent="0.2">
      <c r="A143" s="21" t="s">
        <v>310</v>
      </c>
      <c r="B143" s="415" t="s">
        <v>436</v>
      </c>
      <c r="C143" s="415"/>
      <c r="D143" s="415"/>
      <c r="E143" s="415"/>
      <c r="F143" s="415"/>
      <c r="G143" s="415"/>
      <c r="H143" s="415"/>
      <c r="I143" s="82">
        <f>'1. SAn ABA DE CARREGAMENTO'!$B$103</f>
        <v>0.06</v>
      </c>
      <c r="J143" s="10">
        <f>ROUND(I143*J142,2)</f>
        <v>268.24</v>
      </c>
    </row>
    <row r="144" spans="1:10" ht="54.75" customHeight="1" x14ac:dyDescent="0.2">
      <c r="A144" s="449" t="s">
        <v>659</v>
      </c>
      <c r="B144" s="449"/>
      <c r="C144" s="449"/>
      <c r="D144" s="449"/>
      <c r="E144" s="449"/>
      <c r="F144" s="449"/>
      <c r="G144" s="449"/>
      <c r="H144" s="449"/>
      <c r="I144" s="449"/>
      <c r="J144" s="78">
        <f>SUM(J48+J94+J104+J128+J137+J143)</f>
        <v>4738.9712474899925</v>
      </c>
    </row>
    <row r="145" spans="1:12" ht="17.25" customHeight="1" x14ac:dyDescent="0.2">
      <c r="A145" s="21" t="s">
        <v>312</v>
      </c>
      <c r="B145" s="415" t="s">
        <v>99</v>
      </c>
      <c r="C145" s="415"/>
      <c r="D145" s="415"/>
      <c r="E145" s="415"/>
      <c r="F145" s="415"/>
      <c r="G145" s="415"/>
      <c r="H145" s="415"/>
      <c r="I145" s="82">
        <f>'1. SAn ABA DE CARREGAMENTO'!$B$104</f>
        <v>6.7900000000000002E-2</v>
      </c>
      <c r="J145" s="10">
        <f>ROUND(I145*J144,2)</f>
        <v>321.77999999999997</v>
      </c>
    </row>
    <row r="146" spans="1:12" ht="61.5" customHeight="1" x14ac:dyDescent="0.2">
      <c r="A146" s="449" t="s">
        <v>660</v>
      </c>
      <c r="B146" s="449"/>
      <c r="C146" s="449"/>
      <c r="D146" s="449"/>
      <c r="E146" s="449"/>
      <c r="F146" s="449"/>
      <c r="G146" s="449"/>
      <c r="H146" s="449"/>
      <c r="I146" s="449"/>
      <c r="J146" s="78">
        <f>SUM(J48+J94+J104+J128+J137+J143+J145)</f>
        <v>5060.7512474899922</v>
      </c>
    </row>
    <row r="147" spans="1:12" ht="17.25" customHeight="1" x14ac:dyDescent="0.2">
      <c r="A147" s="21" t="s">
        <v>313</v>
      </c>
      <c r="B147" s="415" t="s">
        <v>437</v>
      </c>
      <c r="C147" s="415"/>
      <c r="D147" s="415"/>
      <c r="E147" s="415"/>
      <c r="F147" s="415"/>
      <c r="G147" s="415"/>
      <c r="H147" s="415"/>
      <c r="I147" s="82">
        <f>SUM(I148:I151)</f>
        <v>0.1225</v>
      </c>
      <c r="J147" s="10">
        <f>SUM(J148:J151)</f>
        <v>706.49</v>
      </c>
      <c r="K147" s="473"/>
      <c r="L147" s="473"/>
    </row>
    <row r="148" spans="1:12" ht="17.25" customHeight="1" x14ac:dyDescent="0.2">
      <c r="A148" s="474" t="s">
        <v>438</v>
      </c>
      <c r="B148" s="449" t="s">
        <v>439</v>
      </c>
      <c r="C148" s="449"/>
      <c r="D148" s="449"/>
      <c r="E148" s="449"/>
      <c r="F148" s="449" t="s">
        <v>102</v>
      </c>
      <c r="G148" s="449"/>
      <c r="H148" s="449"/>
      <c r="I148" s="68">
        <f>IF(H15=1,0.0165,IF(H15=2,0.0065,IF(H15=3,'1. SAn ABA DE CARREGAMENTO'!B108,IF(H15=4,'1. SAn ABA DE CARREGAMENTO'!B108,IF(H15=5,'1. SAn ABA DE CARREGAMENTO'!B112,"RT Indefinido")))))</f>
        <v>1.6500000000000001E-2</v>
      </c>
      <c r="J148" s="78">
        <f>ROUND(($J$146/(1-$I$147))*I148,2)</f>
        <v>95.16</v>
      </c>
      <c r="K148" s="83"/>
      <c r="L148" s="84"/>
    </row>
    <row r="149" spans="1:12" ht="17.25" customHeight="1" x14ac:dyDescent="0.2">
      <c r="A149" s="474"/>
      <c r="B149" s="449"/>
      <c r="C149" s="449"/>
      <c r="D149" s="449"/>
      <c r="E149" s="449"/>
      <c r="F149" s="449" t="s">
        <v>103</v>
      </c>
      <c r="G149" s="449"/>
      <c r="H149" s="449"/>
      <c r="I149" s="68">
        <f>IF(H15=1,0.076,IF(H15=2,0.03,IF(H15=3,'1. SAn ABA DE CARREGAMENTO'!B109,IF(H15=4,'1. SAn ABA DE CARREGAMENTO'!B109,IF(H15=5,'1. SAn ABA DE CARREGAMENTO'!B113,"RT Indefinido")))))</f>
        <v>7.5999999999999998E-2</v>
      </c>
      <c r="J149" s="78">
        <f>ROUND(($J$146/(1-$I$147))*I149,2)</f>
        <v>438.31</v>
      </c>
      <c r="K149" s="83"/>
      <c r="L149" s="84"/>
    </row>
    <row r="150" spans="1:12" ht="17.25" customHeight="1" x14ac:dyDescent="0.2">
      <c r="A150" s="22" t="s">
        <v>440</v>
      </c>
      <c r="B150" s="449" t="s">
        <v>441</v>
      </c>
      <c r="C150" s="449"/>
      <c r="D150" s="449"/>
      <c r="E150" s="449"/>
      <c r="F150" s="449" t="s">
        <v>442</v>
      </c>
      <c r="G150" s="449"/>
      <c r="H150" s="449"/>
      <c r="I150" s="68">
        <v>0</v>
      </c>
      <c r="J150" s="66">
        <v>0</v>
      </c>
      <c r="K150" s="83"/>
      <c r="L150" s="84"/>
    </row>
    <row r="151" spans="1:12" ht="17.25" customHeight="1" x14ac:dyDescent="0.2">
      <c r="A151" s="22" t="s">
        <v>443</v>
      </c>
      <c r="B151" s="449" t="s">
        <v>444</v>
      </c>
      <c r="C151" s="449"/>
      <c r="D151" s="449"/>
      <c r="E151" s="449"/>
      <c r="F151" s="449" t="s">
        <v>445</v>
      </c>
      <c r="G151" s="449"/>
      <c r="H151" s="449"/>
      <c r="I151" s="68">
        <f>'1. SAn ABA DE CARREGAMENTO'!$B$105</f>
        <v>0.03</v>
      </c>
      <c r="J151" s="78">
        <f>ROUND(($J$146/(1-$I$147))*I151,2)</f>
        <v>173.02</v>
      </c>
    </row>
    <row r="152" spans="1:12" ht="17.25" customHeight="1" x14ac:dyDescent="0.2">
      <c r="A152" s="412" t="s">
        <v>446</v>
      </c>
      <c r="B152" s="412"/>
      <c r="C152" s="412"/>
      <c r="D152" s="412"/>
      <c r="E152" s="412"/>
      <c r="F152" s="412"/>
      <c r="G152" s="412"/>
      <c r="H152" s="412"/>
      <c r="I152" s="412"/>
      <c r="J152" s="10">
        <f>SUM(J143+J145+J147)</f>
        <v>1296.51</v>
      </c>
    </row>
    <row r="153" spans="1:12" ht="17.25" customHeight="1" x14ac:dyDescent="0.2">
      <c r="A153" s="65" t="s">
        <v>432</v>
      </c>
      <c r="B153" s="450" t="s">
        <v>448</v>
      </c>
      <c r="C153" s="450"/>
      <c r="D153" s="450"/>
      <c r="E153" s="450"/>
      <c r="F153" s="450"/>
      <c r="G153" s="450"/>
      <c r="H153" s="450"/>
      <c r="I153" s="450"/>
      <c r="J153" s="450"/>
    </row>
    <row r="154" spans="1:12" ht="17.25" customHeight="1" x14ac:dyDescent="0.2">
      <c r="A154" s="451" t="s">
        <v>447</v>
      </c>
      <c r="B154" s="452" t="s">
        <v>449</v>
      </c>
      <c r="C154" s="453"/>
      <c r="D154" s="458" t="s">
        <v>680</v>
      </c>
      <c r="E154" s="459"/>
      <c r="F154" s="459"/>
      <c r="G154" s="464" t="s">
        <v>681</v>
      </c>
      <c r="H154" s="465"/>
      <c r="I154" s="293"/>
      <c r="J154" s="470"/>
    </row>
    <row r="155" spans="1:12" ht="17.25" customHeight="1" x14ac:dyDescent="0.2">
      <c r="A155" s="451"/>
      <c r="B155" s="454"/>
      <c r="C155" s="455"/>
      <c r="D155" s="460"/>
      <c r="E155" s="461"/>
      <c r="F155" s="461"/>
      <c r="G155" s="466"/>
      <c r="H155" s="467"/>
      <c r="I155" s="294"/>
      <c r="J155" s="471"/>
    </row>
    <row r="156" spans="1:12" ht="17.25" customHeight="1" x14ac:dyDescent="0.2">
      <c r="A156" s="451"/>
      <c r="B156" s="456"/>
      <c r="C156" s="457"/>
      <c r="D156" s="462"/>
      <c r="E156" s="463"/>
      <c r="F156" s="463"/>
      <c r="G156" s="468"/>
      <c r="H156" s="469"/>
      <c r="I156" s="295"/>
      <c r="J156" s="472"/>
    </row>
    <row r="157" spans="1:12" ht="17.25" customHeight="1" x14ac:dyDescent="0.2">
      <c r="A157" s="516"/>
      <c r="B157" s="516"/>
      <c r="C157" s="516"/>
      <c r="D157" s="516"/>
      <c r="E157" s="516"/>
      <c r="F157" s="516"/>
      <c r="G157" s="516"/>
      <c r="H157" s="516"/>
      <c r="I157" s="516"/>
      <c r="J157" s="516"/>
    </row>
    <row r="158" spans="1:12" ht="38.25" customHeight="1" x14ac:dyDescent="0.2">
      <c r="A158" s="445" t="s">
        <v>682</v>
      </c>
      <c r="B158" s="445"/>
      <c r="C158" s="445"/>
      <c r="D158" s="445"/>
      <c r="E158" s="445"/>
      <c r="F158" s="445"/>
      <c r="G158" s="445"/>
      <c r="H158" s="445"/>
      <c r="I158" s="445"/>
      <c r="J158" s="445"/>
    </row>
    <row r="159" spans="1:12" ht="17.25" customHeight="1" x14ac:dyDescent="0.2">
      <c r="A159" s="446" t="s">
        <v>450</v>
      </c>
      <c r="B159" s="446"/>
      <c r="C159" s="446"/>
      <c r="D159" s="446"/>
      <c r="E159" s="446"/>
      <c r="F159" s="446"/>
      <c r="G159" s="446"/>
      <c r="H159" s="446"/>
      <c r="I159" s="446"/>
      <c r="J159" s="21" t="s">
        <v>360</v>
      </c>
    </row>
    <row r="160" spans="1:12" ht="17.25" customHeight="1" x14ac:dyDescent="0.2">
      <c r="A160" s="85" t="s">
        <v>310</v>
      </c>
      <c r="B160" s="447" t="s">
        <v>451</v>
      </c>
      <c r="C160" s="447"/>
      <c r="D160" s="447"/>
      <c r="E160" s="447"/>
      <c r="F160" s="447"/>
      <c r="G160" s="447"/>
      <c r="H160" s="447"/>
      <c r="I160" s="447"/>
      <c r="J160" s="66">
        <f>J48</f>
        <v>1839.73</v>
      </c>
    </row>
    <row r="161" spans="1:10" ht="17.25" customHeight="1" x14ac:dyDescent="0.2">
      <c r="A161" s="85" t="s">
        <v>312</v>
      </c>
      <c r="B161" s="447" t="s">
        <v>452</v>
      </c>
      <c r="C161" s="447"/>
      <c r="D161" s="447"/>
      <c r="E161" s="447"/>
      <c r="F161" s="447"/>
      <c r="G161" s="447"/>
      <c r="H161" s="447"/>
      <c r="I161" s="447"/>
      <c r="J161" s="66">
        <f>J94</f>
        <v>1473.66</v>
      </c>
    </row>
    <row r="162" spans="1:10" ht="17.25" customHeight="1" x14ac:dyDescent="0.2">
      <c r="A162" s="85" t="s">
        <v>313</v>
      </c>
      <c r="B162" s="447" t="s">
        <v>453</v>
      </c>
      <c r="C162" s="447"/>
      <c r="D162" s="447"/>
      <c r="E162" s="447"/>
      <c r="F162" s="447"/>
      <c r="G162" s="447"/>
      <c r="H162" s="447"/>
      <c r="I162" s="447"/>
      <c r="J162" s="66">
        <f>J104</f>
        <v>101.55</v>
      </c>
    </row>
    <row r="163" spans="1:10" ht="17.25" customHeight="1" x14ac:dyDescent="0.2">
      <c r="A163" s="85" t="s">
        <v>315</v>
      </c>
      <c r="B163" s="447" t="s">
        <v>454</v>
      </c>
      <c r="C163" s="447"/>
      <c r="D163" s="447"/>
      <c r="E163" s="447"/>
      <c r="F163" s="447"/>
      <c r="G163" s="447"/>
      <c r="H163" s="447"/>
      <c r="I163" s="447"/>
      <c r="J163" s="66">
        <f>J128</f>
        <v>224.40000000000003</v>
      </c>
    </row>
    <row r="164" spans="1:10" ht="17.25" customHeight="1" x14ac:dyDescent="0.2">
      <c r="A164" s="85" t="s">
        <v>368</v>
      </c>
      <c r="B164" s="447" t="s">
        <v>455</v>
      </c>
      <c r="C164" s="447"/>
      <c r="D164" s="447"/>
      <c r="E164" s="447"/>
      <c r="F164" s="447"/>
      <c r="G164" s="447"/>
      <c r="H164" s="447"/>
      <c r="I164" s="447"/>
      <c r="J164" s="66">
        <f>J137</f>
        <v>831.391247489992</v>
      </c>
    </row>
    <row r="165" spans="1:10" ht="17.25" customHeight="1" x14ac:dyDescent="0.2">
      <c r="A165" s="448" t="s">
        <v>456</v>
      </c>
      <c r="B165" s="448"/>
      <c r="C165" s="448"/>
      <c r="D165" s="448"/>
      <c r="E165" s="448"/>
      <c r="F165" s="448"/>
      <c r="G165" s="448"/>
      <c r="H165" s="448"/>
      <c r="I165" s="448"/>
      <c r="J165" s="10">
        <f>SUM(J160:J164)</f>
        <v>4470.7312474899927</v>
      </c>
    </row>
    <row r="166" spans="1:10" ht="17.25" customHeight="1" x14ac:dyDescent="0.2">
      <c r="A166" s="85" t="s">
        <v>369</v>
      </c>
      <c r="B166" s="447" t="s">
        <v>457</v>
      </c>
      <c r="C166" s="447"/>
      <c r="D166" s="447"/>
      <c r="E166" s="447"/>
      <c r="F166" s="447"/>
      <c r="G166" s="447"/>
      <c r="H166" s="447"/>
      <c r="I166" s="447"/>
      <c r="J166" s="66">
        <f>J152</f>
        <v>1296.51</v>
      </c>
    </row>
    <row r="167" spans="1:10" ht="17.25" customHeight="1" x14ac:dyDescent="0.2">
      <c r="A167" s="444" t="s">
        <v>458</v>
      </c>
      <c r="B167" s="444"/>
      <c r="C167" s="444"/>
      <c r="D167" s="444"/>
      <c r="E167" s="444"/>
      <c r="F167" s="444"/>
      <c r="G167" s="444"/>
      <c r="H167" s="86">
        <f>'1. SAn ABA DE CARREGAMENTO'!C68</f>
        <v>44</v>
      </c>
      <c r="I167" s="87" t="s">
        <v>352</v>
      </c>
      <c r="J167" s="10">
        <f>SUM(J165:J166)</f>
        <v>5767.2412474899929</v>
      </c>
    </row>
    <row r="168" spans="1:10" ht="17.25" customHeight="1" x14ac:dyDescent="0.2">
      <c r="A168" s="90"/>
      <c r="B168" s="90"/>
      <c r="C168" s="90"/>
      <c r="D168" s="90"/>
      <c r="E168" s="90"/>
      <c r="F168" s="90"/>
      <c r="G168" s="90"/>
      <c r="H168" s="90"/>
      <c r="I168" s="90"/>
      <c r="J168" s="80"/>
    </row>
    <row r="169" spans="1:10" ht="17.25" customHeight="1" x14ac:dyDescent="0.2">
      <c r="A169" s="419" t="s">
        <v>459</v>
      </c>
      <c r="B169" s="419"/>
      <c r="C169" s="419"/>
      <c r="D169" s="419"/>
      <c r="E169" s="419"/>
      <c r="F169" s="419"/>
      <c r="G169" s="419"/>
      <c r="H169" s="419"/>
      <c r="I169" s="419"/>
      <c r="J169" s="419"/>
    </row>
    <row r="170" spans="1:10" ht="17.25" customHeight="1" x14ac:dyDescent="0.2">
      <c r="A170" s="423" t="s">
        <v>661</v>
      </c>
      <c r="B170" s="423"/>
      <c r="C170" s="423"/>
      <c r="D170" s="423"/>
      <c r="E170" s="423"/>
      <c r="F170" s="423"/>
      <c r="G170" s="423"/>
      <c r="H170" s="423"/>
      <c r="I170" s="423"/>
      <c r="J170" s="423"/>
    </row>
    <row r="171" spans="1:10" ht="17.25" customHeight="1" x14ac:dyDescent="0.2">
      <c r="A171" s="415" t="s">
        <v>664</v>
      </c>
      <c r="B171" s="415"/>
      <c r="C171" s="415"/>
      <c r="D171" s="415"/>
      <c r="E171" s="415"/>
      <c r="F171" s="415"/>
      <c r="G171" s="415"/>
      <c r="H171" s="415"/>
      <c r="I171" s="415"/>
      <c r="J171" s="415"/>
    </row>
    <row r="172" spans="1:10" ht="46.5" customHeight="1" x14ac:dyDescent="0.2">
      <c r="A172" s="419" t="s">
        <v>685</v>
      </c>
      <c r="B172" s="419"/>
      <c r="C172" s="419"/>
      <c r="D172" s="419" t="s">
        <v>460</v>
      </c>
      <c r="E172" s="419"/>
      <c r="F172" s="419"/>
      <c r="G172" s="419" t="s">
        <v>461</v>
      </c>
      <c r="H172" s="419"/>
      <c r="I172" s="419" t="s">
        <v>462</v>
      </c>
      <c r="J172" s="419"/>
    </row>
    <row r="173" spans="1:10" ht="17.25" customHeight="1" x14ac:dyDescent="0.2">
      <c r="A173" s="429" t="s">
        <v>531</v>
      </c>
      <c r="B173" s="429"/>
      <c r="C173" s="429"/>
      <c r="D173" s="94">
        <v>1</v>
      </c>
      <c r="E173" s="94">
        <v>30</v>
      </c>
      <c r="F173" s="111">
        <f>E174</f>
        <v>300</v>
      </c>
      <c r="G173" s="430">
        <v>0</v>
      </c>
      <c r="H173" s="430"/>
      <c r="I173" s="431">
        <f>G173/F173/E173</f>
        <v>0</v>
      </c>
      <c r="J173" s="431"/>
    </row>
    <row r="174" spans="1:10" ht="17.25" customHeight="1" x14ac:dyDescent="0.2">
      <c r="A174" s="429" t="s">
        <v>532</v>
      </c>
      <c r="B174" s="429"/>
      <c r="C174" s="429"/>
      <c r="D174" s="94">
        <v>1</v>
      </c>
      <c r="E174" s="432">
        <f>'5. SAn Cálc. DEMO Banheiros'!$C$8</f>
        <v>300</v>
      </c>
      <c r="F174" s="432"/>
      <c r="G174" s="430">
        <f>J167</f>
        <v>5767.2412474899929</v>
      </c>
      <c r="H174" s="430"/>
      <c r="I174" s="431">
        <f>ROUND((D174/E174)*G174,2)</f>
        <v>19.22</v>
      </c>
      <c r="J174" s="431"/>
    </row>
    <row r="175" spans="1:10" ht="17.25" customHeight="1" x14ac:dyDescent="0.2">
      <c r="A175" s="412" t="s">
        <v>464</v>
      </c>
      <c r="B175" s="412"/>
      <c r="C175" s="412"/>
      <c r="D175" s="412"/>
      <c r="E175" s="412"/>
      <c r="F175" s="412"/>
      <c r="G175" s="412"/>
      <c r="H175" s="412"/>
      <c r="I175" s="413">
        <f>SUM(I173+I174)</f>
        <v>19.22</v>
      </c>
      <c r="J175" s="413"/>
    </row>
    <row r="176" spans="1:10" ht="17.25" customHeight="1" x14ac:dyDescent="0.2">
      <c r="A176" s="79"/>
      <c r="B176" s="79"/>
      <c r="C176" s="79"/>
      <c r="D176" s="79"/>
      <c r="E176" s="79"/>
      <c r="F176" s="79"/>
      <c r="G176" s="79"/>
      <c r="H176" s="79"/>
      <c r="I176" s="112"/>
      <c r="J176" s="112"/>
    </row>
    <row r="177" spans="1:10" ht="17.25" customHeight="1" x14ac:dyDescent="0.2">
      <c r="A177" s="429" t="s">
        <v>533</v>
      </c>
      <c r="B177" s="429"/>
      <c r="C177" s="429"/>
      <c r="D177" s="94">
        <v>1</v>
      </c>
      <c r="E177" s="94">
        <v>30</v>
      </c>
      <c r="F177" s="111">
        <f>E178</f>
        <v>800</v>
      </c>
      <c r="G177" s="430">
        <f>G173</f>
        <v>0</v>
      </c>
      <c r="H177" s="430"/>
      <c r="I177" s="431">
        <f>G177/F177/E177</f>
        <v>0</v>
      </c>
      <c r="J177" s="431"/>
    </row>
    <row r="178" spans="1:10" ht="17.25" customHeight="1" x14ac:dyDescent="0.2">
      <c r="A178" s="429" t="s">
        <v>534</v>
      </c>
      <c r="B178" s="429"/>
      <c r="C178" s="429"/>
      <c r="D178" s="94">
        <v>1</v>
      </c>
      <c r="E178" s="432">
        <f>'5. SAn Cálc. DEMO Banheiros'!C9</f>
        <v>800</v>
      </c>
      <c r="F178" s="432"/>
      <c r="G178" s="442">
        <f>J167</f>
        <v>5767.2412474899929</v>
      </c>
      <c r="H178" s="442"/>
      <c r="I178" s="431">
        <f>ROUND((D178/E178)*G178,2)</f>
        <v>7.21</v>
      </c>
      <c r="J178" s="431"/>
    </row>
    <row r="179" spans="1:10" ht="17.25" customHeight="1" x14ac:dyDescent="0.2">
      <c r="A179" s="412" t="s">
        <v>464</v>
      </c>
      <c r="B179" s="412"/>
      <c r="C179" s="412"/>
      <c r="D179" s="412"/>
      <c r="E179" s="412"/>
      <c r="F179" s="412"/>
      <c r="G179" s="412"/>
      <c r="H179" s="412"/>
      <c r="I179" s="413">
        <f>SUM(I177:J178)</f>
        <v>7.21</v>
      </c>
      <c r="J179" s="413"/>
    </row>
    <row r="180" spans="1:10" ht="17.25" customHeight="1" x14ac:dyDescent="0.2">
      <c r="A180" s="79"/>
      <c r="B180" s="79"/>
      <c r="C180" s="79"/>
      <c r="D180" s="79"/>
      <c r="E180" s="79"/>
      <c r="F180" s="79"/>
      <c r="G180" s="79"/>
      <c r="H180" s="79"/>
      <c r="I180" s="112"/>
      <c r="J180" s="112"/>
    </row>
    <row r="181" spans="1:10" ht="17.25" customHeight="1" x14ac:dyDescent="0.2">
      <c r="A181" s="429" t="s">
        <v>535</v>
      </c>
      <c r="B181" s="429"/>
      <c r="C181" s="429"/>
      <c r="D181" s="94">
        <v>1</v>
      </c>
      <c r="E181" s="94">
        <v>30</v>
      </c>
      <c r="F181" s="111">
        <f>E182</f>
        <v>450</v>
      </c>
      <c r="G181" s="430">
        <f>G173</f>
        <v>0</v>
      </c>
      <c r="H181" s="430"/>
      <c r="I181" s="431">
        <f>G181/F181/E181</f>
        <v>0</v>
      </c>
      <c r="J181" s="431"/>
    </row>
    <row r="182" spans="1:10" ht="17.25" customHeight="1" x14ac:dyDescent="0.2">
      <c r="A182" s="429" t="s">
        <v>536</v>
      </c>
      <c r="B182" s="429"/>
      <c r="C182" s="429"/>
      <c r="D182" s="94">
        <v>1</v>
      </c>
      <c r="E182" s="432">
        <f>'5. SAn Cálc. DEMO Banheiros'!C10</f>
        <v>450</v>
      </c>
      <c r="F182" s="432"/>
      <c r="G182" s="442">
        <f>J167</f>
        <v>5767.2412474899929</v>
      </c>
      <c r="H182" s="442"/>
      <c r="I182" s="431">
        <f>ROUND((D182/E182)*G182,2)</f>
        <v>12.82</v>
      </c>
      <c r="J182" s="431"/>
    </row>
    <row r="183" spans="1:10" ht="17.25" customHeight="1" x14ac:dyDescent="0.2">
      <c r="A183" s="412" t="s">
        <v>464</v>
      </c>
      <c r="B183" s="412"/>
      <c r="C183" s="412"/>
      <c r="D183" s="412"/>
      <c r="E183" s="412"/>
      <c r="F183" s="412"/>
      <c r="G183" s="412"/>
      <c r="H183" s="412"/>
      <c r="I183" s="413">
        <f>SUM(I181:J182)</f>
        <v>12.82</v>
      </c>
      <c r="J183" s="413"/>
    </row>
    <row r="184" spans="1:10" ht="92.25" customHeight="1" x14ac:dyDescent="0.2">
      <c r="A184" s="428" t="s">
        <v>537</v>
      </c>
      <c r="B184" s="428"/>
      <c r="C184" s="428"/>
      <c r="D184" s="428"/>
      <c r="E184" s="428"/>
      <c r="F184" s="428"/>
      <c r="G184" s="428"/>
      <c r="H184" s="428"/>
      <c r="I184" s="428"/>
      <c r="J184" s="428"/>
    </row>
    <row r="185" spans="1:10" ht="17.25" customHeight="1" x14ac:dyDescent="0.2">
      <c r="A185" s="515"/>
      <c r="B185" s="515"/>
      <c r="C185" s="515"/>
      <c r="D185" s="515"/>
      <c r="E185" s="515"/>
      <c r="F185" s="515"/>
      <c r="G185" s="515"/>
      <c r="H185" s="515"/>
      <c r="I185" s="515"/>
      <c r="J185" s="515"/>
    </row>
    <row r="186" spans="1:10" ht="17.25" customHeight="1" x14ac:dyDescent="0.2">
      <c r="A186" s="419" t="s">
        <v>501</v>
      </c>
      <c r="B186" s="419"/>
      <c r="C186" s="419"/>
      <c r="D186" s="419"/>
      <c r="E186" s="419"/>
      <c r="F186" s="419"/>
      <c r="G186" s="419"/>
      <c r="H186" s="419"/>
      <c r="I186" s="419"/>
      <c r="J186" s="419"/>
    </row>
    <row r="187" spans="1:10" ht="33.75" customHeight="1" x14ac:dyDescent="0.2">
      <c r="A187" s="419" t="s">
        <v>20</v>
      </c>
      <c r="B187" s="419"/>
      <c r="C187" s="419"/>
      <c r="D187" s="419"/>
      <c r="E187" s="419"/>
      <c r="F187" s="419" t="s">
        <v>502</v>
      </c>
      <c r="G187" s="419"/>
      <c r="H187" s="21" t="s">
        <v>503</v>
      </c>
      <c r="I187" s="419" t="s">
        <v>504</v>
      </c>
      <c r="J187" s="419"/>
    </row>
    <row r="188" spans="1:10" ht="17.25" customHeight="1" x14ac:dyDescent="0.2">
      <c r="A188" s="423" t="s">
        <v>538</v>
      </c>
      <c r="B188" s="423"/>
      <c r="C188" s="423"/>
      <c r="D188" s="423"/>
      <c r="E188" s="423"/>
      <c r="F188" s="427">
        <f>I175</f>
        <v>19.22</v>
      </c>
      <c r="G188" s="427"/>
      <c r="H188" s="106">
        <f>I25</f>
        <v>1460.76</v>
      </c>
      <c r="I188" s="425">
        <f>ROUND(F188*H188,2)</f>
        <v>28075.81</v>
      </c>
      <c r="J188" s="425"/>
    </row>
    <row r="189" spans="1:10" ht="17.25" customHeight="1" x14ac:dyDescent="0.2">
      <c r="A189" s="423" t="s">
        <v>539</v>
      </c>
      <c r="B189" s="423"/>
      <c r="C189" s="423"/>
      <c r="D189" s="423"/>
      <c r="E189" s="423"/>
      <c r="F189" s="427">
        <f>I179</f>
        <v>7.21</v>
      </c>
      <c r="G189" s="427"/>
      <c r="H189" s="106">
        <f>I26</f>
        <v>152.2861</v>
      </c>
      <c r="I189" s="425">
        <f>ROUND(F189*H189,2)</f>
        <v>1097.98</v>
      </c>
      <c r="J189" s="425"/>
    </row>
    <row r="190" spans="1:10" ht="17.25" customHeight="1" x14ac:dyDescent="0.2">
      <c r="A190" s="423" t="s">
        <v>540</v>
      </c>
      <c r="B190" s="423"/>
      <c r="C190" s="423"/>
      <c r="D190" s="423"/>
      <c r="E190" s="423"/>
      <c r="F190" s="427">
        <f>I183</f>
        <v>12.82</v>
      </c>
      <c r="G190" s="427"/>
      <c r="H190" s="106">
        <f>I27</f>
        <v>60.479275000000008</v>
      </c>
      <c r="I190" s="425">
        <f>ROUND(F190*H190,2)</f>
        <v>775.34</v>
      </c>
      <c r="J190" s="425"/>
    </row>
    <row r="191" spans="1:10" ht="17.25" customHeight="1" x14ac:dyDescent="0.2">
      <c r="A191" s="412" t="s">
        <v>541</v>
      </c>
      <c r="B191" s="412"/>
      <c r="C191" s="412"/>
      <c r="D191" s="412"/>
      <c r="E191" s="412"/>
      <c r="F191" s="412"/>
      <c r="G191" s="412"/>
      <c r="H191" s="107">
        <f>SUM(H188:H190)</f>
        <v>1673.5253749999999</v>
      </c>
      <c r="I191" s="422">
        <f>SUM(I188:J190)</f>
        <v>29949.13</v>
      </c>
      <c r="J191" s="422"/>
    </row>
    <row r="192" spans="1:10" ht="17.25" customHeight="1" x14ac:dyDescent="0.2">
      <c r="A192" s="514" t="s">
        <v>665</v>
      </c>
      <c r="B192" s="514"/>
      <c r="C192" s="514"/>
      <c r="D192" s="514"/>
      <c r="E192" s="514"/>
      <c r="F192" s="427">
        <v>0</v>
      </c>
      <c r="G192" s="427"/>
      <c r="H192" s="106">
        <f>I29</f>
        <v>0</v>
      </c>
      <c r="I192" s="425">
        <v>0</v>
      </c>
      <c r="J192" s="425"/>
    </row>
    <row r="193" spans="1:26" ht="17.25" customHeight="1" x14ac:dyDescent="0.2">
      <c r="A193" s="412" t="s">
        <v>341</v>
      </c>
      <c r="B193" s="412"/>
      <c r="C193" s="412"/>
      <c r="D193" s="412"/>
      <c r="E193" s="412"/>
      <c r="F193" s="412"/>
      <c r="G193" s="412"/>
      <c r="H193" s="107">
        <f>H192</f>
        <v>0</v>
      </c>
      <c r="I193" s="422">
        <v>0</v>
      </c>
      <c r="J193" s="422"/>
    </row>
    <row r="194" spans="1:26" ht="17.25" customHeight="1" x14ac:dyDescent="0.2">
      <c r="A194" s="412" t="s">
        <v>542</v>
      </c>
      <c r="B194" s="412"/>
      <c r="C194" s="412"/>
      <c r="D194" s="412"/>
      <c r="E194" s="412"/>
      <c r="F194" s="412"/>
      <c r="G194" s="412"/>
      <c r="H194" s="107">
        <f>ROUND(H191+H193,2)</f>
        <v>1673.53</v>
      </c>
      <c r="I194" s="422">
        <f>SUM(I191+I193)</f>
        <v>29949.13</v>
      </c>
      <c r="J194" s="422"/>
    </row>
    <row r="195" spans="1:26" ht="17.25" customHeight="1" x14ac:dyDescent="0.2">
      <c r="A195" s="423" t="s">
        <v>512</v>
      </c>
      <c r="B195" s="423"/>
      <c r="C195" s="423"/>
      <c r="D195" s="423"/>
      <c r="E195" s="423"/>
      <c r="F195" s="423"/>
      <c r="G195" s="423"/>
      <c r="H195" s="423"/>
      <c r="I195" s="416">
        <f>I194</f>
        <v>29949.13</v>
      </c>
      <c r="J195" s="416"/>
    </row>
    <row r="196" spans="1:26" ht="17.25" customHeight="1" x14ac:dyDescent="0.2">
      <c r="A196" s="423" t="s">
        <v>513</v>
      </c>
      <c r="B196" s="423"/>
      <c r="C196" s="423"/>
      <c r="D196" s="423"/>
      <c r="E196" s="423"/>
      <c r="F196" s="423"/>
      <c r="G196" s="423"/>
      <c r="H196" s="423"/>
      <c r="I196" s="418">
        <f>H21</f>
        <v>20</v>
      </c>
      <c r="J196" s="418"/>
    </row>
    <row r="197" spans="1:26" ht="17.25" customHeight="1" x14ac:dyDescent="0.2">
      <c r="A197" s="423" t="s">
        <v>514</v>
      </c>
      <c r="B197" s="423"/>
      <c r="C197" s="423"/>
      <c r="D197" s="423"/>
      <c r="E197" s="423"/>
      <c r="F197" s="423"/>
      <c r="G197" s="423"/>
      <c r="H197" s="423"/>
      <c r="I197" s="416">
        <f>ROUND(I194*I196,2)</f>
        <v>598982.6</v>
      </c>
      <c r="J197" s="416"/>
    </row>
    <row r="198" spans="1:26" ht="17.25" customHeight="1" x14ac:dyDescent="0.2">
      <c r="A198" s="512"/>
      <c r="B198" s="512"/>
      <c r="C198" s="512"/>
      <c r="D198" s="512"/>
      <c r="E198" s="512"/>
      <c r="F198" s="512"/>
      <c r="G198" s="512"/>
      <c r="H198" s="512"/>
      <c r="I198" s="512"/>
      <c r="J198" s="512"/>
      <c r="K198" s="52"/>
      <c r="L198" s="52"/>
      <c r="M198" s="52"/>
      <c r="N198" s="52"/>
      <c r="O198" s="52"/>
      <c r="P198" s="52"/>
      <c r="Q198" s="52"/>
      <c r="R198" s="52"/>
      <c r="S198" s="52"/>
      <c r="T198" s="52"/>
      <c r="U198" s="52"/>
      <c r="V198" s="52"/>
      <c r="W198" s="52"/>
      <c r="X198" s="52"/>
      <c r="Y198" s="52"/>
      <c r="Z198" s="52"/>
    </row>
    <row r="199" spans="1:26" ht="17.25" customHeight="1" x14ac:dyDescent="0.2">
      <c r="A199" s="415" t="s">
        <v>515</v>
      </c>
      <c r="B199" s="415"/>
      <c r="C199" s="415"/>
      <c r="D199" s="415"/>
      <c r="E199" s="415"/>
      <c r="F199" s="415"/>
      <c r="G199" s="415"/>
      <c r="H199" s="415"/>
      <c r="I199" s="415"/>
      <c r="J199" s="415"/>
    </row>
    <row r="200" spans="1:26" ht="17.25" customHeight="1" x14ac:dyDescent="0.2">
      <c r="A200" s="419" t="s">
        <v>516</v>
      </c>
      <c r="B200" s="419"/>
      <c r="C200" s="419"/>
      <c r="D200" s="419"/>
      <c r="E200" s="419"/>
      <c r="F200" s="419"/>
      <c r="G200" s="419" t="s">
        <v>517</v>
      </c>
      <c r="H200" s="419"/>
      <c r="I200" s="419"/>
      <c r="J200" s="419"/>
    </row>
    <row r="201" spans="1:26" ht="17.25" customHeight="1" x14ac:dyDescent="0.2">
      <c r="A201" s="420" t="s">
        <v>68</v>
      </c>
      <c r="B201" s="420"/>
      <c r="C201" s="420"/>
      <c r="D201" s="420"/>
      <c r="E201" s="420"/>
      <c r="F201" s="420"/>
      <c r="G201" s="513">
        <f>'5. SAn Cálc. DEMO Banheiros'!$L$13</f>
        <v>5.1939560138888892</v>
      </c>
      <c r="H201" s="513"/>
      <c r="I201" s="513"/>
      <c r="J201" s="513"/>
    </row>
    <row r="202" spans="1:26" ht="17.25" customHeight="1" x14ac:dyDescent="0.2">
      <c r="A202" s="414"/>
      <c r="B202" s="414"/>
      <c r="C202" s="414"/>
      <c r="D202" s="414"/>
      <c r="E202" s="414"/>
      <c r="F202" s="414"/>
      <c r="G202" s="414"/>
      <c r="H202" s="414"/>
      <c r="I202" s="414"/>
      <c r="J202" s="414"/>
      <c r="K202" s="52"/>
      <c r="L202" s="52"/>
      <c r="M202" s="52"/>
      <c r="N202" s="52"/>
      <c r="O202" s="52"/>
      <c r="P202" s="52"/>
      <c r="Q202" s="52"/>
      <c r="R202" s="52"/>
      <c r="S202" s="52"/>
      <c r="T202" s="52"/>
      <c r="U202" s="52"/>
      <c r="V202" s="52"/>
      <c r="W202" s="52"/>
      <c r="X202" s="52"/>
      <c r="Y202" s="52"/>
      <c r="Z202" s="52"/>
    </row>
    <row r="203" spans="1:26" ht="32.25" customHeight="1" x14ac:dyDescent="0.2">
      <c r="A203" s="417" t="s">
        <v>543</v>
      </c>
      <c r="B203" s="417"/>
      <c r="C203" s="417"/>
      <c r="D203" s="417"/>
      <c r="E203" s="417"/>
      <c r="F203" s="417"/>
      <c r="G203" s="417"/>
      <c r="H203" s="417"/>
      <c r="I203" s="417"/>
      <c r="J203" s="417"/>
    </row>
    <row r="204" spans="1:26" ht="12.75" customHeight="1" x14ac:dyDescent="0.2"/>
    <row r="205" spans="1:26" ht="12.75" customHeight="1" x14ac:dyDescent="0.2"/>
    <row r="206" spans="1:26" ht="12.75" customHeight="1" x14ac:dyDescent="0.2"/>
    <row r="207" spans="1:26" ht="12.75" customHeight="1" x14ac:dyDescent="0.2"/>
    <row r="208" spans="1:26"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sheetData>
  <sheetProtection selectLockedCells="1" selectUnlockedCells="1"/>
  <mergeCells count="279">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5:G15"/>
    <mergeCell ref="B21:G21"/>
    <mergeCell ref="H21:J21"/>
    <mergeCell ref="A23:J23"/>
    <mergeCell ref="A24:F24"/>
    <mergeCell ref="G24:H24"/>
    <mergeCell ref="I24:J24"/>
    <mergeCell ref="A25:F25"/>
    <mergeCell ref="G25:H25"/>
    <mergeCell ref="I25:J25"/>
    <mergeCell ref="A26:F26"/>
    <mergeCell ref="G26:H26"/>
    <mergeCell ref="I26:J26"/>
    <mergeCell ref="A27:F27"/>
    <mergeCell ref="G27:H27"/>
    <mergeCell ref="I27:J27"/>
    <mergeCell ref="A28:H28"/>
    <mergeCell ref="I28:J28"/>
    <mergeCell ref="A29:F29"/>
    <mergeCell ref="G29:H29"/>
    <mergeCell ref="I29:J29"/>
    <mergeCell ref="A30:H30"/>
    <mergeCell ref="I30:J30"/>
    <mergeCell ref="A31:H31"/>
    <mergeCell ref="I31:J31"/>
    <mergeCell ref="A32:J32"/>
    <mergeCell ref="A33:J33"/>
    <mergeCell ref="A34:J34"/>
    <mergeCell ref="A35:J35"/>
    <mergeCell ref="B36:G36"/>
    <mergeCell ref="H36:J36"/>
    <mergeCell ref="B37:G37"/>
    <mergeCell ref="H37:J37"/>
    <mergeCell ref="B38:G38"/>
    <mergeCell ref="H38:J38"/>
    <mergeCell ref="B39:G39"/>
    <mergeCell ref="H39:J39"/>
    <mergeCell ref="B40:G40"/>
    <mergeCell ref="H40:J40"/>
    <mergeCell ref="B41:J41"/>
    <mergeCell ref="A42:J42"/>
    <mergeCell ref="A43:J43"/>
    <mergeCell ref="B44:H44"/>
    <mergeCell ref="B45:D45"/>
    <mergeCell ref="G45:I45"/>
    <mergeCell ref="B46:C46"/>
    <mergeCell ref="D46:H46"/>
    <mergeCell ref="B47:I47"/>
    <mergeCell ref="A48:I48"/>
    <mergeCell ref="B49:J49"/>
    <mergeCell ref="A50:J50"/>
    <mergeCell ref="A51:J51"/>
    <mergeCell ref="B52:I52"/>
    <mergeCell ref="B53:I53"/>
    <mergeCell ref="B54:I54"/>
    <mergeCell ref="A55:I55"/>
    <mergeCell ref="B56:J56"/>
    <mergeCell ref="A57:I57"/>
    <mergeCell ref="B58:J58"/>
    <mergeCell ref="B59:H59"/>
    <mergeCell ref="B60:H60"/>
    <mergeCell ref="B61:H61"/>
    <mergeCell ref="B62:D62"/>
    <mergeCell ref="B63:H63"/>
    <mergeCell ref="B64:H64"/>
    <mergeCell ref="B65:H65"/>
    <mergeCell ref="B66:H66"/>
    <mergeCell ref="B67:H67"/>
    <mergeCell ref="A68:H68"/>
    <mergeCell ref="B69:J69"/>
    <mergeCell ref="B70:J70"/>
    <mergeCell ref="B72:J72"/>
    <mergeCell ref="B73:I73"/>
    <mergeCell ref="A74:A78"/>
    <mergeCell ref="B74:I74"/>
    <mergeCell ref="J74:J78"/>
    <mergeCell ref="B75:H75"/>
    <mergeCell ref="B76:H76"/>
    <mergeCell ref="B77:H77"/>
    <mergeCell ref="B78:H78"/>
    <mergeCell ref="A79:A82"/>
    <mergeCell ref="B79:D79"/>
    <mergeCell ref="J79:J82"/>
    <mergeCell ref="B80:H80"/>
    <mergeCell ref="B81:H81"/>
    <mergeCell ref="B82:H82"/>
    <mergeCell ref="B83:D83"/>
    <mergeCell ref="B84:I84"/>
    <mergeCell ref="A85:I85"/>
    <mergeCell ref="E79:I79"/>
    <mergeCell ref="E83:I83"/>
    <mergeCell ref="B86:J86"/>
    <mergeCell ref="B87:J87"/>
    <mergeCell ref="A89:J89"/>
    <mergeCell ref="B90:I90"/>
    <mergeCell ref="B91:I91"/>
    <mergeCell ref="B92:I92"/>
    <mergeCell ref="B93:I93"/>
    <mergeCell ref="A94:I94"/>
    <mergeCell ref="A96:J96"/>
    <mergeCell ref="B97:I97"/>
    <mergeCell ref="B98:I98"/>
    <mergeCell ref="B99:I99"/>
    <mergeCell ref="B100:I100"/>
    <mergeCell ref="B101:I101"/>
    <mergeCell ref="B102:I102"/>
    <mergeCell ref="B103:I103"/>
    <mergeCell ref="A104:I104"/>
    <mergeCell ref="A106:J106"/>
    <mergeCell ref="A107:J107"/>
    <mergeCell ref="A108:B108"/>
    <mergeCell ref="D108:E108"/>
    <mergeCell ref="G108:H108"/>
    <mergeCell ref="A109:F109"/>
    <mergeCell ref="G109:I109"/>
    <mergeCell ref="B111:I111"/>
    <mergeCell ref="B112:I112"/>
    <mergeCell ref="B113:I113"/>
    <mergeCell ref="B114:I114"/>
    <mergeCell ref="B115:I115"/>
    <mergeCell ref="B116:I116"/>
    <mergeCell ref="B117:I117"/>
    <mergeCell ref="A118:I118"/>
    <mergeCell ref="B119:I119"/>
    <mergeCell ref="B120:I120"/>
    <mergeCell ref="B121:I121"/>
    <mergeCell ref="A122:I122"/>
    <mergeCell ref="A123:I123"/>
    <mergeCell ref="A124:J124"/>
    <mergeCell ref="B125:I125"/>
    <mergeCell ref="B126:I126"/>
    <mergeCell ref="B127:I127"/>
    <mergeCell ref="A128:I128"/>
    <mergeCell ref="B129:J129"/>
    <mergeCell ref="A131:J131"/>
    <mergeCell ref="B132:I132"/>
    <mergeCell ref="B133:I133"/>
    <mergeCell ref="B134:I134"/>
    <mergeCell ref="B135:I135"/>
    <mergeCell ref="B136:I136"/>
    <mergeCell ref="A137:I137"/>
    <mergeCell ref="B138:J138"/>
    <mergeCell ref="A139:J139"/>
    <mergeCell ref="A140:J140"/>
    <mergeCell ref="B141:H141"/>
    <mergeCell ref="A142:I142"/>
    <mergeCell ref="B143:H143"/>
    <mergeCell ref="A144:I144"/>
    <mergeCell ref="B145:H145"/>
    <mergeCell ref="A146:I146"/>
    <mergeCell ref="B147:H147"/>
    <mergeCell ref="K147:L147"/>
    <mergeCell ref="A148:A149"/>
    <mergeCell ref="B148:E149"/>
    <mergeCell ref="F148:H148"/>
    <mergeCell ref="F149:H149"/>
    <mergeCell ref="B150:E150"/>
    <mergeCell ref="F150:H150"/>
    <mergeCell ref="B151:E151"/>
    <mergeCell ref="F151:H151"/>
    <mergeCell ref="A152:I152"/>
    <mergeCell ref="B153:J153"/>
    <mergeCell ref="A154:A156"/>
    <mergeCell ref="B154:C156"/>
    <mergeCell ref="D154:F156"/>
    <mergeCell ref="G154:H156"/>
    <mergeCell ref="J154:J156"/>
    <mergeCell ref="A157:J157"/>
    <mergeCell ref="A158:J158"/>
    <mergeCell ref="A159:I159"/>
    <mergeCell ref="B160:I160"/>
    <mergeCell ref="B161:I161"/>
    <mergeCell ref="B162:I162"/>
    <mergeCell ref="B163:I163"/>
    <mergeCell ref="B164:I164"/>
    <mergeCell ref="A165:I165"/>
    <mergeCell ref="B166:I166"/>
    <mergeCell ref="A167:G167"/>
    <mergeCell ref="A169:J169"/>
    <mergeCell ref="A170:J170"/>
    <mergeCell ref="A171:J171"/>
    <mergeCell ref="A172:C172"/>
    <mergeCell ref="D172:F172"/>
    <mergeCell ref="G172:H172"/>
    <mergeCell ref="I172:J172"/>
    <mergeCell ref="A173:C173"/>
    <mergeCell ref="G173:H173"/>
    <mergeCell ref="I173:J173"/>
    <mergeCell ref="A174:C174"/>
    <mergeCell ref="E174:F174"/>
    <mergeCell ref="G174:H174"/>
    <mergeCell ref="I174:J174"/>
    <mergeCell ref="A175:H175"/>
    <mergeCell ref="I175:J175"/>
    <mergeCell ref="A177:C177"/>
    <mergeCell ref="G177:H177"/>
    <mergeCell ref="I177:J177"/>
    <mergeCell ref="A178:C178"/>
    <mergeCell ref="E178:F178"/>
    <mergeCell ref="G178:H178"/>
    <mergeCell ref="I178:J178"/>
    <mergeCell ref="A179:H179"/>
    <mergeCell ref="I179:J179"/>
    <mergeCell ref="A181:C181"/>
    <mergeCell ref="G181:H181"/>
    <mergeCell ref="I181:J181"/>
    <mergeCell ref="A182:C182"/>
    <mergeCell ref="E182:F182"/>
    <mergeCell ref="G182:H182"/>
    <mergeCell ref="I182:J182"/>
    <mergeCell ref="A183:H183"/>
    <mergeCell ref="I183:J183"/>
    <mergeCell ref="A184:J184"/>
    <mergeCell ref="A185:J185"/>
    <mergeCell ref="A186:J186"/>
    <mergeCell ref="A187:E187"/>
    <mergeCell ref="F187:G187"/>
    <mergeCell ref="I187:J187"/>
    <mergeCell ref="A188:E188"/>
    <mergeCell ref="F188:G188"/>
    <mergeCell ref="I188:J188"/>
    <mergeCell ref="A189:E189"/>
    <mergeCell ref="F189:G189"/>
    <mergeCell ref="I189:J189"/>
    <mergeCell ref="A190:E190"/>
    <mergeCell ref="F190:G190"/>
    <mergeCell ref="I190:J190"/>
    <mergeCell ref="A191:G191"/>
    <mergeCell ref="I191:J191"/>
    <mergeCell ref="A192:E192"/>
    <mergeCell ref="F192:G192"/>
    <mergeCell ref="I192:J192"/>
    <mergeCell ref="A198:J198"/>
    <mergeCell ref="A199:J199"/>
    <mergeCell ref="A200:F200"/>
    <mergeCell ref="G200:J200"/>
    <mergeCell ref="A201:F201"/>
    <mergeCell ref="G201:J201"/>
    <mergeCell ref="A202:J202"/>
    <mergeCell ref="A203:J203"/>
    <mergeCell ref="A193:G193"/>
    <mergeCell ref="I193:J193"/>
    <mergeCell ref="A194:G194"/>
    <mergeCell ref="I194:J194"/>
    <mergeCell ref="A195:H195"/>
    <mergeCell ref="I195:J195"/>
    <mergeCell ref="A196:H196"/>
    <mergeCell ref="I196:J196"/>
    <mergeCell ref="A197:H197"/>
    <mergeCell ref="I197:J197"/>
  </mergeCells>
  <conditionalFormatting sqref="A14:G14">
    <cfRule type="expression" dxfId="5" priority="2">
      <formula>LEN(TRIM(A14))&gt;0</formula>
    </cfRule>
  </conditionalFormatting>
  <conditionalFormatting sqref="H14:J14">
    <cfRule type="expression" dxfId="4" priority="3">
      <formula>LEN(TRIM(H14))&gt;0</formula>
    </cfRule>
  </conditionalFormatting>
  <printOptions horizontalCentered="1"/>
  <pageMargins left="0" right="0" top="0.39370078740157483" bottom="0" header="0" footer="0.51181102362204722"/>
  <pageSetup paperSize="9" scale="65" firstPageNumber="0" orientation="portrait" r:id="rId1"/>
  <headerFooter>
    <oddHeader>&amp;R&amp;P de &amp;N</oddHeader>
    <oddFooter>&amp;L&amp;F - &amp;A&amp;CPágina &amp;P de &amp;N</oddFooter>
  </headerFooter>
  <rowBreaks count="2" manualBreakCount="2">
    <brk id="70" max="9" man="1"/>
    <brk id="130" max="9" man="1"/>
  </rowBreaks>
  <colBreaks count="1" manualBreakCount="1">
    <brk id="12"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Z982"/>
  <sheetViews>
    <sheetView showGridLines="0" topLeftCell="A166" zoomScaleNormal="100" workbookViewId="0">
      <selection activeCell="A63" sqref="A63:B63"/>
    </sheetView>
  </sheetViews>
  <sheetFormatPr defaultRowHeight="14.25" x14ac:dyDescent="0.2"/>
  <cols>
    <col min="1" max="1" width="17.85546875" style="51" customWidth="1"/>
    <col min="2" max="2" width="8" style="51" customWidth="1"/>
    <col min="3" max="3" width="17.28515625" style="51" customWidth="1"/>
    <col min="4" max="7" width="15.42578125" style="51" customWidth="1"/>
    <col min="8" max="8" width="12.28515625" style="51" customWidth="1"/>
    <col min="9" max="9" width="20.42578125" style="51" customWidth="1"/>
    <col min="10" max="10" width="20.5703125" style="51" customWidth="1"/>
    <col min="11" max="11" width="13.28515625" style="51" customWidth="1"/>
    <col min="12" max="12" width="13.85546875" style="51" customWidth="1"/>
    <col min="13" max="26" width="8" style="51" customWidth="1"/>
    <col min="27" max="1025" width="14.42578125" style="51" customWidth="1"/>
    <col min="1026" max="16384" width="9.140625" style="51"/>
  </cols>
  <sheetData>
    <row r="1" spans="1:26" ht="15" x14ac:dyDescent="0.2">
      <c r="A1" s="402" t="s">
        <v>0</v>
      </c>
      <c r="B1" s="402"/>
      <c r="C1" s="402"/>
      <c r="D1" s="402"/>
      <c r="E1" s="402"/>
      <c r="F1" s="402"/>
      <c r="G1" s="402"/>
      <c r="H1" s="402"/>
      <c r="I1" s="402"/>
      <c r="J1" s="402"/>
    </row>
    <row r="2" spans="1:26" ht="15" x14ac:dyDescent="0.2">
      <c r="A2" s="402" t="s">
        <v>1</v>
      </c>
      <c r="B2" s="402"/>
      <c r="C2" s="402"/>
      <c r="D2" s="402"/>
      <c r="E2" s="402"/>
      <c r="F2" s="402"/>
      <c r="G2" s="402"/>
      <c r="H2" s="402"/>
      <c r="I2" s="402"/>
      <c r="J2" s="402"/>
    </row>
    <row r="3" spans="1:26" ht="15" x14ac:dyDescent="0.2">
      <c r="A3" s="402" t="s">
        <v>2</v>
      </c>
      <c r="B3" s="402"/>
      <c r="C3" s="402"/>
      <c r="D3" s="402"/>
      <c r="E3" s="402"/>
      <c r="F3" s="402"/>
      <c r="G3" s="402"/>
      <c r="H3" s="402"/>
      <c r="I3" s="402"/>
      <c r="J3" s="402"/>
    </row>
    <row r="4" spans="1:26" ht="15" x14ac:dyDescent="0.2">
      <c r="A4" s="403" t="str">
        <f>'1. SAn ABA DE CARREGAMENTO'!A4</f>
        <v>CAMPUS SANTO ÂNGELO</v>
      </c>
      <c r="B4" s="403"/>
      <c r="C4" s="403"/>
      <c r="D4" s="403"/>
      <c r="E4" s="403"/>
      <c r="F4" s="403"/>
      <c r="G4" s="403"/>
      <c r="H4" s="403"/>
      <c r="I4" s="403"/>
      <c r="J4" s="403"/>
    </row>
    <row r="5" spans="1:26" ht="20.25" customHeight="1" x14ac:dyDescent="0.2">
      <c r="A5" s="404" t="s">
        <v>297</v>
      </c>
      <c r="B5" s="404"/>
      <c r="C5" s="404"/>
      <c r="D5" s="404"/>
      <c r="E5" s="404"/>
      <c r="F5" s="404"/>
      <c r="G5" s="404"/>
      <c r="H5" s="404"/>
      <c r="I5" s="404"/>
      <c r="J5" s="404"/>
    </row>
    <row r="6" spans="1:26" ht="9.9499999999999993" customHeight="1" x14ac:dyDescent="0.2">
      <c r="A6" s="6"/>
      <c r="B6" s="6"/>
      <c r="C6" s="6"/>
      <c r="D6" s="6"/>
      <c r="E6" s="6"/>
      <c r="F6" s="6"/>
      <c r="G6" s="6"/>
      <c r="H6" s="6"/>
      <c r="I6" s="6"/>
      <c r="J6" s="6"/>
      <c r="K6" s="52"/>
      <c r="L6" s="52"/>
      <c r="M6" s="52"/>
      <c r="N6" s="52"/>
      <c r="O6" s="52"/>
      <c r="P6" s="52"/>
      <c r="Q6" s="52"/>
      <c r="R6" s="52"/>
      <c r="S6" s="52"/>
      <c r="T6" s="52"/>
      <c r="U6" s="52"/>
      <c r="V6" s="52"/>
      <c r="W6" s="52"/>
      <c r="X6" s="52"/>
      <c r="Y6" s="52"/>
      <c r="Z6" s="52"/>
    </row>
    <row r="7" spans="1:26" ht="20.25" customHeight="1" x14ac:dyDescent="0.2">
      <c r="A7" s="419" t="str">
        <f>'7. SAn Planilha Área Geral'!A7:J7</f>
        <v>IN/MPDG Nº 05/2017 - Anexo VII-D</v>
      </c>
      <c r="B7" s="419"/>
      <c r="C7" s="419"/>
      <c r="D7" s="419"/>
      <c r="E7" s="419"/>
      <c r="F7" s="419"/>
      <c r="G7" s="419"/>
      <c r="H7" s="419"/>
      <c r="I7" s="419"/>
      <c r="J7" s="419"/>
    </row>
    <row r="8" spans="1:26" ht="9.9499999999999993" customHeight="1" x14ac:dyDescent="0.2">
      <c r="A8" s="443"/>
      <c r="B8" s="443"/>
      <c r="C8" s="443"/>
      <c r="D8" s="443"/>
      <c r="E8" s="443"/>
      <c r="F8" s="443"/>
      <c r="G8" s="443"/>
      <c r="H8" s="443"/>
      <c r="I8" s="443"/>
      <c r="J8" s="443"/>
      <c r="K8" s="52"/>
      <c r="L8" s="52"/>
      <c r="M8" s="52"/>
      <c r="N8" s="52"/>
      <c r="O8" s="52"/>
      <c r="P8" s="52"/>
      <c r="Q8" s="52"/>
      <c r="R8" s="52"/>
      <c r="S8" s="52"/>
      <c r="T8" s="52"/>
      <c r="U8" s="52"/>
      <c r="V8" s="52"/>
      <c r="W8" s="52"/>
      <c r="X8" s="52"/>
      <c r="Y8" s="52"/>
      <c r="Z8" s="52"/>
    </row>
    <row r="9" spans="1:26" ht="15" customHeight="1" x14ac:dyDescent="0.2">
      <c r="A9" s="419" t="s">
        <v>544</v>
      </c>
      <c r="B9" s="419"/>
      <c r="C9" s="419"/>
      <c r="D9" s="508" t="s">
        <v>545</v>
      </c>
      <c r="E9" s="508"/>
      <c r="F9" s="508"/>
      <c r="G9" s="508"/>
      <c r="H9" s="508"/>
      <c r="I9" s="509" t="str">
        <f>'1. SAn ABA DE CARREGAMENTO'!A4</f>
        <v>CAMPUS SANTO ÂNGELO</v>
      </c>
      <c r="J9" s="509"/>
    </row>
    <row r="10" spans="1:26" ht="15" customHeight="1" x14ac:dyDescent="0.2">
      <c r="A10" s="419"/>
      <c r="B10" s="419"/>
      <c r="C10" s="419"/>
      <c r="D10" s="522" t="s">
        <v>546</v>
      </c>
      <c r="E10" s="522"/>
      <c r="F10" s="522"/>
      <c r="G10" s="50">
        <f>'6. SAn Cál DEMO Esq. e Fach'!D12</f>
        <v>362.78563333333341</v>
      </c>
      <c r="H10" s="17" t="s">
        <v>301</v>
      </c>
      <c r="I10" s="523" t="s">
        <v>302</v>
      </c>
      <c r="J10" s="523"/>
    </row>
    <row r="11" spans="1:26" ht="30" x14ac:dyDescent="0.2">
      <c r="A11" s="53" t="s">
        <v>303</v>
      </c>
      <c r="B11" s="500" t="str">
        <f>'1. SAn ABA DE CARREGAMENTO'!B11</f>
        <v>23243.000810-2021-41</v>
      </c>
      <c r="C11" s="500"/>
      <c r="D11" s="53" t="s">
        <v>304</v>
      </c>
      <c r="E11" s="501" t="str">
        <f>'1. SAn ABA DE CARREGAMENTO'!B12</f>
        <v>33 / 2021</v>
      </c>
      <c r="F11" s="501"/>
      <c r="G11" s="53" t="s">
        <v>12</v>
      </c>
      <c r="H11" s="54">
        <f>'1. SAn ABA DE CARREGAMENTO'!B13</f>
        <v>0</v>
      </c>
      <c r="I11" s="55" t="s">
        <v>13</v>
      </c>
      <c r="J11" s="56" t="str">
        <f>'1. SAn ABA DE CARREGAMENTO'!B14</f>
        <v>09h (Horário de Brasília)</v>
      </c>
    </row>
    <row r="12" spans="1:26" ht="15" x14ac:dyDescent="0.2">
      <c r="A12" s="57" t="s">
        <v>14</v>
      </c>
      <c r="B12" s="502" t="str">
        <f>'1. SAn ABA DE CARREGAMENTO'!B15</f>
        <v>xxxx xxxx xxxx</v>
      </c>
      <c r="C12" s="502"/>
      <c r="D12" s="502"/>
      <c r="E12" s="502"/>
      <c r="F12" s="502"/>
      <c r="G12" s="502"/>
      <c r="H12" s="58" t="s">
        <v>305</v>
      </c>
      <c r="I12" s="503" t="str">
        <f>'1. SAn ABA DE CARREGAMENTO'!B16</f>
        <v>zz.zzz.zzz/zzzz-zz</v>
      </c>
      <c r="J12" s="503"/>
    </row>
    <row r="13" spans="1:26" ht="15" x14ac:dyDescent="0.2">
      <c r="A13" s="57" t="s">
        <v>306</v>
      </c>
      <c r="B13" s="502" t="str">
        <f>'1. SAn ABA DE CARREGAMENTO'!B17</f>
        <v>Nome Completo</v>
      </c>
      <c r="C13" s="502"/>
      <c r="D13" s="502"/>
      <c r="E13" s="57" t="s">
        <v>307</v>
      </c>
      <c r="F13" s="504" t="str">
        <f>'1. SAn ABA DE CARREGAMENTO'!B18</f>
        <v>yyy.yyy.yyy-yy</v>
      </c>
      <c r="G13" s="504"/>
      <c r="H13" s="57" t="s">
        <v>308</v>
      </c>
      <c r="I13" s="505" t="str">
        <f>'1. SAn ABA DE CARREGAMENTO'!B19</f>
        <v>tttt tttt tttt</v>
      </c>
      <c r="J13" s="505"/>
    </row>
    <row r="14" spans="1:26" ht="15" x14ac:dyDescent="0.2">
      <c r="A14" s="506" t="str">
        <f>IF('1. SAn ABA DE CARREGAMENTO'!B15="","PLANILHA CUSTOS E FORMAÇÃO DE PREÇOS DA ADMINISTRAÇÃO DO","")</f>
        <v/>
      </c>
      <c r="B14" s="506"/>
      <c r="C14" s="506"/>
      <c r="D14" s="506"/>
      <c r="E14" s="506"/>
      <c r="F14" s="506"/>
      <c r="G14" s="506"/>
      <c r="H14" s="507" t="str">
        <f>IF('1. SAn ABA DE CARREGAMENTO'!B15="",'1. SAn ABA DE CARREGAMENTO'!A4,"")</f>
        <v/>
      </c>
      <c r="I14" s="507"/>
      <c r="J14" s="507"/>
    </row>
    <row r="15" spans="1:26" ht="12.75" customHeight="1" x14ac:dyDescent="0.2">
      <c r="A15" s="499" t="s">
        <v>638</v>
      </c>
      <c r="B15" s="499"/>
      <c r="C15" s="499"/>
      <c r="D15" s="499"/>
      <c r="E15" s="499"/>
      <c r="F15" s="499"/>
      <c r="G15" s="499"/>
      <c r="H15" s="21">
        <f>'1. SAn ABA DE CARREGAMENTO'!B51</f>
        <v>1</v>
      </c>
      <c r="I15" s="497" t="str">
        <f>IF(H15=1,"LUCRO REAL",IF(H15=2,"LUCRO PRESUMIDO",IF(H15=3,"SIMPLES-Anexo III",IF(H15=4,"SIMPLES-Anexo IV",IF(H15=5,"LUCRO REAL - PIS/COFINS Não Cumulativo","RT Inválido")))))</f>
        <v>LUCRO REAL</v>
      </c>
      <c r="J15" s="497"/>
    </row>
    <row r="16" spans="1:26" ht="9.9499999999999993" customHeight="1" x14ac:dyDescent="0.2">
      <c r="A16" s="6"/>
      <c r="B16" s="6"/>
      <c r="C16" s="6"/>
      <c r="D16" s="6"/>
      <c r="E16" s="6"/>
      <c r="F16" s="6"/>
      <c r="G16" s="6"/>
      <c r="H16" s="6"/>
      <c r="I16" s="6"/>
      <c r="J16" s="6"/>
      <c r="K16" s="52"/>
      <c r="L16" s="52"/>
      <c r="M16" s="52"/>
      <c r="N16" s="52"/>
      <c r="O16" s="52"/>
      <c r="P16" s="52"/>
      <c r="Q16" s="52"/>
      <c r="R16" s="52"/>
      <c r="S16" s="52"/>
      <c r="T16" s="52"/>
      <c r="U16" s="52"/>
      <c r="V16" s="52"/>
      <c r="W16" s="52"/>
      <c r="X16" s="52"/>
      <c r="Y16" s="52"/>
      <c r="Z16" s="52"/>
    </row>
    <row r="17" spans="1:26" ht="12.75" customHeight="1" x14ac:dyDescent="0.2">
      <c r="A17" s="419" t="s">
        <v>309</v>
      </c>
      <c r="B17" s="419"/>
      <c r="C17" s="419"/>
      <c r="D17" s="419"/>
      <c r="E17" s="419"/>
      <c r="F17" s="419"/>
      <c r="G17" s="419"/>
      <c r="H17" s="419"/>
      <c r="I17" s="419"/>
      <c r="J17" s="419"/>
    </row>
    <row r="18" spans="1:26" ht="12.75" customHeight="1" x14ac:dyDescent="0.2">
      <c r="A18" s="22" t="s">
        <v>310</v>
      </c>
      <c r="B18" s="449" t="s">
        <v>311</v>
      </c>
      <c r="C18" s="449"/>
      <c r="D18" s="449"/>
      <c r="E18" s="449"/>
      <c r="F18" s="449"/>
      <c r="G18" s="449"/>
      <c r="H18" s="498">
        <f ca="1">'1. SAn ABA DE CARREGAMENTO'!B54</f>
        <v>44609</v>
      </c>
      <c r="I18" s="498"/>
      <c r="J18" s="498"/>
    </row>
    <row r="19" spans="1:26" ht="12.75" customHeight="1" x14ac:dyDescent="0.2">
      <c r="A19" s="22" t="s">
        <v>312</v>
      </c>
      <c r="B19" s="449" t="s">
        <v>57</v>
      </c>
      <c r="C19" s="449"/>
      <c r="D19" s="449"/>
      <c r="E19" s="449"/>
      <c r="F19" s="449"/>
      <c r="G19" s="449"/>
      <c r="H19" s="498" t="str">
        <f>'1. SAn ABA DE CARREGAMENTO'!B55</f>
        <v>Santo Ângelo/RS</v>
      </c>
      <c r="I19" s="498"/>
      <c r="J19" s="498"/>
    </row>
    <row r="20" spans="1:26" ht="12.75" customHeight="1" x14ac:dyDescent="0.2">
      <c r="A20" s="22" t="s">
        <v>313</v>
      </c>
      <c r="B20" s="449" t="s">
        <v>314</v>
      </c>
      <c r="C20" s="449"/>
      <c r="D20" s="449"/>
      <c r="E20" s="449"/>
      <c r="F20" s="449"/>
      <c r="G20" s="449"/>
      <c r="H20" s="498" t="str">
        <f>'1. SAn ABA DE CARREGAMENTO'!B56</f>
        <v>CCT Sindasseio 2022/2022 - Registro MTE: RS005021/2022</v>
      </c>
      <c r="I20" s="498"/>
      <c r="J20" s="498"/>
    </row>
    <row r="21" spans="1:26" ht="12.75" customHeight="1" x14ac:dyDescent="0.2">
      <c r="A21" s="22" t="s">
        <v>315</v>
      </c>
      <c r="B21" s="449" t="s">
        <v>316</v>
      </c>
      <c r="C21" s="449"/>
      <c r="D21" s="449"/>
      <c r="E21" s="449"/>
      <c r="F21" s="449"/>
      <c r="G21" s="449"/>
      <c r="H21" s="496">
        <f>'1. SAn ABA DE CARREGAMENTO'!B57</f>
        <v>20</v>
      </c>
      <c r="I21" s="496"/>
      <c r="J21" s="496"/>
    </row>
    <row r="22" spans="1:26" ht="9.9499999999999993" customHeight="1" x14ac:dyDescent="0.2">
      <c r="A22" s="6"/>
      <c r="B22" s="6"/>
      <c r="C22" s="6"/>
      <c r="D22" s="6"/>
      <c r="E22" s="6"/>
      <c r="F22" s="6"/>
      <c r="G22" s="6"/>
      <c r="H22" s="6"/>
      <c r="I22" s="6"/>
      <c r="J22" s="6"/>
      <c r="K22" s="52"/>
      <c r="L22" s="52"/>
      <c r="M22" s="52"/>
      <c r="N22" s="52"/>
      <c r="O22" s="52"/>
      <c r="P22" s="52"/>
      <c r="Q22" s="52"/>
      <c r="R22" s="52"/>
      <c r="S22" s="52"/>
      <c r="T22" s="52"/>
      <c r="U22" s="52"/>
      <c r="V22" s="52"/>
      <c r="W22" s="52"/>
      <c r="X22" s="52"/>
      <c r="Y22" s="52"/>
      <c r="Z22" s="52"/>
    </row>
    <row r="23" spans="1:26" ht="12.75" customHeight="1" x14ac:dyDescent="0.2">
      <c r="A23" s="419" t="s">
        <v>317</v>
      </c>
      <c r="B23" s="419"/>
      <c r="C23" s="419"/>
      <c r="D23" s="419"/>
      <c r="E23" s="419"/>
      <c r="F23" s="419"/>
      <c r="G23" s="419"/>
      <c r="H23" s="419"/>
      <c r="I23" s="419"/>
      <c r="J23" s="419"/>
    </row>
    <row r="24" spans="1:26" ht="12.75" customHeight="1" x14ac:dyDescent="0.2">
      <c r="A24" s="474" t="s">
        <v>318</v>
      </c>
      <c r="B24" s="474"/>
      <c r="C24" s="474"/>
      <c r="D24" s="474"/>
      <c r="E24" s="474"/>
      <c r="F24" s="474"/>
      <c r="G24" s="474" t="s">
        <v>319</v>
      </c>
      <c r="H24" s="474"/>
      <c r="I24" s="474" t="s">
        <v>320</v>
      </c>
      <c r="J24" s="474"/>
    </row>
    <row r="25" spans="1:26" ht="12.75" customHeight="1" x14ac:dyDescent="0.2">
      <c r="A25" s="429" t="s">
        <v>547</v>
      </c>
      <c r="B25" s="429"/>
      <c r="C25" s="429"/>
      <c r="D25" s="429"/>
      <c r="E25" s="429"/>
      <c r="F25" s="429"/>
      <c r="G25" s="492" t="s">
        <v>322</v>
      </c>
      <c r="H25" s="492"/>
      <c r="I25" s="495">
        <f>'6. SAn Cál DEMO Esq. e Fach'!$D$8</f>
        <v>3.2940333333333336</v>
      </c>
      <c r="J25" s="495"/>
    </row>
    <row r="26" spans="1:26" ht="12.75" customHeight="1" x14ac:dyDescent="0.2">
      <c r="A26" s="429" t="s">
        <v>548</v>
      </c>
      <c r="B26" s="429"/>
      <c r="C26" s="429"/>
      <c r="D26" s="429"/>
      <c r="E26" s="429"/>
      <c r="F26" s="429"/>
      <c r="G26" s="492" t="s">
        <v>322</v>
      </c>
      <c r="H26" s="492"/>
      <c r="I26" s="495">
        <f>'6. SAn Cál DEMO Esq. e Fach'!$D$9</f>
        <v>43.441545833333336</v>
      </c>
      <c r="J26" s="495"/>
    </row>
    <row r="27" spans="1:26" ht="12.75" customHeight="1" x14ac:dyDescent="0.2">
      <c r="A27" s="429" t="s">
        <v>549</v>
      </c>
      <c r="B27" s="429"/>
      <c r="C27" s="429"/>
      <c r="D27" s="429"/>
      <c r="E27" s="429"/>
      <c r="F27" s="429"/>
      <c r="G27" s="492" t="s">
        <v>322</v>
      </c>
      <c r="H27" s="492"/>
      <c r="I27" s="495">
        <f>'6. SAn Cál DEMO Esq. e Fach'!$D$10</f>
        <v>238.37377916666671</v>
      </c>
      <c r="J27" s="495"/>
    </row>
    <row r="28" spans="1:26" ht="12.75" customHeight="1" x14ac:dyDescent="0.2">
      <c r="A28" s="489" t="s">
        <v>550</v>
      </c>
      <c r="B28" s="489"/>
      <c r="C28" s="489"/>
      <c r="D28" s="489"/>
      <c r="E28" s="489"/>
      <c r="F28" s="489"/>
      <c r="G28" s="489"/>
      <c r="H28" s="489"/>
      <c r="I28" s="490">
        <f>SUM(I25:J27)</f>
        <v>285.10935833333338</v>
      </c>
      <c r="J28" s="490"/>
    </row>
    <row r="29" spans="1:26" ht="12.75" customHeight="1" x14ac:dyDescent="0.2">
      <c r="A29" s="429" t="s">
        <v>551</v>
      </c>
      <c r="B29" s="429"/>
      <c r="C29" s="429"/>
      <c r="D29" s="429"/>
      <c r="E29" s="429"/>
      <c r="F29" s="429"/>
      <c r="G29" s="492" t="s">
        <v>322</v>
      </c>
      <c r="H29" s="492"/>
      <c r="I29" s="494">
        <f>'6. SAn Cál DEMO Esq. e Fach'!$D$11</f>
        <v>77.676275000000004</v>
      </c>
      <c r="J29" s="494"/>
    </row>
    <row r="30" spans="1:26" ht="12.75" customHeight="1" x14ac:dyDescent="0.2">
      <c r="A30" s="489" t="s">
        <v>552</v>
      </c>
      <c r="B30" s="489"/>
      <c r="C30" s="489"/>
      <c r="D30" s="489"/>
      <c r="E30" s="489"/>
      <c r="F30" s="489"/>
      <c r="G30" s="489"/>
      <c r="H30" s="489"/>
      <c r="I30" s="490">
        <f>I29</f>
        <v>77.676275000000004</v>
      </c>
      <c r="J30" s="490"/>
    </row>
    <row r="31" spans="1:26" x14ac:dyDescent="0.2">
      <c r="A31" s="429" t="s">
        <v>340</v>
      </c>
      <c r="B31" s="429"/>
      <c r="C31" s="429"/>
      <c r="D31" s="429"/>
      <c r="E31" s="429"/>
      <c r="F31" s="429"/>
      <c r="G31" s="492" t="s">
        <v>322</v>
      </c>
      <c r="H31" s="492"/>
      <c r="I31" s="493">
        <v>0</v>
      </c>
      <c r="J31" s="493"/>
    </row>
    <row r="32" spans="1:26" ht="15" x14ac:dyDescent="0.2">
      <c r="A32" s="489" t="s">
        <v>341</v>
      </c>
      <c r="B32" s="489"/>
      <c r="C32" s="489"/>
      <c r="D32" s="489"/>
      <c r="E32" s="489"/>
      <c r="F32" s="489"/>
      <c r="G32" s="489"/>
      <c r="H32" s="489"/>
      <c r="I32" s="490">
        <f>I31</f>
        <v>0</v>
      </c>
      <c r="J32" s="490"/>
    </row>
    <row r="33" spans="1:10" ht="12.75" customHeight="1" x14ac:dyDescent="0.2">
      <c r="A33" s="489" t="s">
        <v>553</v>
      </c>
      <c r="B33" s="489"/>
      <c r="C33" s="489"/>
      <c r="D33" s="489"/>
      <c r="E33" s="489"/>
      <c r="F33" s="489"/>
      <c r="G33" s="489"/>
      <c r="H33" s="489"/>
      <c r="I33" s="490">
        <f>I32+I30+I28</f>
        <v>362.78563333333341</v>
      </c>
      <c r="J33" s="490"/>
    </row>
    <row r="34" spans="1:10" ht="9.9499999999999993" customHeight="1" x14ac:dyDescent="0.2">
      <c r="A34" s="529"/>
      <c r="B34" s="529"/>
      <c r="C34" s="529"/>
      <c r="D34" s="529"/>
      <c r="E34" s="529"/>
      <c r="F34" s="529"/>
      <c r="G34" s="529"/>
      <c r="H34" s="529"/>
      <c r="I34" s="529"/>
      <c r="J34" s="529"/>
    </row>
    <row r="35" spans="1:10" ht="12.75" customHeight="1" x14ac:dyDescent="0.2">
      <c r="A35" s="419" t="s">
        <v>343</v>
      </c>
      <c r="B35" s="419"/>
      <c r="C35" s="419"/>
      <c r="D35" s="419"/>
      <c r="E35" s="419"/>
      <c r="F35" s="419"/>
      <c r="G35" s="419"/>
      <c r="H35" s="419"/>
      <c r="I35" s="419"/>
      <c r="J35" s="419"/>
    </row>
    <row r="36" spans="1:10" ht="15" x14ac:dyDescent="0.2">
      <c r="A36" s="419" t="s">
        <v>344</v>
      </c>
      <c r="B36" s="419"/>
      <c r="C36" s="419"/>
      <c r="D36" s="419"/>
      <c r="E36" s="419"/>
      <c r="F36" s="419"/>
      <c r="G36" s="419"/>
      <c r="H36" s="419"/>
      <c r="I36" s="419"/>
      <c r="J36" s="419"/>
    </row>
    <row r="37" spans="1:10" ht="12.75" customHeight="1" x14ac:dyDescent="0.2">
      <c r="A37" s="419" t="s">
        <v>345</v>
      </c>
      <c r="B37" s="419"/>
      <c r="C37" s="419"/>
      <c r="D37" s="419"/>
      <c r="E37" s="419"/>
      <c r="F37" s="419"/>
      <c r="G37" s="419"/>
      <c r="H37" s="419"/>
      <c r="I37" s="419"/>
      <c r="J37" s="419"/>
    </row>
    <row r="38" spans="1:10" ht="12.75" customHeight="1" x14ac:dyDescent="0.2">
      <c r="A38" s="59">
        <v>1</v>
      </c>
      <c r="B38" s="484" t="s">
        <v>62</v>
      </c>
      <c r="C38" s="484"/>
      <c r="D38" s="484"/>
      <c r="E38" s="484"/>
      <c r="F38" s="484"/>
      <c r="G38" s="484"/>
      <c r="H38" s="485" t="str">
        <f>'1. SAn ABA DE CARREGAMENTO'!B60</f>
        <v>Limpeza, Asseio e Conservação</v>
      </c>
      <c r="I38" s="485"/>
      <c r="J38" s="485"/>
    </row>
    <row r="39" spans="1:10" ht="12.75" customHeight="1" x14ac:dyDescent="0.2">
      <c r="A39" s="59">
        <v>2</v>
      </c>
      <c r="B39" s="484" t="s">
        <v>64</v>
      </c>
      <c r="C39" s="484"/>
      <c r="D39" s="484"/>
      <c r="E39" s="484"/>
      <c r="F39" s="484"/>
      <c r="G39" s="484"/>
      <c r="H39" s="485">
        <f>'1. SAn ABA DE CARREGAMENTO'!C61</f>
        <v>5143</v>
      </c>
      <c r="I39" s="485"/>
      <c r="J39" s="485"/>
    </row>
    <row r="40" spans="1:10" ht="12.75" customHeight="1" x14ac:dyDescent="0.2">
      <c r="A40" s="59">
        <v>3</v>
      </c>
      <c r="B40" s="484" t="s">
        <v>66</v>
      </c>
      <c r="C40" s="484"/>
      <c r="D40" s="484"/>
      <c r="E40" s="484"/>
      <c r="F40" s="484"/>
      <c r="G40" s="484"/>
      <c r="H40" s="486">
        <f>'1. SAn ABA DE CARREGAMENTO'!C63</f>
        <v>1314.09</v>
      </c>
      <c r="I40" s="486"/>
      <c r="J40" s="486"/>
    </row>
    <row r="41" spans="1:10" ht="12.75" customHeight="1" x14ac:dyDescent="0.2">
      <c r="A41" s="59">
        <v>4</v>
      </c>
      <c r="B41" s="484" t="s">
        <v>67</v>
      </c>
      <c r="C41" s="484"/>
      <c r="D41" s="484"/>
      <c r="E41" s="484"/>
      <c r="F41" s="484"/>
      <c r="G41" s="484"/>
      <c r="H41" s="485" t="str">
        <f>'1. SAn ABA DE CARREGAMENTO'!C64</f>
        <v>Servente de Limpeza</v>
      </c>
      <c r="I41" s="485"/>
      <c r="J41" s="485"/>
    </row>
    <row r="42" spans="1:10" ht="12.75" customHeight="1" x14ac:dyDescent="0.2">
      <c r="A42" s="59">
        <v>5</v>
      </c>
      <c r="B42" s="484" t="s">
        <v>69</v>
      </c>
      <c r="C42" s="484"/>
      <c r="D42" s="484"/>
      <c r="E42" s="484"/>
      <c r="F42" s="484"/>
      <c r="G42" s="484"/>
      <c r="H42" s="487">
        <f>'1. SAn ABA DE CARREGAMENTO'!C65</f>
        <v>44562</v>
      </c>
      <c r="I42" s="487"/>
      <c r="J42" s="487"/>
    </row>
    <row r="43" spans="1:10" ht="12.75" customHeight="1" x14ac:dyDescent="0.2">
      <c r="A43" s="60" t="s">
        <v>346</v>
      </c>
      <c r="B43" s="488" t="s">
        <v>347</v>
      </c>
      <c r="C43" s="488"/>
      <c r="D43" s="488"/>
      <c r="E43" s="488"/>
      <c r="F43" s="488"/>
      <c r="G43" s="488"/>
      <c r="H43" s="488"/>
      <c r="I43" s="488"/>
      <c r="J43" s="488"/>
    </row>
    <row r="44" spans="1:10" x14ac:dyDescent="0.2">
      <c r="A44" s="517"/>
      <c r="B44" s="517"/>
      <c r="C44" s="517"/>
      <c r="D44" s="517"/>
      <c r="E44" s="517"/>
      <c r="F44" s="517"/>
      <c r="G44" s="517"/>
      <c r="H44" s="517"/>
      <c r="I44" s="517"/>
      <c r="J44" s="517"/>
    </row>
    <row r="45" spans="1:10" ht="12.75" customHeight="1" x14ac:dyDescent="0.2">
      <c r="A45" s="419" t="s">
        <v>348</v>
      </c>
      <c r="B45" s="419"/>
      <c r="C45" s="419"/>
      <c r="D45" s="419"/>
      <c r="E45" s="419"/>
      <c r="F45" s="419"/>
      <c r="G45" s="419"/>
      <c r="H45" s="419"/>
      <c r="I45" s="419"/>
      <c r="J45" s="419"/>
    </row>
    <row r="46" spans="1:10" ht="15" customHeight="1" x14ac:dyDescent="0.2">
      <c r="A46" s="21">
        <v>1</v>
      </c>
      <c r="B46" s="419" t="s">
        <v>349</v>
      </c>
      <c r="C46" s="419"/>
      <c r="D46" s="419"/>
      <c r="E46" s="419"/>
      <c r="F46" s="419"/>
      <c r="G46" s="419"/>
      <c r="H46" s="419"/>
      <c r="I46" s="7" t="s">
        <v>350</v>
      </c>
      <c r="J46" s="21" t="s">
        <v>351</v>
      </c>
    </row>
    <row r="47" spans="1:10" ht="12.75" customHeight="1" x14ac:dyDescent="0.2">
      <c r="A47" s="22" t="s">
        <v>310</v>
      </c>
      <c r="B47" s="479" t="s">
        <v>643</v>
      </c>
      <c r="C47" s="479"/>
      <c r="D47" s="479"/>
      <c r="E47" s="61">
        <f>'1. SAn ABA DE CARREGAMENTO'!C68</f>
        <v>44</v>
      </c>
      <c r="F47" s="62" t="s">
        <v>352</v>
      </c>
      <c r="G47" s="483" t="str">
        <f>'1. SAn ABA DE CARREGAMENTO'!B62</f>
        <v>Cláusula Quarta da CCT 2022/2022</v>
      </c>
      <c r="H47" s="483"/>
      <c r="I47" s="483"/>
      <c r="J47" s="63">
        <f>H40/44*'1. SAn ABA DE CARREGAMENTO'!C68</f>
        <v>1314.09</v>
      </c>
    </row>
    <row r="48" spans="1:10" ht="12.75" customHeight="1" x14ac:dyDescent="0.2">
      <c r="A48" s="22" t="s">
        <v>312</v>
      </c>
      <c r="B48" s="479" t="s">
        <v>353</v>
      </c>
      <c r="C48" s="479"/>
      <c r="D48" s="483" t="str">
        <f>'1. SAn ABA DE CARREGAMENTO'!B69</f>
        <v>Cláusula Décima Sétima da CCT 2022/2022</v>
      </c>
      <c r="E48" s="483"/>
      <c r="F48" s="483"/>
      <c r="G48" s="483"/>
      <c r="H48" s="483"/>
      <c r="I48" s="64">
        <f>'1. SAn ABA DE CARREGAMENTO'!C71</f>
        <v>0.2</v>
      </c>
      <c r="J48" s="63">
        <f>ROUND(I48*J47,2)</f>
        <v>262.82</v>
      </c>
    </row>
    <row r="49" spans="1:10" ht="12.75" customHeight="1" x14ac:dyDescent="0.2">
      <c r="A49" s="22" t="s">
        <v>313</v>
      </c>
      <c r="B49" s="449" t="s">
        <v>644</v>
      </c>
      <c r="C49" s="449"/>
      <c r="D49" s="449"/>
      <c r="E49" s="449"/>
      <c r="F49" s="449"/>
      <c r="G49" s="449"/>
      <c r="H49" s="449"/>
      <c r="I49" s="449"/>
      <c r="J49" s="63">
        <v>0</v>
      </c>
    </row>
    <row r="50" spans="1:10" ht="15" customHeight="1" x14ac:dyDescent="0.2">
      <c r="A50" s="412" t="s">
        <v>354</v>
      </c>
      <c r="B50" s="412"/>
      <c r="C50" s="412"/>
      <c r="D50" s="412"/>
      <c r="E50" s="412"/>
      <c r="F50" s="412"/>
      <c r="G50" s="412"/>
      <c r="H50" s="412"/>
      <c r="I50" s="412"/>
      <c r="J50" s="11">
        <f>SUM(J47:J49)</f>
        <v>1576.9099999999999</v>
      </c>
    </row>
    <row r="51" spans="1:10" ht="12.75" customHeight="1" x14ac:dyDescent="0.2">
      <c r="A51" s="65" t="s">
        <v>355</v>
      </c>
      <c r="B51" s="450" t="s">
        <v>526</v>
      </c>
      <c r="C51" s="450"/>
      <c r="D51" s="450"/>
      <c r="E51" s="450"/>
      <c r="F51" s="450"/>
      <c r="G51" s="450"/>
      <c r="H51" s="450"/>
      <c r="I51" s="450"/>
      <c r="J51" s="450"/>
    </row>
    <row r="52" spans="1:10" ht="9.9499999999999993" customHeight="1" x14ac:dyDescent="0.2">
      <c r="A52" s="516"/>
      <c r="B52" s="516"/>
      <c r="C52" s="516"/>
      <c r="D52" s="516"/>
      <c r="E52" s="516"/>
      <c r="F52" s="516"/>
      <c r="G52" s="516"/>
      <c r="H52" s="516"/>
      <c r="I52" s="516"/>
      <c r="J52" s="516"/>
    </row>
    <row r="53" spans="1:10" ht="12.75" customHeight="1" x14ac:dyDescent="0.2">
      <c r="A53" s="419" t="s">
        <v>357</v>
      </c>
      <c r="B53" s="419"/>
      <c r="C53" s="419"/>
      <c r="D53" s="419"/>
      <c r="E53" s="419"/>
      <c r="F53" s="419"/>
      <c r="G53" s="419"/>
      <c r="H53" s="419"/>
      <c r="I53" s="419"/>
      <c r="J53" s="419"/>
    </row>
    <row r="54" spans="1:10" ht="15" x14ac:dyDescent="0.2">
      <c r="A54" s="21" t="s">
        <v>358</v>
      </c>
      <c r="B54" s="419" t="s">
        <v>359</v>
      </c>
      <c r="C54" s="419"/>
      <c r="D54" s="419"/>
      <c r="E54" s="419"/>
      <c r="F54" s="419"/>
      <c r="G54" s="419"/>
      <c r="H54" s="419"/>
      <c r="I54" s="419"/>
      <c r="J54" s="21" t="s">
        <v>360</v>
      </c>
    </row>
    <row r="55" spans="1:10" ht="15" x14ac:dyDescent="0.2">
      <c r="A55" s="22" t="s">
        <v>310</v>
      </c>
      <c r="B55" s="449" t="s">
        <v>645</v>
      </c>
      <c r="C55" s="449"/>
      <c r="D55" s="449"/>
      <c r="E55" s="449"/>
      <c r="F55" s="449"/>
      <c r="G55" s="449"/>
      <c r="H55" s="449"/>
      <c r="I55" s="449"/>
      <c r="J55" s="66">
        <f>ROUND(J50/12,2)</f>
        <v>131.41</v>
      </c>
    </row>
    <row r="56" spans="1:10" ht="15" customHeight="1" x14ac:dyDescent="0.2">
      <c r="A56" s="22" t="s">
        <v>312</v>
      </c>
      <c r="B56" s="477" t="s">
        <v>695</v>
      </c>
      <c r="C56" s="477"/>
      <c r="D56" s="477"/>
      <c r="E56" s="477"/>
      <c r="F56" s="477"/>
      <c r="G56" s="477"/>
      <c r="H56" s="477"/>
      <c r="I56" s="477"/>
      <c r="J56" s="66">
        <f>ROUND(J50*3.025%,2)</f>
        <v>47.7</v>
      </c>
    </row>
    <row r="57" spans="1:10" ht="15" x14ac:dyDescent="0.2">
      <c r="A57" s="412" t="s">
        <v>361</v>
      </c>
      <c r="B57" s="412"/>
      <c r="C57" s="412"/>
      <c r="D57" s="412"/>
      <c r="E57" s="412"/>
      <c r="F57" s="412"/>
      <c r="G57" s="412"/>
      <c r="H57" s="412"/>
      <c r="I57" s="412"/>
      <c r="J57" s="10">
        <f>SUM(J55:J56)</f>
        <v>179.11</v>
      </c>
    </row>
    <row r="58" spans="1:10" ht="12.75" customHeight="1" x14ac:dyDescent="0.2">
      <c r="A58" s="65" t="s">
        <v>362</v>
      </c>
      <c r="B58" s="450" t="s">
        <v>629</v>
      </c>
      <c r="C58" s="450"/>
      <c r="D58" s="450"/>
      <c r="E58" s="450"/>
      <c r="F58" s="450"/>
      <c r="G58" s="450"/>
      <c r="H58" s="450"/>
      <c r="I58" s="450"/>
      <c r="J58" s="450"/>
    </row>
    <row r="59" spans="1:10" ht="9.9499999999999993" customHeight="1" x14ac:dyDescent="0.2">
      <c r="A59" s="518"/>
      <c r="B59" s="518"/>
      <c r="C59" s="518"/>
      <c r="D59" s="518"/>
      <c r="E59" s="518"/>
      <c r="F59" s="518"/>
      <c r="G59" s="518"/>
      <c r="H59" s="518"/>
      <c r="I59" s="518"/>
      <c r="J59" s="67"/>
    </row>
    <row r="60" spans="1:10" ht="37.5" customHeight="1" x14ac:dyDescent="0.2">
      <c r="A60" s="21" t="s">
        <v>364</v>
      </c>
      <c r="B60" s="419" t="s">
        <v>554</v>
      </c>
      <c r="C60" s="419"/>
      <c r="D60" s="419"/>
      <c r="E60" s="419"/>
      <c r="F60" s="419"/>
      <c r="G60" s="419"/>
      <c r="H60" s="419"/>
      <c r="I60" s="419"/>
      <c r="J60" s="419"/>
    </row>
    <row r="61" spans="1:10" ht="15" x14ac:dyDescent="0.2">
      <c r="A61" s="21"/>
      <c r="B61" s="419" t="s">
        <v>365</v>
      </c>
      <c r="C61" s="419"/>
      <c r="D61" s="419"/>
      <c r="E61" s="419"/>
      <c r="F61" s="419"/>
      <c r="G61" s="419"/>
      <c r="H61" s="419"/>
      <c r="I61" s="21" t="s">
        <v>350</v>
      </c>
      <c r="J61" s="21" t="s">
        <v>360</v>
      </c>
    </row>
    <row r="62" spans="1:10" ht="15" x14ac:dyDescent="0.2">
      <c r="A62" s="22" t="s">
        <v>310</v>
      </c>
      <c r="B62" s="449" t="s">
        <v>79</v>
      </c>
      <c r="C62" s="449"/>
      <c r="D62" s="449"/>
      <c r="E62" s="449"/>
      <c r="F62" s="449"/>
      <c r="G62" s="449"/>
      <c r="H62" s="449"/>
      <c r="I62" s="68">
        <f>'1. SAn ABA DE CARREGAMENTO'!C78</f>
        <v>0.2</v>
      </c>
      <c r="J62" s="66">
        <f>ROUND((J50+J57)*I62,2)</f>
        <v>351.2</v>
      </c>
    </row>
    <row r="63" spans="1:10" ht="15" x14ac:dyDescent="0.2">
      <c r="A63" s="22" t="s">
        <v>312</v>
      </c>
      <c r="B63" s="449" t="s">
        <v>80</v>
      </c>
      <c r="C63" s="449"/>
      <c r="D63" s="449"/>
      <c r="E63" s="449"/>
      <c r="F63" s="449"/>
      <c r="G63" s="449"/>
      <c r="H63" s="449"/>
      <c r="I63" s="68">
        <f>IF($H$15=1,'1. SAn ABA DE CARREGAMENTO'!C79,IF($H$15=2,'1. SAn ABA DE CARREGAMENTO'!C79,0))</f>
        <v>2.5000000000000001E-2</v>
      </c>
      <c r="J63" s="66">
        <f>ROUND((J50+J57)*I63,2)</f>
        <v>43.9</v>
      </c>
    </row>
    <row r="64" spans="1:10" ht="12.75" customHeight="1" x14ac:dyDescent="0.2">
      <c r="A64" s="22" t="s">
        <v>313</v>
      </c>
      <c r="B64" s="449" t="s">
        <v>81</v>
      </c>
      <c r="C64" s="449"/>
      <c r="D64" s="449"/>
      <c r="E64" s="69" t="s">
        <v>366</v>
      </c>
      <c r="F64" s="68">
        <f>'1. SAn ABA DE CARREGAMENTO'!$B$74</f>
        <v>0.03</v>
      </c>
      <c r="G64" s="69" t="s">
        <v>367</v>
      </c>
      <c r="H64" s="70">
        <f>'1. SAn ABA DE CARREGAMENTO'!$B$75</f>
        <v>1</v>
      </c>
      <c r="I64" s="68">
        <f>'1. SAn ABA DE CARREGAMENTO'!C80</f>
        <v>0.03</v>
      </c>
      <c r="J64" s="66">
        <f>ROUND((J50+J57)*I64,2)</f>
        <v>52.68</v>
      </c>
    </row>
    <row r="65" spans="1:10" ht="15" x14ac:dyDescent="0.2">
      <c r="A65" s="22" t="s">
        <v>315</v>
      </c>
      <c r="B65" s="449" t="s">
        <v>82</v>
      </c>
      <c r="C65" s="449"/>
      <c r="D65" s="449"/>
      <c r="E65" s="449"/>
      <c r="F65" s="449"/>
      <c r="G65" s="449"/>
      <c r="H65" s="449"/>
      <c r="I65" s="68">
        <f>IF($H$15=1,'1. SAn ABA DE CARREGAMENTO'!C81,IF($H$15=2,'1. SAn ABA DE CARREGAMENTO'!C81,0))</f>
        <v>1.4999999999999999E-2</v>
      </c>
      <c r="J65" s="66">
        <f>ROUND((J50+J57)*I65,2)</f>
        <v>26.34</v>
      </c>
    </row>
    <row r="66" spans="1:10" ht="15" x14ac:dyDescent="0.2">
      <c r="A66" s="22" t="s">
        <v>368</v>
      </c>
      <c r="B66" s="449" t="s">
        <v>83</v>
      </c>
      <c r="C66" s="449"/>
      <c r="D66" s="449"/>
      <c r="E66" s="449"/>
      <c r="F66" s="449"/>
      <c r="G66" s="449"/>
      <c r="H66" s="449"/>
      <c r="I66" s="68">
        <f>IF($H$15=1,'1. SAn ABA DE CARREGAMENTO'!C82,IF($H$15=2,'1. SAn ABA DE CARREGAMENTO'!C82,0))</f>
        <v>0.01</v>
      </c>
      <c r="J66" s="66">
        <f>ROUND((J50+J57)*I66,2)</f>
        <v>17.559999999999999</v>
      </c>
    </row>
    <row r="67" spans="1:10" ht="15" x14ac:dyDescent="0.2">
      <c r="A67" s="22" t="s">
        <v>369</v>
      </c>
      <c r="B67" s="449" t="s">
        <v>84</v>
      </c>
      <c r="C67" s="449"/>
      <c r="D67" s="449"/>
      <c r="E67" s="449"/>
      <c r="F67" s="449"/>
      <c r="G67" s="449"/>
      <c r="H67" s="449"/>
      <c r="I67" s="68">
        <f>IF($H$15=1,'1. SAn ABA DE CARREGAMENTO'!C83,IF($H$15=2,'1. SAn ABA DE CARREGAMENTO'!C83,0))</f>
        <v>6.0000000000000001E-3</v>
      </c>
      <c r="J67" s="66">
        <f>ROUND((J50+J57)*I67,2)</f>
        <v>10.54</v>
      </c>
    </row>
    <row r="68" spans="1:10" ht="15" x14ac:dyDescent="0.2">
      <c r="A68" s="22" t="s">
        <v>370</v>
      </c>
      <c r="B68" s="449" t="s">
        <v>85</v>
      </c>
      <c r="C68" s="449"/>
      <c r="D68" s="449"/>
      <c r="E68" s="449"/>
      <c r="F68" s="449"/>
      <c r="G68" s="449"/>
      <c r="H68" s="449"/>
      <c r="I68" s="68">
        <f>IF($H$15=1,'1. SAn ABA DE CARREGAMENTO'!C84,IF($H$15=2,'1. SAn ABA DE CARREGAMENTO'!C84,0))</f>
        <v>2E-3</v>
      </c>
      <c r="J68" s="66">
        <f>ROUND((J50+J57)*I68,2)</f>
        <v>3.51</v>
      </c>
    </row>
    <row r="69" spans="1:10" ht="15" x14ac:dyDescent="0.2">
      <c r="A69" s="22" t="s">
        <v>371</v>
      </c>
      <c r="B69" s="449" t="s">
        <v>86</v>
      </c>
      <c r="C69" s="449"/>
      <c r="D69" s="449"/>
      <c r="E69" s="449"/>
      <c r="F69" s="449"/>
      <c r="G69" s="449"/>
      <c r="H69" s="449"/>
      <c r="I69" s="68">
        <f>'1. SAn ABA DE CARREGAMENTO'!C85</f>
        <v>0.08</v>
      </c>
      <c r="J69" s="66">
        <f>ROUND((J50+J57)*I69,2)</f>
        <v>140.47999999999999</v>
      </c>
    </row>
    <row r="70" spans="1:10" ht="15" x14ac:dyDescent="0.2">
      <c r="A70" s="412" t="s">
        <v>372</v>
      </c>
      <c r="B70" s="412"/>
      <c r="C70" s="412"/>
      <c r="D70" s="412"/>
      <c r="E70" s="412"/>
      <c r="F70" s="412"/>
      <c r="G70" s="412"/>
      <c r="H70" s="412"/>
      <c r="I70" s="71">
        <f>SUM(I62:I69)</f>
        <v>0.36800000000000005</v>
      </c>
      <c r="J70" s="10">
        <f>SUM(J62:J69)</f>
        <v>646.20999999999992</v>
      </c>
    </row>
    <row r="71" spans="1:10" ht="12.75" customHeight="1" x14ac:dyDescent="0.2">
      <c r="A71" s="65" t="s">
        <v>363</v>
      </c>
      <c r="B71" s="450" t="s">
        <v>374</v>
      </c>
      <c r="C71" s="450"/>
      <c r="D71" s="450"/>
      <c r="E71" s="450"/>
      <c r="F71" s="450"/>
      <c r="G71" s="450"/>
      <c r="H71" s="450"/>
      <c r="I71" s="450"/>
      <c r="J71" s="450"/>
    </row>
    <row r="72" spans="1:10" x14ac:dyDescent="0.2">
      <c r="A72" s="65" t="s">
        <v>373</v>
      </c>
      <c r="B72" s="450" t="s">
        <v>376</v>
      </c>
      <c r="C72" s="450"/>
      <c r="D72" s="450"/>
      <c r="E72" s="450"/>
      <c r="F72" s="450"/>
      <c r="G72" s="450"/>
      <c r="H72" s="450"/>
      <c r="I72" s="450"/>
      <c r="J72" s="450"/>
    </row>
    <row r="73" spans="1:10" ht="9.9499999999999993" customHeight="1" x14ac:dyDescent="0.2">
      <c r="A73" s="72"/>
      <c r="B73" s="73"/>
      <c r="C73" s="73"/>
      <c r="D73" s="73"/>
      <c r="E73" s="73"/>
      <c r="F73" s="73"/>
      <c r="G73" s="73"/>
      <c r="H73" s="73"/>
      <c r="I73" s="73"/>
      <c r="J73" s="73"/>
    </row>
    <row r="74" spans="1:10" ht="19.5" customHeight="1" x14ac:dyDescent="0.2">
      <c r="A74" s="8" t="s">
        <v>377</v>
      </c>
      <c r="B74" s="419" t="s">
        <v>378</v>
      </c>
      <c r="C74" s="419"/>
      <c r="D74" s="419"/>
      <c r="E74" s="419"/>
      <c r="F74" s="419"/>
      <c r="G74" s="419"/>
      <c r="H74" s="419"/>
      <c r="I74" s="419"/>
      <c r="J74" s="419"/>
    </row>
    <row r="75" spans="1:10" ht="19.5" customHeight="1" x14ac:dyDescent="0.2">
      <c r="A75" s="21"/>
      <c r="B75" s="419" t="s">
        <v>378</v>
      </c>
      <c r="C75" s="419"/>
      <c r="D75" s="419"/>
      <c r="E75" s="419"/>
      <c r="F75" s="419"/>
      <c r="G75" s="419"/>
      <c r="H75" s="419"/>
      <c r="I75" s="419"/>
      <c r="J75" s="21" t="s">
        <v>360</v>
      </c>
    </row>
    <row r="76" spans="1:10" ht="19.5" customHeight="1" x14ac:dyDescent="0.2">
      <c r="A76" s="474" t="s">
        <v>310</v>
      </c>
      <c r="B76" s="449" t="s">
        <v>646</v>
      </c>
      <c r="C76" s="449"/>
      <c r="D76" s="449"/>
      <c r="E76" s="449"/>
      <c r="F76" s="449"/>
      <c r="G76" s="449"/>
      <c r="H76" s="449"/>
      <c r="I76" s="449"/>
      <c r="J76" s="480">
        <f>IF(ROUND((I79*I77*I78)-(J47*0.06),2)&lt;0,0,ROUND((I79*I77*I78)-(J47*0.06),2))*1+(I77*I78*21.726-0.06*J47)*0</f>
        <v>101.15</v>
      </c>
    </row>
    <row r="77" spans="1:10" ht="19.5" customHeight="1" x14ac:dyDescent="0.2">
      <c r="A77" s="474"/>
      <c r="B77" s="478" t="s">
        <v>379</v>
      </c>
      <c r="C77" s="478"/>
      <c r="D77" s="478"/>
      <c r="E77" s="478"/>
      <c r="F77" s="478"/>
      <c r="G77" s="478"/>
      <c r="H77" s="478"/>
      <c r="I77" s="74">
        <f>'1. SAn ABA DE CARREGAMENTO'!$B$88</f>
        <v>3.75</v>
      </c>
      <c r="J77" s="480"/>
    </row>
    <row r="78" spans="1:10" ht="19.5" customHeight="1" x14ac:dyDescent="0.2">
      <c r="A78" s="474"/>
      <c r="B78" s="478" t="s">
        <v>380</v>
      </c>
      <c r="C78" s="478"/>
      <c r="D78" s="478"/>
      <c r="E78" s="478"/>
      <c r="F78" s="478"/>
      <c r="G78" s="478"/>
      <c r="H78" s="478"/>
      <c r="I78" s="75">
        <f>'1. SAn ABA DE CARREGAMENTO'!$B$89</f>
        <v>2</v>
      </c>
      <c r="J78" s="480"/>
    </row>
    <row r="79" spans="1:10" ht="19.5" customHeight="1" x14ac:dyDescent="0.2">
      <c r="A79" s="474"/>
      <c r="B79" s="478" t="s">
        <v>381</v>
      </c>
      <c r="C79" s="478"/>
      <c r="D79" s="478"/>
      <c r="E79" s="478"/>
      <c r="F79" s="478"/>
      <c r="G79" s="478"/>
      <c r="H79" s="478"/>
      <c r="I79" s="75">
        <f>'1. SAn ABA DE CARREGAMENTO'!$B$90</f>
        <v>24</v>
      </c>
      <c r="J79" s="480"/>
    </row>
    <row r="80" spans="1:10" ht="19.5" customHeight="1" x14ac:dyDescent="0.2">
      <c r="A80" s="474"/>
      <c r="B80" s="478" t="s">
        <v>382</v>
      </c>
      <c r="C80" s="478"/>
      <c r="D80" s="478"/>
      <c r="E80" s="478"/>
      <c r="F80" s="478"/>
      <c r="G80" s="478"/>
      <c r="H80" s="478"/>
      <c r="I80" s="76">
        <f>'1. SAn ABA DE CARREGAMENTO'!B91</f>
        <v>0.06</v>
      </c>
      <c r="J80" s="480"/>
    </row>
    <row r="81" spans="1:10" ht="19.5" customHeight="1" x14ac:dyDescent="0.2">
      <c r="A81" s="474" t="s">
        <v>312</v>
      </c>
      <c r="B81" s="479" t="s">
        <v>647</v>
      </c>
      <c r="C81" s="479"/>
      <c r="D81" s="479"/>
      <c r="E81" s="481" t="str">
        <f>'1. SAn ABA DE CARREGAMENTO'!B94</f>
        <v>Cláusula Décima Oitava da CCT 2022/2022</v>
      </c>
      <c r="F81" s="481"/>
      <c r="G81" s="481"/>
      <c r="H81" s="481"/>
      <c r="I81" s="482"/>
      <c r="J81" s="480">
        <f>ROUND((I82*I83)-((I82*I83)*I84),2)</f>
        <v>392.3</v>
      </c>
    </row>
    <row r="82" spans="1:10" ht="19.5" customHeight="1" x14ac:dyDescent="0.2">
      <c r="A82" s="474"/>
      <c r="B82" s="478" t="s">
        <v>383</v>
      </c>
      <c r="C82" s="478"/>
      <c r="D82" s="478"/>
      <c r="E82" s="478"/>
      <c r="F82" s="478"/>
      <c r="G82" s="478"/>
      <c r="H82" s="478"/>
      <c r="I82" s="63">
        <f>'1. SAn ABA DE CARREGAMENTO'!B95</f>
        <v>20.18</v>
      </c>
      <c r="J82" s="480"/>
    </row>
    <row r="83" spans="1:10" ht="19.5" customHeight="1" x14ac:dyDescent="0.2">
      <c r="A83" s="474"/>
      <c r="B83" s="478" t="s">
        <v>384</v>
      </c>
      <c r="C83" s="478"/>
      <c r="D83" s="478"/>
      <c r="E83" s="478"/>
      <c r="F83" s="478"/>
      <c r="G83" s="478"/>
      <c r="H83" s="478"/>
      <c r="I83" s="75">
        <f>'1. SAn ABA DE CARREGAMENTO'!B97</f>
        <v>24</v>
      </c>
      <c r="J83" s="480"/>
    </row>
    <row r="84" spans="1:10" ht="19.5" customHeight="1" x14ac:dyDescent="0.2">
      <c r="A84" s="474"/>
      <c r="B84" s="478" t="s">
        <v>385</v>
      </c>
      <c r="C84" s="478"/>
      <c r="D84" s="478"/>
      <c r="E84" s="478"/>
      <c r="F84" s="478"/>
      <c r="G84" s="478"/>
      <c r="H84" s="478"/>
      <c r="I84" s="77">
        <f>'1. SAn ABA DE CARREGAMENTO'!B96</f>
        <v>0.19</v>
      </c>
      <c r="J84" s="480"/>
    </row>
    <row r="85" spans="1:10" ht="19.5" customHeight="1" x14ac:dyDescent="0.2">
      <c r="A85" s="22" t="s">
        <v>313</v>
      </c>
      <c r="B85" s="479" t="s">
        <v>386</v>
      </c>
      <c r="C85" s="479"/>
      <c r="D85" s="479"/>
      <c r="E85" s="481" t="str">
        <f>'1. SAn ABA DE CARREGAMENTO'!B100</f>
        <v>Cláusula Vigésima Nona da CCT 2022/2022</v>
      </c>
      <c r="F85" s="481"/>
      <c r="G85" s="481"/>
      <c r="H85" s="481"/>
      <c r="I85" s="482"/>
      <c r="J85" s="78">
        <f>'1. SAn ABA DE CARREGAMENTO'!C100</f>
        <v>17.32</v>
      </c>
    </row>
    <row r="86" spans="1:10" ht="19.5" customHeight="1" x14ac:dyDescent="0.2">
      <c r="A86" s="22" t="s">
        <v>315</v>
      </c>
      <c r="B86" s="449" t="s">
        <v>648</v>
      </c>
      <c r="C86" s="449"/>
      <c r="D86" s="449"/>
      <c r="E86" s="449"/>
      <c r="F86" s="449"/>
      <c r="G86" s="449"/>
      <c r="H86" s="449"/>
      <c r="I86" s="449"/>
      <c r="J86" s="66">
        <v>0</v>
      </c>
    </row>
    <row r="87" spans="1:10" ht="15" x14ac:dyDescent="0.2">
      <c r="A87" s="412" t="s">
        <v>387</v>
      </c>
      <c r="B87" s="412"/>
      <c r="C87" s="412"/>
      <c r="D87" s="412"/>
      <c r="E87" s="412"/>
      <c r="F87" s="412"/>
      <c r="G87" s="412"/>
      <c r="H87" s="412"/>
      <c r="I87" s="412"/>
      <c r="J87" s="10">
        <f>SUM(J76:J85)</f>
        <v>510.77000000000004</v>
      </c>
    </row>
    <row r="88" spans="1:10" ht="15.75" customHeight="1" x14ac:dyDescent="0.2">
      <c r="A88" s="65" t="s">
        <v>375</v>
      </c>
      <c r="B88" s="450" t="s">
        <v>389</v>
      </c>
      <c r="C88" s="450"/>
      <c r="D88" s="450"/>
      <c r="E88" s="450"/>
      <c r="F88" s="450"/>
      <c r="G88" s="450"/>
      <c r="H88" s="450"/>
      <c r="I88" s="450"/>
      <c r="J88" s="450"/>
    </row>
    <row r="89" spans="1:10" ht="31.5" customHeight="1" x14ac:dyDescent="0.2">
      <c r="A89" s="65" t="s">
        <v>388</v>
      </c>
      <c r="B89" s="450" t="s">
        <v>391</v>
      </c>
      <c r="C89" s="450"/>
      <c r="D89" s="450"/>
      <c r="E89" s="450"/>
      <c r="F89" s="450"/>
      <c r="G89" s="450"/>
      <c r="H89" s="450"/>
      <c r="I89" s="450"/>
      <c r="J89" s="450"/>
    </row>
    <row r="90" spans="1:10" ht="9.9499999999999993" customHeight="1" x14ac:dyDescent="0.2">
      <c r="A90" s="72"/>
      <c r="B90" s="73"/>
      <c r="C90" s="73"/>
      <c r="D90" s="73"/>
      <c r="E90" s="73"/>
      <c r="F90" s="73"/>
      <c r="G90" s="73"/>
      <c r="H90" s="73"/>
      <c r="I90" s="73"/>
      <c r="J90" s="73"/>
    </row>
    <row r="91" spans="1:10" ht="12.75" customHeight="1" x14ac:dyDescent="0.2">
      <c r="A91" s="419" t="s">
        <v>392</v>
      </c>
      <c r="B91" s="419"/>
      <c r="C91" s="419"/>
      <c r="D91" s="419"/>
      <c r="E91" s="419"/>
      <c r="F91" s="419"/>
      <c r="G91" s="419"/>
      <c r="H91" s="419"/>
      <c r="I91" s="419"/>
      <c r="J91" s="419"/>
    </row>
    <row r="92" spans="1:10" ht="15" customHeight="1" x14ac:dyDescent="0.2">
      <c r="A92" s="21" t="s">
        <v>393</v>
      </c>
      <c r="B92" s="419" t="s">
        <v>394</v>
      </c>
      <c r="C92" s="419"/>
      <c r="D92" s="419"/>
      <c r="E92" s="419"/>
      <c r="F92" s="419"/>
      <c r="G92" s="419"/>
      <c r="H92" s="419"/>
      <c r="I92" s="419"/>
      <c r="J92" s="21" t="s">
        <v>360</v>
      </c>
    </row>
    <row r="93" spans="1:10" ht="12.75" customHeight="1" x14ac:dyDescent="0.2">
      <c r="A93" s="22" t="s">
        <v>395</v>
      </c>
      <c r="B93" s="478" t="s">
        <v>396</v>
      </c>
      <c r="C93" s="478"/>
      <c r="D93" s="478"/>
      <c r="E93" s="478"/>
      <c r="F93" s="478"/>
      <c r="G93" s="478"/>
      <c r="H93" s="478"/>
      <c r="I93" s="478"/>
      <c r="J93" s="66">
        <f>J57</f>
        <v>179.11</v>
      </c>
    </row>
    <row r="94" spans="1:10" ht="12.75" customHeight="1" x14ac:dyDescent="0.2">
      <c r="A94" s="22" t="s">
        <v>364</v>
      </c>
      <c r="B94" s="478" t="s">
        <v>397</v>
      </c>
      <c r="C94" s="478"/>
      <c r="D94" s="478"/>
      <c r="E94" s="478"/>
      <c r="F94" s="478"/>
      <c r="G94" s="478"/>
      <c r="H94" s="478"/>
      <c r="I94" s="478"/>
      <c r="J94" s="66">
        <f>J70</f>
        <v>646.20999999999992</v>
      </c>
    </row>
    <row r="95" spans="1:10" ht="12.75" customHeight="1" x14ac:dyDescent="0.2">
      <c r="A95" s="22" t="s">
        <v>398</v>
      </c>
      <c r="B95" s="478" t="s">
        <v>399</v>
      </c>
      <c r="C95" s="478"/>
      <c r="D95" s="478"/>
      <c r="E95" s="478"/>
      <c r="F95" s="478"/>
      <c r="G95" s="478"/>
      <c r="H95" s="478"/>
      <c r="I95" s="478"/>
      <c r="J95" s="66">
        <f>J87</f>
        <v>510.77000000000004</v>
      </c>
    </row>
    <row r="96" spans="1:10" ht="12.75" customHeight="1" x14ac:dyDescent="0.2">
      <c r="A96" s="412" t="s">
        <v>400</v>
      </c>
      <c r="B96" s="412"/>
      <c r="C96" s="412"/>
      <c r="D96" s="412"/>
      <c r="E96" s="412"/>
      <c r="F96" s="412"/>
      <c r="G96" s="412"/>
      <c r="H96" s="412"/>
      <c r="I96" s="412"/>
      <c r="J96" s="10">
        <f>SUM(J93+J94+J95)</f>
        <v>1336.09</v>
      </c>
    </row>
    <row r="97" spans="1:10" ht="9.9499999999999993" customHeight="1" x14ac:dyDescent="0.2">
      <c r="A97" s="79"/>
      <c r="B97" s="79"/>
      <c r="C97" s="79"/>
      <c r="D97" s="79"/>
      <c r="E97" s="79"/>
      <c r="F97" s="79"/>
      <c r="G97" s="79"/>
      <c r="H97" s="79"/>
      <c r="I97" s="79"/>
      <c r="J97" s="80"/>
    </row>
    <row r="98" spans="1:10" ht="12.75" customHeight="1" x14ac:dyDescent="0.2">
      <c r="A98" s="419" t="s">
        <v>401</v>
      </c>
      <c r="B98" s="419"/>
      <c r="C98" s="419"/>
      <c r="D98" s="419"/>
      <c r="E98" s="419"/>
      <c r="F98" s="419"/>
      <c r="G98" s="419"/>
      <c r="H98" s="419"/>
      <c r="I98" s="419"/>
      <c r="J98" s="419"/>
    </row>
    <row r="99" spans="1:10" ht="15" x14ac:dyDescent="0.2">
      <c r="A99" s="21"/>
      <c r="B99" s="419" t="s">
        <v>394</v>
      </c>
      <c r="C99" s="419"/>
      <c r="D99" s="419"/>
      <c r="E99" s="419"/>
      <c r="F99" s="419"/>
      <c r="G99" s="419"/>
      <c r="H99" s="419"/>
      <c r="I99" s="419"/>
      <c r="J99" s="21" t="s">
        <v>402</v>
      </c>
    </row>
    <row r="100" spans="1:10" ht="17.25" customHeight="1" x14ac:dyDescent="0.2">
      <c r="A100" s="22" t="s">
        <v>310</v>
      </c>
      <c r="B100" s="449" t="s">
        <v>649</v>
      </c>
      <c r="C100" s="449"/>
      <c r="D100" s="449"/>
      <c r="E100" s="449"/>
      <c r="F100" s="449"/>
      <c r="G100" s="449"/>
      <c r="H100" s="449"/>
      <c r="I100" s="449"/>
      <c r="J100" s="66">
        <f>ROUND((($J$50/12)+($J$55/12)+($J$50/12/12)+($J$56/12))*(30/30)*0.05,2)</f>
        <v>7.86</v>
      </c>
    </row>
    <row r="101" spans="1:10" ht="17.25" customHeight="1" x14ac:dyDescent="0.2">
      <c r="A101" s="22" t="s">
        <v>312</v>
      </c>
      <c r="B101" s="449" t="s">
        <v>403</v>
      </c>
      <c r="C101" s="449"/>
      <c r="D101" s="449"/>
      <c r="E101" s="449"/>
      <c r="F101" s="449"/>
      <c r="G101" s="449"/>
      <c r="H101" s="449"/>
      <c r="I101" s="449"/>
      <c r="J101" s="66">
        <f>ROUND($J$100*I69,2)</f>
        <v>0.63</v>
      </c>
    </row>
    <row r="102" spans="1:10" ht="17.25" customHeight="1" x14ac:dyDescent="0.2">
      <c r="A102" s="22" t="s">
        <v>313</v>
      </c>
      <c r="B102" s="449" t="s">
        <v>650</v>
      </c>
      <c r="C102" s="449"/>
      <c r="D102" s="449"/>
      <c r="E102" s="449"/>
      <c r="F102" s="449"/>
      <c r="G102" s="449"/>
      <c r="H102" s="449"/>
      <c r="I102" s="449"/>
      <c r="J102" s="66">
        <f>ROUND(0.08*0.4*($J$50+$J$55+$J$56)*0.05,2)</f>
        <v>2.81</v>
      </c>
    </row>
    <row r="103" spans="1:10" ht="17.25" customHeight="1" x14ac:dyDescent="0.2">
      <c r="A103" s="22" t="s">
        <v>315</v>
      </c>
      <c r="B103" s="449" t="s">
        <v>651</v>
      </c>
      <c r="C103" s="449"/>
      <c r="D103" s="449"/>
      <c r="E103" s="449"/>
      <c r="F103" s="449"/>
      <c r="G103" s="449"/>
      <c r="H103" s="449"/>
      <c r="I103" s="449"/>
      <c r="J103" s="66">
        <f>ROUND(((($J$50/30)*7)/$H$21)*1,2)</f>
        <v>18.399999999999999</v>
      </c>
    </row>
    <row r="104" spans="1:10" ht="17.25" customHeight="1" x14ac:dyDescent="0.2">
      <c r="A104" s="22" t="s">
        <v>368</v>
      </c>
      <c r="B104" s="449" t="s">
        <v>404</v>
      </c>
      <c r="C104" s="449"/>
      <c r="D104" s="449"/>
      <c r="E104" s="449"/>
      <c r="F104" s="449"/>
      <c r="G104" s="449"/>
      <c r="H104" s="449"/>
      <c r="I104" s="449"/>
      <c r="J104" s="66">
        <f>ROUND($I$70*J103,2)</f>
        <v>6.77</v>
      </c>
    </row>
    <row r="105" spans="1:10" ht="17.25" customHeight="1" x14ac:dyDescent="0.2">
      <c r="A105" s="22" t="s">
        <v>369</v>
      </c>
      <c r="B105" s="449" t="s">
        <v>652</v>
      </c>
      <c r="C105" s="449"/>
      <c r="D105" s="449"/>
      <c r="E105" s="449"/>
      <c r="F105" s="449"/>
      <c r="G105" s="449"/>
      <c r="H105" s="449"/>
      <c r="I105" s="449"/>
      <c r="J105" s="66">
        <f>ROUND(0.08*0.4*($J$50+$J$55+$J$56)*0.9,2)</f>
        <v>50.57</v>
      </c>
    </row>
    <row r="106" spans="1:10" ht="15" x14ac:dyDescent="0.2">
      <c r="A106" s="412" t="s">
        <v>405</v>
      </c>
      <c r="B106" s="412"/>
      <c r="C106" s="412"/>
      <c r="D106" s="412"/>
      <c r="E106" s="412"/>
      <c r="F106" s="412"/>
      <c r="G106" s="412"/>
      <c r="H106" s="412"/>
      <c r="I106" s="412"/>
      <c r="J106" s="10">
        <f>SUM(J100:J105)</f>
        <v>87.039999999999992</v>
      </c>
    </row>
    <row r="107" spans="1:10" ht="9.9499999999999993" customHeight="1" x14ac:dyDescent="0.2">
      <c r="A107" s="79"/>
      <c r="B107" s="79"/>
      <c r="C107" s="79"/>
      <c r="D107" s="79"/>
      <c r="E107" s="79"/>
      <c r="F107" s="79"/>
      <c r="G107" s="79"/>
      <c r="H107" s="79"/>
      <c r="I107" s="79"/>
      <c r="J107" s="80"/>
    </row>
    <row r="108" spans="1:10" ht="12.75" customHeight="1" x14ac:dyDescent="0.2">
      <c r="A108" s="419" t="s">
        <v>406</v>
      </c>
      <c r="B108" s="419"/>
      <c r="C108" s="419"/>
      <c r="D108" s="419"/>
      <c r="E108" s="419"/>
      <c r="F108" s="419"/>
      <c r="G108" s="419"/>
      <c r="H108" s="419"/>
      <c r="I108" s="419"/>
      <c r="J108" s="419"/>
    </row>
    <row r="109" spans="1:10" ht="12.75" customHeight="1" x14ac:dyDescent="0.2">
      <c r="A109" s="419" t="s">
        <v>407</v>
      </c>
      <c r="B109" s="419"/>
      <c r="C109" s="419"/>
      <c r="D109" s="419"/>
      <c r="E109" s="419"/>
      <c r="F109" s="419"/>
      <c r="G109" s="419"/>
      <c r="H109" s="419"/>
      <c r="I109" s="419"/>
      <c r="J109" s="419"/>
    </row>
    <row r="110" spans="1:10" ht="15" customHeight="1" x14ac:dyDescent="0.2">
      <c r="A110" s="419" t="s">
        <v>528</v>
      </c>
      <c r="B110" s="419"/>
      <c r="C110" s="9">
        <f>J50</f>
        <v>1576.9099999999999</v>
      </c>
      <c r="D110" s="419" t="s">
        <v>555</v>
      </c>
      <c r="E110" s="419"/>
      <c r="F110" s="9">
        <f>J96-J81-J76</f>
        <v>842.64</v>
      </c>
      <c r="G110" s="419" t="s">
        <v>410</v>
      </c>
      <c r="H110" s="419"/>
      <c r="I110" s="9">
        <f>J106</f>
        <v>87.039999999999992</v>
      </c>
      <c r="J110" s="10">
        <f>ROUND((J50+(J96-J81-J76)+J106),2)</f>
        <v>2506.59</v>
      </c>
    </row>
    <row r="111" spans="1:10" ht="15" customHeight="1" x14ac:dyDescent="0.2">
      <c r="A111" s="419" t="s">
        <v>411</v>
      </c>
      <c r="B111" s="419"/>
      <c r="C111" s="419"/>
      <c r="D111" s="419"/>
      <c r="E111" s="419"/>
      <c r="F111" s="419"/>
      <c r="G111" s="419" t="s">
        <v>412</v>
      </c>
      <c r="H111" s="419"/>
      <c r="I111" s="419"/>
      <c r="J111" s="11">
        <f>ROUND(J110/30,2)</f>
        <v>83.55</v>
      </c>
    </row>
    <row r="112" spans="1:10" ht="9.9499999999999993" customHeight="1" x14ac:dyDescent="0.2">
      <c r="A112" s="18"/>
      <c r="B112" s="18"/>
      <c r="C112" s="18"/>
      <c r="D112" s="18"/>
      <c r="E112" s="18"/>
      <c r="F112" s="18"/>
      <c r="G112" s="18"/>
      <c r="H112" s="18"/>
      <c r="I112" s="18"/>
      <c r="J112" s="19"/>
    </row>
    <row r="113" spans="1:10" ht="15" x14ac:dyDescent="0.2">
      <c r="A113" s="21" t="s">
        <v>413</v>
      </c>
      <c r="B113" s="419" t="s">
        <v>414</v>
      </c>
      <c r="C113" s="419"/>
      <c r="D113" s="419"/>
      <c r="E113" s="419"/>
      <c r="F113" s="419"/>
      <c r="G113" s="419"/>
      <c r="H113" s="419"/>
      <c r="I113" s="419"/>
      <c r="J113" s="21" t="s">
        <v>360</v>
      </c>
    </row>
    <row r="114" spans="1:10" ht="15" customHeight="1" x14ac:dyDescent="0.2">
      <c r="A114" s="22" t="s">
        <v>310</v>
      </c>
      <c r="B114" s="477" t="s">
        <v>696</v>
      </c>
      <c r="C114" s="477"/>
      <c r="D114" s="477"/>
      <c r="E114" s="477"/>
      <c r="F114" s="477"/>
      <c r="G114" s="477"/>
      <c r="H114" s="477"/>
      <c r="I114" s="477"/>
      <c r="J114" s="66">
        <f>ROUND(J50*9.075%,2)</f>
        <v>143.1</v>
      </c>
    </row>
    <row r="115" spans="1:10" ht="15" x14ac:dyDescent="0.2">
      <c r="A115" s="22" t="s">
        <v>312</v>
      </c>
      <c r="B115" s="449" t="s">
        <v>653</v>
      </c>
      <c r="C115" s="449"/>
      <c r="D115" s="449"/>
      <c r="E115" s="449"/>
      <c r="F115" s="449"/>
      <c r="G115" s="449"/>
      <c r="H115" s="449"/>
      <c r="I115" s="449"/>
      <c r="J115" s="63">
        <f>ROUND((($J$110/30)*1)/12,2)</f>
        <v>6.96</v>
      </c>
    </row>
    <row r="116" spans="1:10" ht="15" x14ac:dyDescent="0.2">
      <c r="A116" s="22" t="s">
        <v>313</v>
      </c>
      <c r="B116" s="449" t="s">
        <v>654</v>
      </c>
      <c r="C116" s="449"/>
      <c r="D116" s="449"/>
      <c r="E116" s="449"/>
      <c r="F116" s="449"/>
      <c r="G116" s="449"/>
      <c r="H116" s="449"/>
      <c r="I116" s="449"/>
      <c r="J116" s="63">
        <f>ROUND((($J$110/30)*5)/12*0.015,2)</f>
        <v>0.52</v>
      </c>
    </row>
    <row r="117" spans="1:10" ht="15" x14ac:dyDescent="0.2">
      <c r="A117" s="22" t="s">
        <v>315</v>
      </c>
      <c r="B117" s="449" t="s">
        <v>655</v>
      </c>
      <c r="C117" s="449"/>
      <c r="D117" s="449"/>
      <c r="E117" s="449"/>
      <c r="F117" s="449"/>
      <c r="G117" s="449"/>
      <c r="H117" s="449"/>
      <c r="I117" s="449"/>
      <c r="J117" s="66">
        <f>ROUND(((($J$110/30)*15)/12)*0.0078,2)</f>
        <v>0.81</v>
      </c>
    </row>
    <row r="118" spans="1:10" ht="15" x14ac:dyDescent="0.2">
      <c r="A118" s="22" t="s">
        <v>368</v>
      </c>
      <c r="B118" s="449" t="s">
        <v>656</v>
      </c>
      <c r="C118" s="449"/>
      <c r="D118" s="449"/>
      <c r="E118" s="449"/>
      <c r="F118" s="449"/>
      <c r="G118" s="449"/>
      <c r="H118" s="449"/>
      <c r="I118" s="449"/>
      <c r="J118" s="66">
        <f>ROUND((((J50+J50/3)/12+(J70+J87-J81-J76+J106))*4/12)*0.02,2)</f>
        <v>6.17</v>
      </c>
    </row>
    <row r="119" spans="1:10" ht="15" x14ac:dyDescent="0.2">
      <c r="A119" s="22" t="s">
        <v>369</v>
      </c>
      <c r="B119" s="449" t="s">
        <v>657</v>
      </c>
      <c r="C119" s="449"/>
      <c r="D119" s="449"/>
      <c r="E119" s="449"/>
      <c r="F119" s="449"/>
      <c r="G119" s="449"/>
      <c r="H119" s="449"/>
      <c r="I119" s="449"/>
      <c r="J119" s="66">
        <f>ROUND(((($J$110/30)*5)/12),2)</f>
        <v>34.81</v>
      </c>
    </row>
    <row r="120" spans="1:10" ht="15" x14ac:dyDescent="0.2">
      <c r="A120" s="412" t="s">
        <v>415</v>
      </c>
      <c r="B120" s="412"/>
      <c r="C120" s="412"/>
      <c r="D120" s="412"/>
      <c r="E120" s="412"/>
      <c r="F120" s="412"/>
      <c r="G120" s="412"/>
      <c r="H120" s="412"/>
      <c r="I120" s="412"/>
      <c r="J120" s="10">
        <f>SUM(J114:J119)</f>
        <v>192.37</v>
      </c>
    </row>
    <row r="121" spans="1:10" ht="9.9499999999999993" customHeight="1" x14ac:dyDescent="0.2">
      <c r="A121" s="518"/>
      <c r="B121" s="518"/>
      <c r="C121" s="518"/>
      <c r="D121" s="518"/>
      <c r="E121" s="518"/>
      <c r="F121" s="518"/>
      <c r="G121" s="518"/>
      <c r="H121" s="518"/>
      <c r="I121" s="518"/>
      <c r="J121" s="67"/>
    </row>
    <row r="122" spans="1:10" ht="15" customHeight="1" x14ac:dyDescent="0.2">
      <c r="A122" s="21" t="s">
        <v>416</v>
      </c>
      <c r="B122" s="419" t="s">
        <v>417</v>
      </c>
      <c r="C122" s="419"/>
      <c r="D122" s="419"/>
      <c r="E122" s="419"/>
      <c r="F122" s="419"/>
      <c r="G122" s="419"/>
      <c r="H122" s="419"/>
      <c r="I122" s="419"/>
      <c r="J122" s="21" t="s">
        <v>360</v>
      </c>
    </row>
    <row r="123" spans="1:10" ht="15" x14ac:dyDescent="0.2">
      <c r="A123" s="22" t="s">
        <v>310</v>
      </c>
      <c r="B123" s="449" t="s">
        <v>418</v>
      </c>
      <c r="C123" s="449"/>
      <c r="D123" s="449"/>
      <c r="E123" s="449"/>
      <c r="F123" s="449"/>
      <c r="G123" s="449"/>
      <c r="H123" s="449"/>
      <c r="I123" s="449"/>
      <c r="J123" s="66">
        <v>0</v>
      </c>
    </row>
    <row r="124" spans="1:10" ht="15" x14ac:dyDescent="0.2">
      <c r="A124" s="412" t="s">
        <v>419</v>
      </c>
      <c r="B124" s="412"/>
      <c r="C124" s="412"/>
      <c r="D124" s="412"/>
      <c r="E124" s="412"/>
      <c r="F124" s="412"/>
      <c r="G124" s="412"/>
      <c r="H124" s="412"/>
      <c r="I124" s="412"/>
      <c r="J124" s="10">
        <f>SUM(J123)</f>
        <v>0</v>
      </c>
    </row>
    <row r="125" spans="1:10" ht="9.9499999999999993" customHeight="1" x14ac:dyDescent="0.2">
      <c r="A125" s="518"/>
      <c r="B125" s="518"/>
      <c r="C125" s="518"/>
      <c r="D125" s="518"/>
      <c r="E125" s="518"/>
      <c r="F125" s="518"/>
      <c r="G125" s="518"/>
      <c r="H125" s="518"/>
      <c r="I125" s="518"/>
      <c r="J125" s="67"/>
    </row>
    <row r="126" spans="1:10" ht="12.75" customHeight="1" x14ac:dyDescent="0.2">
      <c r="A126" s="419" t="s">
        <v>420</v>
      </c>
      <c r="B126" s="419"/>
      <c r="C126" s="419"/>
      <c r="D126" s="419"/>
      <c r="E126" s="419"/>
      <c r="F126" s="419"/>
      <c r="G126" s="419"/>
      <c r="H126" s="419"/>
      <c r="I126" s="419"/>
      <c r="J126" s="419"/>
    </row>
    <row r="127" spans="1:10" ht="15" customHeight="1" x14ac:dyDescent="0.2">
      <c r="A127" s="21" t="s">
        <v>421</v>
      </c>
      <c r="B127" s="419" t="s">
        <v>394</v>
      </c>
      <c r="C127" s="419"/>
      <c r="D127" s="419"/>
      <c r="E127" s="419"/>
      <c r="F127" s="419"/>
      <c r="G127" s="419"/>
      <c r="H127" s="419"/>
      <c r="I127" s="419"/>
      <c r="J127" s="16" t="s">
        <v>360</v>
      </c>
    </row>
    <row r="128" spans="1:10" ht="12.75" customHeight="1" x14ac:dyDescent="0.2">
      <c r="A128" s="22" t="s">
        <v>413</v>
      </c>
      <c r="B128" s="449" t="s">
        <v>414</v>
      </c>
      <c r="C128" s="449"/>
      <c r="D128" s="449"/>
      <c r="E128" s="449"/>
      <c r="F128" s="449"/>
      <c r="G128" s="449"/>
      <c r="H128" s="449"/>
      <c r="I128" s="449"/>
      <c r="J128" s="66">
        <f>J120</f>
        <v>192.37</v>
      </c>
    </row>
    <row r="129" spans="1:10" ht="12.75" customHeight="1" x14ac:dyDescent="0.2">
      <c r="A129" s="22" t="s">
        <v>422</v>
      </c>
      <c r="B129" s="449" t="s">
        <v>417</v>
      </c>
      <c r="C129" s="449"/>
      <c r="D129" s="449"/>
      <c r="E129" s="449"/>
      <c r="F129" s="449"/>
      <c r="G129" s="449"/>
      <c r="H129" s="449"/>
      <c r="I129" s="449"/>
      <c r="J129" s="66">
        <f>J124</f>
        <v>0</v>
      </c>
    </row>
    <row r="130" spans="1:10" ht="12.75" customHeight="1" x14ac:dyDescent="0.2">
      <c r="A130" s="412" t="s">
        <v>423</v>
      </c>
      <c r="B130" s="412"/>
      <c r="C130" s="412"/>
      <c r="D130" s="412"/>
      <c r="E130" s="412"/>
      <c r="F130" s="412"/>
      <c r="G130" s="412"/>
      <c r="H130" s="412"/>
      <c r="I130" s="412"/>
      <c r="J130" s="10">
        <f>SUM(J128+J129)</f>
        <v>192.37</v>
      </c>
    </row>
    <row r="131" spans="1:10" ht="24" customHeight="1" x14ac:dyDescent="0.2">
      <c r="A131" s="65" t="s">
        <v>390</v>
      </c>
      <c r="B131" s="450" t="s">
        <v>425</v>
      </c>
      <c r="C131" s="450"/>
      <c r="D131" s="450"/>
      <c r="E131" s="450"/>
      <c r="F131" s="450"/>
      <c r="G131" s="450"/>
      <c r="H131" s="450"/>
      <c r="I131" s="450"/>
      <c r="J131" s="450"/>
    </row>
    <row r="132" spans="1:10" ht="9.9499999999999993" customHeight="1" x14ac:dyDescent="0.2">
      <c r="A132" s="72"/>
      <c r="B132" s="73"/>
      <c r="C132" s="73"/>
      <c r="D132" s="73"/>
      <c r="E132" s="73"/>
      <c r="F132" s="73"/>
      <c r="G132" s="73"/>
      <c r="H132" s="73"/>
      <c r="I132" s="73"/>
      <c r="J132" s="73"/>
    </row>
    <row r="133" spans="1:10" ht="12.75" customHeight="1" x14ac:dyDescent="0.2">
      <c r="A133" s="419" t="s">
        <v>426</v>
      </c>
      <c r="B133" s="419"/>
      <c r="C133" s="419"/>
      <c r="D133" s="419"/>
      <c r="E133" s="419"/>
      <c r="F133" s="419"/>
      <c r="G133" s="419"/>
      <c r="H133" s="419"/>
      <c r="I133" s="419"/>
      <c r="J133" s="419"/>
    </row>
    <row r="134" spans="1:10" ht="15" x14ac:dyDescent="0.2">
      <c r="A134" s="21"/>
      <c r="B134" s="419" t="s">
        <v>394</v>
      </c>
      <c r="C134" s="419"/>
      <c r="D134" s="419"/>
      <c r="E134" s="419"/>
      <c r="F134" s="419"/>
      <c r="G134" s="419"/>
      <c r="H134" s="419"/>
      <c r="I134" s="419"/>
      <c r="J134" s="21" t="s">
        <v>360</v>
      </c>
    </row>
    <row r="135" spans="1:10" ht="15" x14ac:dyDescent="0.2">
      <c r="A135" s="22" t="s">
        <v>310</v>
      </c>
      <c r="B135" s="449" t="s">
        <v>427</v>
      </c>
      <c r="C135" s="449"/>
      <c r="D135" s="449"/>
      <c r="E135" s="449"/>
      <c r="F135" s="449"/>
      <c r="G135" s="449"/>
      <c r="H135" s="449"/>
      <c r="I135" s="449"/>
      <c r="J135" s="66">
        <f>'2. SAn INSUMOS'!G95</f>
        <v>110.10250000000002</v>
      </c>
    </row>
    <row r="136" spans="1:10" ht="15" x14ac:dyDescent="0.2">
      <c r="A136" s="22" t="s">
        <v>312</v>
      </c>
      <c r="B136" s="449" t="s">
        <v>428</v>
      </c>
      <c r="C136" s="449"/>
      <c r="D136" s="449"/>
      <c r="E136" s="449"/>
      <c r="F136" s="449"/>
      <c r="G136" s="449"/>
      <c r="H136" s="449"/>
      <c r="I136" s="449"/>
      <c r="J136" s="66">
        <f>'2. SAn INSUMOS'!G91</f>
        <v>698.59200480529694</v>
      </c>
    </row>
    <row r="137" spans="1:10" ht="15" x14ac:dyDescent="0.2">
      <c r="A137" s="22" t="s">
        <v>313</v>
      </c>
      <c r="B137" s="449" t="s">
        <v>429</v>
      </c>
      <c r="C137" s="449"/>
      <c r="D137" s="449"/>
      <c r="E137" s="449"/>
      <c r="F137" s="449"/>
      <c r="G137" s="449"/>
      <c r="H137" s="449"/>
      <c r="I137" s="449"/>
      <c r="J137" s="66">
        <f>'2. SAn INSUMOS'!G93</f>
        <v>22.696742684695057</v>
      </c>
    </row>
    <row r="138" spans="1:10" ht="15" x14ac:dyDescent="0.2">
      <c r="A138" s="22" t="s">
        <v>315</v>
      </c>
      <c r="B138" s="449" t="s">
        <v>556</v>
      </c>
      <c r="C138" s="449"/>
      <c r="D138" s="449"/>
      <c r="E138" s="449"/>
      <c r="F138" s="449"/>
      <c r="G138" s="449"/>
      <c r="H138" s="449"/>
      <c r="I138" s="449"/>
      <c r="J138" s="66" t="s">
        <v>430</v>
      </c>
    </row>
    <row r="139" spans="1:10" ht="15" x14ac:dyDescent="0.2">
      <c r="A139" s="412" t="s">
        <v>530</v>
      </c>
      <c r="B139" s="412"/>
      <c r="C139" s="412"/>
      <c r="D139" s="412"/>
      <c r="E139" s="412"/>
      <c r="F139" s="412"/>
      <c r="G139" s="412"/>
      <c r="H139" s="412"/>
      <c r="I139" s="412"/>
      <c r="J139" s="10">
        <f>SUM(J135:J138)</f>
        <v>831.391247489992</v>
      </c>
    </row>
    <row r="140" spans="1:10" x14ac:dyDescent="0.2">
      <c r="A140" s="65" t="s">
        <v>424</v>
      </c>
      <c r="B140" s="450" t="s">
        <v>433</v>
      </c>
      <c r="C140" s="450"/>
      <c r="D140" s="450"/>
      <c r="E140" s="450"/>
      <c r="F140" s="450"/>
      <c r="G140" s="450"/>
      <c r="H140" s="450"/>
      <c r="I140" s="450"/>
      <c r="J140" s="450"/>
    </row>
    <row r="141" spans="1:10" ht="9.9499999999999993" customHeight="1" x14ac:dyDescent="0.2">
      <c r="A141" s="517"/>
      <c r="B141" s="517"/>
      <c r="C141" s="517"/>
      <c r="D141" s="517"/>
      <c r="E141" s="517"/>
      <c r="F141" s="517"/>
      <c r="G141" s="517"/>
      <c r="H141" s="517"/>
      <c r="I141" s="517"/>
      <c r="J141" s="517"/>
    </row>
    <row r="142" spans="1:10" ht="12.75" customHeight="1" x14ac:dyDescent="0.2">
      <c r="A142" s="419" t="s">
        <v>434</v>
      </c>
      <c r="B142" s="419"/>
      <c r="C142" s="419"/>
      <c r="D142" s="419"/>
      <c r="E142" s="419"/>
      <c r="F142" s="419"/>
      <c r="G142" s="419"/>
      <c r="H142" s="419"/>
      <c r="I142" s="419"/>
      <c r="J142" s="419"/>
    </row>
    <row r="143" spans="1:10" ht="15" x14ac:dyDescent="0.2">
      <c r="A143" s="21"/>
      <c r="B143" s="419" t="s">
        <v>435</v>
      </c>
      <c r="C143" s="419"/>
      <c r="D143" s="419"/>
      <c r="E143" s="419"/>
      <c r="F143" s="419"/>
      <c r="G143" s="419"/>
      <c r="H143" s="419"/>
      <c r="I143" s="21" t="s">
        <v>350</v>
      </c>
      <c r="J143" s="16" t="s">
        <v>360</v>
      </c>
    </row>
    <row r="144" spans="1:10" ht="48" customHeight="1" x14ac:dyDescent="0.2">
      <c r="A144" s="449" t="s">
        <v>658</v>
      </c>
      <c r="B144" s="449"/>
      <c r="C144" s="449"/>
      <c r="D144" s="449"/>
      <c r="E144" s="449"/>
      <c r="F144" s="449"/>
      <c r="G144" s="449"/>
      <c r="H144" s="449"/>
      <c r="I144" s="449"/>
      <c r="J144" s="81">
        <f>SUM(J50+J96+J106+J130+J139)</f>
        <v>4023.801247489992</v>
      </c>
    </row>
    <row r="145" spans="1:12" ht="15" x14ac:dyDescent="0.2">
      <c r="A145" s="21" t="s">
        <v>310</v>
      </c>
      <c r="B145" s="415" t="s">
        <v>436</v>
      </c>
      <c r="C145" s="415"/>
      <c r="D145" s="415"/>
      <c r="E145" s="415"/>
      <c r="F145" s="415"/>
      <c r="G145" s="415"/>
      <c r="H145" s="415"/>
      <c r="I145" s="82">
        <f>'1. SAn ABA DE CARREGAMENTO'!$B$103</f>
        <v>0.06</v>
      </c>
      <c r="J145" s="10">
        <f>ROUND(I145*J144,2)</f>
        <v>241.43</v>
      </c>
    </row>
    <row r="146" spans="1:12" ht="40.5" customHeight="1" x14ac:dyDescent="0.2">
      <c r="A146" s="449" t="s">
        <v>659</v>
      </c>
      <c r="B146" s="449"/>
      <c r="C146" s="449"/>
      <c r="D146" s="449"/>
      <c r="E146" s="449"/>
      <c r="F146" s="449"/>
      <c r="G146" s="449"/>
      <c r="H146" s="449"/>
      <c r="I146" s="449"/>
      <c r="J146" s="78">
        <f>SUM(J50+J96+J106+J130+J139+J145)</f>
        <v>4265.2312474899918</v>
      </c>
    </row>
    <row r="147" spans="1:12" ht="15" x14ac:dyDescent="0.2">
      <c r="A147" s="21" t="s">
        <v>312</v>
      </c>
      <c r="B147" s="415" t="s">
        <v>99</v>
      </c>
      <c r="C147" s="415"/>
      <c r="D147" s="415"/>
      <c r="E147" s="415"/>
      <c r="F147" s="415"/>
      <c r="G147" s="415"/>
      <c r="H147" s="415"/>
      <c r="I147" s="82">
        <f>'1. SAn ABA DE CARREGAMENTO'!$B$104</f>
        <v>6.7900000000000002E-2</v>
      </c>
      <c r="J147" s="10">
        <f>ROUND(I147*J146,2)</f>
        <v>289.61</v>
      </c>
    </row>
    <row r="148" spans="1:12" ht="42.75" customHeight="1" x14ac:dyDescent="0.2">
      <c r="A148" s="449" t="s">
        <v>660</v>
      </c>
      <c r="B148" s="449"/>
      <c r="C148" s="449"/>
      <c r="D148" s="449"/>
      <c r="E148" s="449"/>
      <c r="F148" s="449"/>
      <c r="G148" s="449"/>
      <c r="H148" s="449"/>
      <c r="I148" s="449"/>
      <c r="J148" s="78">
        <f>SUM(J50+J96+J106+J130+J139+J145+J147)</f>
        <v>4554.8412474899915</v>
      </c>
    </row>
    <row r="149" spans="1:12" ht="15" x14ac:dyDescent="0.2">
      <c r="A149" s="21" t="s">
        <v>313</v>
      </c>
      <c r="B149" s="415" t="s">
        <v>437</v>
      </c>
      <c r="C149" s="415"/>
      <c r="D149" s="415"/>
      <c r="E149" s="415"/>
      <c r="F149" s="415"/>
      <c r="G149" s="415"/>
      <c r="H149" s="415"/>
      <c r="I149" s="82">
        <f>SUM(I150:I153)</f>
        <v>0.1225</v>
      </c>
      <c r="J149" s="10">
        <f>SUM(J150:J153)</f>
        <v>635.86</v>
      </c>
      <c r="K149" s="473"/>
      <c r="L149" s="473"/>
    </row>
    <row r="150" spans="1:12" ht="15" x14ac:dyDescent="0.2">
      <c r="A150" s="474" t="s">
        <v>438</v>
      </c>
      <c r="B150" s="449" t="s">
        <v>439</v>
      </c>
      <c r="C150" s="449"/>
      <c r="D150" s="449"/>
      <c r="E150" s="449"/>
      <c r="F150" s="449" t="s">
        <v>102</v>
      </c>
      <c r="G150" s="449"/>
      <c r="H150" s="449"/>
      <c r="I150" s="68">
        <f>IF(H15=1,0.0165,IF(H15=2,0.0065,IF(H15=3,'1. SAn ABA DE CARREGAMENTO'!B108,IF(H15=4,'1. SAn ABA DE CARREGAMENTO'!B108,IF(H15=5,'1. SAn ABA DE CARREGAMENTO'!B112,"RT Indefinido")))))</f>
        <v>1.6500000000000001E-2</v>
      </c>
      <c r="J150" s="78">
        <f>ROUND(($J$148/(1-$I$149))*I150,2)</f>
        <v>85.65</v>
      </c>
      <c r="K150" s="83"/>
      <c r="L150" s="84"/>
    </row>
    <row r="151" spans="1:12" ht="15" x14ac:dyDescent="0.2">
      <c r="A151" s="474"/>
      <c r="B151" s="449"/>
      <c r="C151" s="449"/>
      <c r="D151" s="449"/>
      <c r="E151" s="449"/>
      <c r="F151" s="449" t="s">
        <v>103</v>
      </c>
      <c r="G151" s="449"/>
      <c r="H151" s="449"/>
      <c r="I151" s="68">
        <f>IF(H15=1,0.076,IF(H15=2,0.03,IF(H15=3,'1. SAn ABA DE CARREGAMENTO'!B109,IF(H15=4,'1. SAn ABA DE CARREGAMENTO'!B109,IF(H15=5,'1. SAn ABA DE CARREGAMENTO'!B113,"RT Indefinido")))))</f>
        <v>7.5999999999999998E-2</v>
      </c>
      <c r="J151" s="78">
        <f>ROUND(($J$148/(1-$I$149))*I151,2)</f>
        <v>394.49</v>
      </c>
      <c r="K151" s="83"/>
      <c r="L151" s="84"/>
    </row>
    <row r="152" spans="1:12" ht="15" x14ac:dyDescent="0.2">
      <c r="A152" s="22" t="s">
        <v>440</v>
      </c>
      <c r="B152" s="449" t="s">
        <v>441</v>
      </c>
      <c r="C152" s="449"/>
      <c r="D152" s="449"/>
      <c r="E152" s="449"/>
      <c r="F152" s="449" t="s">
        <v>442</v>
      </c>
      <c r="G152" s="449"/>
      <c r="H152" s="449"/>
      <c r="I152" s="68">
        <v>0</v>
      </c>
      <c r="J152" s="66">
        <v>0</v>
      </c>
      <c r="K152" s="83"/>
      <c r="L152" s="84"/>
    </row>
    <row r="153" spans="1:12" ht="15" x14ac:dyDescent="0.2">
      <c r="A153" s="22" t="s">
        <v>443</v>
      </c>
      <c r="B153" s="449" t="s">
        <v>444</v>
      </c>
      <c r="C153" s="449"/>
      <c r="D153" s="449"/>
      <c r="E153" s="449"/>
      <c r="F153" s="449" t="s">
        <v>445</v>
      </c>
      <c r="G153" s="449"/>
      <c r="H153" s="449"/>
      <c r="I153" s="68">
        <f>'1. SAn ABA DE CARREGAMENTO'!$B$105</f>
        <v>0.03</v>
      </c>
      <c r="J153" s="78">
        <f>ROUND(($J$148/(1-$I$149))*I153,2)</f>
        <v>155.72</v>
      </c>
    </row>
    <row r="154" spans="1:12" ht="15" x14ac:dyDescent="0.2">
      <c r="A154" s="412" t="s">
        <v>446</v>
      </c>
      <c r="B154" s="412"/>
      <c r="C154" s="412"/>
      <c r="D154" s="412"/>
      <c r="E154" s="412"/>
      <c r="F154" s="412"/>
      <c r="G154" s="412"/>
      <c r="H154" s="412"/>
      <c r="I154" s="412"/>
      <c r="J154" s="10">
        <f>SUM(J145+J147+J149)</f>
        <v>1166.9000000000001</v>
      </c>
    </row>
    <row r="155" spans="1:12" x14ac:dyDescent="0.2">
      <c r="A155" s="65" t="s">
        <v>432</v>
      </c>
      <c r="B155" s="450" t="s">
        <v>448</v>
      </c>
      <c r="C155" s="450"/>
      <c r="D155" s="450"/>
      <c r="E155" s="450"/>
      <c r="F155" s="450"/>
      <c r="G155" s="450"/>
      <c r="H155" s="450"/>
      <c r="I155" s="450"/>
      <c r="J155" s="450"/>
    </row>
    <row r="156" spans="1:12" ht="14.25" customHeight="1" x14ac:dyDescent="0.2">
      <c r="A156" s="451" t="s">
        <v>447</v>
      </c>
      <c r="B156" s="452" t="s">
        <v>449</v>
      </c>
      <c r="C156" s="453"/>
      <c r="D156" s="458" t="s">
        <v>680</v>
      </c>
      <c r="E156" s="459"/>
      <c r="F156" s="459"/>
      <c r="G156" s="464" t="s">
        <v>681</v>
      </c>
      <c r="H156" s="465"/>
      <c r="I156" s="293"/>
      <c r="J156" s="470"/>
    </row>
    <row r="157" spans="1:12" ht="14.25" customHeight="1" x14ac:dyDescent="0.2">
      <c r="A157" s="451"/>
      <c r="B157" s="454"/>
      <c r="C157" s="455"/>
      <c r="D157" s="460"/>
      <c r="E157" s="461"/>
      <c r="F157" s="461"/>
      <c r="G157" s="466"/>
      <c r="H157" s="467"/>
      <c r="I157" s="294"/>
      <c r="J157" s="471"/>
    </row>
    <row r="158" spans="1:12" ht="14.25" customHeight="1" x14ac:dyDescent="0.2">
      <c r="A158" s="451"/>
      <c r="B158" s="456"/>
      <c r="C158" s="457"/>
      <c r="D158" s="462"/>
      <c r="E158" s="463"/>
      <c r="F158" s="463"/>
      <c r="G158" s="468"/>
      <c r="H158" s="469"/>
      <c r="I158" s="295"/>
      <c r="J158" s="472"/>
    </row>
    <row r="159" spans="1:12" x14ac:dyDescent="0.2">
      <c r="A159" s="517"/>
      <c r="B159" s="517"/>
      <c r="C159" s="517"/>
      <c r="D159" s="517"/>
      <c r="E159" s="517"/>
      <c r="F159" s="517"/>
      <c r="G159" s="517"/>
      <c r="H159" s="517"/>
      <c r="I159" s="517"/>
      <c r="J159" s="517"/>
    </row>
    <row r="160" spans="1:12" ht="15" customHeight="1" x14ac:dyDescent="0.2">
      <c r="A160" s="445" t="s">
        <v>682</v>
      </c>
      <c r="B160" s="445"/>
      <c r="C160" s="445"/>
      <c r="D160" s="445"/>
      <c r="E160" s="445"/>
      <c r="F160" s="445"/>
      <c r="G160" s="445"/>
      <c r="H160" s="445"/>
      <c r="I160" s="445"/>
      <c r="J160" s="445"/>
    </row>
    <row r="161" spans="1:10" ht="15" customHeight="1" x14ac:dyDescent="0.2">
      <c r="A161" s="446" t="s">
        <v>450</v>
      </c>
      <c r="B161" s="446"/>
      <c r="C161" s="446"/>
      <c r="D161" s="446"/>
      <c r="E161" s="446"/>
      <c r="F161" s="446"/>
      <c r="G161" s="446"/>
      <c r="H161" s="446"/>
      <c r="I161" s="446"/>
      <c r="J161" s="21" t="s">
        <v>360</v>
      </c>
    </row>
    <row r="162" spans="1:10" ht="15" customHeight="1" x14ac:dyDescent="0.2">
      <c r="A162" s="85" t="s">
        <v>310</v>
      </c>
      <c r="B162" s="447" t="s">
        <v>451</v>
      </c>
      <c r="C162" s="447"/>
      <c r="D162" s="447"/>
      <c r="E162" s="447"/>
      <c r="F162" s="447"/>
      <c r="G162" s="447"/>
      <c r="H162" s="447"/>
      <c r="I162" s="447"/>
      <c r="J162" s="88">
        <f>J50</f>
        <v>1576.9099999999999</v>
      </c>
    </row>
    <row r="163" spans="1:10" ht="15" customHeight="1" x14ac:dyDescent="0.2">
      <c r="A163" s="85" t="s">
        <v>312</v>
      </c>
      <c r="B163" s="447" t="s">
        <v>452</v>
      </c>
      <c r="C163" s="447"/>
      <c r="D163" s="447"/>
      <c r="E163" s="447"/>
      <c r="F163" s="447"/>
      <c r="G163" s="447"/>
      <c r="H163" s="447"/>
      <c r="I163" s="447"/>
      <c r="J163" s="88">
        <f>J96</f>
        <v>1336.09</v>
      </c>
    </row>
    <row r="164" spans="1:10" ht="15" customHeight="1" x14ac:dyDescent="0.2">
      <c r="A164" s="85" t="s">
        <v>313</v>
      </c>
      <c r="B164" s="447" t="s">
        <v>453</v>
      </c>
      <c r="C164" s="447"/>
      <c r="D164" s="447"/>
      <c r="E164" s="447"/>
      <c r="F164" s="447"/>
      <c r="G164" s="447"/>
      <c r="H164" s="447"/>
      <c r="I164" s="447"/>
      <c r="J164" s="88">
        <f>J106</f>
        <v>87.039999999999992</v>
      </c>
    </row>
    <row r="165" spans="1:10" ht="15" customHeight="1" x14ac:dyDescent="0.2">
      <c r="A165" s="85" t="s">
        <v>315</v>
      </c>
      <c r="B165" s="447" t="s">
        <v>454</v>
      </c>
      <c r="C165" s="447"/>
      <c r="D165" s="447"/>
      <c r="E165" s="447"/>
      <c r="F165" s="447"/>
      <c r="G165" s="447"/>
      <c r="H165" s="447"/>
      <c r="I165" s="447"/>
      <c r="J165" s="88">
        <f>J130</f>
        <v>192.37</v>
      </c>
    </row>
    <row r="166" spans="1:10" ht="15" customHeight="1" x14ac:dyDescent="0.2">
      <c r="A166" s="85" t="s">
        <v>368</v>
      </c>
      <c r="B166" s="447" t="s">
        <v>455</v>
      </c>
      <c r="C166" s="447"/>
      <c r="D166" s="447"/>
      <c r="E166" s="447"/>
      <c r="F166" s="447"/>
      <c r="G166" s="447"/>
      <c r="H166" s="447"/>
      <c r="I166" s="447"/>
      <c r="J166" s="88">
        <f>J139</f>
        <v>831.391247489992</v>
      </c>
    </row>
    <row r="167" spans="1:10" ht="15" customHeight="1" x14ac:dyDescent="0.2">
      <c r="A167" s="448" t="s">
        <v>456</v>
      </c>
      <c r="B167" s="448"/>
      <c r="C167" s="448"/>
      <c r="D167" s="448"/>
      <c r="E167" s="448"/>
      <c r="F167" s="448"/>
      <c r="G167" s="448"/>
      <c r="H167" s="448"/>
      <c r="I167" s="448"/>
      <c r="J167" s="89">
        <f>SUM(J162:J166)</f>
        <v>4023.801247489992</v>
      </c>
    </row>
    <row r="168" spans="1:10" ht="15" customHeight="1" x14ac:dyDescent="0.2">
      <c r="A168" s="85" t="s">
        <v>369</v>
      </c>
      <c r="B168" s="447" t="s">
        <v>457</v>
      </c>
      <c r="C168" s="447"/>
      <c r="D168" s="447"/>
      <c r="E168" s="447"/>
      <c r="F168" s="447"/>
      <c r="G168" s="447"/>
      <c r="H168" s="447"/>
      <c r="I168" s="447"/>
      <c r="J168" s="88">
        <f>J154</f>
        <v>1166.9000000000001</v>
      </c>
    </row>
    <row r="169" spans="1:10" ht="15" customHeight="1" x14ac:dyDescent="0.2">
      <c r="A169" s="444" t="s">
        <v>458</v>
      </c>
      <c r="B169" s="444"/>
      <c r="C169" s="444"/>
      <c r="D169" s="444"/>
      <c r="E169" s="444"/>
      <c r="F169" s="444"/>
      <c r="G169" s="444"/>
      <c r="H169" s="86">
        <f>'1. SAn ABA DE CARREGAMENTO'!C68</f>
        <v>44</v>
      </c>
      <c r="I169" s="87" t="s">
        <v>352</v>
      </c>
      <c r="J169" s="89">
        <f>SUM(J167:J168)</f>
        <v>5190.7012474899921</v>
      </c>
    </row>
    <row r="170" spans="1:10" ht="15" x14ac:dyDescent="0.2">
      <c r="A170" s="90"/>
      <c r="B170" s="90"/>
      <c r="C170" s="90"/>
      <c r="D170" s="90"/>
      <c r="E170" s="90"/>
      <c r="F170" s="90"/>
      <c r="G170" s="90"/>
      <c r="H170" s="90"/>
      <c r="I170" s="90"/>
      <c r="J170" s="91"/>
    </row>
    <row r="171" spans="1:10" ht="15" x14ac:dyDescent="0.2">
      <c r="A171" s="419" t="s">
        <v>459</v>
      </c>
      <c r="B171" s="419"/>
      <c r="C171" s="419"/>
      <c r="D171" s="419"/>
      <c r="E171" s="419"/>
      <c r="F171" s="419"/>
      <c r="G171" s="419"/>
      <c r="H171" s="419"/>
      <c r="I171" s="419"/>
      <c r="J171" s="419"/>
    </row>
    <row r="172" spans="1:10" ht="12.75" customHeight="1" x14ac:dyDescent="0.2">
      <c r="A172" s="423" t="s">
        <v>661</v>
      </c>
      <c r="B172" s="423"/>
      <c r="C172" s="423"/>
      <c r="D172" s="423"/>
      <c r="E172" s="423"/>
      <c r="F172" s="423"/>
      <c r="G172" s="423"/>
      <c r="H172" s="423"/>
      <c r="I172" s="423"/>
      <c r="J172" s="423"/>
    </row>
    <row r="173" spans="1:10" ht="12.75" customHeight="1" x14ac:dyDescent="0.2">
      <c r="A173" s="415" t="s">
        <v>557</v>
      </c>
      <c r="B173" s="415"/>
      <c r="C173" s="415"/>
      <c r="D173" s="415"/>
      <c r="E173" s="415"/>
      <c r="F173" s="415"/>
      <c r="G173" s="415"/>
      <c r="H173" s="415"/>
      <c r="I173" s="415"/>
      <c r="J173" s="415"/>
    </row>
    <row r="174" spans="1:10" ht="69.75" customHeight="1" x14ac:dyDescent="0.2">
      <c r="A174" s="21" t="s">
        <v>683</v>
      </c>
      <c r="B174" s="419" t="s">
        <v>558</v>
      </c>
      <c r="C174" s="419"/>
      <c r="D174" s="419"/>
      <c r="E174" s="21" t="s">
        <v>559</v>
      </c>
      <c r="F174" s="419" t="s">
        <v>560</v>
      </c>
      <c r="G174" s="419"/>
      <c r="H174" s="21" t="s">
        <v>561</v>
      </c>
      <c r="I174" s="21" t="s">
        <v>562</v>
      </c>
      <c r="J174" s="21" t="s">
        <v>563</v>
      </c>
    </row>
    <row r="175" spans="1:10" ht="57" x14ac:dyDescent="0.2">
      <c r="A175" s="92" t="s">
        <v>564</v>
      </c>
      <c r="B175" s="93" t="s">
        <v>492</v>
      </c>
      <c r="C175" s="94">
        <v>30</v>
      </c>
      <c r="D175" s="95">
        <f>C176</f>
        <v>160</v>
      </c>
      <c r="E175" s="96">
        <v>188.76</v>
      </c>
      <c r="F175" s="93" t="s">
        <v>492</v>
      </c>
      <c r="G175" s="93" t="s">
        <v>565</v>
      </c>
      <c r="H175" s="97">
        <f>ROUND((B175/(C175*D175))*E175*(F175/G175),7)</f>
        <v>2.0829999999999999E-4</v>
      </c>
      <c r="I175" s="98">
        <v>0</v>
      </c>
      <c r="J175" s="98">
        <f>ROUND(H175*I175,2)</f>
        <v>0</v>
      </c>
    </row>
    <row r="176" spans="1:10" ht="57" x14ac:dyDescent="0.2">
      <c r="A176" s="92" t="s">
        <v>566</v>
      </c>
      <c r="B176" s="93">
        <v>1</v>
      </c>
      <c r="C176" s="527">
        <f>'6. SAn Cál DEMO Esq. e Fach'!$C$8</f>
        <v>160</v>
      </c>
      <c r="D176" s="527"/>
      <c r="E176" s="94">
        <v>188.76</v>
      </c>
      <c r="F176" s="93" t="s">
        <v>492</v>
      </c>
      <c r="G176" s="93" t="s">
        <v>565</v>
      </c>
      <c r="H176" s="97">
        <f>ROUND((B176/C176)*E176*(F176/G176),7)</f>
        <v>6.2500000000000003E-3</v>
      </c>
      <c r="I176" s="98">
        <f>J169</f>
        <v>5190.7012474899921</v>
      </c>
      <c r="J176" s="98">
        <f>ROUND(H176*I176,2)</f>
        <v>32.44</v>
      </c>
    </row>
    <row r="177" spans="1:26" ht="12.75" customHeight="1" x14ac:dyDescent="0.2">
      <c r="A177" s="412" t="s">
        <v>464</v>
      </c>
      <c r="B177" s="412"/>
      <c r="C177" s="412"/>
      <c r="D177" s="412"/>
      <c r="E177" s="412"/>
      <c r="F177" s="412"/>
      <c r="G177" s="412"/>
      <c r="H177" s="412"/>
      <c r="I177" s="412"/>
      <c r="J177" s="99">
        <f>J176+J175</f>
        <v>32.44</v>
      </c>
    </row>
    <row r="178" spans="1:26" x14ac:dyDescent="0.2">
      <c r="A178" s="528"/>
      <c r="B178" s="528"/>
      <c r="C178" s="528"/>
      <c r="D178" s="528"/>
      <c r="E178" s="528"/>
      <c r="F178" s="528"/>
      <c r="G178" s="528"/>
      <c r="H178" s="528"/>
      <c r="I178" s="528"/>
      <c r="J178" s="528"/>
      <c r="K178" s="52"/>
      <c r="L178" s="52"/>
      <c r="M178" s="52"/>
      <c r="N178" s="52"/>
      <c r="O178" s="52"/>
      <c r="P178" s="52"/>
      <c r="Q178" s="52"/>
      <c r="R178" s="52"/>
      <c r="S178" s="52"/>
      <c r="T178" s="52"/>
      <c r="U178" s="52"/>
      <c r="V178" s="52"/>
      <c r="W178" s="52"/>
      <c r="X178" s="52"/>
      <c r="Y178" s="52"/>
      <c r="Z178" s="52"/>
    </row>
    <row r="179" spans="1:26" ht="57" x14ac:dyDescent="0.2">
      <c r="A179" s="92" t="s">
        <v>567</v>
      </c>
      <c r="B179" s="93">
        <v>1</v>
      </c>
      <c r="C179" s="94">
        <v>30</v>
      </c>
      <c r="D179" s="95">
        <f>C180</f>
        <v>380</v>
      </c>
      <c r="E179" s="94">
        <v>188.76</v>
      </c>
      <c r="F179" s="93" t="s">
        <v>492</v>
      </c>
      <c r="G179" s="93" t="s">
        <v>565</v>
      </c>
      <c r="H179" s="97">
        <f>ROUND((B179/(C179*D179))*E179*(F179/G179),7)</f>
        <v>8.7700000000000004E-5</v>
      </c>
      <c r="I179" s="98">
        <v>0</v>
      </c>
      <c r="J179" s="98">
        <f>ROUND(H179*I179,2)</f>
        <v>0</v>
      </c>
    </row>
    <row r="180" spans="1:26" ht="57" x14ac:dyDescent="0.2">
      <c r="A180" s="92" t="s">
        <v>568</v>
      </c>
      <c r="B180" s="93">
        <v>1</v>
      </c>
      <c r="C180" s="525">
        <f>'6. SAn Cál DEMO Esq. e Fach'!$C$9</f>
        <v>380</v>
      </c>
      <c r="D180" s="525"/>
      <c r="E180" s="94">
        <v>188.76</v>
      </c>
      <c r="F180" s="93" t="s">
        <v>492</v>
      </c>
      <c r="G180" s="93" t="s">
        <v>565</v>
      </c>
      <c r="H180" s="97">
        <f>ROUND((B180/C180)*E180*(F180/G180),7)</f>
        <v>2.6316E-3</v>
      </c>
      <c r="I180" s="98">
        <f>J169</f>
        <v>5190.7012474899921</v>
      </c>
      <c r="J180" s="98">
        <f>ROUND(H180*I180,2)</f>
        <v>13.66</v>
      </c>
    </row>
    <row r="181" spans="1:26" ht="12.75" customHeight="1" x14ac:dyDescent="0.2">
      <c r="A181" s="412" t="s">
        <v>464</v>
      </c>
      <c r="B181" s="412"/>
      <c r="C181" s="412"/>
      <c r="D181" s="412"/>
      <c r="E181" s="412"/>
      <c r="F181" s="412"/>
      <c r="G181" s="412"/>
      <c r="H181" s="412"/>
      <c r="I181" s="412"/>
      <c r="J181" s="99">
        <f>J180+J179</f>
        <v>13.66</v>
      </c>
    </row>
    <row r="182" spans="1:26" ht="28.5" x14ac:dyDescent="0.2">
      <c r="A182" s="92" t="s">
        <v>569</v>
      </c>
      <c r="B182" s="93">
        <v>1</v>
      </c>
      <c r="C182" s="94">
        <v>30</v>
      </c>
      <c r="D182" s="95">
        <f>C183</f>
        <v>380</v>
      </c>
      <c r="E182" s="96">
        <v>188.76</v>
      </c>
      <c r="F182" s="93" t="s">
        <v>492</v>
      </c>
      <c r="G182" s="93" t="s">
        <v>565</v>
      </c>
      <c r="H182" s="97">
        <f>ROUND((B182/(C182*D182))*E182*(F182/G182),7)</f>
        <v>8.7700000000000004E-5</v>
      </c>
      <c r="I182" s="98">
        <v>0</v>
      </c>
      <c r="J182" s="98">
        <f>ROUND(H182*I182,2)</f>
        <v>0</v>
      </c>
    </row>
    <row r="183" spans="1:26" ht="28.5" x14ac:dyDescent="0.2">
      <c r="A183" s="92" t="s">
        <v>570</v>
      </c>
      <c r="B183" s="93">
        <v>1</v>
      </c>
      <c r="C183" s="525">
        <f>'6. SAn Cál DEMO Esq. e Fach'!$C$10</f>
        <v>380</v>
      </c>
      <c r="D183" s="525"/>
      <c r="E183" s="96">
        <v>188.76</v>
      </c>
      <c r="F183" s="93" t="s">
        <v>492</v>
      </c>
      <c r="G183" s="93" t="s">
        <v>565</v>
      </c>
      <c r="H183" s="97">
        <f>ROUND((B183/C183)*E183*(F183/G183),7)</f>
        <v>2.6316E-3</v>
      </c>
      <c r="I183" s="98">
        <f>J169</f>
        <v>5190.7012474899921</v>
      </c>
      <c r="J183" s="98">
        <f>ROUND(H183*I183,2)</f>
        <v>13.66</v>
      </c>
    </row>
    <row r="184" spans="1:26" ht="12.75" customHeight="1" x14ac:dyDescent="0.2">
      <c r="A184" s="412" t="s">
        <v>571</v>
      </c>
      <c r="B184" s="412"/>
      <c r="C184" s="412"/>
      <c r="D184" s="412"/>
      <c r="E184" s="412"/>
      <c r="F184" s="412"/>
      <c r="G184" s="412"/>
      <c r="H184" s="412"/>
      <c r="I184" s="412"/>
      <c r="J184" s="100">
        <f>SUM(J182:J183)</f>
        <v>13.66</v>
      </c>
    </row>
    <row r="185" spans="1:26" ht="12.75" customHeight="1" x14ac:dyDescent="0.2">
      <c r="A185" s="526" t="s">
        <v>572</v>
      </c>
      <c r="B185" s="526"/>
      <c r="C185" s="526"/>
      <c r="D185" s="526"/>
      <c r="E185" s="526"/>
      <c r="F185" s="526"/>
      <c r="G185" s="526"/>
      <c r="H185" s="526"/>
      <c r="I185" s="526"/>
      <c r="J185" s="526"/>
    </row>
    <row r="186" spans="1:26" ht="51" customHeight="1" x14ac:dyDescent="0.2">
      <c r="A186" s="21" t="s">
        <v>684</v>
      </c>
      <c r="B186" s="419" t="s">
        <v>573</v>
      </c>
      <c r="C186" s="419"/>
      <c r="D186" s="419"/>
      <c r="E186" s="21" t="s">
        <v>574</v>
      </c>
      <c r="F186" s="419" t="s">
        <v>575</v>
      </c>
      <c r="G186" s="419"/>
      <c r="H186" s="21" t="s">
        <v>576</v>
      </c>
      <c r="I186" s="21" t="s">
        <v>577</v>
      </c>
      <c r="J186" s="21" t="s">
        <v>578</v>
      </c>
    </row>
    <row r="187" spans="1:26" ht="15" x14ac:dyDescent="0.2">
      <c r="A187" s="101" t="s">
        <v>579</v>
      </c>
      <c r="B187" s="93">
        <v>1</v>
      </c>
      <c r="C187" s="94">
        <v>4</v>
      </c>
      <c r="D187" s="95">
        <f>C188</f>
        <v>160</v>
      </c>
      <c r="E187" s="94">
        <v>188.76</v>
      </c>
      <c r="F187" s="94">
        <v>1</v>
      </c>
      <c r="G187" s="102">
        <v>188.76</v>
      </c>
      <c r="H187" s="103">
        <f>ROUND((B187/(C187*D187))*E187*(F187/G187),7)</f>
        <v>1.5625000000000001E-3</v>
      </c>
      <c r="I187" s="104">
        <v>0</v>
      </c>
      <c r="J187" s="98">
        <f>ROUND(H187*I187,2)</f>
        <v>0</v>
      </c>
    </row>
    <row r="188" spans="1:26" ht="15" x14ac:dyDescent="0.2">
      <c r="A188" s="101" t="s">
        <v>499</v>
      </c>
      <c r="B188" s="93">
        <v>1</v>
      </c>
      <c r="C188" s="525">
        <f>'6. SAn Cál DEMO Esq. e Fach'!$C$11</f>
        <v>160</v>
      </c>
      <c r="D188" s="525"/>
      <c r="E188" s="94">
        <v>188.76</v>
      </c>
      <c r="F188" s="105">
        <v>1</v>
      </c>
      <c r="G188" s="102">
        <v>188.76</v>
      </c>
      <c r="H188" s="103">
        <f>ROUND((B188/C188)*E188*(F188/G188),7)</f>
        <v>6.2500000000000003E-3</v>
      </c>
      <c r="I188" s="104">
        <f>J169</f>
        <v>5190.7012474899921</v>
      </c>
      <c r="J188" s="98">
        <f>ROUND(H188*I188,2)</f>
        <v>32.44</v>
      </c>
    </row>
    <row r="189" spans="1:26" ht="12.75" customHeight="1" x14ac:dyDescent="0.2">
      <c r="A189" s="412" t="s">
        <v>580</v>
      </c>
      <c r="B189" s="412"/>
      <c r="C189" s="412"/>
      <c r="D189" s="412"/>
      <c r="E189" s="412"/>
      <c r="F189" s="412"/>
      <c r="G189" s="412"/>
      <c r="H189" s="412"/>
      <c r="I189" s="412"/>
      <c r="J189" s="100">
        <f>SUM(J187:J188)</f>
        <v>32.44</v>
      </c>
    </row>
    <row r="190" spans="1:26" ht="102" customHeight="1" x14ac:dyDescent="0.2">
      <c r="A190" s="429" t="s">
        <v>537</v>
      </c>
      <c r="B190" s="429"/>
      <c r="C190" s="429"/>
      <c r="D190" s="429"/>
      <c r="E190" s="429"/>
      <c r="F190" s="429"/>
      <c r="G190" s="429"/>
      <c r="H190" s="429"/>
      <c r="I190" s="429"/>
      <c r="J190" s="429"/>
    </row>
    <row r="191" spans="1:26" ht="15" x14ac:dyDescent="0.2">
      <c r="A191" s="419" t="s">
        <v>501</v>
      </c>
      <c r="B191" s="419"/>
      <c r="C191" s="419"/>
      <c r="D191" s="419"/>
      <c r="E191" s="419"/>
      <c r="F191" s="419"/>
      <c r="G191" s="419"/>
      <c r="H191" s="419"/>
      <c r="I191" s="419"/>
      <c r="J191" s="419"/>
    </row>
    <row r="192" spans="1:26" ht="25.5" customHeight="1" x14ac:dyDescent="0.2">
      <c r="A192" s="419" t="s">
        <v>20</v>
      </c>
      <c r="B192" s="419"/>
      <c r="C192" s="419"/>
      <c r="D192" s="419"/>
      <c r="E192" s="419"/>
      <c r="F192" s="419" t="s">
        <v>502</v>
      </c>
      <c r="G192" s="419"/>
      <c r="H192" s="21" t="s">
        <v>503</v>
      </c>
      <c r="I192" s="419" t="s">
        <v>504</v>
      </c>
      <c r="J192" s="419"/>
    </row>
    <row r="193" spans="1:26" ht="12.75" customHeight="1" x14ac:dyDescent="0.2">
      <c r="A193" s="423" t="s">
        <v>547</v>
      </c>
      <c r="B193" s="423"/>
      <c r="C193" s="423"/>
      <c r="D193" s="423"/>
      <c r="E193" s="423"/>
      <c r="F193" s="424">
        <f>$J$177</f>
        <v>32.44</v>
      </c>
      <c r="G193" s="424"/>
      <c r="H193" s="106">
        <f>$I$25</f>
        <v>3.2940333333333336</v>
      </c>
      <c r="I193" s="425">
        <f>ROUND(F193*H193,2)</f>
        <v>106.86</v>
      </c>
      <c r="J193" s="425"/>
    </row>
    <row r="194" spans="1:26" ht="12.75" customHeight="1" x14ac:dyDescent="0.2">
      <c r="A194" s="423" t="s">
        <v>548</v>
      </c>
      <c r="B194" s="423"/>
      <c r="C194" s="423"/>
      <c r="D194" s="423"/>
      <c r="E194" s="423"/>
      <c r="F194" s="424">
        <f>$J$181</f>
        <v>13.66</v>
      </c>
      <c r="G194" s="424"/>
      <c r="H194" s="106">
        <f>$I$26</f>
        <v>43.441545833333336</v>
      </c>
      <c r="I194" s="425">
        <f>ROUND(F194*H194,2)</f>
        <v>593.41</v>
      </c>
      <c r="J194" s="425"/>
    </row>
    <row r="195" spans="1:26" ht="15" x14ac:dyDescent="0.2">
      <c r="A195" s="423" t="s">
        <v>581</v>
      </c>
      <c r="B195" s="423"/>
      <c r="C195" s="423"/>
      <c r="D195" s="423"/>
      <c r="E195" s="423"/>
      <c r="F195" s="424">
        <f>J184</f>
        <v>13.66</v>
      </c>
      <c r="G195" s="424"/>
      <c r="H195" s="106">
        <f>$I$27</f>
        <v>238.37377916666671</v>
      </c>
      <c r="I195" s="425">
        <f>ROUND(F195*H195,2)</f>
        <v>3256.19</v>
      </c>
      <c r="J195" s="425"/>
    </row>
    <row r="196" spans="1:26" ht="12.75" customHeight="1" x14ac:dyDescent="0.2">
      <c r="A196" s="412" t="s">
        <v>582</v>
      </c>
      <c r="B196" s="412"/>
      <c r="C196" s="412"/>
      <c r="D196" s="412"/>
      <c r="E196" s="412"/>
      <c r="F196" s="412"/>
      <c r="G196" s="412"/>
      <c r="H196" s="107">
        <f>I28</f>
        <v>285.10935833333338</v>
      </c>
      <c r="I196" s="422">
        <f>SUM(I193:I195)</f>
        <v>3956.46</v>
      </c>
      <c r="J196" s="422"/>
    </row>
    <row r="197" spans="1:26" ht="12.75" customHeight="1" x14ac:dyDescent="0.2">
      <c r="A197" s="423" t="s">
        <v>551</v>
      </c>
      <c r="B197" s="423"/>
      <c r="C197" s="423"/>
      <c r="D197" s="423"/>
      <c r="E197" s="423"/>
      <c r="F197" s="424">
        <f>J189</f>
        <v>32.44</v>
      </c>
      <c r="G197" s="424"/>
      <c r="H197" s="108">
        <f>$I$30</f>
        <v>77.676275000000004</v>
      </c>
      <c r="I197" s="425">
        <f>ROUND(F197*H197,2)</f>
        <v>2519.8200000000002</v>
      </c>
      <c r="J197" s="425"/>
    </row>
    <row r="198" spans="1:26" ht="12.75" customHeight="1" x14ac:dyDescent="0.2">
      <c r="A198" s="412" t="s">
        <v>583</v>
      </c>
      <c r="B198" s="412"/>
      <c r="C198" s="412"/>
      <c r="D198" s="412"/>
      <c r="E198" s="412"/>
      <c r="F198" s="412"/>
      <c r="G198" s="412"/>
      <c r="H198" s="107">
        <f>I30</f>
        <v>77.676275000000004</v>
      </c>
      <c r="I198" s="422">
        <f>SUM(I197)</f>
        <v>2519.8200000000002</v>
      </c>
      <c r="J198" s="422"/>
    </row>
    <row r="199" spans="1:26" ht="12.75" customHeight="1" x14ac:dyDescent="0.2">
      <c r="A199" s="423" t="s">
        <v>340</v>
      </c>
      <c r="B199" s="423"/>
      <c r="C199" s="423"/>
      <c r="D199" s="423"/>
      <c r="E199" s="423"/>
      <c r="F199" s="424">
        <v>0</v>
      </c>
      <c r="G199" s="424"/>
      <c r="H199" s="106">
        <f>I31</f>
        <v>0</v>
      </c>
      <c r="I199" s="425">
        <v>0</v>
      </c>
      <c r="J199" s="425"/>
    </row>
    <row r="200" spans="1:26" ht="12.75" customHeight="1" x14ac:dyDescent="0.2">
      <c r="A200" s="412" t="s">
        <v>662</v>
      </c>
      <c r="B200" s="412"/>
      <c r="C200" s="412"/>
      <c r="D200" s="412"/>
      <c r="E200" s="412"/>
      <c r="F200" s="412"/>
      <c r="G200" s="412"/>
      <c r="H200" s="107">
        <f>H199</f>
        <v>0</v>
      </c>
      <c r="I200" s="422">
        <v>0</v>
      </c>
      <c r="J200" s="422"/>
    </row>
    <row r="201" spans="1:26" ht="12.75" customHeight="1" x14ac:dyDescent="0.2">
      <c r="A201" s="412" t="s">
        <v>584</v>
      </c>
      <c r="B201" s="412"/>
      <c r="C201" s="412"/>
      <c r="D201" s="412"/>
      <c r="E201" s="412"/>
      <c r="F201" s="412"/>
      <c r="G201" s="412"/>
      <c r="H201" s="107">
        <f>H200+H198+H196</f>
        <v>362.78563333333341</v>
      </c>
      <c r="I201" s="422">
        <f>I200+I198+I196</f>
        <v>6476.2800000000007</v>
      </c>
      <c r="J201" s="422"/>
    </row>
    <row r="202" spans="1:26" ht="15" customHeight="1" x14ac:dyDescent="0.2">
      <c r="A202" s="415" t="s">
        <v>512</v>
      </c>
      <c r="B202" s="415"/>
      <c r="C202" s="415"/>
      <c r="D202" s="415"/>
      <c r="E202" s="415"/>
      <c r="F202" s="415"/>
      <c r="G202" s="415"/>
      <c r="H202" s="415"/>
      <c r="I202" s="416">
        <f>I201</f>
        <v>6476.2800000000007</v>
      </c>
      <c r="J202" s="416"/>
      <c r="L202" s="51">
        <f>I202/I188</f>
        <v>1.2476695712610433</v>
      </c>
    </row>
    <row r="203" spans="1:26" ht="15" customHeight="1" x14ac:dyDescent="0.2">
      <c r="A203" s="415" t="s">
        <v>513</v>
      </c>
      <c r="B203" s="415"/>
      <c r="C203" s="415"/>
      <c r="D203" s="415"/>
      <c r="E203" s="415"/>
      <c r="F203" s="415"/>
      <c r="G203" s="415"/>
      <c r="H203" s="415"/>
      <c r="I203" s="418">
        <f>H21</f>
        <v>20</v>
      </c>
      <c r="J203" s="418"/>
    </row>
    <row r="204" spans="1:26" ht="15" customHeight="1" x14ac:dyDescent="0.2">
      <c r="A204" s="415" t="s">
        <v>514</v>
      </c>
      <c r="B204" s="415"/>
      <c r="C204" s="415"/>
      <c r="D204" s="415"/>
      <c r="E204" s="415"/>
      <c r="F204" s="415"/>
      <c r="G204" s="415"/>
      <c r="H204" s="415"/>
      <c r="I204" s="416">
        <f>ROUND(I201*I203,2)</f>
        <v>129525.6</v>
      </c>
      <c r="J204" s="416"/>
    </row>
    <row r="205" spans="1:26" ht="15" x14ac:dyDescent="0.2">
      <c r="A205" s="512"/>
      <c r="B205" s="512"/>
      <c r="C205" s="512"/>
      <c r="D205" s="512"/>
      <c r="E205" s="512"/>
      <c r="F205" s="512"/>
      <c r="G205" s="512"/>
      <c r="H205" s="512"/>
      <c r="I205" s="512"/>
      <c r="J205" s="512"/>
      <c r="K205" s="52"/>
      <c r="L205" s="52"/>
      <c r="M205" s="52"/>
      <c r="N205" s="52"/>
      <c r="O205" s="52"/>
      <c r="P205" s="52"/>
      <c r="Q205" s="52"/>
      <c r="R205" s="52"/>
      <c r="S205" s="52"/>
      <c r="T205" s="52"/>
      <c r="U205" s="52"/>
      <c r="V205" s="52"/>
      <c r="W205" s="52"/>
      <c r="X205" s="52"/>
      <c r="Y205" s="52"/>
      <c r="Z205" s="52"/>
    </row>
    <row r="206" spans="1:26" ht="12.75" customHeight="1" x14ac:dyDescent="0.2">
      <c r="A206" s="415" t="s">
        <v>515</v>
      </c>
      <c r="B206" s="415"/>
      <c r="C206" s="415"/>
      <c r="D206" s="415"/>
      <c r="E206" s="415"/>
      <c r="F206" s="415"/>
      <c r="G206" s="415"/>
      <c r="H206" s="415"/>
      <c r="I206" s="415"/>
      <c r="J206" s="415"/>
    </row>
    <row r="207" spans="1:26" ht="15" x14ac:dyDescent="0.2">
      <c r="A207" s="419" t="s">
        <v>516</v>
      </c>
      <c r="B207" s="419"/>
      <c r="C207" s="419"/>
      <c r="D207" s="419"/>
      <c r="E207" s="419"/>
      <c r="F207" s="419"/>
      <c r="G207" s="419" t="s">
        <v>517</v>
      </c>
      <c r="H207" s="419"/>
      <c r="I207" s="419"/>
      <c r="J207" s="419"/>
    </row>
    <row r="208" spans="1:26" x14ac:dyDescent="0.2">
      <c r="A208" s="420" t="s">
        <v>68</v>
      </c>
      <c r="B208" s="420"/>
      <c r="C208" s="420"/>
      <c r="D208" s="420"/>
      <c r="E208" s="420"/>
      <c r="F208" s="420"/>
      <c r="G208" s="513">
        <f>'6. SAn Cál DEMO Esq. e Fach'!$L$14</f>
        <v>1.247683703399123</v>
      </c>
      <c r="H208" s="513"/>
      <c r="I208" s="513"/>
      <c r="J208" s="513"/>
    </row>
    <row r="209" spans="1:10" ht="25.5" customHeight="1" x14ac:dyDescent="0.2">
      <c r="A209" s="524" t="s">
        <v>585</v>
      </c>
      <c r="B209" s="524"/>
      <c r="C209" s="524"/>
      <c r="D209" s="524"/>
      <c r="E209" s="524"/>
      <c r="F209" s="524"/>
      <c r="G209" s="524"/>
      <c r="H209" s="524"/>
      <c r="I209" s="524"/>
      <c r="J209" s="524"/>
    </row>
    <row r="210" spans="1:10" ht="12.75" customHeight="1" x14ac:dyDescent="0.2"/>
    <row r="211" spans="1:10" ht="12.75" customHeight="1" x14ac:dyDescent="0.2"/>
    <row r="212" spans="1:10" ht="12.75" customHeight="1" x14ac:dyDescent="0.2"/>
    <row r="213" spans="1:10" ht="12.75" customHeight="1" x14ac:dyDescent="0.2"/>
    <row r="214" spans="1:10" ht="12.75" customHeight="1" x14ac:dyDescent="0.2"/>
    <row r="215" spans="1:10" ht="12.75" customHeight="1" x14ac:dyDescent="0.2"/>
    <row r="216" spans="1:10" ht="12.75" customHeight="1" x14ac:dyDescent="0.2"/>
    <row r="217" spans="1:10" ht="12.75" customHeight="1" x14ac:dyDescent="0.2"/>
    <row r="218" spans="1:10" ht="12.75" customHeight="1" x14ac:dyDescent="0.2"/>
    <row r="219" spans="1:10" ht="12.75" customHeight="1" x14ac:dyDescent="0.2"/>
    <row r="220" spans="1:10" ht="12.75" customHeight="1" x14ac:dyDescent="0.2"/>
    <row r="221" spans="1:10" ht="12.75" customHeight="1" x14ac:dyDescent="0.2"/>
    <row r="222" spans="1:10" ht="12.75" customHeight="1" x14ac:dyDescent="0.2"/>
    <row r="223" spans="1:10" ht="12.75" customHeight="1" x14ac:dyDescent="0.2"/>
    <row r="224" spans="1:10"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sheetData>
  <sheetProtection selectLockedCells="1" selectUnlockedCells="1"/>
  <mergeCells count="270">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5:G15"/>
    <mergeCell ref="B21:G21"/>
    <mergeCell ref="H21:J21"/>
    <mergeCell ref="A23:J23"/>
    <mergeCell ref="A24:F24"/>
    <mergeCell ref="G24:H24"/>
    <mergeCell ref="I24:J24"/>
    <mergeCell ref="A25:F25"/>
    <mergeCell ref="G25:H25"/>
    <mergeCell ref="I25:J25"/>
    <mergeCell ref="A26:F26"/>
    <mergeCell ref="G26:H26"/>
    <mergeCell ref="I26:J26"/>
    <mergeCell ref="A27:F27"/>
    <mergeCell ref="G27:H27"/>
    <mergeCell ref="I27:J27"/>
    <mergeCell ref="A28:H28"/>
    <mergeCell ref="I28:J28"/>
    <mergeCell ref="A29:F29"/>
    <mergeCell ref="G29:H29"/>
    <mergeCell ref="I29:J29"/>
    <mergeCell ref="A30:H30"/>
    <mergeCell ref="I30:J30"/>
    <mergeCell ref="A31:F31"/>
    <mergeCell ref="G31:H31"/>
    <mergeCell ref="I31:J31"/>
    <mergeCell ref="A32:H32"/>
    <mergeCell ref="I32:J32"/>
    <mergeCell ref="A33:H33"/>
    <mergeCell ref="I33:J33"/>
    <mergeCell ref="A34:J34"/>
    <mergeCell ref="A35:J35"/>
    <mergeCell ref="A36:J36"/>
    <mergeCell ref="A37:J37"/>
    <mergeCell ref="B38:G38"/>
    <mergeCell ref="H38:J38"/>
    <mergeCell ref="B39:G39"/>
    <mergeCell ref="H39:J39"/>
    <mergeCell ref="B40:G40"/>
    <mergeCell ref="H40:J40"/>
    <mergeCell ref="B41:G41"/>
    <mergeCell ref="H41:J41"/>
    <mergeCell ref="B42:G42"/>
    <mergeCell ref="H42:J42"/>
    <mergeCell ref="B43:J43"/>
    <mergeCell ref="A44:J44"/>
    <mergeCell ref="A45:J45"/>
    <mergeCell ref="B46:H46"/>
    <mergeCell ref="B47:D47"/>
    <mergeCell ref="G47:I47"/>
    <mergeCell ref="B48:C48"/>
    <mergeCell ref="D48:H48"/>
    <mergeCell ref="B49:I49"/>
    <mergeCell ref="A50:I50"/>
    <mergeCell ref="B51:J51"/>
    <mergeCell ref="A52:J52"/>
    <mergeCell ref="A53:J53"/>
    <mergeCell ref="B54:I54"/>
    <mergeCell ref="B55:I55"/>
    <mergeCell ref="B56:I56"/>
    <mergeCell ref="A57:I57"/>
    <mergeCell ref="B58:J58"/>
    <mergeCell ref="A59:I59"/>
    <mergeCell ref="B60:J60"/>
    <mergeCell ref="B61:H61"/>
    <mergeCell ref="B62:H62"/>
    <mergeCell ref="B63:H63"/>
    <mergeCell ref="B64:D64"/>
    <mergeCell ref="B65:H65"/>
    <mergeCell ref="B66:H66"/>
    <mergeCell ref="B67:H67"/>
    <mergeCell ref="B68:H68"/>
    <mergeCell ref="B69:H69"/>
    <mergeCell ref="A70:H70"/>
    <mergeCell ref="B71:J71"/>
    <mergeCell ref="B72:J72"/>
    <mergeCell ref="B74:J74"/>
    <mergeCell ref="B75:I75"/>
    <mergeCell ref="A76:A80"/>
    <mergeCell ref="B76:I76"/>
    <mergeCell ref="J76:J80"/>
    <mergeCell ref="B77:H77"/>
    <mergeCell ref="B78:H78"/>
    <mergeCell ref="B79:H79"/>
    <mergeCell ref="B80:H80"/>
    <mergeCell ref="A81:A84"/>
    <mergeCell ref="B81:D81"/>
    <mergeCell ref="J81:J84"/>
    <mergeCell ref="B82:H82"/>
    <mergeCell ref="B83:H83"/>
    <mergeCell ref="B84:H84"/>
    <mergeCell ref="E81:I81"/>
    <mergeCell ref="B85:D85"/>
    <mergeCell ref="B86:I86"/>
    <mergeCell ref="A87:I87"/>
    <mergeCell ref="B88:J88"/>
    <mergeCell ref="B89:J89"/>
    <mergeCell ref="A91:J91"/>
    <mergeCell ref="B92:I92"/>
    <mergeCell ref="B93:I93"/>
    <mergeCell ref="B94:I94"/>
    <mergeCell ref="E85:I85"/>
    <mergeCell ref="B95:I95"/>
    <mergeCell ref="A96:I96"/>
    <mergeCell ref="A98:J98"/>
    <mergeCell ref="B99:I99"/>
    <mergeCell ref="B100:I100"/>
    <mergeCell ref="B101:I101"/>
    <mergeCell ref="B102:I102"/>
    <mergeCell ref="B103:I103"/>
    <mergeCell ref="B104:I104"/>
    <mergeCell ref="B105:I105"/>
    <mergeCell ref="A106:I106"/>
    <mergeCell ref="A108:J108"/>
    <mergeCell ref="A109:J109"/>
    <mergeCell ref="A110:B110"/>
    <mergeCell ref="D110:E110"/>
    <mergeCell ref="G110:H110"/>
    <mergeCell ref="A111:F111"/>
    <mergeCell ref="G111:I111"/>
    <mergeCell ref="B113:I113"/>
    <mergeCell ref="B114:I114"/>
    <mergeCell ref="B115:I115"/>
    <mergeCell ref="B116:I116"/>
    <mergeCell ref="B117:I117"/>
    <mergeCell ref="B118:I118"/>
    <mergeCell ref="B119:I119"/>
    <mergeCell ref="A120:I120"/>
    <mergeCell ref="A121:I121"/>
    <mergeCell ref="B122:I122"/>
    <mergeCell ref="B123:I123"/>
    <mergeCell ref="A124:I124"/>
    <mergeCell ref="A125:I125"/>
    <mergeCell ref="A126:J126"/>
    <mergeCell ref="B127:I127"/>
    <mergeCell ref="B128:I128"/>
    <mergeCell ref="B129:I129"/>
    <mergeCell ref="A130:I130"/>
    <mergeCell ref="B131:J131"/>
    <mergeCell ref="A133:J133"/>
    <mergeCell ref="B134:I134"/>
    <mergeCell ref="B135:I135"/>
    <mergeCell ref="B136:I136"/>
    <mergeCell ref="B137:I137"/>
    <mergeCell ref="B138:I138"/>
    <mergeCell ref="A139:I139"/>
    <mergeCell ref="B140:J140"/>
    <mergeCell ref="A141:J141"/>
    <mergeCell ref="A142:J142"/>
    <mergeCell ref="B143:H143"/>
    <mergeCell ref="A144:I144"/>
    <mergeCell ref="B145:H145"/>
    <mergeCell ref="A146:I146"/>
    <mergeCell ref="B147:H147"/>
    <mergeCell ref="A148:I148"/>
    <mergeCell ref="B149:H149"/>
    <mergeCell ref="K149:L149"/>
    <mergeCell ref="A150:A151"/>
    <mergeCell ref="B150:E151"/>
    <mergeCell ref="F150:H150"/>
    <mergeCell ref="F151:H151"/>
    <mergeCell ref="B152:E152"/>
    <mergeCell ref="F152:H152"/>
    <mergeCell ref="B153:E153"/>
    <mergeCell ref="F153:H153"/>
    <mergeCell ref="A154:I154"/>
    <mergeCell ref="B155:J155"/>
    <mergeCell ref="A156:A158"/>
    <mergeCell ref="B156:C158"/>
    <mergeCell ref="A159:J159"/>
    <mergeCell ref="A160:J160"/>
    <mergeCell ref="D156:F158"/>
    <mergeCell ref="G156:H158"/>
    <mergeCell ref="J156:J158"/>
    <mergeCell ref="A161:I161"/>
    <mergeCell ref="B162:I162"/>
    <mergeCell ref="B163:I163"/>
    <mergeCell ref="B164:I164"/>
    <mergeCell ref="B165:I165"/>
    <mergeCell ref="B166:I166"/>
    <mergeCell ref="A167:I167"/>
    <mergeCell ref="B168:I168"/>
    <mergeCell ref="A169:G169"/>
    <mergeCell ref="A171:J171"/>
    <mergeCell ref="A172:J172"/>
    <mergeCell ref="A173:J173"/>
    <mergeCell ref="B174:D174"/>
    <mergeCell ref="F174:G174"/>
    <mergeCell ref="C176:D176"/>
    <mergeCell ref="A177:I177"/>
    <mergeCell ref="A178:J178"/>
    <mergeCell ref="C180:D180"/>
    <mergeCell ref="A181:I181"/>
    <mergeCell ref="C183:D183"/>
    <mergeCell ref="A184:I184"/>
    <mergeCell ref="A185:J185"/>
    <mergeCell ref="B186:D186"/>
    <mergeCell ref="F186:G186"/>
    <mergeCell ref="C188:D188"/>
    <mergeCell ref="A189:I189"/>
    <mergeCell ref="A190:J190"/>
    <mergeCell ref="A191:J191"/>
    <mergeCell ref="A192:E192"/>
    <mergeCell ref="F192:G192"/>
    <mergeCell ref="I192:J192"/>
    <mergeCell ref="A193:E193"/>
    <mergeCell ref="F193:G193"/>
    <mergeCell ref="I193:J193"/>
    <mergeCell ref="A194:E194"/>
    <mergeCell ref="F194:G194"/>
    <mergeCell ref="I194:J194"/>
    <mergeCell ref="A195:E195"/>
    <mergeCell ref="F195:G195"/>
    <mergeCell ref="I195:J195"/>
    <mergeCell ref="A196:G196"/>
    <mergeCell ref="I196:J196"/>
    <mergeCell ref="A197:E197"/>
    <mergeCell ref="F197:G197"/>
    <mergeCell ref="I197:J197"/>
    <mergeCell ref="A198:G198"/>
    <mergeCell ref="I198:J198"/>
    <mergeCell ref="A199:E199"/>
    <mergeCell ref="F199:G199"/>
    <mergeCell ref="I199:J199"/>
    <mergeCell ref="A200:G200"/>
    <mergeCell ref="I200:J200"/>
    <mergeCell ref="A201:G201"/>
    <mergeCell ref="I201:J201"/>
    <mergeCell ref="A208:F208"/>
    <mergeCell ref="G208:J208"/>
    <mergeCell ref="A209:J209"/>
    <mergeCell ref="A202:H202"/>
    <mergeCell ref="I202:J202"/>
    <mergeCell ref="A203:H203"/>
    <mergeCell ref="I203:J203"/>
    <mergeCell ref="A204:H204"/>
    <mergeCell ref="I204:J204"/>
    <mergeCell ref="A205:J205"/>
    <mergeCell ref="A206:J206"/>
    <mergeCell ref="A207:F207"/>
    <mergeCell ref="G207:J207"/>
  </mergeCells>
  <conditionalFormatting sqref="A14:G14">
    <cfRule type="expression" dxfId="3" priority="2">
      <formula>LEN(TRIM(A14))&gt;0</formula>
    </cfRule>
  </conditionalFormatting>
  <conditionalFormatting sqref="H14:J14">
    <cfRule type="expression" dxfId="2" priority="3">
      <formula>LEN(TRIM(H14))&gt;0</formula>
    </cfRule>
  </conditionalFormatting>
  <printOptions horizontalCentered="1"/>
  <pageMargins left="0" right="0" top="0.39370078740157483" bottom="0" header="0" footer="0.51181102362204722"/>
  <pageSetup paperSize="9" scale="58" firstPageNumber="0" orientation="portrait" r:id="rId1"/>
  <headerFooter>
    <oddHeader>&amp;R&amp;P de &amp;N</oddHeader>
    <oddFooter>&amp;L&amp;F - &amp;A&amp;CPágina &amp;P de &amp;N</oddFooter>
  </headerFooter>
  <rowBreaks count="2" manualBreakCount="2">
    <brk id="90" max="9" man="1"/>
    <brk id="159" max="9" man="1"/>
  </rowBreaks>
  <drawing r:id="rId2"/>
</worksheet>
</file>

<file path=docProps/app.xml><?xml version="1.0" encoding="utf-8"?>
<Properties xmlns="http://schemas.openxmlformats.org/officeDocument/2006/extended-properties" xmlns:vt="http://schemas.openxmlformats.org/officeDocument/2006/docPropsVTypes">
  <Template/>
  <TotalTime>518</TotalTime>
  <Application>Microsoft Excel</Application>
  <DocSecurity>0</DocSecurity>
  <ScaleCrop>false</ScaleCrop>
  <HeadingPairs>
    <vt:vector size="4" baseType="variant">
      <vt:variant>
        <vt:lpstr>Planilhas</vt:lpstr>
      </vt:variant>
      <vt:variant>
        <vt:i4>12</vt:i4>
      </vt:variant>
      <vt:variant>
        <vt:lpstr>Intervalos nomeados</vt:lpstr>
      </vt:variant>
      <vt:variant>
        <vt:i4>60</vt:i4>
      </vt:variant>
    </vt:vector>
  </HeadingPairs>
  <TitlesOfParts>
    <vt:vector size="72" baseType="lpstr">
      <vt:lpstr>1. SAn ABA DE CARREGAMENTO</vt:lpstr>
      <vt:lpstr>2. SAn INSUMOS</vt:lpstr>
      <vt:lpstr>3. SAn Área</vt:lpstr>
      <vt:lpstr>4. SAn Cál DEMO Limpeza Geral</vt:lpstr>
      <vt:lpstr>5. SAn Cálc. DEMO Banheiros</vt:lpstr>
      <vt:lpstr>6. SAn Cál DEMO Esq. e Fach</vt:lpstr>
      <vt:lpstr>7. SAn Planilha Área Geral</vt:lpstr>
      <vt:lpstr>8. SAn Planilha Área Banheiros</vt:lpstr>
      <vt:lpstr>9. SAn Planilha Área Esq e Fach</vt:lpstr>
      <vt:lpstr>10. SAn Planilha Encarregado</vt:lpstr>
      <vt:lpstr>11. SAn Resumo da Proposta</vt:lpstr>
      <vt:lpstr>Plan1</vt:lpstr>
      <vt:lpstr>'1. SAn ABA DE CARREGAMENTO'!Area_de_impressao</vt:lpstr>
      <vt:lpstr>'10. SAn Planilha Encarregado'!Area_de_impressao</vt:lpstr>
      <vt:lpstr>'11. SAn Resumo da Proposta'!Area_de_impressao</vt:lpstr>
      <vt:lpstr>'2. SAn INSUMOS'!Area_de_impressao</vt:lpstr>
      <vt:lpstr>'4. SAn Cál DEMO Limpeza Geral'!Area_de_impressao</vt:lpstr>
      <vt:lpstr>'5. SAn Cálc. DEMO Banheiros'!Area_de_impressao</vt:lpstr>
      <vt:lpstr>'6. SAn Cál DEMO Esq. e Fach'!Area_de_impressao</vt:lpstr>
      <vt:lpstr>'7. SAn Planilha Área Geral'!Area_de_impressao</vt:lpstr>
      <vt:lpstr>'8. SAn Planilha Área Banheiros'!Area_de_impressao</vt:lpstr>
      <vt:lpstr>'9. SAn Planilha Área Esq e Fach'!Area_de_impressao</vt:lpstr>
      <vt:lpstr>'7. SAn Planilha Área Geral'!Print_Area</vt:lpstr>
      <vt:lpstr>'1. SAn ABA DE CARREGAMENTO'!Print_Titles_0</vt:lpstr>
      <vt:lpstr>'10. SAn Planilha Encarregado'!Print_Titles_0</vt:lpstr>
      <vt:lpstr>'2. SAn INSUMOS'!Print_Titles_0</vt:lpstr>
      <vt:lpstr>'4. SAn Cál DEMO Limpeza Geral'!Print_Titles_0</vt:lpstr>
      <vt:lpstr>'7. SAn Planilha Área Geral'!Print_Titles_0</vt:lpstr>
      <vt:lpstr>'8. SAn Planilha Área Banheiros'!Print_Titles_0</vt:lpstr>
      <vt:lpstr>'9. SAn Planilha Área Esq e Fach'!Print_Titles_0</vt:lpstr>
      <vt:lpstr>'1. SAn ABA DE CARREGAMENTO'!Print_Titles_0_0</vt:lpstr>
      <vt:lpstr>'10. SAn Planilha Encarregado'!Print_Titles_0_0</vt:lpstr>
      <vt:lpstr>'2. SAn INSUMOS'!Print_Titles_0_0</vt:lpstr>
      <vt:lpstr>'4. SAn Cál DEMO Limpeza Geral'!Print_Titles_0_0</vt:lpstr>
      <vt:lpstr>'7. SAn Planilha Área Geral'!Print_Titles_0_0</vt:lpstr>
      <vt:lpstr>'8. SAn Planilha Área Banheiros'!Print_Titles_0_0</vt:lpstr>
      <vt:lpstr>'9. SAn Planilha Área Esq e Fach'!Print_Titles_0_0</vt:lpstr>
      <vt:lpstr>'1. SAn ABA DE CARREGAMENTO'!Print_Titles_0_0_0</vt:lpstr>
      <vt:lpstr>'10. SAn Planilha Encarregado'!Print_Titles_0_0_0</vt:lpstr>
      <vt:lpstr>'2. SAn INSUMOS'!Print_Titles_0_0_0</vt:lpstr>
      <vt:lpstr>'4. SAn Cál DEMO Limpeza Geral'!Print_Titles_0_0_0</vt:lpstr>
      <vt:lpstr>'7. SAn Planilha Área Geral'!Print_Titles_0_0_0</vt:lpstr>
      <vt:lpstr>'8. SAn Planilha Área Banheiros'!Print_Titles_0_0_0</vt:lpstr>
      <vt:lpstr>'9. SAn Planilha Área Esq e Fach'!Print_Titles_0_0_0</vt:lpstr>
      <vt:lpstr>'1. SAn ABA DE CARREGAMENTO'!Print_Titles_0_0_0_0</vt:lpstr>
      <vt:lpstr>'10. SAn Planilha Encarregado'!Print_Titles_0_0_0_0</vt:lpstr>
      <vt:lpstr>'2. SAn INSUMOS'!Print_Titles_0_0_0_0</vt:lpstr>
      <vt:lpstr>'4. SAn Cál DEMO Limpeza Geral'!Print_Titles_0_0_0_0</vt:lpstr>
      <vt:lpstr>'7. SAn Planilha Área Geral'!Print_Titles_0_0_0_0</vt:lpstr>
      <vt:lpstr>'8. SAn Planilha Área Banheiros'!Print_Titles_0_0_0_0</vt:lpstr>
      <vt:lpstr>'9. SAn Planilha Área Esq e Fach'!Print_Titles_0_0_0_0</vt:lpstr>
      <vt:lpstr>'1. SAn ABA DE CARREGAMENTO'!Print_Titles_0_0_0_0_0</vt:lpstr>
      <vt:lpstr>'10. SAn Planilha Encarregado'!Print_Titles_0_0_0_0_0</vt:lpstr>
      <vt:lpstr>'2. SAn INSUMOS'!Print_Titles_0_0_0_0_0</vt:lpstr>
      <vt:lpstr>'4. SAn Cál DEMO Limpeza Geral'!Print_Titles_0_0_0_0_0</vt:lpstr>
      <vt:lpstr>'7. SAn Planilha Área Geral'!Print_Titles_0_0_0_0_0</vt:lpstr>
      <vt:lpstr>'8. SAn Planilha Área Banheiros'!Print_Titles_0_0_0_0_0</vt:lpstr>
      <vt:lpstr>'9. SAn Planilha Área Esq e Fach'!Print_Titles_0_0_0_0_0</vt:lpstr>
      <vt:lpstr>'1. SAn ABA DE CARREGAMENTO'!Print_Titles_0_0_0_0_0_0</vt:lpstr>
      <vt:lpstr>'10. SAn Planilha Encarregado'!Print_Titles_0_0_0_0_0_0</vt:lpstr>
      <vt:lpstr>'2. SAn INSUMOS'!Print_Titles_0_0_0_0_0_0</vt:lpstr>
      <vt:lpstr>'4. SAn Cál DEMO Limpeza Geral'!Print_Titles_0_0_0_0_0_0</vt:lpstr>
      <vt:lpstr>'7. SAn Planilha Área Geral'!Print_Titles_0_0_0_0_0_0</vt:lpstr>
      <vt:lpstr>'8. SAn Planilha Área Banheiros'!Print_Titles_0_0_0_0_0_0</vt:lpstr>
      <vt:lpstr>'9. SAn Planilha Área Esq e Fach'!Print_Titles_0_0_0_0_0_0</vt:lpstr>
      <vt:lpstr>'1. SAn ABA DE CARREGAMENTO'!Titulos_de_impressao</vt:lpstr>
      <vt:lpstr>'10. SAn Planilha Encarregado'!Titulos_de_impressao</vt:lpstr>
      <vt:lpstr>'2. SAn INSUMOS'!Titulos_de_impressao</vt:lpstr>
      <vt:lpstr>'4. SAn Cál DEMO Limpeza Geral'!Titulos_de_impressao</vt:lpstr>
      <vt:lpstr>'7. SAn Planilha Área Geral'!Titulos_de_impressao</vt:lpstr>
      <vt:lpstr>'8. SAn Planilha Área Banheiros'!Titulos_de_impressao</vt:lpstr>
      <vt:lpstr>'9. SAn Planilha Área Esq e Fach'!Titulos_de_impressao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revision>8</cp:revision>
  <cp:lastPrinted>2022-02-17T14:13:54Z</cp:lastPrinted>
  <dcterms:created xsi:type="dcterms:W3CDTF">2018-01-29T11:38:17Z</dcterms:created>
  <dcterms:modified xsi:type="dcterms:W3CDTF">2022-02-17T14:17:22Z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KSOProductBuildVer">
    <vt:lpwstr>1046-10.2.0.6020</vt:lpwstr>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