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comments2.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0370" yWindow="-120" windowWidth="29040" windowHeight="15990" tabRatio="984" firstSheet="1" activeTab="1"/>
  </bookViews>
  <sheets>
    <sheet name="Planilha1" sheetId="12" state="hidden" r:id="rId1"/>
    <sheet name="1. ABA DE CARREGAMENTO" sheetId="1" r:id="rId2"/>
    <sheet name="2. INSUMOS" sheetId="2" r:id="rId3"/>
    <sheet name="3. Áreas AL" sheetId="3" r:id="rId4"/>
    <sheet name="4. Cál. mão obra limpeza geral" sheetId="4" r:id="rId5"/>
    <sheet name="5. Cálc. mão obra banheiros" sheetId="5" r:id="rId6"/>
    <sheet name="6. Cálc. mão obra esq. e fach." sheetId="6" r:id="rId7"/>
    <sheet name="7. Planilha área geral" sheetId="7" r:id="rId8"/>
    <sheet name="8. Planilha área Banheiros" sheetId="8" r:id="rId9"/>
    <sheet name="9. Pl. Área Esquad e Fachadas" sheetId="9" r:id="rId10"/>
    <sheet name="10. Planilha Encarregado" sheetId="10" r:id="rId11"/>
    <sheet name="11. Resumo da Proposta" sheetId="11" r:id="rId12"/>
    <sheet name="Plan1" sheetId="13" r:id="rId13"/>
  </sheets>
  <definedNames>
    <definedName name="Anexo">#REF!</definedName>
    <definedName name="_xlnm.Print_Area" localSheetId="1">'1. ABA DE CARREGAMENTO'!$A$1:$C$113</definedName>
    <definedName name="_xlnm.Print_Area" localSheetId="10">'10. Planilha Encarregado'!$A$1:$J$172</definedName>
    <definedName name="_xlnm.Print_Area" localSheetId="11">'11. Resumo da Proposta'!$A$1:$H$39</definedName>
    <definedName name="_xlnm.Print_Area" localSheetId="2">'2. INSUMOS'!$A$1:$H$99</definedName>
    <definedName name="_xlnm.Print_Area" localSheetId="4">'4. Cál. mão obra limpeza geral'!$A$1:$P$37</definedName>
    <definedName name="_xlnm.Print_Area" localSheetId="5">'5. Cálc. mão obra banheiros'!$A$1:$P$17</definedName>
    <definedName name="_xlnm.Print_Area" localSheetId="6">'6. Cálc. mão obra esq. e fach.'!$A$1:$P$19</definedName>
    <definedName name="_xlnm.Print_Area" localSheetId="7">'7. Planilha área geral'!$A$1:$J$285</definedName>
    <definedName name="_xlnm.Print_Area" localSheetId="8">'8. Planilha área Banheiros'!$A$1:$J$203</definedName>
    <definedName name="_xlnm.Print_Area" localSheetId="9">'9. Pl. Área Esquad e Fachadas'!$A$1:$J$209</definedName>
    <definedName name="Excel_BuiltIn_Print_Area" localSheetId="7">#REF!</definedName>
    <definedName name="_xlnm.Print_Titles" localSheetId="1">'1. ABA DE CARREGAMENTO'!$1:$5</definedName>
    <definedName name="_xlnm.Print_Titles" localSheetId="10">'10. Planilha Encarregado'!$1:$5</definedName>
    <definedName name="_xlnm.Print_Titles" localSheetId="2">'2. INSUMOS'!$1:$5</definedName>
    <definedName name="_xlnm.Print_Titles" localSheetId="4">'4. Cál. mão obra limpeza geral'!$1:$5</definedName>
    <definedName name="_xlnm.Print_Titles" localSheetId="7">'7. Planilha área geral'!$1:$5</definedName>
    <definedName name="_xlnm.Print_Titles" localSheetId="8">'8. Planilha área Banheiros'!$1:$5</definedName>
    <definedName name="_xlnm.Print_Titles" localSheetId="9">'9. Pl. Área Esquad e Fachadas'!$1:$5</definedName>
  </definedNames>
  <calcPr calcId="145621"/>
</workbook>
</file>

<file path=xl/calcChain.xml><?xml version="1.0" encoding="utf-8"?>
<calcChain xmlns="http://schemas.openxmlformats.org/spreadsheetml/2006/main">
  <c r="B13" i="1" l="1"/>
  <c r="B13" i="10" l="1"/>
  <c r="B13" i="9"/>
  <c r="B13" i="8"/>
  <c r="B13" i="7"/>
  <c r="A7" i="9" l="1"/>
  <c r="A7" i="10"/>
  <c r="A7" i="8"/>
  <c r="D10" i="2" l="1"/>
  <c r="B94" i="1"/>
  <c r="B54" i="1"/>
  <c r="H15" i="9" l="1"/>
  <c r="I151" i="9" s="1"/>
  <c r="I15" i="9" l="1"/>
  <c r="I150" i="9"/>
  <c r="AD60" i="3"/>
  <c r="AD61" i="3"/>
  <c r="AD62" i="3"/>
  <c r="AD63" i="3"/>
  <c r="AD66" i="3"/>
  <c r="AD67" i="3"/>
  <c r="AD68" i="3"/>
  <c r="AD70" i="3"/>
  <c r="AD71" i="3"/>
  <c r="AD72" i="3"/>
  <c r="AD73" i="3"/>
  <c r="AD78" i="3"/>
  <c r="AD79" i="3"/>
  <c r="AD80" i="3"/>
  <c r="AD81" i="3"/>
  <c r="AD83" i="3"/>
  <c r="AD48" i="3"/>
  <c r="AD49" i="3"/>
  <c r="AD50" i="3"/>
  <c r="AD53" i="3"/>
  <c r="AD54" i="3"/>
  <c r="AD55" i="3"/>
  <c r="AD56" i="3"/>
  <c r="AD32" i="3"/>
  <c r="AD33" i="3"/>
  <c r="AD34" i="3"/>
  <c r="AD35" i="3"/>
  <c r="AD41" i="3"/>
  <c r="AD42" i="3"/>
  <c r="AD43" i="3"/>
  <c r="AD44" i="3"/>
  <c r="AD45" i="3"/>
  <c r="AD24" i="3"/>
  <c r="AD25" i="3"/>
  <c r="AD26" i="3"/>
  <c r="AD27" i="3"/>
  <c r="AD16" i="3"/>
  <c r="AD17" i="3"/>
  <c r="AD18" i="3"/>
  <c r="AD19" i="3"/>
  <c r="AD9" i="3"/>
  <c r="AD10" i="3"/>
  <c r="AD11" i="3"/>
  <c r="AD12" i="3"/>
  <c r="AD13" i="3"/>
  <c r="H18" i="8" l="1"/>
  <c r="D38" i="11"/>
  <c r="D37" i="11"/>
  <c r="D36" i="11"/>
  <c r="D35" i="11"/>
  <c r="D34" i="11"/>
  <c r="D27" i="11"/>
  <c r="D26" i="11"/>
  <c r="D16" i="11"/>
  <c r="C15" i="11"/>
  <c r="C11" i="11"/>
  <c r="C10" i="11"/>
  <c r="C9" i="11"/>
  <c r="C8" i="11"/>
  <c r="C4" i="11"/>
  <c r="G171" i="10"/>
  <c r="D11" i="11" s="1"/>
  <c r="H161" i="10"/>
  <c r="I145" i="10"/>
  <c r="I139" i="10"/>
  <c r="I137" i="10"/>
  <c r="J116" i="10"/>
  <c r="J121" i="10" s="1"/>
  <c r="J77" i="10"/>
  <c r="E77" i="10"/>
  <c r="I76" i="10"/>
  <c r="I75" i="10"/>
  <c r="I74" i="10"/>
  <c r="E73" i="10"/>
  <c r="I72" i="10"/>
  <c r="I71" i="10"/>
  <c r="I70" i="10"/>
  <c r="I69" i="10"/>
  <c r="I61" i="10"/>
  <c r="H56" i="10"/>
  <c r="F56" i="10"/>
  <c r="I54" i="10"/>
  <c r="I40" i="10"/>
  <c r="D40" i="10"/>
  <c r="G39" i="10"/>
  <c r="E39" i="10"/>
  <c r="H34" i="10"/>
  <c r="H33" i="10"/>
  <c r="H32" i="10"/>
  <c r="J39" i="10" s="1"/>
  <c r="H31" i="10"/>
  <c r="H30" i="10"/>
  <c r="H21" i="10"/>
  <c r="I165" i="10" s="1"/>
  <c r="H20" i="10"/>
  <c r="H19" i="10"/>
  <c r="H15" i="10"/>
  <c r="I143" i="10" s="1"/>
  <c r="H14" i="10"/>
  <c r="A14" i="10"/>
  <c r="I13" i="10"/>
  <c r="F13" i="10"/>
  <c r="I12" i="10"/>
  <c r="B12" i="10"/>
  <c r="J11" i="10"/>
  <c r="H11" i="10"/>
  <c r="E11" i="10"/>
  <c r="B11" i="10"/>
  <c r="I9" i="10"/>
  <c r="A4" i="10"/>
  <c r="H199" i="9"/>
  <c r="H200" i="9" s="1"/>
  <c r="H169" i="9"/>
  <c r="I153" i="9"/>
  <c r="I147" i="9"/>
  <c r="I145" i="9"/>
  <c r="J124" i="9"/>
  <c r="J129" i="9" s="1"/>
  <c r="J85" i="9"/>
  <c r="E85" i="9"/>
  <c r="I84" i="9"/>
  <c r="I83" i="9"/>
  <c r="I82" i="9"/>
  <c r="E81" i="9"/>
  <c r="I80" i="9"/>
  <c r="I79" i="9"/>
  <c r="I78" i="9"/>
  <c r="I77" i="9"/>
  <c r="I69" i="9"/>
  <c r="I68" i="9"/>
  <c r="I67" i="9"/>
  <c r="I66" i="9"/>
  <c r="I65" i="9"/>
  <c r="H64" i="9"/>
  <c r="F64" i="9"/>
  <c r="I63" i="9"/>
  <c r="I62" i="9"/>
  <c r="I48" i="9"/>
  <c r="D48" i="9"/>
  <c r="G47" i="9"/>
  <c r="E47" i="9"/>
  <c r="H42" i="9"/>
  <c r="H41" i="9"/>
  <c r="H40" i="9"/>
  <c r="J47" i="9" s="1"/>
  <c r="H39" i="9"/>
  <c r="H38" i="9"/>
  <c r="I32" i="9"/>
  <c r="H21" i="9"/>
  <c r="I203" i="9" s="1"/>
  <c r="H20" i="9"/>
  <c r="H19" i="9"/>
  <c r="H14" i="9"/>
  <c r="A14" i="9"/>
  <c r="I13" i="9"/>
  <c r="F13" i="9"/>
  <c r="I12" i="9"/>
  <c r="B12" i="9"/>
  <c r="J11" i="9"/>
  <c r="H11" i="9"/>
  <c r="E11" i="9"/>
  <c r="B11" i="9"/>
  <c r="I9" i="9"/>
  <c r="A4" i="9"/>
  <c r="H192" i="8"/>
  <c r="H193" i="8" s="1"/>
  <c r="G181" i="8"/>
  <c r="G177" i="8"/>
  <c r="H167" i="8"/>
  <c r="I151" i="8"/>
  <c r="I145" i="8"/>
  <c r="I143" i="8"/>
  <c r="J122" i="8"/>
  <c r="J127" i="8" s="1"/>
  <c r="J83" i="8"/>
  <c r="E83" i="8"/>
  <c r="I82" i="8"/>
  <c r="I81" i="8"/>
  <c r="I80" i="8"/>
  <c r="E79" i="8"/>
  <c r="I78" i="8"/>
  <c r="I77" i="8"/>
  <c r="I76" i="8"/>
  <c r="I75" i="8"/>
  <c r="I67" i="8"/>
  <c r="H62" i="8"/>
  <c r="F62" i="8"/>
  <c r="I60" i="8"/>
  <c r="I46" i="8"/>
  <c r="D46" i="8"/>
  <c r="G45" i="8"/>
  <c r="E45" i="8"/>
  <c r="H40" i="8"/>
  <c r="H39" i="8"/>
  <c r="H38" i="8"/>
  <c r="J45" i="8" s="1"/>
  <c r="H37" i="8"/>
  <c r="H36" i="8"/>
  <c r="H21" i="8"/>
  <c r="I196" i="8" s="1"/>
  <c r="H20" i="8"/>
  <c r="H19" i="8"/>
  <c r="H15" i="8"/>
  <c r="I149" i="8" s="1"/>
  <c r="H14" i="8"/>
  <c r="A14" i="8"/>
  <c r="I13" i="8"/>
  <c r="F13" i="8"/>
  <c r="I12" i="8"/>
  <c r="B12" i="8"/>
  <c r="J11" i="8"/>
  <c r="H11" i="8"/>
  <c r="E11" i="8"/>
  <c r="B11" i="8"/>
  <c r="I9" i="8"/>
  <c r="A4" i="8"/>
  <c r="H275" i="7"/>
  <c r="H276" i="7" s="1"/>
  <c r="G248" i="7"/>
  <c r="G241" i="7"/>
  <c r="G238" i="7"/>
  <c r="G235" i="7"/>
  <c r="G232" i="7"/>
  <c r="G229" i="7"/>
  <c r="G226" i="7"/>
  <c r="G223" i="7"/>
  <c r="G220" i="7"/>
  <c r="G214" i="7"/>
  <c r="G211" i="7"/>
  <c r="G208" i="7"/>
  <c r="G205" i="7"/>
  <c r="G202" i="7"/>
  <c r="G199" i="7"/>
  <c r="G196" i="7"/>
  <c r="G193" i="7"/>
  <c r="H184" i="7"/>
  <c r="I168" i="7"/>
  <c r="I162" i="7"/>
  <c r="I160" i="7"/>
  <c r="J139" i="7"/>
  <c r="J144" i="7" s="1"/>
  <c r="J100" i="7"/>
  <c r="E100" i="7"/>
  <c r="I99" i="7"/>
  <c r="I98" i="7"/>
  <c r="I97" i="7"/>
  <c r="E96" i="7"/>
  <c r="I95" i="7"/>
  <c r="I94" i="7"/>
  <c r="I93" i="7"/>
  <c r="I92" i="7"/>
  <c r="I84" i="7"/>
  <c r="H79" i="7"/>
  <c r="F79" i="7"/>
  <c r="I77" i="7"/>
  <c r="I63" i="7"/>
  <c r="D63" i="7"/>
  <c r="G62" i="7"/>
  <c r="E62" i="7"/>
  <c r="H57" i="7"/>
  <c r="H56" i="7"/>
  <c r="H55" i="7"/>
  <c r="J62" i="7" s="1"/>
  <c r="H54" i="7"/>
  <c r="H53" i="7"/>
  <c r="H21" i="7"/>
  <c r="I280" i="7" s="1"/>
  <c r="H20" i="7"/>
  <c r="H19" i="7"/>
  <c r="H15" i="7"/>
  <c r="I166" i="7" s="1"/>
  <c r="H14" i="7"/>
  <c r="A14" i="7"/>
  <c r="I13" i="7"/>
  <c r="F13" i="7"/>
  <c r="I12" i="7"/>
  <c r="B12" i="7"/>
  <c r="J11" i="7"/>
  <c r="H11" i="7"/>
  <c r="E11" i="7"/>
  <c r="B11" i="7"/>
  <c r="I9" i="7"/>
  <c r="A4" i="7"/>
  <c r="K12" i="6"/>
  <c r="C11" i="6"/>
  <c r="C188" i="9" s="1"/>
  <c r="C10" i="6"/>
  <c r="C183" i="9" s="1"/>
  <c r="C9" i="6"/>
  <c r="C180" i="9" s="1"/>
  <c r="C8" i="6"/>
  <c r="C176" i="9" s="1"/>
  <c r="A4" i="6"/>
  <c r="K11" i="5"/>
  <c r="C10" i="5"/>
  <c r="E182" i="8" s="1"/>
  <c r="C9" i="5"/>
  <c r="E178" i="8" s="1"/>
  <c r="F177" i="8" s="1"/>
  <c r="C8" i="5"/>
  <c r="E174" i="8" s="1"/>
  <c r="F173" i="8" s="1"/>
  <c r="I173" i="8" s="1"/>
  <c r="A4" i="5"/>
  <c r="K26" i="4"/>
  <c r="K25" i="4"/>
  <c r="C25" i="4"/>
  <c r="E249" i="7" s="1"/>
  <c r="F248" i="7" s="1"/>
  <c r="K24" i="4"/>
  <c r="C24" i="4"/>
  <c r="E242" i="7" s="1"/>
  <c r="F241" i="7" s="1"/>
  <c r="K23" i="4"/>
  <c r="C23" i="4"/>
  <c r="E239" i="7" s="1"/>
  <c r="K22" i="4"/>
  <c r="C22" i="4"/>
  <c r="E236" i="7" s="1"/>
  <c r="F235" i="7" s="1"/>
  <c r="K21" i="4"/>
  <c r="C21" i="4"/>
  <c r="E233" i="7" s="1"/>
  <c r="F232" i="7" s="1"/>
  <c r="K20" i="4"/>
  <c r="C20" i="4"/>
  <c r="E230" i="7" s="1"/>
  <c r="K19" i="4"/>
  <c r="C19" i="4"/>
  <c r="E227" i="7" s="1"/>
  <c r="K18" i="4"/>
  <c r="C18" i="4"/>
  <c r="E224" i="7" s="1"/>
  <c r="F223" i="7" s="1"/>
  <c r="K17" i="4"/>
  <c r="C17" i="4"/>
  <c r="E221" i="7" s="1"/>
  <c r="F220" i="7" s="1"/>
  <c r="K16" i="4"/>
  <c r="C16" i="4"/>
  <c r="E215" i="7" s="1"/>
  <c r="F214" i="7" s="1"/>
  <c r="K15" i="4"/>
  <c r="C15" i="4"/>
  <c r="E212" i="7" s="1"/>
  <c r="K14" i="4"/>
  <c r="C14" i="4"/>
  <c r="E209" i="7" s="1"/>
  <c r="K13" i="4"/>
  <c r="C13" i="4"/>
  <c r="E206" i="7" s="1"/>
  <c r="K12" i="4"/>
  <c r="C12" i="4"/>
  <c r="E203" i="7" s="1"/>
  <c r="K11" i="4"/>
  <c r="C11" i="4"/>
  <c r="E200" i="7" s="1"/>
  <c r="K10" i="4"/>
  <c r="C10" i="4"/>
  <c r="E197" i="7" s="1"/>
  <c r="F196" i="7" s="1"/>
  <c r="K9" i="4"/>
  <c r="C9" i="4"/>
  <c r="E194" i="7" s="1"/>
  <c r="F193" i="7" s="1"/>
  <c r="K8" i="4"/>
  <c r="C8" i="4"/>
  <c r="E191" i="7" s="1"/>
  <c r="A4" i="4"/>
  <c r="AC84" i="3"/>
  <c r="AB84" i="3"/>
  <c r="Y84" i="3"/>
  <c r="X84" i="3"/>
  <c r="W84" i="3"/>
  <c r="V84" i="3"/>
  <c r="U84" i="3"/>
  <c r="T84" i="3"/>
  <c r="S84" i="3"/>
  <c r="R84" i="3"/>
  <c r="Q84" i="3"/>
  <c r="P84" i="3"/>
  <c r="O84" i="3"/>
  <c r="N84" i="3"/>
  <c r="M84" i="3"/>
  <c r="L84" i="3"/>
  <c r="I84" i="3"/>
  <c r="H84" i="3"/>
  <c r="G84" i="3"/>
  <c r="F84" i="3"/>
  <c r="E84" i="3"/>
  <c r="AE83" i="3"/>
  <c r="AS83" i="3" s="1"/>
  <c r="D83" i="3"/>
  <c r="AE82" i="3"/>
  <c r="AE81" i="3"/>
  <c r="AE80" i="3"/>
  <c r="AW80" i="3" s="1"/>
  <c r="AE79" i="3"/>
  <c r="AV79" i="3" s="1"/>
  <c r="AE78" i="3"/>
  <c r="BC78" i="3" s="1"/>
  <c r="AE77" i="3"/>
  <c r="AE76" i="3"/>
  <c r="AE75" i="3"/>
  <c r="D75" i="3"/>
  <c r="AE74" i="3"/>
  <c r="AE73" i="3"/>
  <c r="AE72" i="3"/>
  <c r="AE71" i="3"/>
  <c r="BA71" i="3" s="1"/>
  <c r="AE70" i="3"/>
  <c r="AG70" i="3" s="1"/>
  <c r="AE69" i="3"/>
  <c r="AE68" i="3"/>
  <c r="BC68" i="3" s="1"/>
  <c r="AE67" i="3"/>
  <c r="BC67" i="3" s="1"/>
  <c r="AE66" i="3"/>
  <c r="BD66" i="3" s="1"/>
  <c r="AE65" i="3"/>
  <c r="AD65" i="3" s="1"/>
  <c r="D65" i="3"/>
  <c r="AE64" i="3"/>
  <c r="AE63" i="3"/>
  <c r="AE62" i="3"/>
  <c r="AE61" i="3"/>
  <c r="AR61" i="3" s="1"/>
  <c r="AE60" i="3"/>
  <c r="AT60" i="3" s="1"/>
  <c r="AE59" i="3"/>
  <c r="AE58" i="3"/>
  <c r="D58" i="3"/>
  <c r="AE57" i="3"/>
  <c r="AE56" i="3"/>
  <c r="AE55" i="3"/>
  <c r="AL55" i="3" s="1"/>
  <c r="AE54" i="3"/>
  <c r="AE53" i="3"/>
  <c r="AM53" i="3" s="1"/>
  <c r="AE52" i="3"/>
  <c r="AE51" i="3"/>
  <c r="AE50" i="3"/>
  <c r="AU50" i="3" s="1"/>
  <c r="AE49" i="3"/>
  <c r="BB49" i="3" s="1"/>
  <c r="AE48" i="3"/>
  <c r="AR48" i="3" s="1"/>
  <c r="AE47" i="3"/>
  <c r="D47" i="3"/>
  <c r="AE46" i="3"/>
  <c r="AE45" i="3"/>
  <c r="AE44" i="3"/>
  <c r="AH44" i="3" s="1"/>
  <c r="AE43" i="3"/>
  <c r="AX43" i="3" s="1"/>
  <c r="AE42" i="3"/>
  <c r="AI42" i="3" s="1"/>
  <c r="AE41" i="3"/>
  <c r="AE40" i="3"/>
  <c r="AD40" i="3" s="1"/>
  <c r="AE39" i="3"/>
  <c r="AD39" i="3" s="1"/>
  <c r="AE38" i="3"/>
  <c r="AE37" i="3"/>
  <c r="D37" i="3"/>
  <c r="AE36" i="3"/>
  <c r="AD36" i="3" s="1"/>
  <c r="AE35" i="3"/>
  <c r="AX34" i="3" s="1"/>
  <c r="AE34" i="3"/>
  <c r="AJ33" i="3" s="1"/>
  <c r="AE33" i="3"/>
  <c r="AZ32" i="3" s="1"/>
  <c r="AE32" i="3"/>
  <c r="AE31" i="3"/>
  <c r="AD31" i="3" s="1"/>
  <c r="AE30" i="3"/>
  <c r="AE29" i="3"/>
  <c r="AD29" i="3" s="1"/>
  <c r="AQ29" i="3" s="1"/>
  <c r="D29" i="3"/>
  <c r="AE28" i="3"/>
  <c r="AD28" i="3" s="1"/>
  <c r="AE27" i="3"/>
  <c r="AX27" i="3" s="1"/>
  <c r="AE26" i="3"/>
  <c r="AE25" i="3"/>
  <c r="AE24" i="3"/>
  <c r="AE23" i="3"/>
  <c r="AE22" i="3"/>
  <c r="AD22" i="3" s="1"/>
  <c r="AE21" i="3"/>
  <c r="AD21" i="3" s="1"/>
  <c r="D21" i="3"/>
  <c r="AE20" i="3"/>
  <c r="AE19" i="3"/>
  <c r="AE18" i="3"/>
  <c r="BD18" i="3" s="1"/>
  <c r="AE17" i="3"/>
  <c r="BA17" i="3" s="1"/>
  <c r="AE16" i="3"/>
  <c r="BB16" i="3" s="1"/>
  <c r="AE15" i="3"/>
  <c r="AD15" i="3" s="1"/>
  <c r="D15" i="3"/>
  <c r="AE14" i="3"/>
  <c r="AD14" i="3" s="1"/>
  <c r="AE13" i="3"/>
  <c r="AE12" i="3"/>
  <c r="AE11" i="3"/>
  <c r="AE10" i="3"/>
  <c r="AX10" i="3" s="1"/>
  <c r="AE9" i="3"/>
  <c r="BB9" i="3" s="1"/>
  <c r="AE8" i="3"/>
  <c r="AE7" i="3"/>
  <c r="AE6" i="3"/>
  <c r="AD6" i="3" s="1"/>
  <c r="AE5" i="3"/>
  <c r="D5" i="3"/>
  <c r="AK1" i="3"/>
  <c r="T1" i="3"/>
  <c r="E79" i="2"/>
  <c r="E78" i="2"/>
  <c r="E77" i="2"/>
  <c r="E76" i="2"/>
  <c r="E75" i="2"/>
  <c r="E74" i="2"/>
  <c r="E73" i="2"/>
  <c r="E72" i="2"/>
  <c r="E71" i="2"/>
  <c r="E70" i="2"/>
  <c r="E69" i="2"/>
  <c r="E64" i="2"/>
  <c r="G64" i="2" s="1"/>
  <c r="E63" i="2"/>
  <c r="G63" i="2" s="1"/>
  <c r="E62" i="2"/>
  <c r="G62" i="2" s="1"/>
  <c r="E57" i="2"/>
  <c r="G57" i="2" s="1"/>
  <c r="E56" i="2"/>
  <c r="G56" i="2" s="1"/>
  <c r="E55" i="2"/>
  <c r="G55" i="2" s="1"/>
  <c r="E54" i="2"/>
  <c r="G54" i="2" s="1"/>
  <c r="E53" i="2"/>
  <c r="G53" i="2" s="1"/>
  <c r="E52" i="2"/>
  <c r="G52" i="2" s="1"/>
  <c r="E51" i="2"/>
  <c r="G51" i="2" s="1"/>
  <c r="E50" i="2"/>
  <c r="G50" i="2" s="1"/>
  <c r="E49" i="2"/>
  <c r="G49" i="2" s="1"/>
  <c r="E48" i="2"/>
  <c r="G48" i="2" s="1"/>
  <c r="E47" i="2"/>
  <c r="G47" i="2" s="1"/>
  <c r="E46" i="2"/>
  <c r="G46" i="2" s="1"/>
  <c r="E45" i="2"/>
  <c r="G45" i="2" s="1"/>
  <c r="E44" i="2"/>
  <c r="G44" i="2" s="1"/>
  <c r="E43" i="2"/>
  <c r="G43" i="2" s="1"/>
  <c r="E42" i="2"/>
  <c r="G42" i="2" s="1"/>
  <c r="E41" i="2"/>
  <c r="G41" i="2" s="1"/>
  <c r="E40" i="2"/>
  <c r="G40" i="2" s="1"/>
  <c r="E39" i="2"/>
  <c r="G39" i="2" s="1"/>
  <c r="D34" i="2"/>
  <c r="F34" i="2" s="1"/>
  <c r="D33" i="2"/>
  <c r="F33" i="2" s="1"/>
  <c r="D32" i="2"/>
  <c r="F32" i="2" s="1"/>
  <c r="D31" i="2"/>
  <c r="F31" i="2" s="1"/>
  <c r="D30" i="2"/>
  <c r="F30" i="2" s="1"/>
  <c r="D29" i="2"/>
  <c r="F29" i="2" s="1"/>
  <c r="D24" i="2"/>
  <c r="F24" i="2" s="1"/>
  <c r="D23" i="2"/>
  <c r="F23" i="2" s="1"/>
  <c r="D22" i="2"/>
  <c r="F22" i="2" s="1"/>
  <c r="D21" i="2"/>
  <c r="F21" i="2" s="1"/>
  <c r="D20" i="2"/>
  <c r="F20" i="2" s="1"/>
  <c r="D19" i="2"/>
  <c r="F19" i="2" s="1"/>
  <c r="D18" i="2"/>
  <c r="F18" i="2" s="1"/>
  <c r="D17" i="2"/>
  <c r="F17" i="2" s="1"/>
  <c r="D16" i="2"/>
  <c r="F16" i="2" s="1"/>
  <c r="D15" i="2"/>
  <c r="F15" i="2" s="1"/>
  <c r="D14" i="2"/>
  <c r="F14" i="2" s="1"/>
  <c r="D13" i="2"/>
  <c r="F13" i="2" s="1"/>
  <c r="D12" i="2"/>
  <c r="F12" i="2" s="1"/>
  <c r="D11" i="2"/>
  <c r="F11" i="2" s="1"/>
  <c r="F10" i="2"/>
  <c r="D9" i="2"/>
  <c r="F9" i="2" s="1"/>
  <c r="D8" i="2"/>
  <c r="F8" i="2" s="1"/>
  <c r="A4" i="2"/>
  <c r="C80" i="1"/>
  <c r="AY31" i="3" l="1"/>
  <c r="J96" i="7"/>
  <c r="I214" i="7"/>
  <c r="I241" i="7"/>
  <c r="I15" i="8"/>
  <c r="I148" i="8"/>
  <c r="I165" i="7"/>
  <c r="I15" i="7"/>
  <c r="I142" i="10"/>
  <c r="I15" i="10"/>
  <c r="I66" i="8"/>
  <c r="I63" i="8"/>
  <c r="AD7" i="3"/>
  <c r="BB7" i="3" s="1"/>
  <c r="J63" i="7"/>
  <c r="J65" i="7" s="1"/>
  <c r="J40" i="10"/>
  <c r="AX31" i="3"/>
  <c r="AS34" i="3"/>
  <c r="AK33" i="3"/>
  <c r="AR34" i="3"/>
  <c r="I58" i="10"/>
  <c r="I55" i="10"/>
  <c r="I60" i="10"/>
  <c r="J73" i="10"/>
  <c r="J48" i="9"/>
  <c r="J50" i="9" s="1"/>
  <c r="J81" i="9"/>
  <c r="J74" i="8"/>
  <c r="J79" i="8"/>
  <c r="I177" i="8"/>
  <c r="J46" i="8"/>
  <c r="J48" i="8" s="1"/>
  <c r="I83" i="7"/>
  <c r="I196" i="7"/>
  <c r="AZ35" i="3"/>
  <c r="AK31" i="3"/>
  <c r="AH31" i="3"/>
  <c r="AH33" i="3"/>
  <c r="BD34" i="3"/>
  <c r="AU34" i="3"/>
  <c r="AS35" i="3"/>
  <c r="AU35" i="3"/>
  <c r="BA35" i="3"/>
  <c r="BA31" i="3"/>
  <c r="AH35" i="3"/>
  <c r="AG31" i="3"/>
  <c r="AV33" i="3"/>
  <c r="AT34" i="3"/>
  <c r="AO34" i="3"/>
  <c r="AO35" i="3"/>
  <c r="AT35" i="3"/>
  <c r="BA33" i="3"/>
  <c r="BD35" i="3"/>
  <c r="AZ31" i="3"/>
  <c r="AJ31" i="3"/>
  <c r="BD31" i="3"/>
  <c r="AW33" i="3"/>
  <c r="AW34" i="3"/>
  <c r="AV34" i="3"/>
  <c r="AN34" i="3"/>
  <c r="AG35" i="3"/>
  <c r="AI35" i="3"/>
  <c r="BA34" i="3"/>
  <c r="AJ32" i="3"/>
  <c r="AX32" i="3"/>
  <c r="AD52" i="3"/>
  <c r="AT52" i="3" s="1"/>
  <c r="AU33" i="3"/>
  <c r="BD33" i="3"/>
  <c r="AK32" i="3"/>
  <c r="AY32" i="3"/>
  <c r="AV31" i="3"/>
  <c r="AW31" i="3"/>
  <c r="AU31" i="3"/>
  <c r="AT31" i="3"/>
  <c r="AO31" i="3"/>
  <c r="AS33" i="3"/>
  <c r="AG33" i="3"/>
  <c r="AZ33" i="3"/>
  <c r="AN33" i="3"/>
  <c r="AK34" i="3"/>
  <c r="AH34" i="3"/>
  <c r="AJ34" i="3"/>
  <c r="AI34" i="3"/>
  <c r="AX35" i="3"/>
  <c r="AK35" i="3"/>
  <c r="AY35" i="3"/>
  <c r="AR35" i="3"/>
  <c r="AV32" i="3"/>
  <c r="BA32" i="3"/>
  <c r="AG32" i="3"/>
  <c r="AN32" i="3"/>
  <c r="AU32" i="3"/>
  <c r="BD43" i="3"/>
  <c r="AD69" i="3"/>
  <c r="BB69" i="3" s="1"/>
  <c r="AS32" i="3"/>
  <c r="AI32" i="3"/>
  <c r="AI33" i="3"/>
  <c r="AR33" i="3"/>
  <c r="AT32" i="3"/>
  <c r="AD8" i="3"/>
  <c r="AX8" i="3" s="1"/>
  <c r="AY36" i="3"/>
  <c r="AU36" i="3"/>
  <c r="AO36" i="3"/>
  <c r="AI36" i="3"/>
  <c r="AZ36" i="3"/>
  <c r="AV36" i="3"/>
  <c r="AR36" i="3"/>
  <c r="AJ36" i="3"/>
  <c r="BA36" i="3"/>
  <c r="AW36" i="3"/>
  <c r="AS36" i="3"/>
  <c r="AK36" i="3"/>
  <c r="AG36" i="3"/>
  <c r="BD36" i="3"/>
  <c r="AX36" i="3"/>
  <c r="AT36" i="3"/>
  <c r="AN36" i="3"/>
  <c r="AH36" i="3"/>
  <c r="AR31" i="3"/>
  <c r="AS31" i="3"/>
  <c r="AI31" i="3"/>
  <c r="AN31" i="3"/>
  <c r="AY33" i="3"/>
  <c r="AO33" i="3"/>
  <c r="AT33" i="3"/>
  <c r="AX33" i="3"/>
  <c r="AG34" i="3"/>
  <c r="AZ34" i="3"/>
  <c r="AY34" i="3"/>
  <c r="AV35" i="3"/>
  <c r="AJ35" i="3"/>
  <c r="AW35" i="3"/>
  <c r="AN35" i="3"/>
  <c r="AR32" i="3"/>
  <c r="AW32" i="3"/>
  <c r="BD32" i="3"/>
  <c r="AH32" i="3"/>
  <c r="AO32" i="3"/>
  <c r="AQ43" i="3"/>
  <c r="AH43" i="3"/>
  <c r="AL17" i="3"/>
  <c r="AK18" i="3"/>
  <c r="AH67" i="3"/>
  <c r="AM80" i="3"/>
  <c r="BB17" i="3"/>
  <c r="BA18" i="3"/>
  <c r="AD64" i="3"/>
  <c r="BC64" i="3" s="1"/>
  <c r="AD75" i="3"/>
  <c r="AY75" i="3" s="1"/>
  <c r="AD51" i="3"/>
  <c r="AX51" i="3" s="1"/>
  <c r="AD57" i="3"/>
  <c r="BB57" i="3" s="1"/>
  <c r="AD20" i="3"/>
  <c r="BA20" i="3" s="1"/>
  <c r="AD23" i="3"/>
  <c r="AW23" i="3" s="1"/>
  <c r="AD37" i="3"/>
  <c r="AZ37" i="3" s="1"/>
  <c r="AD46" i="3"/>
  <c r="AK46" i="3" s="1"/>
  <c r="AD76" i="3"/>
  <c r="BB76" i="3" s="1"/>
  <c r="AD47" i="3"/>
  <c r="AX47" i="3" s="1"/>
  <c r="AD59" i="3"/>
  <c r="AR59" i="3" s="1"/>
  <c r="AD82" i="3"/>
  <c r="BA82" i="3" s="1"/>
  <c r="AI29" i="3"/>
  <c r="AD30" i="3"/>
  <c r="AD38" i="3"/>
  <c r="AQ38" i="3" s="1"/>
  <c r="AD58" i="3"/>
  <c r="BB58" i="3" s="1"/>
  <c r="AD74" i="3"/>
  <c r="AV74" i="3" s="1"/>
  <c r="AD77" i="3"/>
  <c r="AK77" i="3" s="1"/>
  <c r="BD6" i="3"/>
  <c r="AL14" i="3"/>
  <c r="AD5" i="3"/>
  <c r="AN5" i="3" s="1"/>
  <c r="BC56" i="3"/>
  <c r="BB6" i="3"/>
  <c r="BD44" i="3"/>
  <c r="AJ50" i="3"/>
  <c r="BB55" i="3"/>
  <c r="AS67" i="3"/>
  <c r="AI68" i="3"/>
  <c r="AI70" i="3"/>
  <c r="BB67" i="3"/>
  <c r="BD68" i="3"/>
  <c r="AY42" i="3"/>
  <c r="AO44" i="3"/>
  <c r="BC53" i="3"/>
  <c r="BA55" i="3"/>
  <c r="BA70" i="3"/>
  <c r="BB27" i="3"/>
  <c r="BA6" i="3"/>
  <c r="AH10" i="3"/>
  <c r="BA12" i="3"/>
  <c r="BD21" i="3"/>
  <c r="BB24" i="3"/>
  <c r="BC26" i="3"/>
  <c r="AH27" i="3"/>
  <c r="BC28" i="3"/>
  <c r="AX42" i="3"/>
  <c r="AW44" i="3"/>
  <c r="AJ48" i="3"/>
  <c r="AT49" i="3"/>
  <c r="AH60" i="3"/>
  <c r="AN61" i="3"/>
  <c r="AL66" i="3"/>
  <c r="AY68" i="3"/>
  <c r="AR68" i="3"/>
  <c r="AR70" i="3"/>
  <c r="AL71" i="3"/>
  <c r="AL27" i="3"/>
  <c r="AG44" i="3"/>
  <c r="AX60" i="3"/>
  <c r="AT66" i="3"/>
  <c r="AS68" i="3"/>
  <c r="AS70" i="3"/>
  <c r="AS71" i="3"/>
  <c r="AL6" i="3"/>
  <c r="BA10" i="3"/>
  <c r="BC11" i="3"/>
  <c r="BC13" i="3"/>
  <c r="BB22" i="3"/>
  <c r="AZ25" i="3"/>
  <c r="BA27" i="3"/>
  <c r="AZ48" i="3"/>
  <c r="BB60" i="3"/>
  <c r="BC66" i="3"/>
  <c r="AG68" i="3"/>
  <c r="AX71" i="3"/>
  <c r="AP12" i="3"/>
  <c r="BB33" i="3"/>
  <c r="AS39" i="3"/>
  <c r="AK39" i="3"/>
  <c r="BC41" i="3"/>
  <c r="AS41" i="3"/>
  <c r="AK41" i="3"/>
  <c r="AZ45" i="3"/>
  <c r="AJ45" i="3"/>
  <c r="AY45" i="3"/>
  <c r="AI45" i="3"/>
  <c r="AR45" i="3"/>
  <c r="BB54" i="3"/>
  <c r="AZ54" i="3"/>
  <c r="AR54" i="3"/>
  <c r="AH54" i="3"/>
  <c r="AY54" i="3"/>
  <c r="AQ54" i="3"/>
  <c r="AG54" i="3"/>
  <c r="AV54" i="3"/>
  <c r="AL54" i="3"/>
  <c r="BC54" i="3"/>
  <c r="BD63" i="3"/>
  <c r="AX63" i="3"/>
  <c r="AP63" i="3"/>
  <c r="AH63" i="3"/>
  <c r="AW63" i="3"/>
  <c r="AO63" i="3"/>
  <c r="AG63" i="3"/>
  <c r="BB63" i="3"/>
  <c r="AT63" i="3"/>
  <c r="AL63" i="3"/>
  <c r="BA63" i="3"/>
  <c r="BB65" i="3"/>
  <c r="AQ65" i="3"/>
  <c r="AP6" i="3"/>
  <c r="AJ9" i="3"/>
  <c r="AL10" i="3"/>
  <c r="BB10" i="3"/>
  <c r="BD12" i="3"/>
  <c r="AT12" i="3"/>
  <c r="BB13" i="3"/>
  <c r="AP17" i="3"/>
  <c r="AO18" i="3"/>
  <c r="BB19" i="3"/>
  <c r="BC21" i="3"/>
  <c r="AS21" i="3"/>
  <c r="AS25" i="3"/>
  <c r="BB26" i="3"/>
  <c r="AL33" i="3"/>
  <c r="BC35" i="3"/>
  <c r="AQ35" i="3"/>
  <c r="AP35" i="3"/>
  <c r="AY40" i="3"/>
  <c r="AI40" i="3"/>
  <c r="AX40" i="3"/>
  <c r="AH40" i="3"/>
  <c r="AQ40" i="3"/>
  <c r="AX49" i="3"/>
  <c r="BB83" i="3"/>
  <c r="AZ83" i="3"/>
  <c r="AR83" i="3"/>
  <c r="AJ83" i="3"/>
  <c r="AW83" i="3"/>
  <c r="AO83" i="3"/>
  <c r="AG83" i="3"/>
  <c r="BD83" i="3"/>
  <c r="AV83" i="3"/>
  <c r="AN83" i="3"/>
  <c r="BA83" i="3"/>
  <c r="AT6" i="3"/>
  <c r="AP10" i="3"/>
  <c r="AH12" i="3"/>
  <c r="AX12" i="3"/>
  <c r="AZ17" i="3"/>
  <c r="AT17" i="3"/>
  <c r="AS18" i="3"/>
  <c r="AG21" i="3"/>
  <c r="AW21" i="3"/>
  <c r="AG25" i="3"/>
  <c r="AW25" i="3"/>
  <c r="AP27" i="3"/>
  <c r="BA41" i="3"/>
  <c r="AQ45" i="3"/>
  <c r="AW49" i="3"/>
  <c r="AO49" i="3"/>
  <c r="AG49" i="3"/>
  <c r="AK54" i="3"/>
  <c r="AK63" i="3"/>
  <c r="AO21" i="3"/>
  <c r="AO25" i="3"/>
  <c r="AH6" i="3"/>
  <c r="AX6" i="3"/>
  <c r="BC9" i="3"/>
  <c r="BD10" i="3"/>
  <c r="AT10" i="3"/>
  <c r="BB11" i="3"/>
  <c r="AL12" i="3"/>
  <c r="BB12" i="3"/>
  <c r="BA15" i="3"/>
  <c r="BC16" i="3"/>
  <c r="AH17" i="3"/>
  <c r="AX17" i="3"/>
  <c r="AG18" i="3"/>
  <c r="AW18" i="3"/>
  <c r="AK21" i="3"/>
  <c r="BA21" i="3"/>
  <c r="AK25" i="3"/>
  <c r="BA25" i="3"/>
  <c r="BD27" i="3"/>
  <c r="AT27" i="3"/>
  <c r="BB28" i="3"/>
  <c r="AP32" i="3"/>
  <c r="BB32" i="3"/>
  <c r="AP33" i="3"/>
  <c r="AM35" i="3"/>
  <c r="AP40" i="3"/>
  <c r="AL49" i="3"/>
  <c r="AU54" i="3"/>
  <c r="AS63" i="3"/>
  <c r="AX72" i="3"/>
  <c r="AK83" i="3"/>
  <c r="AP42" i="3"/>
  <c r="AI43" i="3"/>
  <c r="AY43" i="3"/>
  <c r="AP44" i="3"/>
  <c r="AX44" i="3"/>
  <c r="AU53" i="3"/>
  <c r="AP55" i="3"/>
  <c r="AL60" i="3"/>
  <c r="AG66" i="3"/>
  <c r="AO66" i="3"/>
  <c r="AW66" i="3"/>
  <c r="AL67" i="3"/>
  <c r="AW67" i="3"/>
  <c r="AM68" i="3"/>
  <c r="AW68" i="3"/>
  <c r="AM70" i="3"/>
  <c r="AY70" i="3"/>
  <c r="AG71" i="3"/>
  <c r="AM71" i="3"/>
  <c r="AU71" i="3"/>
  <c r="BB71" i="3"/>
  <c r="AN72" i="3"/>
  <c r="AG80" i="3"/>
  <c r="BC83" i="3"/>
  <c r="AQ42" i="3"/>
  <c r="AP43" i="3"/>
  <c r="AK44" i="3"/>
  <c r="AS44" i="3"/>
  <c r="BA44" i="3"/>
  <c r="AH49" i="3"/>
  <c r="AP49" i="3"/>
  <c r="AY53" i="3"/>
  <c r="AT55" i="3"/>
  <c r="BA60" i="3"/>
  <c r="AP60" i="3"/>
  <c r="BC61" i="3"/>
  <c r="AY62" i="3"/>
  <c r="AH66" i="3"/>
  <c r="AP66" i="3"/>
  <c r="AY66" i="3"/>
  <c r="AM67" i="3"/>
  <c r="AX67" i="3"/>
  <c r="AN68" i="3"/>
  <c r="AN70" i="3"/>
  <c r="AH71" i="3"/>
  <c r="AP71" i="3"/>
  <c r="AW71" i="3"/>
  <c r="BC71" i="3"/>
  <c r="BC34" i="3"/>
  <c r="BC36" i="3"/>
  <c r="BC39" i="3"/>
  <c r="BA39" i="3"/>
  <c r="AH42" i="3"/>
  <c r="AL44" i="3"/>
  <c r="AT44" i="3"/>
  <c r="BB44" i="3"/>
  <c r="BD49" i="3"/>
  <c r="AK49" i="3"/>
  <c r="AS49" i="3"/>
  <c r="BA49" i="3"/>
  <c r="AI53" i="3"/>
  <c r="AH55" i="3"/>
  <c r="AX55" i="3"/>
  <c r="AR56" i="3"/>
  <c r="AK66" i="3"/>
  <c r="AS66" i="3"/>
  <c r="AG67" i="3"/>
  <c r="AQ67" i="3"/>
  <c r="AK71" i="3"/>
  <c r="AQ71" i="3"/>
  <c r="AN78" i="3"/>
  <c r="AZ80" i="3"/>
  <c r="AR80" i="3"/>
  <c r="F35" i="2"/>
  <c r="F36" i="2" s="1"/>
  <c r="E80" i="2"/>
  <c r="B91" i="2" s="1"/>
  <c r="D91" i="2" s="1"/>
  <c r="F91" i="2" s="1"/>
  <c r="J150" i="7" s="1"/>
  <c r="H18" i="7"/>
  <c r="H18" i="9"/>
  <c r="I149" i="9"/>
  <c r="H18" i="10"/>
  <c r="B85" i="2"/>
  <c r="D85" i="2" s="1"/>
  <c r="F25" i="2"/>
  <c r="G58" i="2"/>
  <c r="G65" i="2"/>
  <c r="AN7" i="3"/>
  <c r="AV7" i="3"/>
  <c r="AR9" i="3"/>
  <c r="AZ9" i="3"/>
  <c r="AN11" i="3"/>
  <c r="AV11" i="3"/>
  <c r="BD11" i="3"/>
  <c r="AZ13" i="3"/>
  <c r="AN28" i="3"/>
  <c r="D84" i="3"/>
  <c r="AI6" i="3"/>
  <c r="AM6" i="3"/>
  <c r="AQ6" i="3"/>
  <c r="AU6" i="3"/>
  <c r="AY6" i="3"/>
  <c r="BC6" i="3"/>
  <c r="AG7" i="3"/>
  <c r="AK7" i="3"/>
  <c r="AO7" i="3"/>
  <c r="AS7" i="3"/>
  <c r="AW7" i="3"/>
  <c r="BA7" i="3"/>
  <c r="AU8" i="3"/>
  <c r="AG9" i="3"/>
  <c r="AK9" i="3"/>
  <c r="AO9" i="3"/>
  <c r="AS9" i="3"/>
  <c r="AW9" i="3"/>
  <c r="BA9" i="3"/>
  <c r="AI10" i="3"/>
  <c r="AM10" i="3"/>
  <c r="AQ10" i="3"/>
  <c r="AU10" i="3"/>
  <c r="AY10" i="3"/>
  <c r="BC10" i="3"/>
  <c r="AG11" i="3"/>
  <c r="AK11" i="3"/>
  <c r="AO11" i="3"/>
  <c r="AS11" i="3"/>
  <c r="AW11" i="3"/>
  <c r="BA11" i="3"/>
  <c r="AI12" i="3"/>
  <c r="AM12" i="3"/>
  <c r="AQ12" i="3"/>
  <c r="AU12" i="3"/>
  <c r="AY12" i="3"/>
  <c r="BC12" i="3"/>
  <c r="AG13" i="3"/>
  <c r="AK13" i="3"/>
  <c r="AO13" i="3"/>
  <c r="AS13" i="3"/>
  <c r="AW13" i="3"/>
  <c r="BA13" i="3"/>
  <c r="AQ14" i="3"/>
  <c r="AI15" i="3"/>
  <c r="AM15" i="3"/>
  <c r="AQ15" i="3"/>
  <c r="AU15" i="3"/>
  <c r="AY15" i="3"/>
  <c r="BC15" i="3"/>
  <c r="AG16" i="3"/>
  <c r="AK16" i="3"/>
  <c r="AO16" i="3"/>
  <c r="AS16" i="3"/>
  <c r="AW16" i="3"/>
  <c r="BA16" i="3"/>
  <c r="AI17" i="3"/>
  <c r="AM17" i="3"/>
  <c r="AQ17" i="3"/>
  <c r="AU17" i="3"/>
  <c r="AY17" i="3"/>
  <c r="BC17" i="3"/>
  <c r="AH18" i="3"/>
  <c r="AL18" i="3"/>
  <c r="AP18" i="3"/>
  <c r="AT18" i="3"/>
  <c r="AX18" i="3"/>
  <c r="BB18" i="3"/>
  <c r="AJ19" i="3"/>
  <c r="AN19" i="3"/>
  <c r="AR19" i="3"/>
  <c r="AV19" i="3"/>
  <c r="AZ19" i="3"/>
  <c r="BD19" i="3"/>
  <c r="AT20" i="3"/>
  <c r="AH21" i="3"/>
  <c r="AL21" i="3"/>
  <c r="AP21" i="3"/>
  <c r="AT21" i="3"/>
  <c r="AX21" i="3"/>
  <c r="BB21" i="3"/>
  <c r="AJ22" i="3"/>
  <c r="AN22" i="3"/>
  <c r="AR22" i="3"/>
  <c r="AV22" i="3"/>
  <c r="AZ22" i="3"/>
  <c r="BD22" i="3"/>
  <c r="AJ24" i="3"/>
  <c r="AN24" i="3"/>
  <c r="AR24" i="3"/>
  <c r="AV24" i="3"/>
  <c r="AZ24" i="3"/>
  <c r="BD24" i="3"/>
  <c r="AH25" i="3"/>
  <c r="AL25" i="3"/>
  <c r="AP25" i="3"/>
  <c r="AT25" i="3"/>
  <c r="AX25" i="3"/>
  <c r="BB25" i="3"/>
  <c r="AG26" i="3"/>
  <c r="AK26" i="3"/>
  <c r="AO26" i="3"/>
  <c r="AS26" i="3"/>
  <c r="AW26" i="3"/>
  <c r="BA26" i="3"/>
  <c r="AI27" i="3"/>
  <c r="AM27" i="3"/>
  <c r="AQ27" i="3"/>
  <c r="AU27" i="3"/>
  <c r="AY27" i="3"/>
  <c r="BC27" i="3"/>
  <c r="AG28" i="3"/>
  <c r="AK28" i="3"/>
  <c r="AO28" i="3"/>
  <c r="AS28" i="3"/>
  <c r="AW28" i="3"/>
  <c r="BA28" i="3"/>
  <c r="BA29" i="3"/>
  <c r="AW29" i="3"/>
  <c r="AS29" i="3"/>
  <c r="AO29" i="3"/>
  <c r="AK29" i="3"/>
  <c r="AG29" i="3"/>
  <c r="BD29" i="3"/>
  <c r="AZ29" i="3"/>
  <c r="AV29" i="3"/>
  <c r="AR29" i="3"/>
  <c r="AN29" i="3"/>
  <c r="AJ29" i="3"/>
  <c r="AL29" i="3"/>
  <c r="AT29" i="3"/>
  <c r="BB29" i="3"/>
  <c r="AM31" i="3"/>
  <c r="BC31" i="3"/>
  <c r="BB39" i="3"/>
  <c r="AX39" i="3"/>
  <c r="AT39" i="3"/>
  <c r="AP39" i="3"/>
  <c r="AL39" i="3"/>
  <c r="AH39" i="3"/>
  <c r="AN39" i="3"/>
  <c r="AV39" i="3"/>
  <c r="BD39" i="3"/>
  <c r="BB41" i="3"/>
  <c r="AX41" i="3"/>
  <c r="AT41" i="3"/>
  <c r="AP41" i="3"/>
  <c r="AL41" i="3"/>
  <c r="AH41" i="3"/>
  <c r="AN41" i="3"/>
  <c r="AV41" i="3"/>
  <c r="BD41" i="3"/>
  <c r="BB48" i="3"/>
  <c r="AX48" i="3"/>
  <c r="AT48" i="3"/>
  <c r="AP48" i="3"/>
  <c r="AL48" i="3"/>
  <c r="AH48" i="3"/>
  <c r="BA48" i="3"/>
  <c r="AW48" i="3"/>
  <c r="AS48" i="3"/>
  <c r="AO48" i="3"/>
  <c r="AK48" i="3"/>
  <c r="AG48" i="3"/>
  <c r="AM48" i="3"/>
  <c r="AU48" i="3"/>
  <c r="BC48" i="3"/>
  <c r="BB50" i="3"/>
  <c r="AX50" i="3"/>
  <c r="AT50" i="3"/>
  <c r="AP50" i="3"/>
  <c r="AL50" i="3"/>
  <c r="AH50" i="3"/>
  <c r="BA50" i="3"/>
  <c r="AW50" i="3"/>
  <c r="AS50" i="3"/>
  <c r="AO50" i="3"/>
  <c r="AK50" i="3"/>
  <c r="AG50" i="3"/>
  <c r="BD50" i="3"/>
  <c r="AZ50" i="3"/>
  <c r="AV50" i="3"/>
  <c r="AR50" i="3"/>
  <c r="AM50" i="3"/>
  <c r="AY50" i="3"/>
  <c r="AO52" i="3"/>
  <c r="BB56" i="3"/>
  <c r="AX56" i="3"/>
  <c r="AT56" i="3"/>
  <c r="AP56" i="3"/>
  <c r="AL56" i="3"/>
  <c r="AH56" i="3"/>
  <c r="BA56" i="3"/>
  <c r="AW56" i="3"/>
  <c r="AS56" i="3"/>
  <c r="AO56" i="3"/>
  <c r="AK56" i="3"/>
  <c r="AG56" i="3"/>
  <c r="AV56" i="3"/>
  <c r="AU62" i="3"/>
  <c r="BA65" i="3"/>
  <c r="AW65" i="3"/>
  <c r="AS65" i="3"/>
  <c r="AO65" i="3"/>
  <c r="AK65" i="3"/>
  <c r="AG65" i="3"/>
  <c r="BD65" i="3"/>
  <c r="AZ65" i="3"/>
  <c r="AV65" i="3"/>
  <c r="AR65" i="3"/>
  <c r="AN65" i="3"/>
  <c r="AJ65" i="3"/>
  <c r="AU65" i="3"/>
  <c r="BC73" i="3"/>
  <c r="AX73" i="3"/>
  <c r="AR73" i="3"/>
  <c r="AM73" i="3"/>
  <c r="AH73" i="3"/>
  <c r="AY73" i="3"/>
  <c r="AN73" i="3"/>
  <c r="AV73" i="3"/>
  <c r="AL73" i="3"/>
  <c r="BD73" i="3"/>
  <c r="AT73" i="3"/>
  <c r="AI73" i="3"/>
  <c r="BA81" i="3"/>
  <c r="AW81" i="3"/>
  <c r="AS81" i="3"/>
  <c r="AO81" i="3"/>
  <c r="AK81" i="3"/>
  <c r="AG81" i="3"/>
  <c r="BD81" i="3"/>
  <c r="AZ81" i="3"/>
  <c r="AV81" i="3"/>
  <c r="AR81" i="3"/>
  <c r="AN81" i="3"/>
  <c r="AJ81" i="3"/>
  <c r="AY81" i="3"/>
  <c r="AQ81" i="3"/>
  <c r="AI81" i="3"/>
  <c r="AX81" i="3"/>
  <c r="AP81" i="3"/>
  <c r="AH81" i="3"/>
  <c r="BC81" i="3"/>
  <c r="AU81" i="3"/>
  <c r="AM81" i="3"/>
  <c r="AT81" i="3"/>
  <c r="AL81" i="3"/>
  <c r="AY22" i="3"/>
  <c r="AQ24" i="3"/>
  <c r="AR26" i="3"/>
  <c r="AZ26" i="3"/>
  <c r="AR28" i="3"/>
  <c r="AZ28" i="3"/>
  <c r="AM29" i="3"/>
  <c r="AU29" i="3"/>
  <c r="BC29" i="3"/>
  <c r="AP31" i="3"/>
  <c r="BB36" i="3"/>
  <c r="AP36" i="3"/>
  <c r="AL36" i="3"/>
  <c r="AG39" i="3"/>
  <c r="AO39" i="3"/>
  <c r="AW39" i="3"/>
  <c r="BA40" i="3"/>
  <c r="AW40" i="3"/>
  <c r="AS40" i="3"/>
  <c r="AO40" i="3"/>
  <c r="AK40" i="3"/>
  <c r="AG40" i="3"/>
  <c r="BD40" i="3"/>
  <c r="AZ40" i="3"/>
  <c r="AV40" i="3"/>
  <c r="AR40" i="3"/>
  <c r="AN40" i="3"/>
  <c r="AJ40" i="3"/>
  <c r="AL40" i="3"/>
  <c r="AT40" i="3"/>
  <c r="BB40" i="3"/>
  <c r="AG41" i="3"/>
  <c r="AO41" i="3"/>
  <c r="AW41" i="3"/>
  <c r="BA42" i="3"/>
  <c r="AW42" i="3"/>
  <c r="AS42" i="3"/>
  <c r="AO42" i="3"/>
  <c r="AK42" i="3"/>
  <c r="AG42" i="3"/>
  <c r="BD42" i="3"/>
  <c r="AZ42" i="3"/>
  <c r="AV42" i="3"/>
  <c r="AR42" i="3"/>
  <c r="AN42" i="3"/>
  <c r="AJ42" i="3"/>
  <c r="AL42" i="3"/>
  <c r="AT42" i="3"/>
  <c r="BB42" i="3"/>
  <c r="BA43" i="3"/>
  <c r="AW43" i="3"/>
  <c r="AS43" i="3"/>
  <c r="AO43" i="3"/>
  <c r="AK43" i="3"/>
  <c r="AG43" i="3"/>
  <c r="AZ43" i="3"/>
  <c r="AV43" i="3"/>
  <c r="AR43" i="3"/>
  <c r="AN43" i="3"/>
  <c r="AJ43" i="3"/>
  <c r="AL43" i="3"/>
  <c r="AT43" i="3"/>
  <c r="BB43" i="3"/>
  <c r="BB45" i="3"/>
  <c r="AX45" i="3"/>
  <c r="AT45" i="3"/>
  <c r="AP45" i="3"/>
  <c r="AL45" i="3"/>
  <c r="AH45" i="3"/>
  <c r="BA45" i="3"/>
  <c r="AW45" i="3"/>
  <c r="AS45" i="3"/>
  <c r="AO45" i="3"/>
  <c r="AK45" i="3"/>
  <c r="AG45" i="3"/>
  <c r="AM45" i="3"/>
  <c r="AU45" i="3"/>
  <c r="BC45" i="3"/>
  <c r="AN48" i="3"/>
  <c r="AV48" i="3"/>
  <c r="BD48" i="3"/>
  <c r="AN50" i="3"/>
  <c r="BC50" i="3"/>
  <c r="AJ56" i="3"/>
  <c r="AZ56" i="3"/>
  <c r="BA59" i="3"/>
  <c r="BB61" i="3"/>
  <c r="AX61" i="3"/>
  <c r="AT61" i="3"/>
  <c r="AP61" i="3"/>
  <c r="AL61" i="3"/>
  <c r="AH61" i="3"/>
  <c r="BA61" i="3"/>
  <c r="AW61" i="3"/>
  <c r="AS61" i="3"/>
  <c r="AO61" i="3"/>
  <c r="AK61" i="3"/>
  <c r="AG61" i="3"/>
  <c r="AV61" i="3"/>
  <c r="AI62" i="3"/>
  <c r="AI65" i="3"/>
  <c r="AY65" i="3"/>
  <c r="AQ73" i="3"/>
  <c r="AJ7" i="3"/>
  <c r="AR7" i="3"/>
  <c r="AZ7" i="3"/>
  <c r="BD7" i="3"/>
  <c r="AN9" i="3"/>
  <c r="AV9" i="3"/>
  <c r="BD9" i="3"/>
  <c r="AJ11" i="3"/>
  <c r="AR11" i="3"/>
  <c r="AZ11" i="3"/>
  <c r="AJ13" i="3"/>
  <c r="AN13" i="3"/>
  <c r="AR13" i="3"/>
  <c r="AV13" i="3"/>
  <c r="BD13" i="3"/>
  <c r="AH15" i="3"/>
  <c r="AL15" i="3"/>
  <c r="AP15" i="3"/>
  <c r="AT15" i="3"/>
  <c r="AX15" i="3"/>
  <c r="BB15" i="3"/>
  <c r="AJ16" i="3"/>
  <c r="AN16" i="3"/>
  <c r="AR16" i="3"/>
  <c r="AV16" i="3"/>
  <c r="AZ16" i="3"/>
  <c r="BD16" i="3"/>
  <c r="AI19" i="3"/>
  <c r="AM19" i="3"/>
  <c r="AQ19" i="3"/>
  <c r="AU19" i="3"/>
  <c r="AY19" i="3"/>
  <c r="BC19" i="3"/>
  <c r="AI22" i="3"/>
  <c r="AM22" i="3"/>
  <c r="AQ22" i="3"/>
  <c r="AU22" i="3"/>
  <c r="BC22" i="3"/>
  <c r="AI24" i="3"/>
  <c r="AM24" i="3"/>
  <c r="AU24" i="3"/>
  <c r="AY24" i="3"/>
  <c r="BC24" i="3"/>
  <c r="AJ26" i="3"/>
  <c r="AN26" i="3"/>
  <c r="AV26" i="3"/>
  <c r="BD26" i="3"/>
  <c r="AJ28" i="3"/>
  <c r="AV28" i="3"/>
  <c r="BD28" i="3"/>
  <c r="AY29" i="3"/>
  <c r="AL31" i="3"/>
  <c r="BB31" i="3"/>
  <c r="BB62" i="3"/>
  <c r="AX62" i="3"/>
  <c r="AT62" i="3"/>
  <c r="AP62" i="3"/>
  <c r="AL62" i="3"/>
  <c r="AH62" i="3"/>
  <c r="BA62" i="3"/>
  <c r="AW62" i="3"/>
  <c r="AS62" i="3"/>
  <c r="AO62" i="3"/>
  <c r="AK62" i="3"/>
  <c r="AG62" i="3"/>
  <c r="BD62" i="3"/>
  <c r="AZ62" i="3"/>
  <c r="AV62" i="3"/>
  <c r="AR62" i="3"/>
  <c r="AN62" i="3"/>
  <c r="AJ62" i="3"/>
  <c r="AQ62" i="3"/>
  <c r="I56" i="10"/>
  <c r="I64" i="9"/>
  <c r="I70" i="9" s="1"/>
  <c r="I62" i="8"/>
  <c r="I79" i="7"/>
  <c r="AJ6" i="3"/>
  <c r="AN6" i="3"/>
  <c r="AR6" i="3"/>
  <c r="AV6" i="3"/>
  <c r="AZ6" i="3"/>
  <c r="AH7" i="3"/>
  <c r="AL7" i="3"/>
  <c r="AP7" i="3"/>
  <c r="AT7" i="3"/>
  <c r="AX7" i="3"/>
  <c r="AH9" i="3"/>
  <c r="AL9" i="3"/>
  <c r="AP9" i="3"/>
  <c r="AT9" i="3"/>
  <c r="AX9" i="3"/>
  <c r="AJ10" i="3"/>
  <c r="AN10" i="3"/>
  <c r="AR10" i="3"/>
  <c r="AV10" i="3"/>
  <c r="AZ10" i="3"/>
  <c r="AH11" i="3"/>
  <c r="AL11" i="3"/>
  <c r="AP11" i="3"/>
  <c r="AT11" i="3"/>
  <c r="AX11" i="3"/>
  <c r="AJ12" i="3"/>
  <c r="AN12" i="3"/>
  <c r="AR12" i="3"/>
  <c r="AV12" i="3"/>
  <c r="AZ12" i="3"/>
  <c r="AH13" i="3"/>
  <c r="AL13" i="3"/>
  <c r="AP13" i="3"/>
  <c r="AT13" i="3"/>
  <c r="AX13" i="3"/>
  <c r="AN14" i="3"/>
  <c r="AJ15" i="3"/>
  <c r="AN15" i="3"/>
  <c r="AR15" i="3"/>
  <c r="AV15" i="3"/>
  <c r="AZ15" i="3"/>
  <c r="BD15" i="3"/>
  <c r="AH16" i="3"/>
  <c r="AL16" i="3"/>
  <c r="AP16" i="3"/>
  <c r="AT16" i="3"/>
  <c r="AX16" i="3"/>
  <c r="AJ17" i="3"/>
  <c r="AN17" i="3"/>
  <c r="AR17" i="3"/>
  <c r="AV17" i="3"/>
  <c r="AI18" i="3"/>
  <c r="AM18" i="3"/>
  <c r="AQ18" i="3"/>
  <c r="AU18" i="3"/>
  <c r="AY18" i="3"/>
  <c r="BC18" i="3"/>
  <c r="AG19" i="3"/>
  <c r="AK19" i="3"/>
  <c r="AO19" i="3"/>
  <c r="AS19" i="3"/>
  <c r="AW19" i="3"/>
  <c r="BA19" i="3"/>
  <c r="BC20" i="3"/>
  <c r="AI21" i="3"/>
  <c r="AM21" i="3"/>
  <c r="AQ21" i="3"/>
  <c r="AU21" i="3"/>
  <c r="AY21" i="3"/>
  <c r="AG22" i="3"/>
  <c r="AK22" i="3"/>
  <c r="AO22" i="3"/>
  <c r="AS22" i="3"/>
  <c r="AW22" i="3"/>
  <c r="BA22" i="3"/>
  <c r="AG24" i="3"/>
  <c r="AK24" i="3"/>
  <c r="AO24" i="3"/>
  <c r="AS24" i="3"/>
  <c r="AW24" i="3"/>
  <c r="BA24" i="3"/>
  <c r="AI25" i="3"/>
  <c r="AM25" i="3"/>
  <c r="AQ25" i="3"/>
  <c r="AU25" i="3"/>
  <c r="AY25" i="3"/>
  <c r="BC25" i="3"/>
  <c r="AH26" i="3"/>
  <c r="AL26" i="3"/>
  <c r="AP26" i="3"/>
  <c r="AT26" i="3"/>
  <c r="AX26" i="3"/>
  <c r="AJ27" i="3"/>
  <c r="AN27" i="3"/>
  <c r="AR27" i="3"/>
  <c r="AV27" i="3"/>
  <c r="AZ27" i="3"/>
  <c r="AH28" i="3"/>
  <c r="AL28" i="3"/>
  <c r="AP28" i="3"/>
  <c r="AT28" i="3"/>
  <c r="AX28" i="3"/>
  <c r="AE84" i="3"/>
  <c r="AG6" i="3"/>
  <c r="AK6" i="3"/>
  <c r="AO6" i="3"/>
  <c r="AS6" i="3"/>
  <c r="AW6" i="3"/>
  <c r="AI7" i="3"/>
  <c r="AM7" i="3"/>
  <c r="AQ7" i="3"/>
  <c r="AU7" i="3"/>
  <c r="AY7" i="3"/>
  <c r="AS8" i="3"/>
  <c r="AI9" i="3"/>
  <c r="AM9" i="3"/>
  <c r="AQ9" i="3"/>
  <c r="AU9" i="3"/>
  <c r="AY9" i="3"/>
  <c r="AG10" i="3"/>
  <c r="AK10" i="3"/>
  <c r="AO10" i="3"/>
  <c r="AS10" i="3"/>
  <c r="AW10" i="3"/>
  <c r="AI11" i="3"/>
  <c r="AM11" i="3"/>
  <c r="AQ11" i="3"/>
  <c r="AU11" i="3"/>
  <c r="AY11" i="3"/>
  <c r="AG12" i="3"/>
  <c r="AK12" i="3"/>
  <c r="AO12" i="3"/>
  <c r="AS12" i="3"/>
  <c r="AW12" i="3"/>
  <c r="AI13" i="3"/>
  <c r="AM13" i="3"/>
  <c r="AQ13" i="3"/>
  <c r="AU13" i="3"/>
  <c r="AY13" i="3"/>
  <c r="AS14" i="3"/>
  <c r="AG15" i="3"/>
  <c r="AK15" i="3"/>
  <c r="AO15" i="3"/>
  <c r="AS15" i="3"/>
  <c r="AW15" i="3"/>
  <c r="AI16" i="3"/>
  <c r="AM16" i="3"/>
  <c r="AQ16" i="3"/>
  <c r="AU16" i="3"/>
  <c r="AY16" i="3"/>
  <c r="AG17" i="3"/>
  <c r="AK17" i="3"/>
  <c r="AO17" i="3"/>
  <c r="AS17" i="3"/>
  <c r="AW17" i="3"/>
  <c r="AJ18" i="3"/>
  <c r="AN18" i="3"/>
  <c r="AR18" i="3"/>
  <c r="AV18" i="3"/>
  <c r="AZ18" i="3"/>
  <c r="AH19" i="3"/>
  <c r="AL19" i="3"/>
  <c r="AP19" i="3"/>
  <c r="AT19" i="3"/>
  <c r="AX19" i="3"/>
  <c r="AJ21" i="3"/>
  <c r="AN21" i="3"/>
  <c r="AR21" i="3"/>
  <c r="AV21" i="3"/>
  <c r="AZ21" i="3"/>
  <c r="AH22" i="3"/>
  <c r="AL22" i="3"/>
  <c r="AP22" i="3"/>
  <c r="AT22" i="3"/>
  <c r="AX22" i="3"/>
  <c r="AH24" i="3"/>
  <c r="AL24" i="3"/>
  <c r="AP24" i="3"/>
  <c r="AT24" i="3"/>
  <c r="AX24" i="3"/>
  <c r="AJ25" i="3"/>
  <c r="AN25" i="3"/>
  <c r="AR25" i="3"/>
  <c r="AV25" i="3"/>
  <c r="AI26" i="3"/>
  <c r="AM26" i="3"/>
  <c r="AQ26" i="3"/>
  <c r="AU26" i="3"/>
  <c r="AY26" i="3"/>
  <c r="AG27" i="3"/>
  <c r="AK27" i="3"/>
  <c r="AO27" i="3"/>
  <c r="AS27" i="3"/>
  <c r="AW27" i="3"/>
  <c r="AI28" i="3"/>
  <c r="AM28" i="3"/>
  <c r="AQ28" i="3"/>
  <c r="AU28" i="3"/>
  <c r="AY28" i="3"/>
  <c r="AH29" i="3"/>
  <c r="AP29" i="3"/>
  <c r="AX29" i="3"/>
  <c r="AQ31" i="3"/>
  <c r="BC32" i="3"/>
  <c r="AQ32" i="3"/>
  <c r="AM32" i="3"/>
  <c r="AL32" i="3"/>
  <c r="BB34" i="3"/>
  <c r="AP34" i="3"/>
  <c r="AL34" i="3"/>
  <c r="AL35" i="3"/>
  <c r="BB35" i="3"/>
  <c r="AJ39" i="3"/>
  <c r="AR39" i="3"/>
  <c r="AZ39" i="3"/>
  <c r="AM40" i="3"/>
  <c r="AU40" i="3"/>
  <c r="BC40" i="3"/>
  <c r="AJ41" i="3"/>
  <c r="AR41" i="3"/>
  <c r="AZ41" i="3"/>
  <c r="AM42" i="3"/>
  <c r="AU42" i="3"/>
  <c r="BC42" i="3"/>
  <c r="AM43" i="3"/>
  <c r="AU43" i="3"/>
  <c r="BC43" i="3"/>
  <c r="AN45" i="3"/>
  <c r="AV45" i="3"/>
  <c r="BD45" i="3"/>
  <c r="AQ47" i="3"/>
  <c r="AI48" i="3"/>
  <c r="AQ48" i="3"/>
  <c r="AY48" i="3"/>
  <c r="AI50" i="3"/>
  <c r="AQ50" i="3"/>
  <c r="BB53" i="3"/>
  <c r="AX53" i="3"/>
  <c r="AT53" i="3"/>
  <c r="AP53" i="3"/>
  <c r="AL53" i="3"/>
  <c r="AH53" i="3"/>
  <c r="BA53" i="3"/>
  <c r="AW53" i="3"/>
  <c r="AS53" i="3"/>
  <c r="AO53" i="3"/>
  <c r="AK53" i="3"/>
  <c r="AG53" i="3"/>
  <c r="BD53" i="3"/>
  <c r="AZ53" i="3"/>
  <c r="AV53" i="3"/>
  <c r="AR53" i="3"/>
  <c r="AN53" i="3"/>
  <c r="AJ53" i="3"/>
  <c r="AQ53" i="3"/>
  <c r="AN56" i="3"/>
  <c r="BD56" i="3"/>
  <c r="AJ61" i="3"/>
  <c r="AZ61" i="3"/>
  <c r="AM62" i="3"/>
  <c r="BC62" i="3"/>
  <c r="AM65" i="3"/>
  <c r="BC65" i="3"/>
  <c r="BB73" i="3"/>
  <c r="BB81" i="3"/>
  <c r="AI55" i="3"/>
  <c r="AM55" i="3"/>
  <c r="AQ55" i="3"/>
  <c r="AU55" i="3"/>
  <c r="AY55" i="3"/>
  <c r="BC55" i="3"/>
  <c r="AI60" i="3"/>
  <c r="AM60" i="3"/>
  <c r="AQ60" i="3"/>
  <c r="AU60" i="3"/>
  <c r="AY60" i="3"/>
  <c r="BC60" i="3"/>
  <c r="BB72" i="3"/>
  <c r="AW72" i="3"/>
  <c r="AR72" i="3"/>
  <c r="AL72" i="3"/>
  <c r="AG72" i="3"/>
  <c r="AZ72" i="3"/>
  <c r="AT72" i="3"/>
  <c r="AO72" i="3"/>
  <c r="AJ72" i="3"/>
  <c r="AP72" i="3"/>
  <c r="BA72" i="3"/>
  <c r="BD78" i="3"/>
  <c r="AY78" i="3"/>
  <c r="AT78" i="3"/>
  <c r="AQ78" i="3"/>
  <c r="AZ79" i="3"/>
  <c r="AT79" i="3"/>
  <c r="AO79" i="3"/>
  <c r="AJ79" i="3"/>
  <c r="AX79" i="3"/>
  <c r="AS79" i="3"/>
  <c r="AN79" i="3"/>
  <c r="AH79" i="3"/>
  <c r="BB79" i="3"/>
  <c r="AW79" i="3"/>
  <c r="AR79" i="3"/>
  <c r="AL79" i="3"/>
  <c r="AG79" i="3"/>
  <c r="BA79" i="3"/>
  <c r="AM33" i="3"/>
  <c r="AQ33" i="3"/>
  <c r="BC33" i="3"/>
  <c r="AI44" i="3"/>
  <c r="AM44" i="3"/>
  <c r="AQ44" i="3"/>
  <c r="AU44" i="3"/>
  <c r="AY44" i="3"/>
  <c r="BC44" i="3"/>
  <c r="AI49" i="3"/>
  <c r="AM49" i="3"/>
  <c r="AQ49" i="3"/>
  <c r="AU49" i="3"/>
  <c r="AY49" i="3"/>
  <c r="BC49" i="3"/>
  <c r="AI54" i="3"/>
  <c r="AM54" i="3"/>
  <c r="AS54" i="3"/>
  <c r="AW54" i="3"/>
  <c r="BA54" i="3"/>
  <c r="AJ55" i="3"/>
  <c r="AN55" i="3"/>
  <c r="AR55" i="3"/>
  <c r="AV55" i="3"/>
  <c r="AZ55" i="3"/>
  <c r="BD55" i="3"/>
  <c r="AJ60" i="3"/>
  <c r="AN60" i="3"/>
  <c r="AR60" i="3"/>
  <c r="AV60" i="3"/>
  <c r="AZ60" i="3"/>
  <c r="BD60" i="3"/>
  <c r="AI63" i="3"/>
  <c r="AM63" i="3"/>
  <c r="AQ63" i="3"/>
  <c r="AU63" i="3"/>
  <c r="AY63" i="3"/>
  <c r="BC63" i="3"/>
  <c r="BB66" i="3"/>
  <c r="AX66" i="3"/>
  <c r="AI66" i="3"/>
  <c r="AM66" i="3"/>
  <c r="AQ66" i="3"/>
  <c r="AU66" i="3"/>
  <c r="AZ66" i="3"/>
  <c r="BD67" i="3"/>
  <c r="AZ67" i="3"/>
  <c r="AV67" i="3"/>
  <c r="AR67" i="3"/>
  <c r="AN67" i="3"/>
  <c r="AJ67" i="3"/>
  <c r="AI67" i="3"/>
  <c r="AO67" i="3"/>
  <c r="AT67" i="3"/>
  <c r="AY67" i="3"/>
  <c r="BB68" i="3"/>
  <c r="AX68" i="3"/>
  <c r="AT68" i="3"/>
  <c r="AP68" i="3"/>
  <c r="AL68" i="3"/>
  <c r="AH68" i="3"/>
  <c r="AJ68" i="3"/>
  <c r="AO68" i="3"/>
  <c r="AU68" i="3"/>
  <c r="AZ68" i="3"/>
  <c r="BB70" i="3"/>
  <c r="AX70" i="3"/>
  <c r="AT70" i="3"/>
  <c r="AZ70" i="3"/>
  <c r="AU70" i="3"/>
  <c r="AP70" i="3"/>
  <c r="AL70" i="3"/>
  <c r="AH70" i="3"/>
  <c r="AJ70" i="3"/>
  <c r="AO70" i="3"/>
  <c r="AV70" i="3"/>
  <c r="BC70" i="3"/>
  <c r="AH72" i="3"/>
  <c r="AS72" i="3"/>
  <c r="BD72" i="3"/>
  <c r="AI78" i="3"/>
  <c r="AV78" i="3"/>
  <c r="AK79" i="3"/>
  <c r="AM34" i="3"/>
  <c r="AQ34" i="3"/>
  <c r="AM36" i="3"/>
  <c r="AQ36" i="3"/>
  <c r="AI39" i="3"/>
  <c r="AM39" i="3"/>
  <c r="AQ39" i="3"/>
  <c r="AU39" i="3"/>
  <c r="AY39" i="3"/>
  <c r="AI41" i="3"/>
  <c r="AM41" i="3"/>
  <c r="AQ41" i="3"/>
  <c r="AU41" i="3"/>
  <c r="AY41" i="3"/>
  <c r="AJ44" i="3"/>
  <c r="AN44" i="3"/>
  <c r="AR44" i="3"/>
  <c r="AV44" i="3"/>
  <c r="AZ44" i="3"/>
  <c r="AJ49" i="3"/>
  <c r="AN49" i="3"/>
  <c r="AR49" i="3"/>
  <c r="AV49" i="3"/>
  <c r="AZ49" i="3"/>
  <c r="AJ54" i="3"/>
  <c r="AP54" i="3"/>
  <c r="AT54" i="3"/>
  <c r="AX54" i="3"/>
  <c r="AG55" i="3"/>
  <c r="AK55" i="3"/>
  <c r="AO55" i="3"/>
  <c r="AS55" i="3"/>
  <c r="AW55" i="3"/>
  <c r="AI56" i="3"/>
  <c r="AM56" i="3"/>
  <c r="AQ56" i="3"/>
  <c r="AU56" i="3"/>
  <c r="AY56" i="3"/>
  <c r="AG60" i="3"/>
  <c r="AK60" i="3"/>
  <c r="AO60" i="3"/>
  <c r="AS60" i="3"/>
  <c r="AW60" i="3"/>
  <c r="AI61" i="3"/>
  <c r="AM61" i="3"/>
  <c r="AQ61" i="3"/>
  <c r="AU61" i="3"/>
  <c r="AY61" i="3"/>
  <c r="AJ63" i="3"/>
  <c r="AN63" i="3"/>
  <c r="AR63" i="3"/>
  <c r="AV63" i="3"/>
  <c r="AZ63" i="3"/>
  <c r="AH65" i="3"/>
  <c r="AL65" i="3"/>
  <c r="AP65" i="3"/>
  <c r="AT65" i="3"/>
  <c r="AX65" i="3"/>
  <c r="AJ66" i="3"/>
  <c r="AN66" i="3"/>
  <c r="AR66" i="3"/>
  <c r="AV66" i="3"/>
  <c r="BA66" i="3"/>
  <c r="AK67" i="3"/>
  <c r="AP67" i="3"/>
  <c r="AU67" i="3"/>
  <c r="BA67" i="3"/>
  <c r="AK68" i="3"/>
  <c r="AQ68" i="3"/>
  <c r="AV68" i="3"/>
  <c r="BA68" i="3"/>
  <c r="AK70" i="3"/>
  <c r="AQ70" i="3"/>
  <c r="AW70" i="3"/>
  <c r="BD70" i="3"/>
  <c r="AK72" i="3"/>
  <c r="AV72" i="3"/>
  <c r="AL78" i="3"/>
  <c r="BB78" i="3"/>
  <c r="AP79" i="3"/>
  <c r="AZ71" i="3"/>
  <c r="AV71" i="3"/>
  <c r="AR71" i="3"/>
  <c r="AN71" i="3"/>
  <c r="AJ71" i="3"/>
  <c r="AI71" i="3"/>
  <c r="AO71" i="3"/>
  <c r="AT71" i="3"/>
  <c r="AY71" i="3"/>
  <c r="BC72" i="3"/>
  <c r="BA73" i="3"/>
  <c r="AW73" i="3"/>
  <c r="AS73" i="3"/>
  <c r="AO73" i="3"/>
  <c r="AK73" i="3"/>
  <c r="AG73" i="3"/>
  <c r="AJ73" i="3"/>
  <c r="AP73" i="3"/>
  <c r="AU73" i="3"/>
  <c r="AZ73" i="3"/>
  <c r="AH78" i="3"/>
  <c r="AM78" i="3"/>
  <c r="AR78" i="3"/>
  <c r="AX78" i="3"/>
  <c r="AI80" i="3"/>
  <c r="AN80" i="3"/>
  <c r="AS80" i="3"/>
  <c r="BC80" i="3"/>
  <c r="AY80" i="3"/>
  <c r="BB80" i="3"/>
  <c r="AX80" i="3"/>
  <c r="AT80" i="3"/>
  <c r="AP80" i="3"/>
  <c r="AL80" i="3"/>
  <c r="AH80" i="3"/>
  <c r="AJ80" i="3"/>
  <c r="AO80" i="3"/>
  <c r="AU80" i="3"/>
  <c r="BA80" i="3"/>
  <c r="F205" i="7"/>
  <c r="F226" i="7"/>
  <c r="I226" i="7" s="1"/>
  <c r="F229" i="7"/>
  <c r="I229" i="7" s="1"/>
  <c r="BA78" i="3"/>
  <c r="AW78" i="3"/>
  <c r="AS78" i="3"/>
  <c r="AO78" i="3"/>
  <c r="AK78" i="3"/>
  <c r="AG78" i="3"/>
  <c r="AJ78" i="3"/>
  <c r="AP78" i="3"/>
  <c r="AU78" i="3"/>
  <c r="AZ78" i="3"/>
  <c r="BC79" i="3"/>
  <c r="AK80" i="3"/>
  <c r="AQ80" i="3"/>
  <c r="AV80" i="3"/>
  <c r="BD80" i="3"/>
  <c r="AI72" i="3"/>
  <c r="AM72" i="3"/>
  <c r="AQ72" i="3"/>
  <c r="AU72" i="3"/>
  <c r="AY72" i="3"/>
  <c r="AI79" i="3"/>
  <c r="AM79" i="3"/>
  <c r="AQ79" i="3"/>
  <c r="AU79" i="3"/>
  <c r="AY79" i="3"/>
  <c r="AH83" i="3"/>
  <c r="AL83" i="3"/>
  <c r="AP83" i="3"/>
  <c r="AT83" i="3"/>
  <c r="AX83" i="3"/>
  <c r="AI83" i="3"/>
  <c r="AM83" i="3"/>
  <c r="AQ83" i="3"/>
  <c r="AU83" i="3"/>
  <c r="AY83" i="3"/>
  <c r="F208" i="7"/>
  <c r="I208" i="7" s="1"/>
  <c r="F211" i="7"/>
  <c r="I211" i="7" s="1"/>
  <c r="D182" i="9"/>
  <c r="F202" i="7"/>
  <c r="I202" i="7" s="1"/>
  <c r="F190" i="7"/>
  <c r="I190" i="7" s="1"/>
  <c r="F238" i="7"/>
  <c r="I238" i="7" s="1"/>
  <c r="D175" i="9"/>
  <c r="J91" i="7"/>
  <c r="F199" i="7"/>
  <c r="I199" i="7" s="1"/>
  <c r="I223" i="7"/>
  <c r="D179" i="9"/>
  <c r="D187" i="9"/>
  <c r="I82" i="7"/>
  <c r="I80" i="7"/>
  <c r="I81" i="7"/>
  <c r="I164" i="7"/>
  <c r="I235" i="7"/>
  <c r="I78" i="7"/>
  <c r="F181" i="8"/>
  <c r="I181" i="8" s="1"/>
  <c r="I193" i="7"/>
  <c r="I205" i="7"/>
  <c r="I220" i="7"/>
  <c r="I232" i="7"/>
  <c r="I248" i="7"/>
  <c r="I147" i="8"/>
  <c r="I65" i="8"/>
  <c r="I64" i="8"/>
  <c r="I61" i="8"/>
  <c r="J42" i="10"/>
  <c r="J76" i="9"/>
  <c r="J87" i="9" s="1"/>
  <c r="J95" i="9" s="1"/>
  <c r="J68" i="10"/>
  <c r="I141" i="10"/>
  <c r="I57" i="10"/>
  <c r="I59" i="10"/>
  <c r="AU59" i="3" l="1"/>
  <c r="AY51" i="3"/>
  <c r="AH59" i="3"/>
  <c r="AJ59" i="3"/>
  <c r="AO59" i="3"/>
  <c r="AX59" i="3"/>
  <c r="J102" i="7"/>
  <c r="J110" i="7" s="1"/>
  <c r="AQ59" i="3"/>
  <c r="AZ59" i="3"/>
  <c r="AK59" i="3"/>
  <c r="AT59" i="3"/>
  <c r="J48" i="10"/>
  <c r="J106" i="10"/>
  <c r="J71" i="7"/>
  <c r="J129" i="7"/>
  <c r="J56" i="9"/>
  <c r="J114" i="9"/>
  <c r="J112" i="8"/>
  <c r="J54" i="8"/>
  <c r="J85" i="8"/>
  <c r="J93" i="8" s="1"/>
  <c r="J79" i="10"/>
  <c r="J87" i="10" s="1"/>
  <c r="AX20" i="3"/>
  <c r="AW20" i="3"/>
  <c r="AR20" i="3"/>
  <c r="AQ20" i="3"/>
  <c r="BC7" i="3"/>
  <c r="AN20" i="3"/>
  <c r="AM20" i="3"/>
  <c r="AK20" i="3"/>
  <c r="J127" i="10"/>
  <c r="J131" i="10" s="1"/>
  <c r="J158" i="10" s="1"/>
  <c r="AR64" i="3"/>
  <c r="AK69" i="3"/>
  <c r="AI69" i="3"/>
  <c r="AG69" i="3"/>
  <c r="AV69" i="3"/>
  <c r="AW69" i="3"/>
  <c r="BA69" i="3"/>
  <c r="AY69" i="3"/>
  <c r="AJ69" i="3"/>
  <c r="AZ69" i="3"/>
  <c r="AI46" i="3"/>
  <c r="AM58" i="3"/>
  <c r="AL69" i="3"/>
  <c r="AU69" i="3"/>
  <c r="AT69" i="3"/>
  <c r="AN69" i="3"/>
  <c r="BD69" i="3"/>
  <c r="AJ57" i="3"/>
  <c r="BA58" i="3"/>
  <c r="BB46" i="3"/>
  <c r="AS69" i="3"/>
  <c r="AQ69" i="3"/>
  <c r="AX69" i="3"/>
  <c r="AP69" i="3"/>
  <c r="AZ46" i="3"/>
  <c r="AO69" i="3"/>
  <c r="AR69" i="3"/>
  <c r="AM69" i="3"/>
  <c r="BC69" i="3"/>
  <c r="AH69" i="3"/>
  <c r="AS77" i="3"/>
  <c r="AU77" i="3"/>
  <c r="AL77" i="3"/>
  <c r="AN8" i="3"/>
  <c r="AH8" i="3"/>
  <c r="AT8" i="3"/>
  <c r="AJ77" i="3"/>
  <c r="I62" i="10"/>
  <c r="J55" i="9"/>
  <c r="J162" i="9"/>
  <c r="C110" i="9"/>
  <c r="J103" i="9"/>
  <c r="J104" i="9" s="1"/>
  <c r="J101" i="8"/>
  <c r="C108" i="8"/>
  <c r="J53" i="8"/>
  <c r="J160" i="8"/>
  <c r="AQ77" i="3"/>
  <c r="BC77" i="3"/>
  <c r="AH77" i="3"/>
  <c r="AV51" i="3"/>
  <c r="BA77" i="3"/>
  <c r="AR77" i="3"/>
  <c r="AO77" i="3"/>
  <c r="AU51" i="3"/>
  <c r="AH52" i="3"/>
  <c r="AN77" i="3"/>
  <c r="AM77" i="3"/>
  <c r="AR51" i="3"/>
  <c r="AP77" i="3"/>
  <c r="AW77" i="3"/>
  <c r="AT77" i="3"/>
  <c r="AI51" i="3"/>
  <c r="AJ52" i="3"/>
  <c r="AX52" i="3"/>
  <c r="AY77" i="3"/>
  <c r="AI77" i="3"/>
  <c r="BD77" i="3"/>
  <c r="AG77" i="3"/>
  <c r="BB77" i="3"/>
  <c r="AZ77" i="3"/>
  <c r="AI52" i="3"/>
  <c r="AZ52" i="3"/>
  <c r="AL52" i="3"/>
  <c r="AO8" i="3"/>
  <c r="AJ8" i="3"/>
  <c r="AS52" i="3"/>
  <c r="BD8" i="3"/>
  <c r="AM52" i="3"/>
  <c r="AO74" i="3"/>
  <c r="AM59" i="3"/>
  <c r="AJ46" i="3"/>
  <c r="AZ20" i="3"/>
  <c r="AJ20" i="3"/>
  <c r="AK8" i="3"/>
  <c r="AY20" i="3"/>
  <c r="AI20" i="3"/>
  <c r="AV8" i="3"/>
  <c r="AW64" i="3"/>
  <c r="AV59" i="3"/>
  <c r="AS59" i="3"/>
  <c r="AL59" i="3"/>
  <c r="BB59" i="3"/>
  <c r="AR52" i="3"/>
  <c r="AG52" i="3"/>
  <c r="AW52" i="3"/>
  <c r="AP52" i="3"/>
  <c r="AH20" i="3"/>
  <c r="BC8" i="3"/>
  <c r="AM8" i="3"/>
  <c r="AP8" i="3"/>
  <c r="AL8" i="3"/>
  <c r="BC59" i="3"/>
  <c r="AK74" i="3"/>
  <c r="BC52" i="3"/>
  <c r="AZ8" i="3"/>
  <c r="AU52" i="3"/>
  <c r="AN52" i="3"/>
  <c r="BD52" i="3"/>
  <c r="BB52" i="3"/>
  <c r="AQ8" i="3"/>
  <c r="BB8" i="3"/>
  <c r="AM74" i="3"/>
  <c r="AL74" i="3"/>
  <c r="AY59" i="3"/>
  <c r="AI59" i="3"/>
  <c r="AY46" i="3"/>
  <c r="AU64" i="3"/>
  <c r="AY52" i="3"/>
  <c r="AV20" i="3"/>
  <c r="AW8" i="3"/>
  <c r="AG8" i="3"/>
  <c r="AU20" i="3"/>
  <c r="AR8" i="3"/>
  <c r="AP64" i="3"/>
  <c r="AG59" i="3"/>
  <c r="AW59" i="3"/>
  <c r="AP59" i="3"/>
  <c r="AQ52" i="3"/>
  <c r="AV52" i="3"/>
  <c r="AK52" i="3"/>
  <c r="BA52" i="3"/>
  <c r="AY8" i="3"/>
  <c r="AI8" i="3"/>
  <c r="AS74" i="3"/>
  <c r="BA8" i="3"/>
  <c r="AY76" i="3"/>
  <c r="BA30" i="3"/>
  <c r="AW30" i="3"/>
  <c r="AS30" i="3"/>
  <c r="AK30" i="3"/>
  <c r="AG30" i="3"/>
  <c r="BD30" i="3"/>
  <c r="AX30" i="3"/>
  <c r="AT30" i="3"/>
  <c r="AN30" i="3"/>
  <c r="AH30" i="3"/>
  <c r="AY30" i="3"/>
  <c r="AU30" i="3"/>
  <c r="AO30" i="3"/>
  <c r="AI30" i="3"/>
  <c r="AZ30" i="3"/>
  <c r="AV30" i="3"/>
  <c r="AR30" i="3"/>
  <c r="AJ30" i="3"/>
  <c r="AG37" i="3"/>
  <c r="AX37" i="3"/>
  <c r="BD38" i="3"/>
  <c r="AP76" i="3"/>
  <c r="AR76" i="3"/>
  <c r="AT76" i="3"/>
  <c r="AO76" i="3"/>
  <c r="AS38" i="3"/>
  <c r="BD76" i="3"/>
  <c r="AH57" i="3"/>
  <c r="AU82" i="3"/>
  <c r="AV82" i="3"/>
  <c r="AJ76" i="3"/>
  <c r="AS76" i="3"/>
  <c r="AM76" i="3"/>
  <c r="AQ76" i="3"/>
  <c r="AK57" i="3"/>
  <c r="AZ76" i="3"/>
  <c r="AG76" i="3"/>
  <c r="AW76" i="3"/>
  <c r="AH76" i="3"/>
  <c r="BC38" i="3"/>
  <c r="AN76" i="3"/>
  <c r="BD59" i="3"/>
  <c r="BA57" i="3"/>
  <c r="AH46" i="3"/>
  <c r="AL76" i="3"/>
  <c r="AP82" i="3"/>
  <c r="AU76" i="3"/>
  <c r="AK76" i="3"/>
  <c r="BA76" i="3"/>
  <c r="AR82" i="3"/>
  <c r="AX76" i="3"/>
  <c r="AZ57" i="3"/>
  <c r="AU57" i="3"/>
  <c r="BC76" i="3"/>
  <c r="BB51" i="3"/>
  <c r="AW82" i="3"/>
  <c r="BC58" i="3"/>
  <c r="AM37" i="3"/>
  <c r="AM30" i="3"/>
  <c r="BB38" i="3"/>
  <c r="AV58" i="3"/>
  <c r="AT23" i="3"/>
  <c r="AP20" i="3"/>
  <c r="AX38" i="3"/>
  <c r="AS20" i="3"/>
  <c r="AH37" i="3"/>
  <c r="AO75" i="3"/>
  <c r="AH58" i="3"/>
  <c r="AG64" i="3"/>
  <c r="AN38" i="3"/>
  <c r="AP30" i="3"/>
  <c r="AK58" i="3"/>
  <c r="BB20" i="3"/>
  <c r="AL20" i="3"/>
  <c r="AP75" i="3"/>
  <c r="AK37" i="3"/>
  <c r="AP38" i="3"/>
  <c r="AZ23" i="3"/>
  <c r="AY23" i="3"/>
  <c r="AT38" i="3"/>
  <c r="AR38" i="3"/>
  <c r="AG38" i="3"/>
  <c r="AW38" i="3"/>
  <c r="AO82" i="3"/>
  <c r="BD37" i="3"/>
  <c r="AG82" i="3"/>
  <c r="AI38" i="3"/>
  <c r="AJ37" i="3"/>
  <c r="AS75" i="3"/>
  <c r="BD82" i="3"/>
  <c r="AQ82" i="3"/>
  <c r="AL82" i="3"/>
  <c r="AN82" i="3"/>
  <c r="AM82" i="3"/>
  <c r="AX82" i="3"/>
  <c r="AH82" i="3"/>
  <c r="AU37" i="3"/>
  <c r="AV75" i="3"/>
  <c r="BC75" i="3"/>
  <c r="AP37" i="3"/>
  <c r="AZ47" i="3"/>
  <c r="AM38" i="3"/>
  <c r="AJ23" i="3"/>
  <c r="AI23" i="3"/>
  <c r="AL38" i="3"/>
  <c r="AV38" i="3"/>
  <c r="AK38" i="3"/>
  <c r="BA38" i="3"/>
  <c r="BC82" i="3"/>
  <c r="AL47" i="3"/>
  <c r="AW37" i="3"/>
  <c r="AV37" i="3"/>
  <c r="BA37" i="3"/>
  <c r="AS82" i="3"/>
  <c r="AO47" i="3"/>
  <c r="AO20" i="3"/>
  <c r="AV77" i="3"/>
  <c r="AY38" i="3"/>
  <c r="AG20" i="3"/>
  <c r="AR37" i="3"/>
  <c r="BB82" i="3"/>
  <c r="AJ82" i="3"/>
  <c r="AY37" i="3"/>
  <c r="AI37" i="3"/>
  <c r="AM75" i="3"/>
  <c r="AT37" i="3"/>
  <c r="AJ47" i="3"/>
  <c r="AU38" i="3"/>
  <c r="AY82" i="3"/>
  <c r="AI82" i="3"/>
  <c r="AT82" i="3"/>
  <c r="AZ82" i="3"/>
  <c r="AQ37" i="3"/>
  <c r="AR75" i="3"/>
  <c r="BB37" i="3"/>
  <c r="AL37" i="3"/>
  <c r="AS47" i="3"/>
  <c r="AJ38" i="3"/>
  <c r="AZ38" i="3"/>
  <c r="AO38" i="3"/>
  <c r="AO37" i="3"/>
  <c r="AK82" i="3"/>
  <c r="AN37" i="3"/>
  <c r="AS37" i="3"/>
  <c r="AX77" i="3"/>
  <c r="BD20" i="3"/>
  <c r="BB47" i="3"/>
  <c r="AH75" i="3"/>
  <c r="AH38" i="3"/>
  <c r="BC37" i="3"/>
  <c r="AW57" i="3"/>
  <c r="AG57" i="3"/>
  <c r="AV46" i="3"/>
  <c r="AV57" i="3"/>
  <c r="AU46" i="3"/>
  <c r="AQ57" i="3"/>
  <c r="BC30" i="3"/>
  <c r="AQ64" i="3"/>
  <c r="AV64" i="3"/>
  <c r="AK64" i="3"/>
  <c r="BA64" i="3"/>
  <c r="AT64" i="3"/>
  <c r="BB30" i="3"/>
  <c r="AQ58" i="3"/>
  <c r="AJ58" i="3"/>
  <c r="AZ58" i="3"/>
  <c r="AO58" i="3"/>
  <c r="AX57" i="3"/>
  <c r="BA46" i="3"/>
  <c r="AG46" i="3"/>
  <c r="AP46" i="3"/>
  <c r="AS46" i="3"/>
  <c r="AP57" i="3"/>
  <c r="AS57" i="3"/>
  <c r="AR46" i="3"/>
  <c r="AR57" i="3"/>
  <c r="AQ46" i="3"/>
  <c r="BC57" i="3"/>
  <c r="AM57" i="3"/>
  <c r="AJ64" i="3"/>
  <c r="AZ64" i="3"/>
  <c r="AO64" i="3"/>
  <c r="AH64" i="3"/>
  <c r="AX64" i="3"/>
  <c r="AP58" i="3"/>
  <c r="AU58" i="3"/>
  <c r="AN58" i="3"/>
  <c r="BD58" i="3"/>
  <c r="AS58" i="3"/>
  <c r="AL57" i="3"/>
  <c r="AL46" i="3"/>
  <c r="AO46" i="3"/>
  <c r="AX46" i="3"/>
  <c r="AI64" i="3"/>
  <c r="AO57" i="3"/>
  <c r="AN46" i="3"/>
  <c r="AQ30" i="3"/>
  <c r="BD57" i="3"/>
  <c r="AN57" i="3"/>
  <c r="BC46" i="3"/>
  <c r="AM46" i="3"/>
  <c r="AY57" i="3"/>
  <c r="AI57" i="3"/>
  <c r="AX58" i="3"/>
  <c r="AN64" i="3"/>
  <c r="BD64" i="3"/>
  <c r="AS64" i="3"/>
  <c r="AL64" i="3"/>
  <c r="BB64" i="3"/>
  <c r="AT58" i="3"/>
  <c r="AL30" i="3"/>
  <c r="AI58" i="3"/>
  <c r="AY58" i="3"/>
  <c r="AR58" i="3"/>
  <c r="AG58" i="3"/>
  <c r="AW58" i="3"/>
  <c r="AM64" i="3"/>
  <c r="AT57" i="3"/>
  <c r="AT46" i="3"/>
  <c r="AW46" i="3"/>
  <c r="BD46" i="3"/>
  <c r="AL58" i="3"/>
  <c r="AI76" i="3"/>
  <c r="AV76" i="3"/>
  <c r="AY64" i="3"/>
  <c r="AN59" i="3"/>
  <c r="AW51" i="3"/>
  <c r="AT51" i="3"/>
  <c r="BA51" i="3"/>
  <c r="AN51" i="3"/>
  <c r="AQ51" i="3"/>
  <c r="AO51" i="3"/>
  <c r="AL51" i="3"/>
  <c r="AS51" i="3"/>
  <c r="AZ51" i="3"/>
  <c r="AJ51" i="3"/>
  <c r="BC51" i="3"/>
  <c r="AM51" i="3"/>
  <c r="AG51" i="3"/>
  <c r="AK51" i="3"/>
  <c r="AY74" i="3"/>
  <c r="AI74" i="3"/>
  <c r="BC74" i="3"/>
  <c r="BA74" i="3"/>
  <c r="AT74" i="3"/>
  <c r="AR74" i="3"/>
  <c r="BD74" i="3"/>
  <c r="AX74" i="3"/>
  <c r="AU74" i="3"/>
  <c r="AP74" i="3"/>
  <c r="AZ74" i="3"/>
  <c r="AW74" i="3"/>
  <c r="AN74" i="3"/>
  <c r="AQ74" i="3"/>
  <c r="AJ74" i="3"/>
  <c r="AG74" i="3"/>
  <c r="BB74" i="3"/>
  <c r="AH74" i="3"/>
  <c r="AK47" i="3"/>
  <c r="AU47" i="3"/>
  <c r="AN47" i="3"/>
  <c r="BD47" i="3"/>
  <c r="AT47" i="3"/>
  <c r="AI47" i="3"/>
  <c r="AY47" i="3"/>
  <c r="AR47" i="3"/>
  <c r="AH47" i="3"/>
  <c r="AG47" i="3"/>
  <c r="AW47" i="3"/>
  <c r="BA47" i="3"/>
  <c r="AM47" i="3"/>
  <c r="BC47" i="3"/>
  <c r="AV47" i="3"/>
  <c r="AP47" i="3"/>
  <c r="AV23" i="3"/>
  <c r="AU23" i="3"/>
  <c r="AP23" i="3"/>
  <c r="AS23" i="3"/>
  <c r="AO23" i="3"/>
  <c r="AG23" i="3"/>
  <c r="AR23" i="3"/>
  <c r="AQ23" i="3"/>
  <c r="BB23" i="3"/>
  <c r="AL23" i="3"/>
  <c r="BA23" i="3"/>
  <c r="AN23" i="3"/>
  <c r="BC23" i="3"/>
  <c r="AM23" i="3"/>
  <c r="AX23" i="3"/>
  <c r="AH23" i="3"/>
  <c r="AK23" i="3"/>
  <c r="BD23" i="3"/>
  <c r="AS5" i="3"/>
  <c r="BC5" i="3"/>
  <c r="AM5" i="3"/>
  <c r="AT5" i="3"/>
  <c r="AK5" i="3"/>
  <c r="AV5" i="3"/>
  <c r="BB5" i="3"/>
  <c r="AY5" i="3"/>
  <c r="AI5" i="3"/>
  <c r="AP5" i="3"/>
  <c r="AW5" i="3"/>
  <c r="AG5" i="3"/>
  <c r="AZ5" i="3"/>
  <c r="BA5" i="3"/>
  <c r="BD5" i="3"/>
  <c r="AU5" i="3"/>
  <c r="AL5" i="3"/>
  <c r="AJ5" i="3"/>
  <c r="AQ5" i="3"/>
  <c r="AX5" i="3"/>
  <c r="AH5" i="3"/>
  <c r="AO5" i="3"/>
  <c r="AR5" i="3"/>
  <c r="AK75" i="3"/>
  <c r="AW75" i="3"/>
  <c r="AT75" i="3"/>
  <c r="AQ75" i="3"/>
  <c r="BD75" i="3"/>
  <c r="AP51" i="3"/>
  <c r="BD51" i="3"/>
  <c r="BA75" i="3"/>
  <c r="AG75" i="3"/>
  <c r="BB75" i="3"/>
  <c r="AZ75" i="3"/>
  <c r="AU75" i="3"/>
  <c r="AD84" i="3"/>
  <c r="AH51" i="3"/>
  <c r="AX75" i="3"/>
  <c r="AN75" i="3"/>
  <c r="AL75" i="3"/>
  <c r="AJ75" i="3"/>
  <c r="AI75" i="3"/>
  <c r="AO14" i="3"/>
  <c r="AZ14" i="3"/>
  <c r="AJ14" i="3"/>
  <c r="BC14" i="3"/>
  <c r="AM14" i="3"/>
  <c r="AT14" i="3"/>
  <c r="BB14" i="3"/>
  <c r="AX14" i="3"/>
  <c r="AH14" i="3"/>
  <c r="AK14" i="3"/>
  <c r="AV14" i="3"/>
  <c r="AY14" i="3"/>
  <c r="AI14" i="3"/>
  <c r="BD14" i="3"/>
  <c r="AP14" i="3"/>
  <c r="BA14" i="3"/>
  <c r="AW14" i="3"/>
  <c r="AG14" i="3"/>
  <c r="AR14" i="3"/>
  <c r="AU14" i="3"/>
  <c r="AF83" i="3"/>
  <c r="E81" i="2"/>
  <c r="J133" i="8"/>
  <c r="J135" i="9"/>
  <c r="G66" i="2"/>
  <c r="B89" i="2"/>
  <c r="D89" i="2" s="1"/>
  <c r="F26" i="2"/>
  <c r="B84" i="2"/>
  <c r="J57" i="9"/>
  <c r="J93" i="9" s="1"/>
  <c r="B86" i="2"/>
  <c r="D86" i="2" s="1"/>
  <c r="G59" i="2"/>
  <c r="I68" i="8"/>
  <c r="J102" i="8" s="1"/>
  <c r="I85" i="7"/>
  <c r="J47" i="10"/>
  <c r="C102" i="10"/>
  <c r="J95" i="10"/>
  <c r="J154" i="10"/>
  <c r="J102" i="9"/>
  <c r="J100" i="9"/>
  <c r="J177" i="7"/>
  <c r="C125" i="7"/>
  <c r="J118" i="7"/>
  <c r="J70" i="7"/>
  <c r="J98" i="8"/>
  <c r="J69" i="9" l="1"/>
  <c r="J64" i="9"/>
  <c r="J66" i="9"/>
  <c r="J65" i="9"/>
  <c r="J67" i="9"/>
  <c r="J62" i="9"/>
  <c r="J70" i="9" s="1"/>
  <c r="J94" i="9" s="1"/>
  <c r="J96" i="9" s="1"/>
  <c r="J63" i="9"/>
  <c r="J68" i="9"/>
  <c r="J96" i="10"/>
  <c r="J92" i="10"/>
  <c r="J93" i="10" s="1"/>
  <c r="J115" i="7"/>
  <c r="J116" i="7" s="1"/>
  <c r="J55" i="8"/>
  <c r="J103" i="8"/>
  <c r="J105" i="9"/>
  <c r="J94" i="10"/>
  <c r="J100" i="8"/>
  <c r="J72" i="7"/>
  <c r="J117" i="7"/>
  <c r="J120" i="7"/>
  <c r="D14" i="4"/>
  <c r="I31" i="7" s="1"/>
  <c r="H260" i="7" s="1"/>
  <c r="AF15" i="3"/>
  <c r="AF37" i="3"/>
  <c r="AF58" i="3"/>
  <c r="AK84" i="3"/>
  <c r="D12" i="4" s="1"/>
  <c r="I29" i="7" s="1"/>
  <c r="H258" i="7" s="1"/>
  <c r="AL84" i="3"/>
  <c r="D15" i="4" s="1"/>
  <c r="E15" i="4" s="1"/>
  <c r="AF21" i="3"/>
  <c r="AF29" i="3"/>
  <c r="AF75" i="3"/>
  <c r="AF65" i="3"/>
  <c r="AN84" i="3"/>
  <c r="D13" i="4" s="1"/>
  <c r="E13" i="4" s="1"/>
  <c r="F13" i="4" s="1"/>
  <c r="I13" i="4" s="1"/>
  <c r="AO84" i="3"/>
  <c r="D17" i="4" s="1"/>
  <c r="E17" i="4" s="1"/>
  <c r="BC84" i="3"/>
  <c r="D9" i="5" s="1"/>
  <c r="E9" i="5" s="1"/>
  <c r="AQ84" i="3"/>
  <c r="D19" i="4" s="1"/>
  <c r="E19" i="4" s="1"/>
  <c r="AV84" i="3"/>
  <c r="D24" i="4" s="1"/>
  <c r="I42" i="7" s="1"/>
  <c r="H271" i="7" s="1"/>
  <c r="AS84" i="3"/>
  <c r="D21" i="4" s="1"/>
  <c r="E21" i="4" s="1"/>
  <c r="AT84" i="3"/>
  <c r="D22" i="4" s="1"/>
  <c r="I40" i="7" s="1"/>
  <c r="H269" i="7" s="1"/>
  <c r="AW84" i="3"/>
  <c r="D8" i="6" s="1"/>
  <c r="E8" i="6" s="1"/>
  <c r="AF47" i="3"/>
  <c r="AP84" i="3"/>
  <c r="D18" i="4" s="1"/>
  <c r="I36" i="7" s="1"/>
  <c r="H265" i="7" s="1"/>
  <c r="AJ84" i="3"/>
  <c r="D11" i="4" s="1"/>
  <c r="I28" i="7" s="1"/>
  <c r="H257" i="7" s="1"/>
  <c r="AH84" i="3"/>
  <c r="D9" i="4" s="1"/>
  <c r="I26" i="7" s="1"/>
  <c r="H255" i="7" s="1"/>
  <c r="AG84" i="3"/>
  <c r="D8" i="4" s="1"/>
  <c r="E8" i="4" s="1"/>
  <c r="BA84" i="3"/>
  <c r="D25" i="4" s="1"/>
  <c r="I44" i="7" s="1"/>
  <c r="I45" i="7" s="1"/>
  <c r="H273" i="7" s="1"/>
  <c r="H274" i="7" s="1"/>
  <c r="AM84" i="3"/>
  <c r="D16" i="4" s="1"/>
  <c r="I33" i="7" s="1"/>
  <c r="H262" i="7" s="1"/>
  <c r="AF5" i="3"/>
  <c r="AR84" i="3"/>
  <c r="D20" i="4" s="1"/>
  <c r="I38" i="7" s="1"/>
  <c r="H267" i="7" s="1"/>
  <c r="BB84" i="3"/>
  <c r="D8" i="5" s="1"/>
  <c r="I25" i="8" s="1"/>
  <c r="AY84" i="3"/>
  <c r="D10" i="6" s="1"/>
  <c r="I27" i="9" s="1"/>
  <c r="H195" i="9" s="1"/>
  <c r="AX84" i="3"/>
  <c r="D9" i="6" s="1"/>
  <c r="I26" i="9" s="1"/>
  <c r="H194" i="9" s="1"/>
  <c r="AI84" i="3"/>
  <c r="D10" i="4" s="1"/>
  <c r="I27" i="7" s="1"/>
  <c r="H256" i="7" s="1"/>
  <c r="BD84" i="3"/>
  <c r="D10" i="5" s="1"/>
  <c r="AZ84" i="3"/>
  <c r="D11" i="6" s="1"/>
  <c r="E11" i="6" s="1"/>
  <c r="F11" i="6" s="1"/>
  <c r="I11" i="6" s="1"/>
  <c r="AU84" i="3"/>
  <c r="D23" i="4" s="1"/>
  <c r="I41" i="7" s="1"/>
  <c r="H270" i="7" s="1"/>
  <c r="J119" i="7"/>
  <c r="E14" i="4"/>
  <c r="J99" i="8"/>
  <c r="J97" i="10"/>
  <c r="B87" i="2"/>
  <c r="D84" i="2"/>
  <c r="J101" i="9"/>
  <c r="J49" i="10"/>
  <c r="I32" i="7" l="1"/>
  <c r="H261" i="7" s="1"/>
  <c r="J98" i="10"/>
  <c r="J156" i="10" s="1"/>
  <c r="J108" i="7"/>
  <c r="J77" i="7"/>
  <c r="J79" i="7"/>
  <c r="J80" i="7"/>
  <c r="J81" i="7"/>
  <c r="J83" i="7"/>
  <c r="J78" i="7"/>
  <c r="J82" i="7"/>
  <c r="J84" i="7"/>
  <c r="J85" i="10"/>
  <c r="J61" i="10"/>
  <c r="J56" i="10"/>
  <c r="J60" i="10"/>
  <c r="J54" i="10"/>
  <c r="J55" i="10"/>
  <c r="J58" i="10"/>
  <c r="J59" i="10"/>
  <c r="J57" i="10"/>
  <c r="J91" i="8"/>
  <c r="J60" i="8"/>
  <c r="J65" i="8"/>
  <c r="J63" i="8"/>
  <c r="J64" i="8"/>
  <c r="J67" i="8"/>
  <c r="J62" i="8"/>
  <c r="J61" i="8"/>
  <c r="J66" i="8"/>
  <c r="J104" i="8"/>
  <c r="J162" i="8" s="1"/>
  <c r="J106" i="9"/>
  <c r="J164" i="9" s="1"/>
  <c r="J121" i="7"/>
  <c r="J179" i="7" s="1"/>
  <c r="E12" i="4"/>
  <c r="I35" i="7"/>
  <c r="H264" i="7" s="1"/>
  <c r="E22" i="4"/>
  <c r="F22" i="4" s="1"/>
  <c r="I22" i="4" s="1"/>
  <c r="I30" i="7"/>
  <c r="H259" i="7" s="1"/>
  <c r="AF84" i="3"/>
  <c r="I39" i="7"/>
  <c r="H268" i="7" s="1"/>
  <c r="I26" i="8"/>
  <c r="H189" i="8" s="1"/>
  <c r="I37" i="7"/>
  <c r="H266" i="7" s="1"/>
  <c r="I25" i="9"/>
  <c r="H193" i="9" s="1"/>
  <c r="I25" i="7"/>
  <c r="E24" i="4"/>
  <c r="F24" i="4" s="1"/>
  <c r="I24" i="4" s="1"/>
  <c r="E18" i="4"/>
  <c r="F18" i="4" s="1"/>
  <c r="I18" i="4" s="1"/>
  <c r="E16" i="4"/>
  <c r="F16" i="4" s="1"/>
  <c r="I16" i="4" s="1"/>
  <c r="E11" i="4"/>
  <c r="F11" i="4" s="1"/>
  <c r="I11" i="4" s="1"/>
  <c r="E9" i="4"/>
  <c r="F9" i="4" s="1"/>
  <c r="I9" i="4" s="1"/>
  <c r="E20" i="4"/>
  <c r="F20" i="4" s="1"/>
  <c r="I20" i="4" s="1"/>
  <c r="E25" i="4"/>
  <c r="F25" i="4" s="1"/>
  <c r="I25" i="4" s="1"/>
  <c r="E8" i="5"/>
  <c r="F8" i="5" s="1"/>
  <c r="G8" i="5" s="1"/>
  <c r="E9" i="6"/>
  <c r="F9" i="6" s="1"/>
  <c r="I9" i="6" s="1"/>
  <c r="E10" i="4"/>
  <c r="F10" i="4" s="1"/>
  <c r="I10" i="4" s="1"/>
  <c r="D11" i="5"/>
  <c r="G10" i="8" s="1"/>
  <c r="E10" i="6"/>
  <c r="F10" i="6" s="1"/>
  <c r="I10" i="6" s="1"/>
  <c r="D12" i="6"/>
  <c r="G10" i="9" s="1"/>
  <c r="I29" i="9"/>
  <c r="I30" i="9" s="1"/>
  <c r="H197" i="9" s="1"/>
  <c r="D26" i="4"/>
  <c r="E23" i="4"/>
  <c r="F23" i="4" s="1"/>
  <c r="I23" i="4" s="1"/>
  <c r="I27" i="8"/>
  <c r="H190" i="8" s="1"/>
  <c r="E10" i="5"/>
  <c r="F10" i="5" s="1"/>
  <c r="I10" i="5" s="1"/>
  <c r="G13" i="4"/>
  <c r="H13" i="4" s="1"/>
  <c r="O13" i="4" s="1"/>
  <c r="J163" i="9"/>
  <c r="F110" i="9"/>
  <c r="I125" i="7"/>
  <c r="I102" i="10"/>
  <c r="F17" i="4"/>
  <c r="I17" i="4" s="1"/>
  <c r="F19" i="4"/>
  <c r="I19" i="4" s="1"/>
  <c r="G11" i="6"/>
  <c r="H11" i="6" s="1"/>
  <c r="O11" i="6" s="1"/>
  <c r="F9" i="5"/>
  <c r="I9" i="5" s="1"/>
  <c r="F15" i="4"/>
  <c r="I15" i="4" s="1"/>
  <c r="F8" i="6"/>
  <c r="I8" i="6" s="1"/>
  <c r="F14" i="4"/>
  <c r="I14" i="4" s="1"/>
  <c r="H188" i="8"/>
  <c r="F21" i="4"/>
  <c r="I21" i="4" s="1"/>
  <c r="F12" i="4"/>
  <c r="I12" i="4" s="1"/>
  <c r="F8" i="4"/>
  <c r="I8" i="4" s="1"/>
  <c r="B93" i="2"/>
  <c r="D93" i="2" s="1"/>
  <c r="D87" i="2"/>
  <c r="I108" i="8" l="1"/>
  <c r="J62" i="10"/>
  <c r="J85" i="7"/>
  <c r="J109" i="7" s="1"/>
  <c r="J111" i="7" s="1"/>
  <c r="J178" i="7" s="1"/>
  <c r="J68" i="8"/>
  <c r="J110" i="9"/>
  <c r="J111" i="9" s="1"/>
  <c r="J118" i="9"/>
  <c r="I110" i="9"/>
  <c r="I34" i="7"/>
  <c r="H263" i="7" s="1"/>
  <c r="I43" i="7"/>
  <c r="H272" i="7" s="1"/>
  <c r="I28" i="9"/>
  <c r="I33" i="9" s="1"/>
  <c r="H254" i="7"/>
  <c r="G24" i="4"/>
  <c r="H24" i="4" s="1"/>
  <c r="O24" i="4" s="1"/>
  <c r="G11" i="4"/>
  <c r="H11" i="4" s="1"/>
  <c r="O11" i="4" s="1"/>
  <c r="G10" i="5"/>
  <c r="H10" i="5" s="1"/>
  <c r="O10" i="5" s="1"/>
  <c r="G20" i="4"/>
  <c r="H20" i="4" s="1"/>
  <c r="O20" i="4" s="1"/>
  <c r="G25" i="4"/>
  <c r="H25" i="4" s="1"/>
  <c r="O25" i="4" s="1"/>
  <c r="E12" i="6"/>
  <c r="F12" i="6" s="1"/>
  <c r="G12" i="6" s="1"/>
  <c r="H12" i="6" s="1"/>
  <c r="O12" i="6" s="1"/>
  <c r="E11" i="5"/>
  <c r="I28" i="8"/>
  <c r="I31" i="8" s="1"/>
  <c r="G10" i="10"/>
  <c r="H191" i="8"/>
  <c r="H194" i="8" s="1"/>
  <c r="G10" i="7"/>
  <c r="E26" i="4"/>
  <c r="F26" i="4" s="1"/>
  <c r="G26" i="4" s="1"/>
  <c r="H26" i="4" s="1"/>
  <c r="O26" i="4" s="1"/>
  <c r="H198" i="9"/>
  <c r="G9" i="6"/>
  <c r="H9" i="6" s="1"/>
  <c r="O9" i="6" s="1"/>
  <c r="H180" i="9" s="1"/>
  <c r="G10" i="4"/>
  <c r="H10" i="4" s="1"/>
  <c r="O10" i="4" s="1"/>
  <c r="G8" i="4"/>
  <c r="H8" i="4" s="1"/>
  <c r="O8" i="4" s="1"/>
  <c r="G17" i="4"/>
  <c r="H17" i="4" s="1"/>
  <c r="O17" i="4" s="1"/>
  <c r="G16" i="4"/>
  <c r="H16" i="4" s="1"/>
  <c r="O16" i="4" s="1"/>
  <c r="G15" i="4"/>
  <c r="H15" i="4" s="1"/>
  <c r="O15" i="4" s="1"/>
  <c r="G21" i="4"/>
  <c r="H21" i="4" s="1"/>
  <c r="O21" i="4" s="1"/>
  <c r="G8" i="6"/>
  <c r="H8" i="6" s="1"/>
  <c r="O8" i="6" s="1"/>
  <c r="G9" i="5"/>
  <c r="H9" i="5" s="1"/>
  <c r="O9" i="5" s="1"/>
  <c r="F125" i="7"/>
  <c r="J125" i="7"/>
  <c r="H188" i="9"/>
  <c r="H187" i="9"/>
  <c r="J187" i="9" s="1"/>
  <c r="G19" i="4"/>
  <c r="H19" i="4" s="1"/>
  <c r="O19" i="4" s="1"/>
  <c r="G22" i="4"/>
  <c r="H22" i="4" s="1"/>
  <c r="O22" i="4" s="1"/>
  <c r="H8" i="5"/>
  <c r="O8" i="5" s="1"/>
  <c r="G10" i="6"/>
  <c r="H10" i="6" s="1"/>
  <c r="O10" i="6" s="1"/>
  <c r="G12" i="4"/>
  <c r="H12" i="4" s="1"/>
  <c r="O12" i="4" s="1"/>
  <c r="G14" i="4"/>
  <c r="H14" i="4" s="1"/>
  <c r="O14" i="4" s="1"/>
  <c r="G18" i="4"/>
  <c r="H18" i="4" s="1"/>
  <c r="O18" i="4" s="1"/>
  <c r="F11" i="5"/>
  <c r="I8" i="5"/>
  <c r="I11" i="5" s="1"/>
  <c r="G9" i="4"/>
  <c r="H9" i="4" s="1"/>
  <c r="O9" i="4" s="1"/>
  <c r="G23" i="4"/>
  <c r="H23" i="4" s="1"/>
  <c r="O23" i="4" s="1"/>
  <c r="J133" i="7" l="1"/>
  <c r="J110" i="10"/>
  <c r="J86" i="10"/>
  <c r="J88" i="10" s="1"/>
  <c r="J92" i="8"/>
  <c r="J94" i="8" s="1"/>
  <c r="J116" i="8"/>
  <c r="J117" i="9"/>
  <c r="J115" i="9"/>
  <c r="J116" i="9"/>
  <c r="J119" i="9"/>
  <c r="H196" i="9"/>
  <c r="H201" i="9" s="1"/>
  <c r="H277" i="7"/>
  <c r="I48" i="7"/>
  <c r="H179" i="9"/>
  <c r="J179" i="9" s="1"/>
  <c r="G11" i="5"/>
  <c r="H11" i="5" s="1"/>
  <c r="O11" i="5" s="1"/>
  <c r="H176" i="9"/>
  <c r="H175" i="9"/>
  <c r="J175" i="9" s="1"/>
  <c r="I26" i="4"/>
  <c r="L28" i="4"/>
  <c r="H183" i="9"/>
  <c r="H182" i="9"/>
  <c r="J182" i="9" s="1"/>
  <c r="J132" i="7"/>
  <c r="J126" i="7"/>
  <c r="J130" i="7"/>
  <c r="J134" i="7"/>
  <c r="J131" i="7"/>
  <c r="L14" i="6"/>
  <c r="I12" i="6"/>
  <c r="F102" i="10" l="1"/>
  <c r="J102" i="10"/>
  <c r="J155" i="10"/>
  <c r="J161" i="8"/>
  <c r="F108" i="8"/>
  <c r="J108" i="8"/>
  <c r="J120" i="9"/>
  <c r="J128" i="9" s="1"/>
  <c r="J130" i="9" s="1"/>
  <c r="J165" i="9" s="1"/>
  <c r="L13" i="5"/>
  <c r="D10" i="11"/>
  <c r="G208" i="9"/>
  <c r="J135" i="7"/>
  <c r="J143" i="7" s="1"/>
  <c r="J145" i="7" s="1"/>
  <c r="D8" i="11"/>
  <c r="G284" i="7"/>
  <c r="J114" i="8" l="1"/>
  <c r="J109" i="8"/>
  <c r="J117" i="8"/>
  <c r="J113" i="8"/>
  <c r="J115" i="8"/>
  <c r="J109" i="10"/>
  <c r="J107" i="10"/>
  <c r="J103" i="10"/>
  <c r="J111" i="10"/>
  <c r="J108" i="10"/>
  <c r="G201" i="8"/>
  <c r="D9" i="11"/>
  <c r="D12" i="11" s="1"/>
  <c r="J180" i="7"/>
  <c r="J112" i="10" l="1"/>
  <c r="J120" i="10" s="1"/>
  <c r="J122" i="10" s="1"/>
  <c r="J118" i="8"/>
  <c r="J126" i="8" s="1"/>
  <c r="J128" i="8" s="1"/>
  <c r="J163" i="8" s="1"/>
  <c r="F14" i="11"/>
  <c r="F15" i="11"/>
  <c r="H95" i="2"/>
  <c r="J136" i="10" l="1"/>
  <c r="J137" i="10" s="1"/>
  <c r="J138" i="10" s="1"/>
  <c r="J139" i="10" s="1"/>
  <c r="J140" i="10" s="1"/>
  <c r="J157" i="10"/>
  <c r="J159" i="10" s="1"/>
  <c r="F84" i="2"/>
  <c r="F85" i="2"/>
  <c r="F89" i="2"/>
  <c r="J137" i="9" s="1"/>
  <c r="F86" i="2"/>
  <c r="J143" i="10" l="1"/>
  <c r="J142" i="10"/>
  <c r="J145" i="10"/>
  <c r="F87" i="2"/>
  <c r="J151" i="7" s="1"/>
  <c r="J135" i="8"/>
  <c r="J152" i="7"/>
  <c r="J141" i="10" l="1"/>
  <c r="J146" i="10" s="1"/>
  <c r="J160" i="10" s="1"/>
  <c r="J161" i="10" s="1"/>
  <c r="I163" i="10" s="1"/>
  <c r="J154" i="7"/>
  <c r="J181" i="7" s="1"/>
  <c r="J182" i="7" s="1"/>
  <c r="J136" i="9"/>
  <c r="J139" i="9" s="1"/>
  <c r="J144" i="9" s="1"/>
  <c r="J145" i="9" s="1"/>
  <c r="J146" i="9" s="1"/>
  <c r="J147" i="9" s="1"/>
  <c r="J148" i="9" s="1"/>
  <c r="J134" i="8"/>
  <c r="J137" i="8" s="1"/>
  <c r="J164" i="8" s="1"/>
  <c r="J165" i="8" s="1"/>
  <c r="F93" i="2"/>
  <c r="E11" i="11" l="1"/>
  <c r="I167" i="10"/>
  <c r="G11" i="11" s="1"/>
  <c r="J159" i="7"/>
  <c r="J160" i="7" s="1"/>
  <c r="J161" i="7" s="1"/>
  <c r="J162" i="7" s="1"/>
  <c r="J163" i="7" s="1"/>
  <c r="J166" i="9"/>
  <c r="J167" i="9" s="1"/>
  <c r="J142" i="8"/>
  <c r="J143" i="8" s="1"/>
  <c r="J144" i="8" s="1"/>
  <c r="J145" i="8" s="1"/>
  <c r="J146" i="8" s="1"/>
  <c r="J151" i="9"/>
  <c r="J150" i="9"/>
  <c r="J153" i="9"/>
  <c r="J149" i="9" l="1"/>
  <c r="J154" i="9" s="1"/>
  <c r="J168" i="9" s="1"/>
  <c r="J169" i="9" s="1"/>
  <c r="I183" i="9" s="1"/>
  <c r="J183" i="9" s="1"/>
  <c r="J184" i="9" s="1"/>
  <c r="F195" i="9" s="1"/>
  <c r="I195" i="9" s="1"/>
  <c r="J166" i="7"/>
  <c r="J165" i="7"/>
  <c r="J168" i="7"/>
  <c r="J149" i="8"/>
  <c r="J151" i="8"/>
  <c r="J148" i="8"/>
  <c r="I180" i="9" l="1"/>
  <c r="J180" i="9" s="1"/>
  <c r="J181" i="9" s="1"/>
  <c r="F194" i="9" s="1"/>
  <c r="I194" i="9" s="1"/>
  <c r="I188" i="9"/>
  <c r="J188" i="9" s="1"/>
  <c r="J189" i="9" s="1"/>
  <c r="F197" i="9" s="1"/>
  <c r="I197" i="9" s="1"/>
  <c r="I198" i="9" s="1"/>
  <c r="I176" i="9"/>
  <c r="J176" i="9" s="1"/>
  <c r="J177" i="9" s="1"/>
  <c r="F193" i="9" s="1"/>
  <c r="I193" i="9" s="1"/>
  <c r="J164" i="7"/>
  <c r="J169" i="7" s="1"/>
  <c r="J183" i="7" s="1"/>
  <c r="J184" i="7" s="1"/>
  <c r="J147" i="8"/>
  <c r="J152" i="8" s="1"/>
  <c r="J166" i="8" s="1"/>
  <c r="J167" i="8" s="1"/>
  <c r="I196" i="9" l="1"/>
  <c r="I201" i="9" s="1"/>
  <c r="I202" i="9" s="1"/>
  <c r="G178" i="8"/>
  <c r="I178" i="8" s="1"/>
  <c r="I179" i="8" s="1"/>
  <c r="F189" i="8" s="1"/>
  <c r="I189" i="8" s="1"/>
  <c r="G182" i="8"/>
  <c r="I182" i="8" s="1"/>
  <c r="I183" i="8" s="1"/>
  <c r="F190" i="8" s="1"/>
  <c r="I190" i="8" s="1"/>
  <c r="G174" i="8"/>
  <c r="I174" i="8" s="1"/>
  <c r="I175" i="8" s="1"/>
  <c r="F188" i="8" s="1"/>
  <c r="I188" i="8" s="1"/>
  <c r="G236" i="7"/>
  <c r="I236" i="7" s="1"/>
  <c r="I237" i="7" s="1"/>
  <c r="F269" i="7" s="1"/>
  <c r="I269" i="7" s="1"/>
  <c r="G224" i="7"/>
  <c r="I224" i="7" s="1"/>
  <c r="I225" i="7" s="1"/>
  <c r="F265" i="7" s="1"/>
  <c r="I265" i="7" s="1"/>
  <c r="G209" i="7"/>
  <c r="I209" i="7" s="1"/>
  <c r="I210" i="7" s="1"/>
  <c r="F260" i="7" s="1"/>
  <c r="I260" i="7" s="1"/>
  <c r="G197" i="7"/>
  <c r="I197" i="7" s="1"/>
  <c r="I198" i="7" s="1"/>
  <c r="F256" i="7" s="1"/>
  <c r="I256" i="7" s="1"/>
  <c r="G239" i="7"/>
  <c r="I239" i="7" s="1"/>
  <c r="I240" i="7" s="1"/>
  <c r="F270" i="7" s="1"/>
  <c r="I270" i="7" s="1"/>
  <c r="G227" i="7"/>
  <c r="I227" i="7" s="1"/>
  <c r="I228" i="7" s="1"/>
  <c r="F266" i="7" s="1"/>
  <c r="I266" i="7" s="1"/>
  <c r="G212" i="7"/>
  <c r="I212" i="7" s="1"/>
  <c r="I213" i="7" s="1"/>
  <c r="F261" i="7" s="1"/>
  <c r="I261" i="7" s="1"/>
  <c r="G200" i="7"/>
  <c r="I200" i="7" s="1"/>
  <c r="I201" i="7" s="1"/>
  <c r="F257" i="7" s="1"/>
  <c r="I257" i="7" s="1"/>
  <c r="G242" i="7"/>
  <c r="I242" i="7" s="1"/>
  <c r="I243" i="7" s="1"/>
  <c r="F271" i="7" s="1"/>
  <c r="I271" i="7" s="1"/>
  <c r="G215" i="7"/>
  <c r="I215" i="7" s="1"/>
  <c r="I216" i="7" s="1"/>
  <c r="F262" i="7" s="1"/>
  <c r="I262" i="7" s="1"/>
  <c r="G249" i="7"/>
  <c r="I249" i="7" s="1"/>
  <c r="I250" i="7" s="1"/>
  <c r="F273" i="7" s="1"/>
  <c r="I273" i="7" s="1"/>
  <c r="I274" i="7" s="1"/>
  <c r="G221" i="7"/>
  <c r="I221" i="7" s="1"/>
  <c r="I222" i="7" s="1"/>
  <c r="F264" i="7" s="1"/>
  <c r="I264" i="7" s="1"/>
  <c r="G194" i="7"/>
  <c r="I194" i="7" s="1"/>
  <c r="I195" i="7" s="1"/>
  <c r="F255" i="7" s="1"/>
  <c r="I255" i="7" s="1"/>
  <c r="G191" i="7"/>
  <c r="I191" i="7" s="1"/>
  <c r="I192" i="7" s="1"/>
  <c r="F254" i="7" s="1"/>
  <c r="I254" i="7" s="1"/>
  <c r="G203" i="7"/>
  <c r="I203" i="7" s="1"/>
  <c r="I204" i="7" s="1"/>
  <c r="F258" i="7" s="1"/>
  <c r="I258" i="7" s="1"/>
  <c r="G230" i="7"/>
  <c r="I230" i="7" s="1"/>
  <c r="I231" i="7" s="1"/>
  <c r="F267" i="7" s="1"/>
  <c r="I267" i="7" s="1"/>
  <c r="G206" i="7"/>
  <c r="I206" i="7" s="1"/>
  <c r="I207" i="7" s="1"/>
  <c r="F259" i="7" s="1"/>
  <c r="I259" i="7" s="1"/>
  <c r="G233" i="7"/>
  <c r="I233" i="7" s="1"/>
  <c r="I234" i="7" s="1"/>
  <c r="F268" i="7" s="1"/>
  <c r="I268" i="7" s="1"/>
  <c r="E10" i="11" l="1"/>
  <c r="L208" i="9"/>
  <c r="I204" i="9"/>
  <c r="G10" i="11" s="1"/>
  <c r="I263" i="7"/>
  <c r="I272" i="7"/>
  <c r="I191" i="8"/>
  <c r="I194" i="8" s="1"/>
  <c r="I195" i="8" l="1"/>
  <c r="E9" i="11" s="1"/>
  <c r="I197" i="8"/>
  <c r="G9" i="11" s="1"/>
  <c r="I277" i="7"/>
  <c r="I279" i="7" l="1"/>
  <c r="E8" i="11" s="1"/>
  <c r="E12" i="11" s="1"/>
  <c r="I281" i="7"/>
  <c r="G8" i="11" s="1"/>
  <c r="G12" i="11" s="1"/>
  <c r="F16" i="11" s="1"/>
</calcChain>
</file>

<file path=xl/comments1.xml><?xml version="1.0" encoding="utf-8"?>
<comments xmlns="http://schemas.openxmlformats.org/spreadsheetml/2006/main">
  <authors>
    <author/>
  </authors>
  <commentList>
    <comment ref="H20" authorId="0">
      <text>
        <r>
          <rPr>
            <sz val="10"/>
            <color rgb="FF000000"/>
            <rFont val="Arial"/>
            <family val="2"/>
          </rPr>
          <t>======
ID#AAAAMSvrDiw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91" authorId="0">
      <text>
        <r>
          <rPr>
            <sz val="10"/>
            <color rgb="FF000000"/>
            <rFont val="Arial"/>
            <family val="2"/>
          </rPr>
          <t>======
ID#AAAAMSvrDi4
Evandro    (2021-05-05 13:27:52)
Conforme Lei nº 7.418/1985 e atualizações posteriores.</t>
        </r>
      </text>
    </comment>
    <comment ref="B115" authorId="0">
      <text>
        <r>
          <rPr>
            <sz val="10"/>
            <color rgb="FF000000"/>
            <rFont val="Arial"/>
            <family val="2"/>
          </rPr>
          <t>======
ID#AAAAMSvrDh8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17" authorId="0">
      <text>
        <r>
          <rPr>
            <sz val="10"/>
            <color rgb="FF000000"/>
            <rFont val="Arial"/>
            <family val="2"/>
          </rPr>
          <t>======
ID#AAAAMSvrDh4
Evandro    (2021-05-05 13:27:52)
Multa de 40% sobre Saldo da Conta Vinculada do FGTS para RCT s/Justa Causa, com Aviso Indenizado durante a vigência do Contrato de Prestação de Serviços.</t>
        </r>
      </text>
    </comment>
    <comment ref="B118" authorId="0">
      <text>
        <r>
          <rPr>
            <sz val="10"/>
            <color rgb="FF000000"/>
            <rFont val="Arial"/>
            <family val="2"/>
          </rPr>
          <t>======
ID#AAAAMSvrDiQ
Evandro    (2021-05-05 13:27:52)
Negociar extinção/redução na 1ª prorrogação contratual</t>
        </r>
      </text>
    </comment>
  </commentList>
</comments>
</file>

<file path=xl/comments2.xml><?xml version="1.0" encoding="utf-8"?>
<comments xmlns="http://schemas.openxmlformats.org/spreadsheetml/2006/main">
  <authors>
    <author/>
  </authors>
  <commentList>
    <comment ref="H20" authorId="0">
      <text>
        <r>
          <rPr>
            <sz val="10"/>
            <color rgb="FF000000"/>
            <rFont val="Arial"/>
            <family val="2"/>
          </rPr>
          <t>======
ID#AAAAMSvrDiU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74" authorId="0">
      <text>
        <r>
          <rPr>
            <sz val="10"/>
            <color rgb="FF000000"/>
            <rFont val="Arial"/>
            <family val="2"/>
          </rPr>
          <t>======
ID#AAAAMSvrDjE
Evandro    (2021-05-05 13:27:52)
Conforme Lei nº 7.418/1985 e atualizações posteriores.</t>
        </r>
      </text>
    </comment>
    <comment ref="B98" authorId="0">
      <text>
        <r>
          <rPr>
            <sz val="10"/>
            <color rgb="FF000000"/>
            <rFont val="Arial"/>
            <family val="2"/>
          </rPr>
          <t>======
ID#AAAAMSvrDiY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00" authorId="0">
      <text>
        <r>
          <rPr>
            <sz val="10"/>
            <color rgb="FF000000"/>
            <rFont val="Arial"/>
            <family val="2"/>
          </rPr>
          <t>======
ID#AAAAMSvrDiE
Evandro    (2021-05-05 13:27:52)
Multa de 40% sobre Saldo da Conta Vinculada do FGTS para RCT s/Justa Causa, com Aviso Indenizado durante a vigência do Contrato de Prestação de Serviços.</t>
        </r>
      </text>
    </comment>
    <comment ref="B101" authorId="0">
      <text>
        <r>
          <rPr>
            <sz val="10"/>
            <color rgb="FF000000"/>
            <rFont val="Arial"/>
            <family val="2"/>
          </rPr>
          <t>======
ID#AAAAMSvrDic
Evandro    (2021-05-05 13:27:52)
Negociar extinção/redução na 1ª prorrogação contratual</t>
        </r>
      </text>
    </comment>
  </commentList>
</comments>
</file>

<file path=xl/sharedStrings.xml><?xml version="1.0" encoding="utf-8"?>
<sst xmlns="http://schemas.openxmlformats.org/spreadsheetml/2006/main" count="2084" uniqueCount="734">
  <si>
    <t>Ministério da Educação</t>
  </si>
  <si>
    <t>Secretaria de Educação Tecnológica</t>
  </si>
  <si>
    <t>Instituto Federal de Educação, Ciência e Tecnologia Farroupilha - IFFar</t>
  </si>
  <si>
    <t>CAMPUS ALEGRETE</t>
  </si>
  <si>
    <t xml:space="preserve">INFORMAÇÕES BÁSICAS PARA FORMAÇÃO DE PREÇO DE SERVIÇOS DE LIMPEZA </t>
  </si>
  <si>
    <t>SERVIÇOS</t>
  </si>
  <si>
    <t>Serviços de Limpeza e Conservação</t>
  </si>
  <si>
    <t>TIPO</t>
  </si>
  <si>
    <t>JORNADA</t>
  </si>
  <si>
    <t>TURNO</t>
  </si>
  <si>
    <t>Processo:</t>
  </si>
  <si>
    <t>23243.000810/2021-41</t>
  </si>
  <si>
    <t>Licitação:</t>
  </si>
  <si>
    <t>Data:</t>
  </si>
  <si>
    <t>Hora:</t>
  </si>
  <si>
    <t>Razão Social:</t>
  </si>
  <si>
    <t>CNPJ:</t>
  </si>
  <si>
    <t>Responsável pela Empresa:</t>
  </si>
  <si>
    <t>CPF do Responsável:</t>
  </si>
  <si>
    <t>Cargo ou Função:</t>
  </si>
  <si>
    <t>PRODUTIVIDADES</t>
  </si>
  <si>
    <t>TIPO DE ÁREA</t>
  </si>
  <si>
    <t>Tipo de piso</t>
  </si>
  <si>
    <r>
      <rPr>
        <b/>
        <sz val="10"/>
        <color rgb="FF000000"/>
        <rFont val="Arial"/>
        <family val="2"/>
      </rPr>
      <t xml:space="preserve">produtividade (m² /             serv x mês)    de 40h semanais    (8h diárias) </t>
    </r>
    <r>
      <rPr>
        <b/>
        <sz val="10"/>
        <color rgb="FFFF0000"/>
        <rFont val="Arial"/>
        <family val="2"/>
      </rPr>
      <t>PREENCHER</t>
    </r>
  </si>
  <si>
    <t>ÁREAS INTERNAS</t>
  </si>
  <si>
    <t>Pisos acarpetados</t>
  </si>
  <si>
    <t>Pisos frios</t>
  </si>
  <si>
    <t>Laboratórios</t>
  </si>
  <si>
    <t>Almoxarifados/ galpões</t>
  </si>
  <si>
    <t>Oficinas</t>
  </si>
  <si>
    <t>Áreas com espaços livres - saguão, hall e salão (inclusive passeralas de ligação)</t>
  </si>
  <si>
    <t>Piso Emborrachado</t>
  </si>
  <si>
    <t>Paredes (até 2,5 metros de altura)</t>
  </si>
  <si>
    <t>Teto</t>
  </si>
  <si>
    <t>ÁREAS EXTERNAS</t>
  </si>
  <si>
    <t>Pisos pavimentados adjacentes/contíguos às edificações</t>
  </si>
  <si>
    <t>Passarelas externas (Paredes)</t>
  </si>
  <si>
    <t>Passarelas externas (Teto)</t>
  </si>
  <si>
    <t>Varrição de passeios e arruamentos</t>
  </si>
  <si>
    <t>Pátios e áreas verdes com alta frequência</t>
  </si>
  <si>
    <t>Pátios e áreas verdes com média frequência</t>
  </si>
  <si>
    <t>Pátios e áreas verdes com baixa frequência</t>
  </si>
  <si>
    <t>Coleta de detritos em pátios e áreas verdes com frequência diária</t>
  </si>
  <si>
    <t>BANHEIROS</t>
  </si>
  <si>
    <t>Banheiros (Sanitários, Bancadas e Piso)</t>
  </si>
  <si>
    <t>Banheiros (Paredes)</t>
  </si>
  <si>
    <t>Banheiros (Teto)</t>
  </si>
  <si>
    <t xml:space="preserve">ESQUADRIAS </t>
  </si>
  <si>
    <t>Face externa com exposição a situação de risco</t>
  </si>
  <si>
    <t>Face externa sem exposição a situação de risco</t>
  </si>
  <si>
    <t>Face interna</t>
  </si>
  <si>
    <t>FACHADAS ENVIDRAÇADAS</t>
  </si>
  <si>
    <t>Fachadas envidraçadas</t>
  </si>
  <si>
    <t>ÁREAS HOSPITALARES E ASSEMELHADAS</t>
  </si>
  <si>
    <t>Áreas hospitalares e assemelhadas</t>
  </si>
  <si>
    <t xml:space="preserve"> As Produtividades acima são as máximas divulgadas no caderno de encargos do MPOG. Caso o licitante apresente produtividade superior, deverá comprovar, de forma inequívoca e documental, a sua produtividade e a sua capacidade de execução do serviço.</t>
  </si>
  <si>
    <t>REGIME DE TRIBUTAÇÃO</t>
  </si>
  <si>
    <t>INFORME AQUI &gt;----&gt;</t>
  </si>
  <si>
    <t>DESCRIÇÃO DO SERVIÇO</t>
  </si>
  <si>
    <t>Data da Proposta</t>
  </si>
  <si>
    <t>Município/UF</t>
  </si>
  <si>
    <t>Alegrete/RS</t>
  </si>
  <si>
    <t>Ano CCT/Acordo/Dissídio</t>
  </si>
  <si>
    <t>Nº de Meses do Contrato</t>
  </si>
  <si>
    <t>DADOS COMPLEMENTARES PARA COMPOSIÇÃO DOS CUSTOS</t>
  </si>
  <si>
    <t>Tipo de Serviço:</t>
  </si>
  <si>
    <t>Limpeza, Asseio e Conservação</t>
  </si>
  <si>
    <t>Classificação Brasileira de Ocupações (CBO):</t>
  </si>
  <si>
    <t>Base Legal Salário Base</t>
  </si>
  <si>
    <t>Salário Normativo da Categoria Profissional - Jornada de 44 hs/semanais</t>
  </si>
  <si>
    <t>Categoria Profissional (vinculada à execução contratual)</t>
  </si>
  <si>
    <t>Servente de Limpeza</t>
  </si>
  <si>
    <t>Data-Base da Categoria (dia/mês/ano)</t>
  </si>
  <si>
    <t>COMPOSIÇÃO DA REMUNERAÇÃO</t>
  </si>
  <si>
    <t>CARGA HORÁRIA SEMANAL</t>
  </si>
  <si>
    <t>Base Legal Insalubridade</t>
  </si>
  <si>
    <t>ÍNDICE DA INSALUBRIDADE - ÁREAS DE BANHEIROS</t>
  </si>
  <si>
    <t>ÍNDICE DA INSALUBRIDADE - DEMAIS ÁREAS</t>
  </si>
  <si>
    <t>INFORMAÇÕES DE RAT E FAT ( Comprovação será efetivada no fase de aceitação da proposta)</t>
  </si>
  <si>
    <t>RAT</t>
  </si>
  <si>
    <t>FAP</t>
  </si>
  <si>
    <t xml:space="preserve">Encargos Previdenciários (GPS), Fundo de Garantia por Tempo de Serviço (FGTS) e outras Contribuições  </t>
  </si>
  <si>
    <t>INSS</t>
  </si>
  <si>
    <t>Salário Educação</t>
  </si>
  <si>
    <t>SAT - Seguro Acidente de Trabalho (RAT x FAP)</t>
  </si>
  <si>
    <t>SESC ou SESI</t>
  </si>
  <si>
    <t>SENAC ou SENAI</t>
  </si>
  <si>
    <t>SEBRAE</t>
  </si>
  <si>
    <t>INCRA</t>
  </si>
  <si>
    <t>FGTS</t>
  </si>
  <si>
    <t>INFORMAÇÕES DE VALE TRANSPORTE</t>
  </si>
  <si>
    <t>Vale Transponte</t>
  </si>
  <si>
    <t>Passagens/dia</t>
  </si>
  <si>
    <t>Dias Uteis/Mês</t>
  </si>
  <si>
    <t>Participação do Empregado</t>
  </si>
  <si>
    <t>INFORMAÇÕES DE VALE ALIMENTAÇÃO</t>
  </si>
  <si>
    <t>Base Legal</t>
  </si>
  <si>
    <t>Valor VA - Dia</t>
  </si>
  <si>
    <t>Participação Empregado</t>
  </si>
  <si>
    <t>PLANO DE BENEFÍCIO FAMILIAR</t>
  </si>
  <si>
    <t>INFORMAÇÕES DE TRIBUTOS, CUSTOS INDIRETOS E LUCRO PRETENDIDO</t>
  </si>
  <si>
    <t>Custos indiretos</t>
  </si>
  <si>
    <t>Lucro</t>
  </si>
  <si>
    <t>ISSQN</t>
  </si>
  <si>
    <t>PIS</t>
  </si>
  <si>
    <t>COFINS</t>
  </si>
  <si>
    <t>INSUMOS DIVERSOS</t>
  </si>
  <si>
    <t>Materiais de Limpeza – SANEANTES DOMISSANITÁRIOS</t>
  </si>
  <si>
    <t>Unidade</t>
  </si>
  <si>
    <t>Quantidade Mensal</t>
  </si>
  <si>
    <t>Quantidade Anual</t>
  </si>
  <si>
    <t>Valor Unitário</t>
  </si>
  <si>
    <t>Custo Anual</t>
  </si>
  <si>
    <t>SABÃO LÍQUIDO CONCENTRADO PURO P/ LIMP. DE PISO. GALÃO DE 5 litros</t>
  </si>
  <si>
    <t>GALÃO</t>
  </si>
  <si>
    <t>Hipoclorito de sódio, aspecto físico: solução aquosa, concentração: até 2,5% de cloro ativo. Galão de 5 litros. CATMAT: 437156 Ou Água sanitária, composição química: hipoclorito de sódio, hidróxido de sódio, cloreto, teor cloro ativo: varia de 2 a 2,50%, cor: incolor, aplicação: lavagem e alvejante de roupas, banheiras, pias. Galão de 5 litros.</t>
  </si>
  <si>
    <t>DESINFETANTE PERFUMADO DE AÇÃO FUNGICIDA E BACTERICIDA PARA LIMPEZA EFICAZ DE SUPERFÍCIES DIVERSAS, TAIS COMO: AZULEJOS, PISOS, SANITÁRIOS, PIAS, RALOS, ETC. GALÃO DE 5 litros.</t>
  </si>
  <si>
    <t>Sabonete líquido, aspecto físico líquido cremoso em gel, Acidez neutro, aplicação assepssia das mãos, características adicionais biodegradável: 90%, compisição dietanolamida de ácido graxo, cocoamidopropil bet A, AROMA TALCO (preferencialmente). GALÃO DE 5 litros.</t>
  </si>
  <si>
    <t>LIMPA-VIDRO, ASPECTO FÍSICO LÍQUIDO, COMPOSIÇÃO LAURIL ÉTER, SULFATO DE SÓDIO,CARACTERÍSTICAS ADICIONAIS PULVERIZADOR COM GATILHO, VALIDADE MÍNIMA 3 ANOS. Frascos de 500 ML</t>
  </si>
  <si>
    <t>FRASCO</t>
  </si>
  <si>
    <t>LIMPA CARPETE, TIPO LÍQUIDO, LAURIL SULFATO DE SÓDIO, COADJUVANTES, CONSERVANTES, CORANTE E ÁGUA. ACONDICIONADO EM FRASCO PLÁSTICO DE 500 ML</t>
  </si>
  <si>
    <t>SABÃO EM PÓ, COMPOSIÇÃO: TENSOATIVO ANIÔNICO, TENSOATIVO CATIÔNICO, COADJUVANTE, SINERGISTA, TAMPONANTES, BRANQUEADOR ÓPTICO, CORANTES, ENZIMAS, ALVEJANTE, CARGA, ATENUADOR DE ESPUMA, ESSÊNCIA E ÁGUA. APLICAÇÃO: LAVAR ROUPAS. EMBALAGEM DE 1KG.</t>
  </si>
  <si>
    <t>KG</t>
  </si>
  <si>
    <t>DESINCRUSTRANTE ALCALINO, PH ALCALINO, DESINCRUSTA E LIMPA SUPERFÍCIES EM GERAL. EMBALAGEM DE 1 LITRO.</t>
  </si>
  <si>
    <t>LITRO</t>
  </si>
  <si>
    <t>LIMPADOR MULTIUSO (DESENGORDURANTE). LÍQUIDO, TRADICIONAL (OU NEUTRO). EMBALAGEM COM 500 ML, COM BICO DOSADOR.</t>
  </si>
  <si>
    <t>SAPÓLIO LÍQUIDO 300 ML, COMPOSTO DE TENSOATIVOS: ANIÔNICO E NÃO ANIÔNICO, ESPESSANTE, ALCALINIZANTES, ABRASIVO, PRESERVANTE, FRAGRÂNCIA E VEÍCULO. COM PRINCÍPIO ATIVO LINEAR, ALQUILBENZENO, SULFONATO DE SÓDIO. FRASCO DE 300 ML.</t>
  </si>
  <si>
    <t>Álcool etílico, teor alcoólico: 70% v,v, composição básica: com emoliente, forma farmacêutica: gel, galão 5 litros.</t>
  </si>
  <si>
    <t>GALÃO 5L</t>
  </si>
  <si>
    <t>Ácido peracético, Fórmula molecular C2H4O3, dosagem: mínimo de 0,2%, forma física: solução aquosa, com inibidor de corrosão. Galão de 5 litros.</t>
  </si>
  <si>
    <t>Álcool etílico, aspecto físico líquido límpido, incolor, volátil, teor alcoólico de 70¨gl, fórmula química C2H5OH, peso molecular 46,07, CAS 64-17-5. Prazo de validade mínimo de 12 meses a contar da data da entrega.</t>
  </si>
  <si>
    <t>FR 1L</t>
  </si>
  <si>
    <t>Solução limpeza multiuso com cloro ativo, aspecto físico: líquido, aplicação: limpeza geral, características adicionais: tampa dosadora de fluxo</t>
  </si>
  <si>
    <t>frasco de 500ml</t>
  </si>
  <si>
    <t>Detergente, composição: tesoativos aniônicos, coadjuvante, preservantes,, componente ativo: linear alquibenzeno sulfonato de sódio, aplicação: remoção de gorduras de louças, talheres e panelas, aroma: neutro, características adicionais: contém tensoativo biodegradável</t>
  </si>
  <si>
    <t>Frasco de 500ml</t>
  </si>
  <si>
    <t>tubo 360ml</t>
  </si>
  <si>
    <t>CUSTO MENSAL DOS SANEANTES DOMISSANITÁRIOS</t>
  </si>
  <si>
    <t>Toalha de papel, material: papel, tipo folha: interfolha, comprimento: 23 cm, largura: 23 cm, cor: branca, características adicionais: não reciclado -30-40 g, aplicação: higiene pessoal. Embalagem com 1000 folhas.</t>
  </si>
  <si>
    <t>FARDO</t>
  </si>
  <si>
    <t>PAPEL HIGIÊNICO, MATERIAL: CELULOSE VIRGEM, COMPRIMENTO: 30 M, LARGURA: 10 CM, TIPO: PICOTADO, QUANTIDADE FOLHAS: DUPLA, COR: BRANCA, CARACTERÍSTICAS ADICIONAIS: COM PERFUME. PACOTE COM 4 UNIDADES.</t>
  </si>
  <si>
    <t>PACOTE</t>
  </si>
  <si>
    <t>SACO PLÁSTICO LIXO, CAPACIDADE 40L, COR PRETA, LARGURA MÍNIMA 39CM, ALTURA 50, CARACTERÍSTICAS ADICIONAIS APLICAÇÃO COLETA DE LIXO. PACOTE COM 100 UNIDADES.</t>
  </si>
  <si>
    <t>SACO PLÁSTICO LIXO, CAPACIDADE 100L, COR PRETA, LARGURA MÍNIMA 39CM, ALTURA 50, CARACTERÍSTICAS ADICIONAIS APLICAÇÃO COLETA DE LIXO. PACOTE COM 100 UNIDADES</t>
  </si>
  <si>
    <t>LUSTRA MOVEL CREMOSO LAVANDA 500ML, COMPOSTO COM CERA MICROCRISTALINA, OELO PARAFINICO, SILICONE, PERFUME E AGUA</t>
  </si>
  <si>
    <t>UNIDADE</t>
  </si>
  <si>
    <t>CUSTO ANUAL DOS MATERIAIS DE LIMPEZA – COMPLEMENTARES</t>
  </si>
  <si>
    <t>CUSTO MENSAL DOS  MATERIAIS DE LIMPEZA – COMPLEMENTARES</t>
  </si>
  <si>
    <t>UTENSÍLIOS</t>
  </si>
  <si>
    <t>Quantidade a disponibilizar</t>
  </si>
  <si>
    <t>Vida Útil   (em meses)</t>
  </si>
  <si>
    <t>PANO DE LIMPEZA DE CHÃO: SACO DE ALGODÃO. COMPOSIÇÃO: SACO BRANCO DUPLO, 100% ALGODÃO, ALVEJADO, PRÉ-AMACIADO, MEDIDA APROXIMADA 40CM X 70 CM, USO DOMÉSTICO, EMBALAGEM: PACOTE CONTENDO 01 UNIDADE.)</t>
  </si>
  <si>
    <t>ESPONJA DE LIMPEZA, MATERIAL LÃ AÇO FINA, TEXTURA MACIA E ISENTA DE OXIDAÇÃO, ABRASIVIDADE MÍNIMA, APLICAÇÃO LIMPEZA GERAL, BIODEGRADÁVEL, PACOTE COM 8 UNIDADES, PESO LÍQUIDO MÍNIMO 60 GRAMAS.</t>
  </si>
  <si>
    <t>FIBRA DE LIMPEZA LT USO GERAL. PACOTE COM 5 UNIDADES</t>
  </si>
  <si>
    <t>VASSOURA DE NYLON COM CERDAS MACIAS, CEPO PLÁSTICO DE 21 CM, CERDAS DE 11 CM COM PLUMAGEM NAS PONTAS, COM CABO ROSQUEADO DE MADEIRA PLASTIFICADA, PARA LIMPEZA EM GERAL, TIPO DOMÉSTICA. UNIDADE</t>
  </si>
  <si>
    <t>unidade</t>
  </si>
  <si>
    <t>VASSOURA SANITÁRIA, CORPO EM PLÁSTICO, CERDAS EM NYLON COM FORMATO REDONDO, COM SUPORTE</t>
  </si>
  <si>
    <t>PÁ COLETORA LIXO, MATERIAL COLETOR PLÁSTICO, MATERIAL CABO MADEIRA, COMPRIMENTO CABO 100 CM, COMPRIMENTO 25 CM, LARGURA 24CM, APLICAÇÃO LIMPEZA, CARACTERÍSTICAS ADICIONAIS CABO REVESTIDO EM PLÁSTICO</t>
  </si>
  <si>
    <t>ESCOVA PARA LIMPEZA, MODELO OVAL, BASE DE MADEIRA, ESPESSURA 1,5 CM, BASE MEDINDO (13 X 7) CM, COM CERDAS EM NYLON SINTÉTICO, SEM ALÇA, SEM CABO, NA COR AMARELA, MÍNIMO DE 15 CERDAS POR TUFOS.</t>
  </si>
  <si>
    <t>CABO APLICAÇÃO LIMPEZA, TIPO EXTENSOR, TAMANHO 2,80 M, MATERIAL ALUMÍNIO.</t>
  </si>
  <si>
    <t>Esponja limpeza, espuma / nylon, retangular, mínima / média, utensílios e limpeza em geral, dupla face, 110 mm, 75 mm, 20 mm</t>
  </si>
  <si>
    <t>Pano limpeza, material: 100% em fibra de viscose, látex sintético, comprimento: 300 m, largura: 33 cm, características adicionais: microperfurado,gramatura 41g/m2, multiuso, aplicação: uso geral, cor: verde, tipo: bobima</t>
  </si>
  <si>
    <t>rolo</t>
  </si>
  <si>
    <t>Pano limpeza, material: microfibra, comprimento: 60 cm, largura: 40 cm, características adicionais: alto grau absorção, aplicação: uso geral, tipo: toalha</t>
  </si>
  <si>
    <t>Vassoura, material cerdas: piaçava sintética, material cepa: madeira revestido com metal, comprimento cepa: 27 cm, características adicionais: angulada, cabo plastificado: 1,20 m; cerdas: 17 cm, largura cepa: 4 cm</t>
  </si>
  <si>
    <t>Desentupidor pia, material borracha flexível, cor preta, altura 10cm, diâmetro 12cm, material do cabo plástico, comprimento do cabo 10cm</t>
  </si>
  <si>
    <t>Desentupidor vaso sanitário, material borracha flexível, cor preta, altura 10cm, diâmetro 16cm, material do cabo plástico, comprimento do cabo 60cm.</t>
  </si>
  <si>
    <t>Varal de chão, 120 cm</t>
  </si>
  <si>
    <t>BALDE PLÁSTICO, CAPACIDADE 10 LITROS, MATERIAL PLÁSTICO, COM ALÇA DE ARAME GALVANIZADO, COR PRETA, COM REFORÇO NO FUNDO E NAS BORDAS, APLICAÇÃO LIMPEZA GERAL</t>
  </si>
  <si>
    <t xml:space="preserve">CUSTO ANUAL DOS UTENSÍLIOS </t>
  </si>
  <si>
    <t xml:space="preserve">CUSTO MENSAL DOS UTENSÍLIOS </t>
  </si>
  <si>
    <t>EQUIPAMENTOS</t>
  </si>
  <si>
    <t>Depreciação (em meses)</t>
  </si>
  <si>
    <t>ASPIRADOR PÓ/ÁGUA</t>
  </si>
  <si>
    <t>ESCADA, MATERIAL ALUMÍNIO, TIPO FIXA, QUANTIDADE DEGRAUS 8 UN, CARACTERÍSTICASADICIONAIS CALÇO DE BORRACHA</t>
  </si>
  <si>
    <t>ESCADA EM ALUMÍNIO. DESCRIÇÃO DETALHADA: ESCADA EM ALUMÍNIO COM 04 DEGRAUS. DIMENSÕES APROXIMADAS (LARGURA X ALTURA X PROFUNDIDADE): 420 X 1230 X 720 MM.</t>
  </si>
  <si>
    <t xml:space="preserve">CUSTO ANUAL DOS EQUIPAMENTOS </t>
  </si>
  <si>
    <t xml:space="preserve">CUSTO MENSAL DOS EQUIPAMENTOS </t>
  </si>
  <si>
    <t>UNIFORMES</t>
  </si>
  <si>
    <t>Sapato Ocupacional Antiderrapante Sticky Shoes, impermeável, na cor preta, polimérica, material muito flexível, elástico, resiliente e com permanen te estabilidade dimensional, mesmo sendo exposto ou secado ao sol. Tamanho de 34-47</t>
  </si>
  <si>
    <t>PAR</t>
  </si>
  <si>
    <t>CAMISETA GOLA REDONDA, MANGA LONGA, MALHA 100% ALGODÃO</t>
  </si>
  <si>
    <t>CAMISETA GOLA REDONDA, MANGA CURTA, MALHA 100% ALGODÃO</t>
  </si>
  <si>
    <t>CALÇA 100% ALGODÃO, CONFORME A ESTAÇÃO DO ANO</t>
  </si>
  <si>
    <t>Jaqueta confeccionada em tecido 100% poliamida com resina, forrada com manta térmica e acolchoada. Possui bolsos embutidos nas laterais, capuz conjugado, fechamento frontal até o pescoço através de velcro alinhado por botão guia e barra lisa. É ideal para baixas temperaturas até -35°C.</t>
  </si>
  <si>
    <t>MEIAS DE ALGODÃO</t>
  </si>
  <si>
    <t>MÁSCARA CIRÚRGICA COM TRÊS CAMADAS, TIPO USO DESCARTÁVEL, MÁSCARAS DESCARTÁVEIS FABRICADAS EM TNT 100% POLIPROPILENO DE ESTRUTURA PLANA, FLEXÍVEL E POROSA. CLIPE PARA AJUSTE NASAL EM METAL GALVANIZADO E REVESTIDO COM PLÁSTICO, TRIPLA CAMADA COM FILTRO, QUE PROPORCIONA EFICIÊNCIA DE FILTRAÇÃO BACTERIANA MAIOR QUE 95%. COM TRÊS PREGAS HORIZONTAIS. CARACTERÍSTICAS ADICIONAIS SEMIFACIAL, MODELO COM ELÁSTICO.</t>
  </si>
  <si>
    <t>Óculos proteção, material armação: policarbonato e nylon, tipo proteção: lateral, material proteção: policarbonato, tipo lente: anti-risco, anti-embaçante, cor lente: incolor, características adicionais: com cordão de segurança, hastes de cor preta, material lente: policarbonato.</t>
  </si>
  <si>
    <t>LUVA BORRACHA: LUVA DE LÁTEX NATURAL PARA LIMPEZA EM GERAL, TAMANHO GRANDE, MULTIUSO, PAR.</t>
  </si>
  <si>
    <t>Bota ocupacional preta, cano médio tipo C, classificação II, impermeável, confeccionada em material polimérico (PVC), com forração interna.</t>
  </si>
  <si>
    <t>CUSTO ANUAL DOS UNIFORMES PARA 1 SERVENTE</t>
  </si>
  <si>
    <t>CUSTO MENSAL DOS UNIFORMES PARA 1 SERVENTE</t>
  </si>
  <si>
    <t>QUADRO RESUMO</t>
  </si>
  <si>
    <t>CUSTO ANUAL</t>
  </si>
  <si>
    <t>CUSTO MENSAL</t>
  </si>
  <si>
    <t>Custo Mensal por SERVENTE</t>
  </si>
  <si>
    <t xml:space="preserve">Materiais de Limpeza – SANEANTES DOMISSANITÁRIOS </t>
  </si>
  <si>
    <t>Materiais de Limpeza – COMPLEMENTARES</t>
  </si>
  <si>
    <t>Materiais de Limpeza – UTENSÍLIOS</t>
  </si>
  <si>
    <t>MATERIAIS</t>
  </si>
  <si>
    <t>TOTAIS</t>
  </si>
  <si>
    <t>Quantidade de mão de obra alocada na prestação dos serviços (informação oriunda da aba 'Resumo da Proposta' - Quantidade de Postos/Mão de Obra a ser alocados) + posto do encarregado</t>
  </si>
  <si>
    <t>Nota 1: os custos totais com materiais e equipamentos são fixos, qualquer que seja a produtividade adotada pois são fixados em função da área a ser limpa e conservada e não dependem do quantitativo de mão de obra utilizada.</t>
  </si>
  <si>
    <t xml:space="preserve">Nota 2: os custos totais com uniformes dependem do número de serventes, o qual varia de acordo com a produtividade adotada. </t>
  </si>
  <si>
    <t>Nota 3: a vida útil, os quantitativos e os preços dos insumos são apenas uma simulação feita para fins didáticos, sem o caráter de estudo técnico ou qualquer métrica, portanto não devem ser copiados, mas sim ajustados à realidade de cada contrato.</t>
  </si>
  <si>
    <t xml:space="preserve"> </t>
  </si>
  <si>
    <t>PLANILHA DE MEDIDA DAS ÁREAS - SERVIÇOS DE LIMPEZA E CONSERVAÇÃO</t>
  </si>
  <si>
    <t>PLANILHA DE CONVERSÃO DE ÁREA - SERVIÇOS DE LIMPEZA E CONSERVAÇÃO</t>
  </si>
  <si>
    <t>Item</t>
  </si>
  <si>
    <t>Descrição (Identificação do Prédio)</t>
  </si>
  <si>
    <t>Segmentação por Prédio</t>
  </si>
  <si>
    <t>Aréa Total (incluindo Janelas e Pátios)</t>
  </si>
  <si>
    <t>Área Medida</t>
  </si>
  <si>
    <t xml:space="preserve">Periodicidade dos serviços </t>
  </si>
  <si>
    <t>Periodicidade por mês (em dias)</t>
  </si>
  <si>
    <t>Dias Úteis por Mês</t>
  </si>
  <si>
    <t>Quantidade área em m² convertida para PRODUTIVIDADE DIÁRIA conforme frequência de limpeza (considerando 24 dias trabalhados)</t>
  </si>
  <si>
    <t>Área Interna</t>
  </si>
  <si>
    <t>Área Externa</t>
  </si>
  <si>
    <t>Esquadrias</t>
  </si>
  <si>
    <t>Fachadas Envidraçadas</t>
  </si>
  <si>
    <t>Áreas Hospitalares e Assemelhadas</t>
  </si>
  <si>
    <t>Banheiros</t>
  </si>
  <si>
    <t>Piso Acarpetado Tabuão Parquet Emborrachado</t>
  </si>
  <si>
    <t>Piso Frio (Cerâmico e/ou Vinílico)</t>
  </si>
  <si>
    <t>Almoxarifados Galpões</t>
  </si>
  <si>
    <t>Paredes</t>
  </si>
  <si>
    <t>Áreas com Espaços Livres (Saguão, Hall e Salão)</t>
  </si>
  <si>
    <t>Pisos Pavimentados Adjacentes / Contíguos às Edificações</t>
  </si>
  <si>
    <t>Passarelas Externas (Paredes)</t>
  </si>
  <si>
    <t>Passarelas Externas (Teto)</t>
  </si>
  <si>
    <t>Varrição de Passeios e Arruamentos</t>
  </si>
  <si>
    <t>Pátios e Áreas Verdes com Alta Freqüência</t>
  </si>
  <si>
    <t>Pátios e Áreas Verdes com Média Freqüência</t>
  </si>
  <si>
    <t>Pátios e Áreas Verdes com Baixa Freqüência</t>
  </si>
  <si>
    <t>Coleta de detritos em pátios e áreas verdes com freqüência diária</t>
  </si>
  <si>
    <t>Face Externa com Exposição a Situação de Risco</t>
  </si>
  <si>
    <t>Face Externa sem Exposição a Situação de Risco</t>
  </si>
  <si>
    <t>Face Interna</t>
  </si>
  <si>
    <t>Banheiros (Piso)</t>
  </si>
  <si>
    <t>Piso Acarpetado Tabuão Emborrachado</t>
  </si>
  <si>
    <t>Núcleo Central</t>
  </si>
  <si>
    <t>Salas (Professores e Administrativas)</t>
  </si>
  <si>
    <t>3xDIA</t>
  </si>
  <si>
    <t>Consultórios e área da saúde</t>
  </si>
  <si>
    <t>6xDIA</t>
  </si>
  <si>
    <t>Salas de Aulas Práticas</t>
  </si>
  <si>
    <t>2xSEMANA</t>
  </si>
  <si>
    <t>Circulação</t>
  </si>
  <si>
    <t>3xSEMANA</t>
  </si>
  <si>
    <t>Calçadas, Passeios e Pátios</t>
  </si>
  <si>
    <t>Janelas (Externas)</t>
  </si>
  <si>
    <t>SEMESTRAL</t>
  </si>
  <si>
    <t>Janelas (Internas)</t>
  </si>
  <si>
    <t>2xDIA</t>
  </si>
  <si>
    <t>Alojametos</t>
  </si>
  <si>
    <t xml:space="preserve">Salas de Aula </t>
  </si>
  <si>
    <t>DIÁRIA</t>
  </si>
  <si>
    <t>4xDIA</t>
  </si>
  <si>
    <t>LEPEPS</t>
  </si>
  <si>
    <t xml:space="preserve">SALAS  </t>
  </si>
  <si>
    <t>Alojamentos</t>
  </si>
  <si>
    <t>TRIMESTRAL</t>
  </si>
  <si>
    <t>SEMANAL</t>
  </si>
  <si>
    <t>Laboratório</t>
  </si>
  <si>
    <t>Prédio Salas de Aula/ Cursos Superiores/ Centro de Informática/ Topografia</t>
  </si>
  <si>
    <t>Ginásio</t>
  </si>
  <si>
    <t>Quadra</t>
  </si>
  <si>
    <t>QUINZENAL</t>
  </si>
  <si>
    <t>Arquibancadas</t>
  </si>
  <si>
    <t>Academia</t>
  </si>
  <si>
    <t>Convivência</t>
  </si>
  <si>
    <t>MENSAL</t>
  </si>
  <si>
    <t>Escritório</t>
  </si>
  <si>
    <t>Recepção e Protocolo</t>
  </si>
  <si>
    <t>Sala de Trabalho</t>
  </si>
  <si>
    <t>Administrativo/ Lavanderia/ Almoxarifado/ DPEP/ Auditório/ Guarita/ Garagem</t>
  </si>
  <si>
    <t>Salas Administrativas</t>
  </si>
  <si>
    <t>Depósitos</t>
  </si>
  <si>
    <t>Sala Equipamentos</t>
  </si>
  <si>
    <t>Auditório</t>
  </si>
  <si>
    <t>Refeitório/ Padaria</t>
  </si>
  <si>
    <t>Salas Adm.</t>
  </si>
  <si>
    <t>Processamento</t>
  </si>
  <si>
    <t>Refeitório</t>
  </si>
  <si>
    <t>Passarelas</t>
  </si>
  <si>
    <t>Passeios e Arruamentos</t>
  </si>
  <si>
    <t xml:space="preserve">PLANILHA DE CÁLCULO DA MÃO DE OBRA </t>
  </si>
  <si>
    <t xml:space="preserve">Produtividade (m² /             serv x mês)    de 44h semanais    (8h diárias) </t>
  </si>
  <si>
    <r>
      <rPr>
        <b/>
        <sz val="10"/>
        <color rgb="FF000000"/>
        <rFont val="Arial"/>
        <family val="2"/>
      </rPr>
      <t>Área (m²) a ser contratada a ser limpa por dia (critério da administração -</t>
    </r>
    <r>
      <rPr>
        <b/>
        <sz val="10"/>
        <color rgb="FF333399"/>
        <rFont val="Arial"/>
        <family val="2"/>
      </rPr>
      <t xml:space="preserve"> informação extraída da aba Área)</t>
    </r>
  </si>
  <si>
    <t>(1)                  Número de empregados necessários para a execução da tarefa</t>
  </si>
  <si>
    <t xml:space="preserve">(2)                             Exclusão dos empregados que cumprem integralmente a jornada diária  </t>
  </si>
  <si>
    <t>(3) Empregado que cumprirá jornada diária menor</t>
  </si>
  <si>
    <t>(4)                   Jornada diária em minutos do empregado que completará a execução da tarefa</t>
  </si>
  <si>
    <t>(5) Número de empregados que a contratada deverá alocar para a prestação dos serviços</t>
  </si>
  <si>
    <t>empregados com jornada diária de</t>
  </si>
  <si>
    <t xml:space="preserve">horas e mais </t>
  </si>
  <si>
    <t>empregado com jornada diária de</t>
  </si>
  <si>
    <t>minutos.</t>
  </si>
  <si>
    <t>Áreas com espaços livres - saguão, hall e salão</t>
  </si>
  <si>
    <t>TOTAL (TODAS DAS ÁREAS NO MESMO PRÉDIO)</t>
  </si>
  <si>
    <t>JORNADA DIÁRIA (HORAS)</t>
  </si>
  <si>
    <t>horas</t>
  </si>
  <si>
    <t>NÚMERO TOTAL DE SERVENTES EM JORNADA DE 8 HORAS</t>
  </si>
  <si>
    <t>Numero de serventes decorre da produtividade mínima exigida e área de execução dos serviços</t>
  </si>
  <si>
    <t>Notas Explicativas:</t>
  </si>
  <si>
    <t>1) coluna (E) - número de empregados necessários para a execução da tarefa: cada número inteiro significa um empregado. Quando há fração significa que além dos empregados que cumprem integralmente a jornada diária contratada, é necessário empregado com jornada diária menor.</t>
  </si>
  <si>
    <t xml:space="preserve"> Em destaque  o número de empregados que a contratada deve disponibilizar para a prestação dos serviços tarefa a tarefa, em cada tipo de área, com suas respectivas jornadas diárias.</t>
  </si>
  <si>
    <t xml:space="preserve">Área Interna 1ª linha - Metodologia - Coluna 5 = (2.000 / 800) = 2,5 empregados               Coluna 8 = 0,5 x 8 horas x 60 minutos = 240 minutos </t>
  </si>
  <si>
    <t>Cálculo total do nº de serventes = (preço mensal dos serviços / valor do homem-mês)</t>
  </si>
  <si>
    <t xml:space="preserve">Produtividade (m² /             serv x mês)    de 40h semanais    (8h diárias) </t>
  </si>
  <si>
    <t>Área (m²) a ser contratada a ser limpa por dia (critério da administração)</t>
  </si>
  <si>
    <t>Piso</t>
  </si>
  <si>
    <t>TOTAL (TODAS AS ÁREAS NO MESMO PRÉDIO)</t>
  </si>
  <si>
    <t>Produtividade (m² /             serv x mês)    de 40h semanais    (8h diárias)</t>
  </si>
  <si>
    <t>ESQUADRIAS</t>
  </si>
  <si>
    <r>
      <rPr>
        <sz val="10"/>
        <color rgb="FF000000"/>
        <rFont val="Arial"/>
        <family val="2"/>
      </rPr>
      <t xml:space="preserve">Face externa </t>
    </r>
    <r>
      <rPr>
        <b/>
        <sz val="10"/>
        <color rgb="FF000000"/>
        <rFont val="Arial"/>
        <family val="2"/>
      </rPr>
      <t>com</t>
    </r>
    <r>
      <rPr>
        <sz val="10"/>
        <color rgb="FF000000"/>
        <rFont val="Arial"/>
        <family val="2"/>
      </rPr>
      <t xml:space="preserve"> exposição a situação de risco</t>
    </r>
  </si>
  <si>
    <r>
      <rPr>
        <sz val="10"/>
        <color rgb="FF000000"/>
        <rFont val="Arial"/>
        <family val="2"/>
      </rPr>
      <t xml:space="preserve">Face externa </t>
    </r>
    <r>
      <rPr>
        <b/>
        <sz val="10"/>
        <color rgb="FF000000"/>
        <rFont val="Arial"/>
        <family val="2"/>
      </rPr>
      <t xml:space="preserve">sem </t>
    </r>
    <r>
      <rPr>
        <sz val="10"/>
        <color rgb="FF000000"/>
        <rFont val="Arial"/>
        <family val="2"/>
      </rPr>
      <t>exposição a situação de risco</t>
    </r>
  </si>
  <si>
    <t>TOTAL (TODAS AS ÁREAS)</t>
  </si>
  <si>
    <r>
      <rPr>
        <sz val="14"/>
        <color rgb="FF000000"/>
        <rFont val="Arial"/>
        <family val="2"/>
      </rPr>
      <t xml:space="preserve">3) A produtividade da </t>
    </r>
    <r>
      <rPr>
        <b/>
        <sz val="14"/>
        <color rgb="FF000000"/>
        <rFont val="Arial"/>
        <family val="2"/>
      </rPr>
      <t>esquadria externa</t>
    </r>
    <r>
      <rPr>
        <sz val="14"/>
        <color rgb="FF000000"/>
        <rFont val="Arial"/>
        <family val="2"/>
      </rPr>
      <t xml:space="preserve"> deve ser calculada considerando a metodologia de trabalho que, no Anexo VII-D da IN 5/17 que prevê incidência </t>
    </r>
    <r>
      <rPr>
        <b/>
        <sz val="14"/>
        <color rgb="FF000000"/>
        <rFont val="Arial"/>
        <family val="2"/>
      </rPr>
      <t>quinzenal</t>
    </r>
    <r>
      <rPr>
        <sz val="14"/>
        <color rgb="FF000000"/>
        <rFont val="Arial"/>
        <family val="2"/>
      </rPr>
      <t xml:space="preserve"> para a limpeza desse tipo de área. </t>
    </r>
  </si>
  <si>
    <r>
      <rPr>
        <sz val="14"/>
        <color rgb="FF000000"/>
        <rFont val="Arial"/>
        <family val="2"/>
      </rPr>
      <t xml:space="preserve">4) A produtividade da </t>
    </r>
    <r>
      <rPr>
        <b/>
        <sz val="14"/>
        <color rgb="FF000000"/>
        <rFont val="Arial"/>
        <family val="2"/>
      </rPr>
      <t>fachada envidraçada</t>
    </r>
    <r>
      <rPr>
        <sz val="14"/>
        <color rgb="FF000000"/>
        <rFont val="Arial"/>
        <family val="2"/>
      </rPr>
      <t xml:space="preserve"> deve ser calculada considerando a metodologia de trabalho que, no Anexo VII-D da IN 5/17 que prevê incidência </t>
    </r>
    <r>
      <rPr>
        <b/>
        <sz val="14"/>
        <color rgb="FF000000"/>
        <rFont val="Arial"/>
        <family val="2"/>
      </rPr>
      <t>semestral</t>
    </r>
    <r>
      <rPr>
        <sz val="14"/>
        <color rgb="FF000000"/>
        <rFont val="Arial"/>
        <family val="2"/>
      </rPr>
      <t xml:space="preserve"> para a limpeza desse tipo de área. </t>
    </r>
  </si>
  <si>
    <t xml:space="preserve">PLANILHA DE CUSTOS E FORMAÇÃO DE PREÇOS  </t>
  </si>
  <si>
    <t>SERVIÇO DE LIMPEZA GERAL (EXCETO BANHEIROS)</t>
  </si>
  <si>
    <t xml:space="preserve">Prestação de serviços de limpeza geral (exceto banheiros) para o IFFAR  </t>
  </si>
  <si>
    <t>conforme área determinada convertida</t>
  </si>
  <si>
    <t>m²</t>
  </si>
  <si>
    <t>para o período de 1 mês.</t>
  </si>
  <si>
    <t>Processo nº:</t>
  </si>
  <si>
    <t>Licitação nº:</t>
  </si>
  <si>
    <t>CNPJ nº:</t>
  </si>
  <si>
    <t>Responsável:</t>
  </si>
  <si>
    <t>CPF:</t>
  </si>
  <si>
    <t>Cargo:</t>
  </si>
  <si>
    <t>DISCRIMINAÇÃO DO SERVIÇO</t>
  </si>
  <si>
    <t>A</t>
  </si>
  <si>
    <t>Data de apresentação da proposta (dia/mês/ano)</t>
  </si>
  <si>
    <t>B</t>
  </si>
  <si>
    <t>C</t>
  </si>
  <si>
    <t>Ano do Acordo, Convenção ou Dissídio Coletivo</t>
  </si>
  <si>
    <t>D</t>
  </si>
  <si>
    <t>Número de meses de execução contratual</t>
  </si>
  <si>
    <t>IDENTIFICAÇÃO DO SERVIÇO</t>
  </si>
  <si>
    <t xml:space="preserve">Tipo de Serviço: Limpeza e Conservação Predial                                                                                                   </t>
  </si>
  <si>
    <t>Unidade de Medida</t>
  </si>
  <si>
    <t xml:space="preserve">Quantidade total a contratar </t>
  </si>
  <si>
    <t>a) Áreas internas - Pisos acarpetados</t>
  </si>
  <si>
    <t>m2</t>
  </si>
  <si>
    <t>b) Áreas internas - Pisos frios</t>
  </si>
  <si>
    <t>c) Áreas internas - Laboratórios</t>
  </si>
  <si>
    <t>d) Áreas internas - Almoxarifados/galpões</t>
  </si>
  <si>
    <t>e) Áreas internas - Oficinas</t>
  </si>
  <si>
    <t>f) Áreas internas - Áreas com espaços livres - saguão, hall e salão</t>
  </si>
  <si>
    <t>g) Áreas internas - Piso emborrachado</t>
  </si>
  <si>
    <t>h) Áreas internas - Paredes</t>
  </si>
  <si>
    <t>i) Áreas internas - Teto</t>
  </si>
  <si>
    <t>TOTAL DA ÁREA INTERNA</t>
  </si>
  <si>
    <t>a) Áreas externas - Pisos pavimentados adjacentes/contíguos às edificações</t>
  </si>
  <si>
    <t>b) Passarelas externas - Paredes</t>
  </si>
  <si>
    <t>c) Passarelas externas - Teto</t>
  </si>
  <si>
    <t>d) Áreas externas -  Varrição de passeios e arruamentos</t>
  </si>
  <si>
    <t>e) Áreas externas -  Pátios com áreas verdes com alta frequência</t>
  </si>
  <si>
    <t>f) Áreas externas -  Pátios com áreas verdes com média frequência</t>
  </si>
  <si>
    <t>g) Áreas externas -  Pátios com áreas verdes com baixa frequência</t>
  </si>
  <si>
    <t>h) Áreas externas -  Coleta de detritos em pátios e áreas verdes com frequência diária</t>
  </si>
  <si>
    <t>TOTAL DA ÁREA EXTERNA</t>
  </si>
  <si>
    <t>a) Áreas hospitalares e assemelhadas</t>
  </si>
  <si>
    <t xml:space="preserve">                                                                                                     TOTAL DAS ÁREAS HOSPITALARES</t>
  </si>
  <si>
    <t>a) Outras áreas (especificar)</t>
  </si>
  <si>
    <t>TOTAL DAS OUTRAS ÁREAS (ESPECIFICAR)</t>
  </si>
  <si>
    <t>TOTAL GERAL (ÁREA GERAL - Exceto banheiros)</t>
  </si>
  <si>
    <t>MÃO DE OBRA</t>
  </si>
  <si>
    <t>MÃO DE OBRA VINCULADA À EXECUÇÃO CONTRATUAL</t>
  </si>
  <si>
    <t>Dados complementares para composição dos custos referente à mão de obra</t>
  </si>
  <si>
    <t>Nota 1</t>
  </si>
  <si>
    <t>Deverá ser elaborada uma planilha para cada tipo de serviço.</t>
  </si>
  <si>
    <t>MÓDULO 1 - COMPOSIÇÃO DA REMUNERAÇÃO</t>
  </si>
  <si>
    <t xml:space="preserve">Composição da Remuneração </t>
  </si>
  <si>
    <t>Percentual (%)</t>
  </si>
  <si>
    <t xml:space="preserve">Valor (R$) </t>
  </si>
  <si>
    <r>
      <rPr>
        <b/>
        <sz val="10"/>
        <color rgb="FF000000"/>
        <rFont val="Arial"/>
        <family val="2"/>
      </rPr>
      <t xml:space="preserve">Salário-Base </t>
    </r>
    <r>
      <rPr>
        <sz val="10"/>
        <color rgb="FF000000"/>
        <rFont val="Arial"/>
        <family val="2"/>
      </rPr>
      <t>- Jornada de Trabalho de</t>
    </r>
  </si>
  <si>
    <t>horas semanais</t>
  </si>
  <si>
    <t>Adicional de Insalubridade</t>
  </si>
  <si>
    <r>
      <rPr>
        <b/>
        <sz val="10"/>
        <color rgb="FF000000"/>
        <rFont val="Arial"/>
        <family val="2"/>
      </rPr>
      <t>Outros</t>
    </r>
    <r>
      <rPr>
        <sz val="10"/>
        <color rgb="FF000000"/>
        <rFont val="Arial"/>
        <family val="2"/>
      </rPr>
      <t xml:space="preserve"> (especificar)                  </t>
    </r>
    <r>
      <rPr>
        <b/>
        <sz val="10"/>
        <color rgb="FF000000"/>
        <rFont val="Arial"/>
        <family val="2"/>
      </rPr>
      <t xml:space="preserve">                        </t>
    </r>
  </si>
  <si>
    <t>COMPOSIÇÃO DA REMUNERAÇÃO - TOTAL DO MÓDULO 1</t>
  </si>
  <si>
    <t>Nota 2</t>
  </si>
  <si>
    <t>O Módulo 1 refere-se ao valor mensal devido ao empregado pela prestação do serviço.</t>
  </si>
  <si>
    <t>MÓDULO 2 - ENCARGOS E BENEFÍCIOS ANUAIS, MENSAIS E DIÁRIOS</t>
  </si>
  <si>
    <t xml:space="preserve">Submódulo 2.1 </t>
  </si>
  <si>
    <t>13º (Décimo Terceiro) Salário e Adicional de Férias</t>
  </si>
  <si>
    <t>Valor (R$)</t>
  </si>
  <si>
    <r>
      <rPr>
        <b/>
        <sz val="10"/>
        <color rgb="FF000000"/>
        <rFont val="Arial"/>
        <family val="2"/>
      </rPr>
      <t>13º (Décimo Terceiro) Salário</t>
    </r>
    <r>
      <rPr>
        <sz val="10"/>
        <color rgb="FF000000"/>
        <rFont val="Arial"/>
        <family val="2"/>
      </rPr>
      <t xml:space="preserve"> - Rem/12     </t>
    </r>
  </si>
  <si>
    <t>Total do Submódulo 2.1</t>
  </si>
  <si>
    <t>Nota 3</t>
  </si>
  <si>
    <t>Nota 4</t>
  </si>
  <si>
    <t>Submódulo 2.2</t>
  </si>
  <si>
    <t>Encargos Previdenciários (GPS), Fundo de Garantia por Tempo de Serviço (FGTS) e outras Contribuições                                                                  BASE DE CÁLCULO = MÓDULO 1 (Total da Remuneração) + SUBMÓDULO 2.1</t>
  </si>
  <si>
    <t>GPS, FGTS e outras Contribuições</t>
  </si>
  <si>
    <t>RAT =</t>
  </si>
  <si>
    <t xml:space="preserve"> FAP =</t>
  </si>
  <si>
    <t>E</t>
  </si>
  <si>
    <t>F</t>
  </si>
  <si>
    <t>G</t>
  </si>
  <si>
    <t>H</t>
  </si>
  <si>
    <t>Total do Submódulo 2.2</t>
  </si>
  <si>
    <t>Nota 5</t>
  </si>
  <si>
    <t>Os percentuais dos encargos previdenciários, do FGTS e demais contribuições são aqueles estabelecidos pela legislação vigente.</t>
  </si>
  <si>
    <t>Nota 6</t>
  </si>
  <si>
    <t>O SAT, a depender do grau de risco do serviço, irá variar entre 1% para risco leve, 2% para risco médio e 3% para risco grave.</t>
  </si>
  <si>
    <t xml:space="preserve">Submódulo 2.3 </t>
  </si>
  <si>
    <t>Benefícios Mensais e Diários</t>
  </si>
  <si>
    <r>
      <rPr>
        <b/>
        <sz val="10"/>
        <color rgb="FF000000"/>
        <rFont val="Arial"/>
        <family val="2"/>
      </rPr>
      <t xml:space="preserve">Transporte - </t>
    </r>
    <r>
      <rPr>
        <sz val="10"/>
        <color rgb="FF000000"/>
        <rFont val="Arial"/>
        <family val="2"/>
      </rPr>
      <t>[(2xVTx24) – (6%xSB)]</t>
    </r>
  </si>
  <si>
    <t xml:space="preserve">      A.1) Valor da passagem do transporte coletivo no município de prestação dos serviços: </t>
  </si>
  <si>
    <t xml:space="preserve">      A.2) Quantidade de passagens por dia por empregado:</t>
  </si>
  <si>
    <t xml:space="preserve">      A.3) Quantidade de dias do mês de recebimento de passagens</t>
  </si>
  <si>
    <t xml:space="preserve">      A.4) Participação do empregado em percentual do salário base</t>
  </si>
  <si>
    <t xml:space="preserve">      B.1) Valor do auxílio-alimentação: </t>
  </si>
  <si>
    <t xml:space="preserve">      B.2) Quantidade de dias do mês de recebimento de auxílio-alimentação</t>
  </si>
  <si>
    <t xml:space="preserve">      B3.) Percentual de participação do empregado sobre o auxílio-alimentação</t>
  </si>
  <si>
    <t>Plano de Benefício Familiar</t>
  </si>
  <si>
    <r>
      <rPr>
        <b/>
        <sz val="10"/>
        <color rgb="FF000000"/>
        <rFont val="Arial"/>
        <family val="2"/>
      </rPr>
      <t xml:space="preserve">Outros </t>
    </r>
    <r>
      <rPr>
        <sz val="10"/>
        <color rgb="FF000000"/>
        <rFont val="Arial"/>
        <family val="2"/>
      </rPr>
      <t xml:space="preserve">(especificar)            </t>
    </r>
    <r>
      <rPr>
        <b/>
        <sz val="10"/>
        <color rgb="FF000000"/>
        <rFont val="Arial"/>
        <family val="2"/>
      </rPr>
      <t xml:space="preserve">                                </t>
    </r>
  </si>
  <si>
    <t>Total do Submódulo 2.3</t>
  </si>
  <si>
    <t>Nota 7</t>
  </si>
  <si>
    <t>O valor informado deverá ser o custo real do insumo (descontado o valor eventualmente pago pelo empregado).</t>
  </si>
  <si>
    <t>Nota 8</t>
  </si>
  <si>
    <t>Observar a previsão dos benefícios contidos em Acordos, Convenções e Dissídios Coletivos de Trabalho, atentando-se ao disposto no artigo 6º desta Instrução Normativa nº 05/2017.</t>
  </si>
  <si>
    <t>QUADRO RESUMO - MÓDULO 2 - BENEFÍCIOS E ENCARGOS ANUAIS, MENSAIS E DIÁRIOS</t>
  </si>
  <si>
    <t>Módulo 2</t>
  </si>
  <si>
    <t>Descrição</t>
  </si>
  <si>
    <t>Submódulo 2.1</t>
  </si>
  <si>
    <t>13º (décimo terceiro) Salário e Adicional de Férias</t>
  </si>
  <si>
    <t>Encargos Previdenciários (GPS), Fundo de Garantia por Tempo de Serviço (FGTS) e outras Contribuições</t>
  </si>
  <si>
    <t>Submódulo 2.3</t>
  </si>
  <si>
    <t>Benefícios e Encargos Anuais, Mensais e Diários</t>
  </si>
  <si>
    <t>BENEFÍCIOS ANUAIS, MENSAIS E DIÁRIOS - TOTAL DO MÓDULO 2</t>
  </si>
  <si>
    <t>MÓDULO 3 - PROVISÃO PARA RESCISÃO</t>
  </si>
  <si>
    <t>Valor  (R$)</t>
  </si>
  <si>
    <r>
      <rPr>
        <b/>
        <sz val="10"/>
        <color rgb="FF000000"/>
        <rFont val="Arial"/>
        <family val="2"/>
      </rPr>
      <t>Aviso Prévio Indenizado</t>
    </r>
    <r>
      <rPr>
        <sz val="10"/>
        <color rgb="FF000000"/>
        <rFont val="Arial"/>
        <family val="2"/>
      </rPr>
      <t xml:space="preserve"> - </t>
    </r>
    <r>
      <rPr>
        <sz val="8"/>
        <color rgb="FF000000"/>
        <rFont val="Arial"/>
        <family val="2"/>
      </rPr>
      <t xml:space="preserve"> [Rem/12 + 13º/12 + Férias/12 + (1/3 x Férias)/12] x (30/30=1) x 5% de rotatividade anual </t>
    </r>
  </si>
  <si>
    <t>Incidência do FGTS sobre o Aviso Prévio Indenizado</t>
  </si>
  <si>
    <r>
      <rPr>
        <b/>
        <sz val="10"/>
        <color rgb="FF000000"/>
        <rFont val="Arial"/>
        <family val="2"/>
      </rPr>
      <t xml:space="preserve">Multa do FGTS sobre o Aviso Prévio Indenizado </t>
    </r>
    <r>
      <rPr>
        <sz val="10"/>
        <color rgb="FF000000"/>
        <rFont val="Arial"/>
        <family val="2"/>
      </rPr>
      <t>- [40% x 8% x (Rem + 13º + Férias + 1/3xFérias)] x 5% de rotatividade</t>
    </r>
  </si>
  <si>
    <r>
      <rPr>
        <b/>
        <sz val="10"/>
        <color rgb="FF000000"/>
        <rFont val="Arial"/>
        <family val="2"/>
      </rPr>
      <t xml:space="preserve">Aviso Prévio Trabalhado </t>
    </r>
    <r>
      <rPr>
        <sz val="10"/>
        <color rgb="FF000000"/>
        <rFont val="Arial"/>
        <family val="2"/>
      </rPr>
      <t>- [(Rem/30)x7]/12x100% dos empregados ao final do contrato</t>
    </r>
  </si>
  <si>
    <t xml:space="preserve">Incidência do Submódulo 2.2 sobre o Aviso Prévio Trabalhado         </t>
  </si>
  <si>
    <r>
      <rPr>
        <b/>
        <sz val="10"/>
        <color rgb="FF000000"/>
        <rFont val="Arial"/>
        <family val="2"/>
      </rPr>
      <t xml:space="preserve">Multa do FGTS sobre o Aviso Prévio Trabalhado </t>
    </r>
    <r>
      <rPr>
        <sz val="10"/>
        <color rgb="FF000000"/>
        <rFont val="Arial"/>
        <family val="2"/>
      </rPr>
      <t>- [40% x 8% x (Rem + 13º + Férias + 1/3xFérias)]x100% dos empregados</t>
    </r>
  </si>
  <si>
    <t>PROVISÃO PARA RESCISÃO - TOTAL DO MÓDULO 3</t>
  </si>
  <si>
    <t>MÓDULO 4 - CUSTO DE REPOSIÇÃO DO PROFISSIONAL AUSENTE</t>
  </si>
  <si>
    <t xml:space="preserve">BCCPA - Base de cálculo para o Custo de Reposição do Profissional Ausente (substituto): Módulo 1 (Total da Remuneração) + Módulo 2 + Módulo 3   
</t>
  </si>
  <si>
    <t>Módulo 1                    Remuneração</t>
  </si>
  <si>
    <t>Módulo 2                              Sem VA e VT</t>
  </si>
  <si>
    <t>Módulo 3</t>
  </si>
  <si>
    <t>Submódulo 4.1 – Ausências Legais</t>
  </si>
  <si>
    <t>Custo Diário: BCCPA/30</t>
  </si>
  <si>
    <t>Submódulo 4.1</t>
  </si>
  <si>
    <t>Substituto nas Ausências Legais</t>
  </si>
  <si>
    <r>
      <rPr>
        <b/>
        <sz val="10"/>
        <color rgb="FF000000"/>
        <rFont val="Arial"/>
        <family val="2"/>
      </rPr>
      <t>Substituto na cobertura de Ausências Legais -</t>
    </r>
    <r>
      <rPr>
        <sz val="10"/>
        <color rgb="FF000000"/>
        <rFont val="Arial"/>
        <family val="2"/>
      </rPr>
      <t xml:space="preserve"> [(BCCPA/30)x1dia]/12</t>
    </r>
  </si>
  <si>
    <r>
      <rPr>
        <b/>
        <sz val="10"/>
        <color rgb="FF000000"/>
        <rFont val="Arial"/>
        <family val="2"/>
      </rPr>
      <t>Substituto na cobertura de Licença-Paternidade -</t>
    </r>
    <r>
      <rPr>
        <sz val="10"/>
        <color rgb="FF000000"/>
        <rFont val="Arial"/>
        <family val="2"/>
      </rPr>
      <t xml:space="preserve"> {[(BCCPA/30)x5dias]/12}x1,5%</t>
    </r>
  </si>
  <si>
    <r>
      <rPr>
        <b/>
        <sz val="10"/>
        <color rgb="FF000000"/>
        <rFont val="Arial"/>
        <family val="2"/>
      </rPr>
      <t>Substituto na cobertura de Ausência por Acidente de Trabalho -</t>
    </r>
    <r>
      <rPr>
        <sz val="10"/>
        <color rgb="FF000000"/>
        <rFont val="Arial"/>
        <family val="2"/>
      </rPr>
      <t xml:space="preserve"> {[(BCCPA/30)x15dias]/12}x0,78%</t>
    </r>
  </si>
  <si>
    <r>
      <rPr>
        <b/>
        <sz val="10"/>
        <color rgb="FF000000"/>
        <rFont val="Arial"/>
        <family val="2"/>
      </rPr>
      <t>Substituto na cobertura de Afastamento Maternidade -</t>
    </r>
    <r>
      <rPr>
        <sz val="10"/>
        <color rgb="FF000000"/>
        <rFont val="Arial"/>
        <family val="2"/>
      </rPr>
      <t xml:space="preserve"> {[(Mód.1+Mód.1/3)/12+(sub.2.2+sub.2.3-VA-VT+Mód.3)]x(4/12)}x2%</t>
    </r>
  </si>
  <si>
    <r>
      <rPr>
        <b/>
        <sz val="10"/>
        <color rgb="FF000000"/>
        <rFont val="Arial"/>
        <family val="2"/>
      </rPr>
      <t xml:space="preserve">Substituto na cobertura de Ausência por Doença - </t>
    </r>
    <r>
      <rPr>
        <sz val="10"/>
        <color rgb="FF000000"/>
        <rFont val="Arial"/>
        <family val="2"/>
      </rPr>
      <t>[(BCCPA)/30)x5dias]/12</t>
    </r>
  </si>
  <si>
    <t>Total do Submódulo 4.1</t>
  </si>
  <si>
    <t xml:space="preserve">Submódulo 4.2 </t>
  </si>
  <si>
    <t>Substituto na Intrajornada</t>
  </si>
  <si>
    <t>Substituto na cobertura de intervalo para Repouso ou Alimentação</t>
  </si>
  <si>
    <t>Total do Submódulo 4.2</t>
  </si>
  <si>
    <t>QUADRO RESUMO - MÓDULO 4 - CUSTO DE REPOSIÇÃO DO PROFISSIONAL AUSENTE</t>
  </si>
  <si>
    <t>Módulo 4</t>
  </si>
  <si>
    <t>Submódulo 4.2</t>
  </si>
  <si>
    <t>CUSTO DE REPOSIÇÃO DO PROFISSIONAL AUSENTE - TOTAL DO MÓDULO 4</t>
  </si>
  <si>
    <t>Nota 9</t>
  </si>
  <si>
    <t>Os itens que contemplam o Módulo 4 se referem ao custo dos dias trabalhados pelo substituto quando o empregado alocado na prestaçãodo serviço estiver ausente, conforme as previsões estabelecidas na legislação.</t>
  </si>
  <si>
    <t>MÓDULO 5 - INSUMOS DIVERSOS</t>
  </si>
  <si>
    <t xml:space="preserve">Uniformes </t>
  </si>
  <si>
    <t xml:space="preserve">Materiais </t>
  </si>
  <si>
    <t xml:space="preserve">Equipamentos </t>
  </si>
  <si>
    <r>
      <rPr>
        <b/>
        <sz val="10"/>
        <color rgb="FF000000"/>
        <rFont val="Arial"/>
        <family val="2"/>
      </rPr>
      <t>Outros</t>
    </r>
    <r>
      <rPr>
        <sz val="10"/>
        <color rgb="FF000000"/>
        <rFont val="Arial"/>
        <family val="2"/>
      </rPr>
      <t xml:space="preserve"> (especificar) </t>
    </r>
  </si>
  <si>
    <t>0.00</t>
  </si>
  <si>
    <t>INSUMOS DVERSOS - TOTAL DO MÓDULO 5</t>
  </si>
  <si>
    <t>Nota 10</t>
  </si>
  <si>
    <t>Valores mensais por empregado</t>
  </si>
  <si>
    <t>MODULO 6 - CUSTOS INDIRETOS, LUCRO E TRIBUTOS</t>
  </si>
  <si>
    <t xml:space="preserve">Custos Indiretos, Lucro e Tributos </t>
  </si>
  <si>
    <r>
      <rPr>
        <b/>
        <sz val="10"/>
        <color rgb="FF000000"/>
        <rFont val="Arial"/>
        <family val="2"/>
      </rPr>
      <t xml:space="preserve">BASE DE CÁLCULO DOS CUSTOS INDIRETOS </t>
    </r>
    <r>
      <rPr>
        <sz val="10"/>
        <color rgb="FF000000"/>
        <rFont val="Arial"/>
        <family val="2"/>
      </rPr>
      <t xml:space="preserve"> = Total do Módulo 1 (</t>
    </r>
    <r>
      <rPr>
        <i/>
        <sz val="10"/>
        <color rgb="FF000000"/>
        <rFont val="Arial"/>
        <family val="2"/>
      </rPr>
      <t>Composição da  Remuneração</t>
    </r>
    <r>
      <rPr>
        <sz val="10"/>
        <color rgb="FF000000"/>
        <rFont val="Arial"/>
        <family val="2"/>
      </rPr>
      <t>) + Total do Módulo 2 (</t>
    </r>
    <r>
      <rPr>
        <i/>
        <sz val="10"/>
        <color rgb="FF000000"/>
        <rFont val="Arial"/>
        <family val="2"/>
      </rPr>
      <t>Encargos e Benefícios Anuais, Mensais e Diários</t>
    </r>
    <r>
      <rPr>
        <sz val="10"/>
        <color rgb="FF000000"/>
        <rFont val="Arial"/>
        <family val="2"/>
      </rPr>
      <t>) + Total do Módulo 3 (</t>
    </r>
    <r>
      <rPr>
        <i/>
        <sz val="10"/>
        <color rgb="FF000000"/>
        <rFont val="Arial"/>
        <family val="2"/>
      </rPr>
      <t>Provisão para Rescisão</t>
    </r>
    <r>
      <rPr>
        <sz val="10"/>
        <color rgb="FF000000"/>
        <rFont val="Arial"/>
        <family val="2"/>
      </rPr>
      <t>) + Total do Módulo 4 (</t>
    </r>
    <r>
      <rPr>
        <i/>
        <sz val="10"/>
        <color rgb="FF000000"/>
        <rFont val="Arial"/>
        <family val="2"/>
      </rPr>
      <t>Custo de Reposição do Profissional Ausente</t>
    </r>
    <r>
      <rPr>
        <sz val="10"/>
        <color rgb="FF000000"/>
        <rFont val="Arial"/>
        <family val="2"/>
      </rPr>
      <t>) + Total do Módulo 5 (</t>
    </r>
    <r>
      <rPr>
        <i/>
        <sz val="10"/>
        <color rgb="FF000000"/>
        <rFont val="Arial"/>
        <family val="2"/>
      </rPr>
      <t>Insumos Diversos</t>
    </r>
    <r>
      <rPr>
        <sz val="10"/>
        <color rgb="FF000000"/>
        <rFont val="Arial"/>
        <family val="2"/>
      </rPr>
      <t>)</t>
    </r>
  </si>
  <si>
    <t>Custos Indiretos</t>
  </si>
  <si>
    <r>
      <rPr>
        <b/>
        <sz val="10"/>
        <color rgb="FF000000"/>
        <rFont val="Arial"/>
        <family val="2"/>
      </rPr>
      <t xml:space="preserve">BASE DE CÁLCULO DO LUCRO =  </t>
    </r>
    <r>
      <rPr>
        <sz val="10"/>
        <color rgb="FF000000"/>
        <rFont val="Arial"/>
        <family val="2"/>
      </rPr>
      <t>Total do Módulo 1 (</t>
    </r>
    <r>
      <rPr>
        <i/>
        <sz val="10"/>
        <color rgb="FF000000"/>
        <rFont val="Arial"/>
        <family val="2"/>
      </rPr>
      <t>Composição da  Remuneração</t>
    </r>
    <r>
      <rPr>
        <sz val="10"/>
        <color rgb="FF000000"/>
        <rFont val="Arial"/>
        <family val="2"/>
      </rPr>
      <t>) + Total do Módulo 2 (</t>
    </r>
    <r>
      <rPr>
        <i/>
        <sz val="10"/>
        <color rgb="FF000000"/>
        <rFont val="Arial"/>
        <family val="2"/>
      </rPr>
      <t>Encargos e Benefícios Anuais, Mensais e Diários</t>
    </r>
    <r>
      <rPr>
        <sz val="10"/>
        <color rgb="FF000000"/>
        <rFont val="Arial"/>
        <family val="2"/>
      </rPr>
      <t>) + Total do Módulo 3 (</t>
    </r>
    <r>
      <rPr>
        <i/>
        <sz val="10"/>
        <color rgb="FF000000"/>
        <rFont val="Arial"/>
        <family val="2"/>
      </rPr>
      <t>Provisão para Rescisão</t>
    </r>
    <r>
      <rPr>
        <sz val="10"/>
        <color rgb="FF000000"/>
        <rFont val="Arial"/>
        <family val="2"/>
      </rPr>
      <t>) + Total do Módulo 4 (</t>
    </r>
    <r>
      <rPr>
        <i/>
        <sz val="10"/>
        <color rgb="FF000000"/>
        <rFont val="Arial"/>
        <family val="2"/>
      </rPr>
      <t>Custo de Reposição do Profissional Ausente</t>
    </r>
    <r>
      <rPr>
        <sz val="10"/>
        <color rgb="FF000000"/>
        <rFont val="Arial"/>
        <family val="2"/>
      </rPr>
      <t>) + Total do Módulo 5 (</t>
    </r>
    <r>
      <rPr>
        <i/>
        <sz val="10"/>
        <color rgb="FF000000"/>
        <rFont val="Arial"/>
        <family val="2"/>
      </rPr>
      <t>Insumos Diversos</t>
    </r>
    <r>
      <rPr>
        <sz val="10"/>
        <color rgb="FF000000"/>
        <rFont val="Arial"/>
        <family val="2"/>
      </rPr>
      <t>) + Custos Indiretos</t>
    </r>
  </si>
  <si>
    <r>
      <rPr>
        <b/>
        <sz val="10"/>
        <color rgb="FF000000"/>
        <rFont val="Arial"/>
        <family val="2"/>
      </rPr>
      <t xml:space="preserve">BASE DE CÁLCULO DOS TRIBUTOS = </t>
    </r>
    <r>
      <rPr>
        <sz val="10"/>
        <color rgb="FF000000"/>
        <rFont val="Arial"/>
        <family val="2"/>
      </rPr>
      <t>Total do Módulo 1 (</t>
    </r>
    <r>
      <rPr>
        <i/>
        <sz val="10"/>
        <color rgb="FF000000"/>
        <rFont val="Arial"/>
        <family val="2"/>
      </rPr>
      <t>Composição da  Remuneração</t>
    </r>
    <r>
      <rPr>
        <sz val="10"/>
        <color rgb="FF000000"/>
        <rFont val="Arial"/>
        <family val="2"/>
      </rPr>
      <t>) + Total do Módulo 2 (</t>
    </r>
    <r>
      <rPr>
        <i/>
        <sz val="10"/>
        <color rgb="FF000000"/>
        <rFont val="Arial"/>
        <family val="2"/>
      </rPr>
      <t>Encargos e Benefícios Anuais, Mensais e Diários</t>
    </r>
    <r>
      <rPr>
        <sz val="10"/>
        <color rgb="FF000000"/>
        <rFont val="Arial"/>
        <family val="2"/>
      </rPr>
      <t>) + Total do Módulo 3 (</t>
    </r>
    <r>
      <rPr>
        <i/>
        <sz val="10"/>
        <color rgb="FF000000"/>
        <rFont val="Arial"/>
        <family val="2"/>
      </rPr>
      <t>Provisão para Rescisão</t>
    </r>
    <r>
      <rPr>
        <sz val="10"/>
        <color rgb="FF000000"/>
        <rFont val="Arial"/>
        <family val="2"/>
      </rPr>
      <t>) + Total do Módulo 4 (</t>
    </r>
    <r>
      <rPr>
        <i/>
        <sz val="10"/>
        <color rgb="FF000000"/>
        <rFont val="Arial"/>
        <family val="2"/>
      </rPr>
      <t>Custo de Reposição do Profissional Ausente</t>
    </r>
    <r>
      <rPr>
        <sz val="10"/>
        <color rgb="FF000000"/>
        <rFont val="Arial"/>
        <family val="2"/>
      </rPr>
      <t>) + Total do Módulo 5 (</t>
    </r>
    <r>
      <rPr>
        <i/>
        <sz val="10"/>
        <color rgb="FF000000"/>
        <rFont val="Arial"/>
        <family val="2"/>
      </rPr>
      <t>Insumos Diversos</t>
    </r>
    <r>
      <rPr>
        <sz val="10"/>
        <color rgb="FF000000"/>
        <rFont val="Arial"/>
        <family val="2"/>
      </rPr>
      <t>) + Custos Indiretos + Lucro</t>
    </r>
  </si>
  <si>
    <t>Tributos</t>
  </si>
  <si>
    <t>C.1</t>
  </si>
  <si>
    <t>Tributos Federais</t>
  </si>
  <si>
    <t>C.2</t>
  </si>
  <si>
    <t>Tributos Estaduais (especificar)</t>
  </si>
  <si>
    <t>--------------</t>
  </si>
  <si>
    <t>C.3</t>
  </si>
  <si>
    <t>Tributos Municipais</t>
  </si>
  <si>
    <t>ISS</t>
  </si>
  <si>
    <t>CUSTOS INDIRETOS, LUCRO E TRIBUTOS - TOTAL DO MÓDULO 6</t>
  </si>
  <si>
    <t>Nota 11</t>
  </si>
  <si>
    <t>Custos Indiretos, Lucro e Tributos por empregado</t>
  </si>
  <si>
    <t>Cálculo do Tributo:</t>
  </si>
  <si>
    <t xml:space="preserve">QUADRO RESUMO DO CUSTO POR EMPREGADO
</t>
  </si>
  <si>
    <t xml:space="preserve">                          MÃO DE OBRA VINCULADA À EXECUÇAO CONTRATUAL (valor por empregado)</t>
  </si>
  <si>
    <t>Módulo 1 - Composição da Remuneração</t>
  </si>
  <si>
    <t>Módulo 2 – Encargos e Benefícios Anuais, Mensais e Diários</t>
  </si>
  <si>
    <t>Módulo 3 – Provisão para Rescisão</t>
  </si>
  <si>
    <t>Módulo 4 – Custo de Reposição do Profissional Ausente</t>
  </si>
  <si>
    <t xml:space="preserve">Módulo 5 - Insumo Diversos </t>
  </si>
  <si>
    <t>Subtotal (A + B + C + D + E)</t>
  </si>
  <si>
    <t>Módulo 6 - Custos Indiretos, Lucro e Tributos</t>
  </si>
  <si>
    <t>Valor Total por Empregado - Servente de Limpeza</t>
  </si>
  <si>
    <t>COMPLEMENTO DOS SERVIÇOS DE LIMPEZA E CONSERVAÇÃO</t>
  </si>
  <si>
    <r>
      <rPr>
        <b/>
        <sz val="10"/>
        <color rgb="FF000000"/>
        <rFont val="Arial"/>
        <family val="2"/>
      </rPr>
      <t xml:space="preserve">PREÇO MENSAL UNITÁRIO POR M² </t>
    </r>
    <r>
      <rPr>
        <sz val="10"/>
        <color rgb="FF000000"/>
        <rFont val="Arial"/>
        <family val="2"/>
      </rPr>
      <t>(metro quadrado)</t>
    </r>
  </si>
  <si>
    <r>
      <rPr>
        <b/>
        <sz val="10"/>
        <color rgb="FF000000"/>
        <rFont val="Arial"/>
        <family val="2"/>
      </rPr>
      <t xml:space="preserve">ÁREA INTERNA - </t>
    </r>
    <r>
      <rPr>
        <sz val="10"/>
        <color rgb="FF000000"/>
        <rFont val="Arial"/>
        <family val="2"/>
      </rPr>
      <t>Conforme Produtividade de referência prevista no item 3.1 do Anexo VI-B da IN MPOG nº 05/2017 atualizada.</t>
    </r>
  </si>
  <si>
    <t>MÃO DE OBRA 
       ENCARREGADO / SERVENTE</t>
  </si>
  <si>
    <t>(1) 
PRODUTIVIDADE
(1/M²)</t>
  </si>
  <si>
    <t>(2)
PREÇO HOMEM-MÊS                   (R$)</t>
  </si>
  <si>
    <t>(1 X 2)
SUBTOTAL
(R$/M²)</t>
  </si>
  <si>
    <t xml:space="preserve">ENC. / Pisos acarpetados </t>
  </si>
  <si>
    <r>
      <rPr>
        <sz val="10"/>
        <color rgb="FF000000"/>
        <rFont val="Arial"/>
        <family val="2"/>
      </rPr>
      <t>SERV. / Pisos acarpetados</t>
    </r>
    <r>
      <rPr>
        <sz val="10"/>
        <color rgb="FFFF0000"/>
        <rFont val="Arial"/>
        <family val="2"/>
      </rPr>
      <t xml:space="preserve"> </t>
    </r>
  </si>
  <si>
    <t>TOTAL</t>
  </si>
  <si>
    <r>
      <rPr>
        <sz val="10"/>
        <color rgb="FF000000"/>
        <rFont val="Arial"/>
        <family val="2"/>
      </rPr>
      <t xml:space="preserve">ENC. / Pisos frios </t>
    </r>
    <r>
      <rPr>
        <sz val="10"/>
        <color rgb="FFFF3333"/>
        <rFont val="Arial"/>
        <family val="2"/>
      </rPr>
      <t xml:space="preserve"> </t>
    </r>
  </si>
  <si>
    <t xml:space="preserve">SERV. / Pisos frios </t>
  </si>
  <si>
    <r>
      <rPr>
        <sz val="10"/>
        <color rgb="FF000000"/>
        <rFont val="Arial"/>
        <family val="2"/>
      </rPr>
      <t>ENC. / Laboratórios</t>
    </r>
    <r>
      <rPr>
        <sz val="10"/>
        <color rgb="FFFF0000"/>
        <rFont val="Arial"/>
        <family val="2"/>
      </rPr>
      <t xml:space="preserve"> </t>
    </r>
  </si>
  <si>
    <r>
      <rPr>
        <sz val="10"/>
        <color rgb="FF000000"/>
        <rFont val="Arial"/>
        <family val="2"/>
      </rPr>
      <t>SERV. / Laboratórios</t>
    </r>
    <r>
      <rPr>
        <sz val="10"/>
        <color rgb="FFFF0000"/>
        <rFont val="Arial"/>
        <family val="2"/>
      </rPr>
      <t xml:space="preserve"> </t>
    </r>
  </si>
  <si>
    <t xml:space="preserve">ENC. / Almoxaridados/galpões </t>
  </si>
  <si>
    <t xml:space="preserve">SERV./Almoxaridados/galpões </t>
  </si>
  <si>
    <t>ENC. / Oficinas</t>
  </si>
  <si>
    <t xml:space="preserve">SERV. / Oficinas </t>
  </si>
  <si>
    <t xml:space="preserve">ENC. / Áreas com espaços livres - saguão, hall e salão </t>
  </si>
  <si>
    <t xml:space="preserve">SERV. / Áreas com espaços livres - saguão, hall e salão </t>
  </si>
  <si>
    <t xml:space="preserve">ENC. / Piso Emborrachado </t>
  </si>
  <si>
    <t>SERV. / Piso Emborrachado</t>
  </si>
  <si>
    <t xml:space="preserve">TOTAL  </t>
  </si>
  <si>
    <t>ENC. / Paredes</t>
  </si>
  <si>
    <t>SERV. / Paredes</t>
  </si>
  <si>
    <t>ENC. / Teto</t>
  </si>
  <si>
    <t>SERV. / Teto</t>
  </si>
  <si>
    <t xml:space="preserve">TOTAL   </t>
  </si>
  <si>
    <r>
      <rPr>
        <b/>
        <sz val="10"/>
        <color rgb="FF000000"/>
        <rFont val="Arial"/>
        <family val="2"/>
      </rPr>
      <t xml:space="preserve">ÁREA EXTERNA - </t>
    </r>
    <r>
      <rPr>
        <sz val="10"/>
        <color rgb="FF000000"/>
        <rFont val="Arial"/>
        <family val="2"/>
      </rPr>
      <t>Conforme Produtividade de referência prevista no item 3.2 do Anexo VI-B da IN MPOG nº 05/2017 atualizada.</t>
    </r>
  </si>
  <si>
    <t>MÃO DE OBRA
       ENCARREGADO / SERVENTE</t>
  </si>
  <si>
    <t>(1)
PRODUTIVIDADE
(1/M²)</t>
  </si>
  <si>
    <t>(2)
PREÇO HOMEM-MÊS
(R$)</t>
  </si>
  <si>
    <r>
      <rPr>
        <sz val="10"/>
        <color rgb="FF000000"/>
        <rFont val="Arial"/>
        <family val="2"/>
      </rPr>
      <t xml:space="preserve">ENC. / Pisos pavimentados adjacentes/contíguos às edificações          </t>
    </r>
    <r>
      <rPr>
        <sz val="10"/>
        <color rgb="FFFF0000"/>
        <rFont val="Arial"/>
        <family val="2"/>
      </rPr>
      <t xml:space="preserve"> </t>
    </r>
  </si>
  <si>
    <t>30</t>
  </si>
  <si>
    <t xml:space="preserve">SERV. / Pisos pavimentados adjacentes/contíguos às edificações          </t>
  </si>
  <si>
    <t>ENC. / Passarelas externas (Paredes)</t>
  </si>
  <si>
    <t>SERV. / Passarelas externas (Paredes)</t>
  </si>
  <si>
    <t>ENC. / Passarelas externas (Teto)</t>
  </si>
  <si>
    <t>SERV. / Passarelas externas (Teto)</t>
  </si>
  <si>
    <r>
      <rPr>
        <sz val="10"/>
        <color rgb="FF000000"/>
        <rFont val="Arial"/>
        <family val="2"/>
      </rPr>
      <t>ENC. / Varrição de passeios e arruamentos</t>
    </r>
    <r>
      <rPr>
        <sz val="10"/>
        <color rgb="FFFF0000"/>
        <rFont val="Arial"/>
        <family val="2"/>
      </rPr>
      <t xml:space="preserve">  </t>
    </r>
  </si>
  <si>
    <t xml:space="preserve">SERV. / Varrição de passeios e arruamentos </t>
  </si>
  <si>
    <t xml:space="preserve">ENC. / pátios e áreas verdes com alta frequência </t>
  </si>
  <si>
    <t xml:space="preserve">SERV. / Pátios e áreas verdes com alta frequência </t>
  </si>
  <si>
    <t xml:space="preserve">Enc. / Pátios e áreas verdes com média frequência </t>
  </si>
  <si>
    <t xml:space="preserve">SERV. / Pátios e áreas verdes com média frequência </t>
  </si>
  <si>
    <t xml:space="preserve">ENC. / Pátios e áreas verdes com baixa frequência </t>
  </si>
  <si>
    <t>1</t>
  </si>
  <si>
    <t xml:space="preserve">SERV. / Pátios e áreas verdes com baixa frequência </t>
  </si>
  <si>
    <t xml:space="preserve">ENC. / Coleta de detritos em pátio e áreas verdes com frequência diária </t>
  </si>
  <si>
    <t xml:space="preserve">SERV. / Coleta de detritos em pátios e áreas verdes com frequência diária </t>
  </si>
  <si>
    <t>ÁREA MÉDICO- HOSPITALAR E ASSEMELHADOS - Conforme Produtividade de referência prevista no item 3.5 do Anexo VI-B da IN MPOG nº 05/2017 atualizada.</t>
  </si>
  <si>
    <t>MÃO DE OBRA
ENCARREGADO / SERVENTE</t>
  </si>
  <si>
    <t>(2)
PREÇO HOMEM-MÊS            (R$)</t>
  </si>
  <si>
    <t xml:space="preserve">Encarregado </t>
  </si>
  <si>
    <t xml:space="preserve">Servente </t>
  </si>
  <si>
    <t xml:space="preserve">* Caso as produtividades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</si>
  <si>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VALOR MENSAL DOS SERVIÇOS</t>
  </si>
  <si>
    <t>PREÇO MENSAL UNITÁRIO (R$/M²)</t>
  </si>
  <si>
    <t>ÁREA
(M²)</t>
  </si>
  <si>
    <t>SUBTOTAL
(R$)</t>
  </si>
  <si>
    <t>g) Áreas internas - Pisos emborrachados</t>
  </si>
  <si>
    <t>d) Áreas externas - Varrição de passeios e arruamentos</t>
  </si>
  <si>
    <t>e) Área externa - Pátios e áreas verdes com alta frequência</t>
  </si>
  <si>
    <t>f) Áreas externas - Pátios e áreas verdes com média frequência</t>
  </si>
  <si>
    <t>g) Áreas externas - Pátios e áreas verdes com baixa frequência</t>
  </si>
  <si>
    <t>h) Áreas externas - Coleta de detritos em pátios e áreas verdes com frequência diária</t>
  </si>
  <si>
    <t>TOTAL DAS ÁREAS HOSPITALES E ASSEMELHADAS</t>
  </si>
  <si>
    <t>TOTAL GERAL</t>
  </si>
  <si>
    <t>Valor mensal do serviço</t>
  </si>
  <si>
    <t>Número de meses do contrato</t>
  </si>
  <si>
    <t>Valor global da proposta (valor mensal do serviço x nº de meses do contrato)</t>
  </si>
  <si>
    <t xml:space="preserve">QUANTIDADE DE PESSOAL ALOCADO NA EXECUÇÃO CONTRATUAL </t>
  </si>
  <si>
    <t>Tipo de Mão de Obra</t>
  </si>
  <si>
    <t>Quantidade de Pessoal</t>
  </si>
  <si>
    <t xml:space="preserve"> MATERIAIS, MÁQUINAS E EQUIPAMENTOS ALOCADOS NA EXECUÇÃO CONTRATUAL  (previstos na aba de Insumos Diversos e no Edital do Processo Licitatório</t>
  </si>
  <si>
    <t>SERVIÇO DE LIMPEZA (BANHEIROS)</t>
  </si>
  <si>
    <t xml:space="preserve">Prestação de serviços de limpeza de banheiros para o IFFAR  </t>
  </si>
  <si>
    <t>a) Banheiros - Piso</t>
  </si>
  <si>
    <t>b) Banheiros - Paredes</t>
  </si>
  <si>
    <t>c) Banheiros - Teto</t>
  </si>
  <si>
    <t>TOTAL DA ÁREA DOS BANHEIROS</t>
  </si>
  <si>
    <t>TOTAL GERAL (BANHEIROS)</t>
  </si>
  <si>
    <t>O Módulo 1 refere-se o valor mensal devido ao empregado pela prestação do serviço.</t>
  </si>
  <si>
    <t>Encargos Previdenciários (GPS), Fundo de Garantia por Tempo de Serviço (FGTS) e outras Contribuições                                                 BASE DE CÁLCULO = MÓDULO 1 (Total da Remuneração) + SUBMÓDULO 201</t>
  </si>
  <si>
    <t>Módulo 1         Remuneração</t>
  </si>
  <si>
    <t>Módulo 2                                  Sem VA e VT</t>
  </si>
  <si>
    <t xml:space="preserve">Total </t>
  </si>
  <si>
    <r>
      <rPr>
        <b/>
        <sz val="10"/>
        <color rgb="FF000000"/>
        <rFont val="Arial"/>
        <family val="2"/>
      </rPr>
      <t xml:space="preserve">BANHEIROS - </t>
    </r>
    <r>
      <rPr>
        <sz val="10"/>
        <color rgb="FF000000"/>
        <rFont val="Arial"/>
        <family val="2"/>
      </rPr>
      <t>Conforme Produtividade de referência prevista no item 3.1 do Anexo VI-B da IN MPOG nº 05/2017 atualizada.</t>
    </r>
  </si>
  <si>
    <t>ENC. / Banheiros - Piso</t>
  </si>
  <si>
    <t>SERV. / Banheiros - Piso</t>
  </si>
  <si>
    <t>ENC. / Banheiros - Paredes</t>
  </si>
  <si>
    <t>SERV. / Banheiros - Paredes</t>
  </si>
  <si>
    <t>ENC. / Banheiros - Teto</t>
  </si>
  <si>
    <t>SERV. / Banheiros - Teto</t>
  </si>
  <si>
    <t xml:space="preserve">* Caso as produtividades mínimas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</si>
  <si>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a) Áreas Banheiros - Piso</t>
  </si>
  <si>
    <t>b) Áreas Banheiros - Paredes</t>
  </si>
  <si>
    <t>c) Áreas Banheiros - Teto</t>
  </si>
  <si>
    <t>TOTAL DA ÁREA DE BANHEIROS</t>
  </si>
  <si>
    <r>
      <rPr>
        <b/>
        <sz val="10"/>
        <color rgb="FF000000"/>
        <rFont val="Arial"/>
        <family val="2"/>
      </rPr>
      <t>b) Outras áreas</t>
    </r>
    <r>
      <rPr>
        <sz val="10"/>
        <color rgb="FF000000"/>
        <rFont val="Arial"/>
        <family val="2"/>
      </rPr>
      <t xml:space="preserve"> (especificar)</t>
    </r>
  </si>
  <si>
    <t>TOTAL DOS BANHEIROS</t>
  </si>
  <si>
    <t xml:space="preserve"> MATERIAIS, MÁQUINAS E EQUIPAMENTOS ALOCADOS NA EXECUÇÃO CONTRATUAL Já previstos na aba de planilha aba geral. Esta planilha prevê apenas uniformes, conforme descrição prevista no ANEXO de execução de São Vicente do Sul.</t>
  </si>
  <si>
    <t>SERVIÇO DE LIMPEZA (ESQUADRIAS E FACHADA ENVIDRAÇADA)</t>
  </si>
  <si>
    <t xml:space="preserve">Serviços de limpeza de esquadrias e fachadas envidraçadas para o IFFAR  </t>
  </si>
  <si>
    <t xml:space="preserve">conforme área determinada convertida de </t>
  </si>
  <si>
    <t>a) Esquadrias - Face externa com exposição a situação de risco</t>
  </si>
  <si>
    <t>b) Esquadrias - Face externa sem exposição a situação de risco</t>
  </si>
  <si>
    <t>c) Esquadrias - Face interna</t>
  </si>
  <si>
    <t>TOTAL DA ÁREA DAS ESQUADRIAS - FACE INTERNA/EXTERNA</t>
  </si>
  <si>
    <t>a) Fachada envidraçada</t>
  </si>
  <si>
    <t>TOTAL DA ÁREA DA FACHADA ENVIDRAÇADA</t>
  </si>
  <si>
    <t>TOTAL GERAL (ESQUADRIAS E FACHADA ENVIDRAÇADA)</t>
  </si>
  <si>
    <t>Encargos Previdenciários (GPS), Fundo de Garantia por Tempo de Serviço (FGTS) e outras Contribuições                                                   BASE DE CÁLCULO = MÓDULO 1 (Total da Remuneração) + SUBMÓDULO 201</t>
  </si>
  <si>
    <t>Módulo 2                               Sem VA e VT</t>
  </si>
  <si>
    <t xml:space="preserve">Outros (especificar) </t>
  </si>
  <si>
    <t>ESQUADRIA  - Conforme Produtividade de referência prevista no item 3.3 do Anexo VI-B da IN MPOG nº 05/2017 atualizada.</t>
  </si>
  <si>
    <r>
      <rPr>
        <b/>
        <sz val="9"/>
        <color rgb="FF000000"/>
        <rFont val="Arial"/>
        <family val="2"/>
      </rPr>
      <t xml:space="preserve">MÃO DE OBRA 
       </t>
    </r>
    <r>
      <rPr>
        <b/>
        <sz val="8"/>
        <color rgb="FF000000"/>
        <rFont val="Arial"/>
        <family val="2"/>
      </rPr>
      <t>ENCARREGADO / SERVENTE</t>
    </r>
  </si>
  <si>
    <t>(1)
PRODUTIVIDADE 
(1/M²)</t>
  </si>
  <si>
    <t>(2) FREQUÊNCIA NO MÊS    (HORAS)      16 ***</t>
  </si>
  <si>
    <t>(3)
 JORNADA DE TRABALHO NO MÊS
 (HORAS)</t>
  </si>
  <si>
    <t>(4) 
= (1 X 2 X 3)
Ki****</t>
  </si>
  <si>
    <t>(5)
PREÇO HOMEM-MÊS 
(R$)</t>
  </si>
  <si>
    <t>(6) = (4 X 5)
 SUBTOTAL
 (R$/M²)</t>
  </si>
  <si>
    <t xml:space="preserve">ENC. / Face externa com exposição a situação de risco </t>
  </si>
  <si>
    <t>188,76</t>
  </si>
  <si>
    <t xml:space="preserve">SERV. / Face externa com exposição a situação de risco </t>
  </si>
  <si>
    <t xml:space="preserve">ENC. / Face externa sem exposição a situação de risco </t>
  </si>
  <si>
    <t xml:space="preserve">SERV. / Face externa sem exposição a situação de risco </t>
  </si>
  <si>
    <t xml:space="preserve">ENC. / Face interna              </t>
  </si>
  <si>
    <t xml:space="preserve">SERV. / Face interna </t>
  </si>
  <si>
    <t xml:space="preserve">TOTAL </t>
  </si>
  <si>
    <t>FACHADA ENVIDRAÇADA  - Conforme Produtividade de referência prevista no item 3.4 do Anexo VI-B da IN MPOG nº 05/2017 atualizada.</t>
  </si>
  <si>
    <t>(1)
PRODUTIVIDADE (1/M²)</t>
  </si>
  <si>
    <t>(2) FREQUÊNCIA NO SEMESTRE (HORAS) 8 ***</t>
  </si>
  <si>
    <t>(3)
JORNADA DE TRABALHO NO SEMESTRE (HORAS)</t>
  </si>
  <si>
    <t>(4) 
= (1 X 2 X 3)                               Ke****</t>
  </si>
  <si>
    <t>(5) PREÇO HOMEM-MÊS (R$)</t>
  </si>
  <si>
    <t>(4 X 5)
                  SUBTOTAL                      (R$/M²)</t>
  </si>
  <si>
    <t xml:space="preserve">Encarregado     </t>
  </si>
  <si>
    <t>TOTAL DA FACHADA ENVIDRAÇADA</t>
  </si>
  <si>
    <t>c) Esquadrias  - Face interna</t>
  </si>
  <si>
    <t>TOTAL DA ÁREA DAS ESQUADRIAS EXTERNAS</t>
  </si>
  <si>
    <t>TOTAL DA ÁREA FACHADA ENVIDRAÇADA</t>
  </si>
  <si>
    <r>
      <rPr>
        <b/>
        <sz val="10"/>
        <color rgb="FF000000"/>
        <rFont val="Arial"/>
        <family val="2"/>
      </rPr>
      <t xml:space="preserve">TOTAL DAS OUTRAS ÁREAS </t>
    </r>
    <r>
      <rPr>
        <sz val="10"/>
        <color rgb="FF000000"/>
        <rFont val="Arial"/>
        <family val="2"/>
      </rPr>
      <t>(ESPECIFICAR)</t>
    </r>
  </si>
  <si>
    <t>TOTAL DAS ESQUADRIAS E FACHADA ENVIDRAÇADA</t>
  </si>
  <si>
    <t>MATERIAIS, MÁQUINAS E EQUIPAMENTOS ALOCADOS NA EXECUÇÃO CONTRATUAL Já previstos na aba de planilha aba geral. Esta planilha prevê apenas uniformes, conforme descrição prevista no ANEXO.</t>
  </si>
  <si>
    <t>SERVIÇO DE LIMPEZA (ENCARREGADO)</t>
  </si>
  <si>
    <t xml:space="preserve">Prestação de serviços de encarregado da limpeza geral para o IFFAR  </t>
  </si>
  <si>
    <t>conforme área determinada total convertida</t>
  </si>
  <si>
    <t>Posto de Trabalho de Encarregado</t>
  </si>
  <si>
    <t>Posto</t>
  </si>
  <si>
    <t>Módulo 2                                Sem VA e VT</t>
  </si>
  <si>
    <t>Encarregado</t>
  </si>
  <si>
    <t>RESUMO DA PROPOSTA</t>
  </si>
  <si>
    <t>TIPO DE SERVIÇO</t>
  </si>
  <si>
    <t>QUANTIDADE DE MÃO DE OBRA A SER ALOCADA</t>
  </si>
  <si>
    <t>VALOR TOTAL POR MÊS EM R$</t>
  </si>
  <si>
    <t>VALOR TOTAL A CONTRATAR</t>
  </si>
  <si>
    <t>TOTALIZADOR</t>
  </si>
  <si>
    <t xml:space="preserve">Postos de trabalho, sendo um deles posto de encarregado. </t>
  </si>
  <si>
    <t xml:space="preserve">VALOR TOTAL DO SERVIÇO PARA </t>
  </si>
  <si>
    <t>MESES</t>
  </si>
  <si>
    <t>Declaro para devidos fins que:</t>
  </si>
  <si>
    <t>1. Estou CIENTE e de ACORDO com as condições previstas Projeto Básico.</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</si>
  <si>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</si>
  <si>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</si>
  <si>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</si>
  <si>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</si>
  <si>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</si>
  <si>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t>
  </si>
  <si>
    <t>Assinatura do Responsável</t>
  </si>
  <si>
    <t>Nome</t>
  </si>
  <si>
    <t>CPF</t>
  </si>
  <si>
    <t>Cargo/Função</t>
  </si>
  <si>
    <t>Local</t>
  </si>
  <si>
    <t>Data</t>
  </si>
  <si>
    <t>CUSTO ANUAL DOS SANEANTES DOMISSANITÁRIOS</t>
  </si>
  <si>
    <t xml:space="preserve">MÁSCARA MULTIUSO - MÁSCARA MULTIUSO, MATERIAL MANTA SINTÉTICA COM TRATAMENTO ELETROSTÁTICO, TIPO USO DESCARTÁVEL, FINALIDADE PROTEÇÃO CONTRA POEIRAS, FUMOS E NÉVOAS TÓXICAS,TIPO CORREIA CINTA ELÁSTICA COM AJUSTE NO ROSTO, TAMANHO ÚNICO, COR BRANCA, CARACTERÍSTICAS ADICIONAIS N95/PFF2,MÍNIMO FILTRAÇÃO 95% PARTÍCULAS ATÉ 0,3 </t>
  </si>
  <si>
    <t>PERIODICIDADE</t>
  </si>
  <si>
    <t>5xDIA</t>
  </si>
  <si>
    <t>BIMESTRAL</t>
  </si>
  <si>
    <t>Banheiros (piso)</t>
  </si>
  <si>
    <t>Como a Planilha de Custos é calculada mensalmente, provisiona-se 1/12 (um doze avos) dos valores referentes à gratificação natalina e adicional de férias.</t>
  </si>
  <si>
    <r>
      <t>Auxílio-Alimentação</t>
    </r>
    <r>
      <rPr>
        <sz val="10"/>
        <color rgb="FF000000"/>
        <rFont val="Arial"/>
        <family val="2"/>
      </rPr>
      <t xml:space="preserve"> - [(24xVA)x(1-0,19)]</t>
    </r>
  </si>
  <si>
    <t>Quantidade de mão de obra alocada na prestação dos serviços (Limpeza Geral, Limpeza de Banheiros, Limpeza de Esquadrias)</t>
  </si>
  <si>
    <t>Postos de trabalho responsáveis pela execução dos serviços de limpeza</t>
  </si>
  <si>
    <t>33 / 2021</t>
  </si>
  <si>
    <r>
      <t>Desinfetante, princípio ativo: à base de cloreto de benzalcônio, teor ativo: a 15%, forma física: solução aquosa,</t>
    </r>
    <r>
      <rPr>
        <b/>
        <sz val="11"/>
        <rFont val="Arial"/>
        <family val="2"/>
      </rPr>
      <t xml:space="preserve"> LAVANDA.</t>
    </r>
    <r>
      <rPr>
        <sz val="11"/>
        <rFont val="Arial"/>
        <family val="2"/>
      </rPr>
      <t xml:space="preserve"> 5 LITROS</t>
    </r>
  </si>
  <si>
    <r>
      <t xml:space="preserve">Desodorizador de ar, aromatizante de ambientes em geral, </t>
    </r>
    <r>
      <rPr>
        <b/>
        <sz val="11"/>
        <rFont val="Arial"/>
        <family val="2"/>
      </rPr>
      <t>aroma: lavanda</t>
    </r>
    <r>
      <rPr>
        <sz val="11"/>
        <rFont val="Arial"/>
        <family val="2"/>
      </rPr>
      <t xml:space="preserve">, aerosol, biodegradável. Validade, impressa na embalagem, mínima de 22 meses anos a partir da entrega. </t>
    </r>
    <r>
      <rPr>
        <b/>
        <sz val="11"/>
        <rFont val="Arial"/>
        <family val="2"/>
      </rPr>
      <t>Tubo com 360ml</t>
    </r>
  </si>
  <si>
    <r>
      <t xml:space="preserve">SACO PLÁSTICO LIXO, CAPACIDADE 100L, </t>
    </r>
    <r>
      <rPr>
        <b/>
        <sz val="11"/>
        <color rgb="FF0000FF"/>
        <rFont val="Arial"/>
        <family val="2"/>
      </rPr>
      <t>COR AZUL</t>
    </r>
    <r>
      <rPr>
        <sz val="11"/>
        <color rgb="FF0000FF"/>
        <rFont val="Arial"/>
        <family val="2"/>
      </rPr>
      <t>,</t>
    </r>
    <r>
      <rPr>
        <sz val="11"/>
        <color rgb="FF000000"/>
        <rFont val="Arial"/>
        <family val="2"/>
      </rPr>
      <t xml:space="preserve"> LARGURA MÍNIMA 39CM, ALTURA 50, CARACTERÍSTICAS ADICIONAIS APLICAÇÃO COLETA DE LIXO. PACOTE COM 100 UNIDADES</t>
    </r>
  </si>
  <si>
    <r>
      <t xml:space="preserve">Pano limpeza, material 100% algodão, comprimento 60cm, largura 35cm, características adicionais tipo </t>
    </r>
    <r>
      <rPr>
        <b/>
        <sz val="11"/>
        <color rgb="FF222222"/>
        <rFont val="Arial"/>
        <family val="2"/>
      </rPr>
      <t>flanela</t>
    </r>
    <r>
      <rPr>
        <sz val="11"/>
        <color rgb="FF222222"/>
        <rFont val="Arial"/>
        <family val="2"/>
      </rPr>
      <t>, bordas lisa, aplicação limpeza geral.</t>
    </r>
  </si>
  <si>
    <r>
      <t xml:space="preserve">Mangueira jardim, material PVC-traçado em náilon, diâmetro 1/2, espessura 2, pressão máxima 6, </t>
    </r>
    <r>
      <rPr>
        <b/>
        <sz val="11"/>
        <color rgb="FFFF0000"/>
        <rFont val="Arial"/>
        <family val="2"/>
      </rPr>
      <t>comprimento 50 metros</t>
    </r>
    <r>
      <rPr>
        <sz val="11"/>
        <color rgb="FF222222"/>
        <rFont val="Arial"/>
        <family val="2"/>
      </rPr>
      <t>, cor (laranja ou verde ou azul), características adicionais (com esguicho e com engate rosqueador)</t>
    </r>
  </si>
  <si>
    <r>
      <t xml:space="preserve">RODO, COM CABO DE PELO </t>
    </r>
    <r>
      <rPr>
        <b/>
        <sz val="11"/>
        <color rgb="FFFF0000"/>
        <rFont val="Arial"/>
        <family val="2"/>
      </rPr>
      <t>MENOS 120 CM</t>
    </r>
    <r>
      <rPr>
        <sz val="11"/>
        <color rgb="FF000000"/>
        <rFont val="Arial"/>
        <family val="2"/>
      </rPr>
      <t xml:space="preserve">, MATERIAL SUPORTE DE PLÁSTICO, COMPRIMENTO MÍNIMO DO </t>
    </r>
    <r>
      <rPr>
        <b/>
        <sz val="11"/>
        <color rgb="FFFF0000"/>
        <rFont val="Arial"/>
        <family val="2"/>
      </rPr>
      <t>SUPORTE 60 CM</t>
    </r>
    <r>
      <rPr>
        <sz val="11"/>
        <color rgb="FF000000"/>
        <rFont val="Arial"/>
        <family val="2"/>
      </rPr>
      <t>, QUANTIDADE DE BORRACHAS 02 UN, CARACTERÍSTICAS ADICIONAIS: CABO COM ROSCA PLÁSTICA.</t>
    </r>
  </si>
  <si>
    <r>
      <rPr>
        <b/>
        <u/>
        <sz val="10"/>
        <color rgb="FF000000"/>
        <rFont val="Calibri"/>
        <family val="2"/>
      </rPr>
      <t xml:space="preserve">  Base de Cálculo para os Tributos  
</t>
    </r>
    <r>
      <rPr>
        <b/>
        <sz val="10"/>
        <color rgb="FF000000"/>
        <rFont val="Calibri"/>
        <family val="2"/>
      </rPr>
      <t>1- (Total de Tributos em % dividido por 100)</t>
    </r>
  </si>
  <si>
    <t>x Alíquota do Tributo</t>
  </si>
  <si>
    <t>QUADRO RESUMO DO CUSTO POR EMPREGADO</t>
  </si>
  <si>
    <t>INFORMAÇÕES TRIBUTOS SIMPLES NACIONAL</t>
  </si>
  <si>
    <r>
      <t xml:space="preserve">INFORMAÇÕES LUCRO REAL - PIS COFINS NÃO CUMULATIVO - </t>
    </r>
    <r>
      <rPr>
        <b/>
        <sz val="11"/>
        <color rgb="FFFF0000"/>
        <rFont val="Arial"/>
        <family val="2"/>
      </rPr>
      <t>LEI 10637 DE 30/12/2002 E LEI 10833 DE 29/12/2003</t>
    </r>
  </si>
  <si>
    <t>LUCRO REAL = 1     LUCRO PRESUMIDO = 2   SIMPLES-Anexo III = 3     SIMPLES-Anexo IV = 4     LR NÃO CUMULATIVO = 5</t>
  </si>
  <si>
    <r>
      <t xml:space="preserve">Salário-Base </t>
    </r>
    <r>
      <rPr>
        <sz val="10"/>
        <color rgb="FF000000"/>
        <rFont val="Arial"/>
        <family val="2"/>
      </rPr>
      <t>- Jornada de Trabalho de</t>
    </r>
  </si>
  <si>
    <r>
      <t>Outros</t>
    </r>
    <r>
      <rPr>
        <sz val="10"/>
        <color rgb="FF000000"/>
        <rFont val="Arial"/>
        <family val="2"/>
      </rPr>
      <t xml:space="preserve"> (especificar)                  </t>
    </r>
    <r>
      <rPr>
        <b/>
        <sz val="10"/>
        <color rgb="FF000000"/>
        <rFont val="Arial"/>
        <family val="2"/>
      </rPr>
      <t xml:space="preserve">                        </t>
    </r>
  </si>
  <si>
    <r>
      <t>13º (Décimo Terceiro) Salário</t>
    </r>
    <r>
      <rPr>
        <sz val="10"/>
        <color rgb="FF000000"/>
        <rFont val="Arial"/>
        <family val="2"/>
      </rPr>
      <t xml:space="preserve"> - Rem/12     </t>
    </r>
  </si>
  <si>
    <r>
      <t xml:space="preserve">Transporte - </t>
    </r>
    <r>
      <rPr>
        <sz val="10"/>
        <color rgb="FF000000"/>
        <rFont val="Arial"/>
        <family val="2"/>
      </rPr>
      <t>[(2xVTx24) – (6%xSB)]</t>
    </r>
  </si>
  <si>
    <r>
      <t xml:space="preserve">Outros </t>
    </r>
    <r>
      <rPr>
        <sz val="10"/>
        <color rgb="FF000000"/>
        <rFont val="Arial"/>
        <family val="2"/>
      </rPr>
      <t xml:space="preserve">(especificar)            </t>
    </r>
    <r>
      <rPr>
        <b/>
        <sz val="10"/>
        <color rgb="FF000000"/>
        <rFont val="Arial"/>
        <family val="2"/>
      </rPr>
      <t xml:space="preserve">                                </t>
    </r>
  </si>
  <si>
    <r>
      <t>Aviso Prévio Indenizado</t>
    </r>
    <r>
      <rPr>
        <sz val="10"/>
        <color rgb="FF000000"/>
        <rFont val="Arial"/>
        <family val="2"/>
      </rPr>
      <t xml:space="preserve"> -  [Rem/12 + 13º/12 + Férias/12 + (1/3 x Férias)/12] x (30/30=1) x 5% de rotatividade anual </t>
    </r>
  </si>
  <si>
    <r>
      <t xml:space="preserve">Multa do FGTS sobre o Aviso Prévio Indenizado </t>
    </r>
    <r>
      <rPr>
        <sz val="10"/>
        <color rgb="FF000000"/>
        <rFont val="Arial"/>
        <family val="2"/>
      </rPr>
      <t>- [40% x 8% x (Rem + 13º + Férias + 1/3xFérias)] x 5% de rotatividade</t>
    </r>
  </si>
  <si>
    <r>
      <t xml:space="preserve">Aviso Prévio Trabalhado </t>
    </r>
    <r>
      <rPr>
        <sz val="10"/>
        <color rgb="FF000000"/>
        <rFont val="Arial"/>
        <family val="2"/>
      </rPr>
      <t>- [(Rem/30)x7]/12x100% dos empregados ao final do contrato</t>
    </r>
  </si>
  <si>
    <r>
      <t xml:space="preserve">Multa do FGTS sobre o Aviso Prévio Trabalhado </t>
    </r>
    <r>
      <rPr>
        <sz val="10"/>
        <color rgb="FF000000"/>
        <rFont val="Arial"/>
        <family val="2"/>
      </rPr>
      <t>- [40% x 8% x (Rem + 13º + Férias + 1/3xFérias)]x100% dos empregados</t>
    </r>
  </si>
  <si>
    <r>
      <t>Substituto na cobertura de Ausências Legais -</t>
    </r>
    <r>
      <rPr>
        <sz val="10"/>
        <color rgb="FF000000"/>
        <rFont val="Arial"/>
        <family val="2"/>
      </rPr>
      <t xml:space="preserve"> [(BCCPA/30)x1dia]/12</t>
    </r>
  </si>
  <si>
    <r>
      <t>Substituto na cobertura de Licença-Paternidade -</t>
    </r>
    <r>
      <rPr>
        <sz val="10"/>
        <color rgb="FF000000"/>
        <rFont val="Arial"/>
        <family val="2"/>
      </rPr>
      <t xml:space="preserve"> {[(BCCPA/30)x5dias]/12}x1,5%</t>
    </r>
  </si>
  <si>
    <r>
      <t>Substituto na cobertura de Ausência por Acidente de Trabalho -</t>
    </r>
    <r>
      <rPr>
        <sz val="10"/>
        <color rgb="FF000000"/>
        <rFont val="Arial"/>
        <family val="2"/>
      </rPr>
      <t xml:space="preserve"> {[(BCCPA/30)x15dias]/12}x0,78%</t>
    </r>
  </si>
  <si>
    <r>
      <t>Substituto na cobertura de Afastamento Maternidade -</t>
    </r>
    <r>
      <rPr>
        <sz val="10"/>
        <color rgb="FF000000"/>
        <rFont val="Arial"/>
        <family val="2"/>
      </rPr>
      <t xml:space="preserve"> {[(Mód.1+Mód.1/3)/12+(sub.2.2+sub.2.3-VA-VT+Mód.3)]x(4/12)}x2%</t>
    </r>
  </si>
  <si>
    <r>
      <t xml:space="preserve">Substituto na cobertura de Ausência por Doença - </t>
    </r>
    <r>
      <rPr>
        <sz val="10"/>
        <color rgb="FF000000"/>
        <rFont val="Arial"/>
        <family val="2"/>
      </rPr>
      <t>[(BCCPA)/30)x5dias]/12</t>
    </r>
  </si>
  <si>
    <r>
      <t xml:space="preserve">BASE DE CÁLCULO DOS CUSTOS INDIRETOS </t>
    </r>
    <r>
      <rPr>
        <sz val="10"/>
        <color rgb="FF000000"/>
        <rFont val="Arial"/>
        <family val="2"/>
      </rPr>
      <t xml:space="preserve"> = Total do Módulo 1 (</t>
    </r>
    <r>
      <rPr>
        <i/>
        <sz val="10"/>
        <color rgb="FF000000"/>
        <rFont val="Arial"/>
        <family val="2"/>
      </rPr>
      <t>Composição da  Remuneração</t>
    </r>
    <r>
      <rPr>
        <sz val="10"/>
        <color rgb="FF000000"/>
        <rFont val="Arial"/>
        <family val="2"/>
      </rPr>
      <t>) + Total do Módulo 2 (</t>
    </r>
    <r>
      <rPr>
        <i/>
        <sz val="10"/>
        <color rgb="FF000000"/>
        <rFont val="Arial"/>
        <family val="2"/>
      </rPr>
      <t>Encargos e Benefícios Anuais, Mensais e Diários</t>
    </r>
    <r>
      <rPr>
        <sz val="10"/>
        <color rgb="FF000000"/>
        <rFont val="Arial"/>
        <family val="2"/>
      </rPr>
      <t>) + Total do Módulo 3 (</t>
    </r>
    <r>
      <rPr>
        <i/>
        <sz val="10"/>
        <color rgb="FF000000"/>
        <rFont val="Arial"/>
        <family val="2"/>
      </rPr>
      <t>Provisão para Rescisão</t>
    </r>
    <r>
      <rPr>
        <sz val="10"/>
        <color rgb="FF000000"/>
        <rFont val="Arial"/>
        <family val="2"/>
      </rPr>
      <t>) + Total do Módulo 4 (</t>
    </r>
    <r>
      <rPr>
        <i/>
        <sz val="10"/>
        <color rgb="FF000000"/>
        <rFont val="Arial"/>
        <family val="2"/>
      </rPr>
      <t>Custo de Reposição do Profissional Ausente</t>
    </r>
    <r>
      <rPr>
        <sz val="10"/>
        <color rgb="FF000000"/>
        <rFont val="Arial"/>
        <family val="2"/>
      </rPr>
      <t>) + Total do Módulo 5 (</t>
    </r>
    <r>
      <rPr>
        <i/>
        <sz val="10"/>
        <color rgb="FF000000"/>
        <rFont val="Arial"/>
        <family val="2"/>
      </rPr>
      <t>Insumos Diversos</t>
    </r>
    <r>
      <rPr>
        <sz val="10"/>
        <color rgb="FF000000"/>
        <rFont val="Arial"/>
        <family val="2"/>
      </rPr>
      <t>)</t>
    </r>
  </si>
  <si>
    <r>
      <t xml:space="preserve">BASE DE CÁLCULO DO LUCRO =  </t>
    </r>
    <r>
      <rPr>
        <sz val="10"/>
        <color rgb="FF000000"/>
        <rFont val="Arial"/>
        <family val="2"/>
      </rPr>
      <t>Total do Módulo 1 (</t>
    </r>
    <r>
      <rPr>
        <i/>
        <sz val="10"/>
        <color rgb="FF000000"/>
        <rFont val="Arial"/>
        <family val="2"/>
      </rPr>
      <t>Composição da  Remuneração</t>
    </r>
    <r>
      <rPr>
        <sz val="10"/>
        <color rgb="FF000000"/>
        <rFont val="Arial"/>
        <family val="2"/>
      </rPr>
      <t>) + Total do Módulo 2 (</t>
    </r>
    <r>
      <rPr>
        <i/>
        <sz val="10"/>
        <color rgb="FF000000"/>
        <rFont val="Arial"/>
        <family val="2"/>
      </rPr>
      <t>Encargos e Benefícios Anuais, Mensais e Diários</t>
    </r>
    <r>
      <rPr>
        <sz val="10"/>
        <color rgb="FF000000"/>
        <rFont val="Arial"/>
        <family val="2"/>
      </rPr>
      <t>) + Total do Módulo 3 (</t>
    </r>
    <r>
      <rPr>
        <i/>
        <sz val="10"/>
        <color rgb="FF000000"/>
        <rFont val="Arial"/>
        <family val="2"/>
      </rPr>
      <t>Provisão para Rescisão</t>
    </r>
    <r>
      <rPr>
        <sz val="10"/>
        <color rgb="FF000000"/>
        <rFont val="Arial"/>
        <family val="2"/>
      </rPr>
      <t>) + Total do Módulo 4 (</t>
    </r>
    <r>
      <rPr>
        <i/>
        <sz val="10"/>
        <color rgb="FF000000"/>
        <rFont val="Arial"/>
        <family val="2"/>
      </rPr>
      <t>Custo de Reposição do Profissional Ausente</t>
    </r>
    <r>
      <rPr>
        <sz val="10"/>
        <color rgb="FF000000"/>
        <rFont val="Arial"/>
        <family val="2"/>
      </rPr>
      <t>) + Total do Módulo 5 (</t>
    </r>
    <r>
      <rPr>
        <i/>
        <sz val="10"/>
        <color rgb="FF000000"/>
        <rFont val="Arial"/>
        <family val="2"/>
      </rPr>
      <t>Insumos Diversos</t>
    </r>
    <r>
      <rPr>
        <sz val="10"/>
        <color rgb="FF000000"/>
        <rFont val="Arial"/>
        <family val="2"/>
      </rPr>
      <t>) + Custos Indiretos</t>
    </r>
  </si>
  <si>
    <r>
      <t xml:space="preserve">BASE DE CÁLCULO DOS TRIBUTOS = </t>
    </r>
    <r>
      <rPr>
        <sz val="10"/>
        <color rgb="FF000000"/>
        <rFont val="Arial"/>
        <family val="2"/>
      </rPr>
      <t>Total do Módulo 1 (</t>
    </r>
    <r>
      <rPr>
        <i/>
        <sz val="10"/>
        <color rgb="FF000000"/>
        <rFont val="Arial"/>
        <family val="2"/>
      </rPr>
      <t>Composição da  Remuneração</t>
    </r>
    <r>
      <rPr>
        <sz val="10"/>
        <color rgb="FF000000"/>
        <rFont val="Arial"/>
        <family val="2"/>
      </rPr>
      <t>) + Total do Módulo 2 (</t>
    </r>
    <r>
      <rPr>
        <i/>
        <sz val="10"/>
        <color rgb="FF000000"/>
        <rFont val="Arial"/>
        <family val="2"/>
      </rPr>
      <t>Encargos e Benefícios Anuais, Mensais e Diários</t>
    </r>
    <r>
      <rPr>
        <sz val="10"/>
        <color rgb="FF000000"/>
        <rFont val="Arial"/>
        <family val="2"/>
      </rPr>
      <t>) + Total do Módulo 3 (</t>
    </r>
    <r>
      <rPr>
        <i/>
        <sz val="10"/>
        <color rgb="FF000000"/>
        <rFont val="Arial"/>
        <family val="2"/>
      </rPr>
      <t>Provisão para Rescisão</t>
    </r>
    <r>
      <rPr>
        <sz val="10"/>
        <color rgb="FF000000"/>
        <rFont val="Arial"/>
        <family val="2"/>
      </rPr>
      <t>) + Total do Módulo 4 (</t>
    </r>
    <r>
      <rPr>
        <i/>
        <sz val="10"/>
        <color rgb="FF000000"/>
        <rFont val="Arial"/>
        <family val="2"/>
      </rPr>
      <t>Custo de Reposição do Profissional Ausente</t>
    </r>
    <r>
      <rPr>
        <sz val="10"/>
        <color rgb="FF000000"/>
        <rFont val="Arial"/>
        <family val="2"/>
      </rPr>
      <t>) + Total do Módulo 5 (</t>
    </r>
    <r>
      <rPr>
        <i/>
        <sz val="10"/>
        <color rgb="FF000000"/>
        <rFont val="Arial"/>
        <family val="2"/>
      </rPr>
      <t>Insumos Diversos</t>
    </r>
    <r>
      <rPr>
        <sz val="10"/>
        <color rgb="FF000000"/>
        <rFont val="Arial"/>
        <family val="2"/>
      </rPr>
      <t>) + Custos Indiretos + Lucro</t>
    </r>
  </si>
  <si>
    <t>Regime de Tributação: (1) Real (2) Presumido (3 e 4) Simples Nacional (5) Real-PIS/COFINS Não Cumulativo</t>
  </si>
  <si>
    <t>IN/MPDG Nº 05/2017 - Anexo VII-D</t>
  </si>
  <si>
    <t>09h (Horário de Brasília - DF)</t>
  </si>
  <si>
    <r>
      <t>Adicional de Férias</t>
    </r>
    <r>
      <rPr>
        <sz val="10"/>
        <color rgb="FF000000"/>
        <rFont val="Arial"/>
        <family val="2"/>
      </rPr>
      <t xml:space="preserve"> </t>
    </r>
    <r>
      <rPr>
        <b/>
        <sz val="10"/>
        <color rgb="FF000000"/>
        <rFont val="Arial"/>
        <family val="2"/>
      </rPr>
      <t xml:space="preserve">- </t>
    </r>
    <r>
      <rPr>
        <sz val="10"/>
        <color rgb="FF000000"/>
        <rFont val="Arial"/>
        <family val="2"/>
      </rPr>
      <t>Obrigatória a cotação de 3,025% sobre o valor do Módulo 1 - Composição da Remuneração, conforme Anexo XII da IN 05/2017</t>
    </r>
  </si>
  <si>
    <r>
      <t xml:space="preserve">Substituto na cobertura de Férias - </t>
    </r>
    <r>
      <rPr>
        <sz val="10"/>
        <color rgb="FF000000"/>
        <rFont val="Arial"/>
        <family val="2"/>
      </rPr>
      <t>Obrigatória a cotação de 9,075% sobre o valor do Módulo 1 - Composição da Remuneração, conforme Anexo XII da IN 05/2017</t>
    </r>
  </si>
  <si>
    <t>Encargos Previdenciários (GPS), Fundo de Garantia por Tempo de Serviço (FGTS) e outras Contribuições                                                                                                  BASE DE CÁLCULO = MÓDULO 1 (Total da Remuneração) + SUBMÓDULO 201</t>
  </si>
  <si>
    <t>IFFARROUPILHA (Planilha da Administração)</t>
  </si>
  <si>
    <t>10.662.072/0001/58</t>
  </si>
  <si>
    <t xml:space="preserve">CCT Sindasseio 2022/2022 - Registro no MTE: RS005021/2022 </t>
  </si>
  <si>
    <t>Cláusula Quarta da CCT 2022/2022</t>
  </si>
  <si>
    <t>Cláusula Décima Sétima da CCT 2022/2022</t>
  </si>
  <si>
    <t>Cláusula Vigésima Nona da CCT 2022/2022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</si>
</sst>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164" formatCode="&quot;R$ &quot;#,##0.00"/>
    <numFmt numFmtId="165" formatCode="#,##0.00;[Red]#,##0.00"/>
    <numFmt numFmtId="166" formatCode="_-&quot;R$ &quot;* #,##0.00_-;&quot;-R$ &quot;* #,##0.00_-;_-&quot;R$ &quot;* \-??_-;_-@_-"/>
    <numFmt numFmtId="167" formatCode="#,##0.000000"/>
    <numFmt numFmtId="168" formatCode="_-* #,##0.00_-;\-* #,##0.00_-;_-* \-??_-;_-@"/>
    <numFmt numFmtId="169" formatCode="d/m/yyyy"/>
    <numFmt numFmtId="170" formatCode="_(* #,##0.00_);_(* \(#,##0.00\);_(* \-??_);_(@_)"/>
    <numFmt numFmtId="171" formatCode="[$R$ -416]#,##0.00"/>
    <numFmt numFmtId="172" formatCode="0.0"/>
    <numFmt numFmtId="173" formatCode="0.0000"/>
    <numFmt numFmtId="174" formatCode="dd/mm/yyyy\ h:mm"/>
    <numFmt numFmtId="175" formatCode="0.00000000"/>
    <numFmt numFmtId="176" formatCode="#,##0.0000000"/>
    <numFmt numFmtId="177" formatCode="0.000000000"/>
    <numFmt numFmtId="178" formatCode="_-* #,##0.00_-;\-* #,##0.00_-;_-* &quot;-&quot;??_-;_-@"/>
    <numFmt numFmtId="179" formatCode="&quot;R$ &quot;#,##0.00;[Red]&quot;-R$ &quot;#,##0.00"/>
    <numFmt numFmtId="180" formatCode="_([$R$ -416]* #,##0.00_);_([$R$ -416]* \(#,##0.00\);_([$R$ -416]* \-??_);_(@_)"/>
  </numFmts>
  <fonts count="78">
    <font>
      <sz val="10"/>
      <color rgb="FF000000"/>
      <name val="Arial"/>
      <charset val="134"/>
    </font>
    <font>
      <sz val="10"/>
      <color rgb="FF000000"/>
      <name val="Calibri"/>
      <family val="2"/>
    </font>
    <font>
      <sz val="9"/>
      <color rgb="FF000000"/>
      <name val="Calibri"/>
      <family val="2"/>
    </font>
    <font>
      <b/>
      <sz val="16"/>
      <color rgb="FF000000"/>
      <name val="Calibri"/>
      <family val="2"/>
    </font>
    <font>
      <b/>
      <sz val="14"/>
      <color rgb="FF000000"/>
      <name val="Calibri"/>
      <family val="2"/>
    </font>
    <font>
      <b/>
      <sz val="12"/>
      <color rgb="FF000000"/>
      <name val="Calibri"/>
      <family val="2"/>
    </font>
    <font>
      <b/>
      <sz val="12"/>
      <color rgb="FFFF0000"/>
      <name val="Calibri"/>
      <family val="2"/>
    </font>
    <font>
      <b/>
      <sz val="18"/>
      <color rgb="FF4F6228"/>
      <name val="Calibri"/>
      <family val="2"/>
    </font>
    <font>
      <b/>
      <sz val="18"/>
      <color rgb="FF000000"/>
      <name val="Calibri"/>
      <family val="2"/>
    </font>
    <font>
      <sz val="14"/>
      <color rgb="FF000000"/>
      <name val="Calibri"/>
      <family val="2"/>
    </font>
    <font>
      <sz val="11"/>
      <color rgb="FF000000"/>
      <name val="Calibri"/>
      <family val="2"/>
    </font>
    <font>
      <b/>
      <sz val="14"/>
      <color rgb="FF4F6228"/>
      <name val="Calibri"/>
      <family val="2"/>
    </font>
    <font>
      <b/>
      <sz val="16"/>
      <color rgb="FF4F6228"/>
      <name val="Calibri"/>
      <family val="2"/>
    </font>
    <font>
      <b/>
      <sz val="11"/>
      <color rgb="FF4F6228"/>
      <name val="Calibri"/>
      <family val="2"/>
    </font>
    <font>
      <b/>
      <sz val="20"/>
      <color rgb="FF000000"/>
      <name val="Calibri"/>
      <family val="2"/>
    </font>
    <font>
      <sz val="12"/>
      <color rgb="FF000000"/>
      <name val="Calibri"/>
      <family val="2"/>
    </font>
    <font>
      <b/>
      <sz val="16"/>
      <color rgb="FF000000"/>
      <name val="Arial"/>
      <family val="2"/>
    </font>
    <font>
      <b/>
      <sz val="14"/>
      <color rgb="FF000000"/>
      <name val="Arial"/>
      <family val="2"/>
    </font>
    <font>
      <b/>
      <sz val="12"/>
      <color rgb="FF000000"/>
      <name val="Arial"/>
      <family val="2"/>
    </font>
    <font>
      <b/>
      <sz val="12"/>
      <color rgb="FFFF0000"/>
      <name val="Arial"/>
      <family val="2"/>
    </font>
    <font>
      <b/>
      <sz val="16"/>
      <color rgb="FF38761D"/>
      <name val="Arial"/>
      <family val="2"/>
    </font>
    <font>
      <b/>
      <sz val="18"/>
      <color rgb="FF000000"/>
      <name val="Arial"/>
      <family val="2"/>
    </font>
    <font>
      <b/>
      <sz val="11"/>
      <color rgb="FF000000"/>
      <name val="Arial"/>
      <family val="2"/>
    </font>
    <font>
      <sz val="11"/>
      <color rgb="FF000000"/>
      <name val="Arial"/>
      <family val="2"/>
    </font>
    <font>
      <b/>
      <sz val="10"/>
      <color rgb="FF000000"/>
      <name val="Arial"/>
      <family val="2"/>
    </font>
    <font>
      <b/>
      <sz val="10"/>
      <color rgb="FFFF0000"/>
      <name val="Arial"/>
      <family val="2"/>
    </font>
    <font>
      <sz val="9"/>
      <color rgb="FFFF0000"/>
      <name val="Arial"/>
      <family val="2"/>
    </font>
    <font>
      <b/>
      <sz val="15"/>
      <color rgb="FF000000"/>
      <name val="Arial"/>
      <family val="2"/>
    </font>
    <font>
      <b/>
      <sz val="11"/>
      <color rgb="FFFF0000"/>
      <name val="Arial"/>
      <family val="2"/>
    </font>
    <font>
      <i/>
      <sz val="10"/>
      <color rgb="FF000000"/>
      <name val="Arial"/>
      <family val="2"/>
    </font>
    <font>
      <i/>
      <sz val="8"/>
      <color rgb="FF000000"/>
      <name val="Arial"/>
      <family val="2"/>
    </font>
    <font>
      <b/>
      <sz val="9"/>
      <color rgb="FF000000"/>
      <name val="Arial"/>
      <family val="2"/>
    </font>
    <font>
      <sz val="9"/>
      <color rgb="FF000000"/>
      <name val="Arial"/>
      <family val="2"/>
    </font>
    <font>
      <i/>
      <sz val="9"/>
      <color rgb="FF000000"/>
      <name val="Arial"/>
      <family val="2"/>
    </font>
    <font>
      <sz val="14"/>
      <color rgb="FF000000"/>
      <name val="Arial"/>
      <family val="2"/>
    </font>
    <font>
      <b/>
      <sz val="14"/>
      <color rgb="FFFF0000"/>
      <name val="Arial"/>
      <family val="2"/>
    </font>
    <font>
      <b/>
      <sz val="9"/>
      <color rgb="FFFF0000"/>
      <name val="Arial"/>
      <family val="2"/>
    </font>
    <font>
      <sz val="10"/>
      <color rgb="FFFF0000"/>
      <name val="Arial"/>
      <family val="2"/>
    </font>
    <font>
      <sz val="8"/>
      <color rgb="FF000000"/>
      <name val="Arial"/>
      <family val="2"/>
    </font>
    <font>
      <b/>
      <sz val="10"/>
      <name val="Arial"/>
      <family val="2"/>
    </font>
    <font>
      <b/>
      <sz val="12"/>
      <color rgb="FF0000FF"/>
      <name val="Arial"/>
      <family val="2"/>
    </font>
    <font>
      <b/>
      <sz val="15"/>
      <color rgb="FFFF0000"/>
      <name val="Arial"/>
      <family val="2"/>
    </font>
    <font>
      <sz val="12"/>
      <color rgb="FF000000"/>
      <name val="Arial"/>
      <family val="2"/>
    </font>
    <font>
      <sz val="10"/>
      <name val="Arial"/>
      <family val="2"/>
    </font>
    <font>
      <b/>
      <sz val="10"/>
      <color rgb="FF000000"/>
      <name val="Calibri"/>
      <family val="2"/>
    </font>
    <font>
      <b/>
      <sz val="11"/>
      <color rgb="FF000000"/>
      <name val="Calibri"/>
      <family val="2"/>
    </font>
    <font>
      <b/>
      <sz val="10"/>
      <name val="Calibri"/>
      <family val="2"/>
    </font>
    <font>
      <b/>
      <sz val="10"/>
      <color rgb="FFFF0000"/>
      <name val="Calibri"/>
      <family val="2"/>
    </font>
    <font>
      <b/>
      <sz val="10"/>
      <color rgb="FF7030A0"/>
      <name val="Calibri"/>
      <family val="2"/>
    </font>
    <font>
      <sz val="11"/>
      <color rgb="FF222222"/>
      <name val="Arial"/>
      <family val="2"/>
    </font>
    <font>
      <sz val="11"/>
      <name val="Arial"/>
      <family val="2"/>
    </font>
    <font>
      <b/>
      <sz val="12"/>
      <color rgb="FF38761D"/>
      <name val="Arial"/>
      <family val="2"/>
    </font>
    <font>
      <b/>
      <sz val="10"/>
      <color rgb="FF0000FF"/>
      <name val="Arial"/>
      <family val="2"/>
    </font>
    <font>
      <b/>
      <sz val="8"/>
      <color rgb="FF000000"/>
      <name val="Arial"/>
      <family val="2"/>
    </font>
    <font>
      <sz val="10"/>
      <color rgb="FFFF3333"/>
      <name val="Arial"/>
      <family val="2"/>
    </font>
    <font>
      <b/>
      <sz val="10"/>
      <color rgb="FF333399"/>
      <name val="Arial"/>
      <family val="2"/>
    </font>
    <font>
      <b/>
      <sz val="11"/>
      <color rgb="FF222222"/>
      <name val="Arial"/>
      <family val="2"/>
    </font>
    <font>
      <sz val="10"/>
      <color rgb="FF000000"/>
      <name val="Arial"/>
      <family val="2"/>
    </font>
    <font>
      <b/>
      <sz val="10"/>
      <color theme="1"/>
      <name val="Calibri"/>
      <family val="2"/>
    </font>
    <font>
      <b/>
      <sz val="10"/>
      <color rgb="FFFF0000"/>
      <name val="Arial"/>
      <family val="2"/>
    </font>
    <font>
      <b/>
      <sz val="10"/>
      <color rgb="FF000000"/>
      <name val="Arial"/>
      <family val="2"/>
    </font>
    <font>
      <i/>
      <sz val="8"/>
      <color rgb="FF000000"/>
      <name val="Arial"/>
      <family val="2"/>
    </font>
    <font>
      <i/>
      <sz val="10"/>
      <color rgb="FF000000"/>
      <name val="Arial"/>
      <family val="2"/>
    </font>
    <font>
      <b/>
      <sz val="14"/>
      <color theme="6" tint="-0.499984740745262"/>
      <name val="Calibri"/>
      <family val="2"/>
    </font>
    <font>
      <b/>
      <sz val="11"/>
      <color theme="6" tint="-0.499984740745262"/>
      <name val="Calibri"/>
      <family val="2"/>
    </font>
    <font>
      <b/>
      <sz val="11"/>
      <color rgb="FF4F6228"/>
      <name val="Arial"/>
      <family val="2"/>
    </font>
    <font>
      <b/>
      <sz val="11"/>
      <name val="Arial"/>
      <family val="2"/>
    </font>
    <font>
      <b/>
      <sz val="11"/>
      <color rgb="FF000080"/>
      <name val="Arial"/>
      <family val="2"/>
    </font>
    <font>
      <b/>
      <sz val="11"/>
      <color rgb="FF0000FF"/>
      <name val="Arial"/>
      <family val="2"/>
    </font>
    <font>
      <sz val="11"/>
      <color rgb="FF0000FF"/>
      <name val="Arial"/>
      <family val="2"/>
    </font>
    <font>
      <b/>
      <sz val="11"/>
      <color rgb="FF003366"/>
      <name val="Arial"/>
      <family val="2"/>
    </font>
    <font>
      <i/>
      <sz val="11"/>
      <name val="Calibri"/>
      <family val="2"/>
    </font>
    <font>
      <b/>
      <u/>
      <sz val="10"/>
      <color rgb="FF000000"/>
      <name val="Calibri"/>
      <family val="2"/>
    </font>
    <font>
      <i/>
      <sz val="10"/>
      <name val="Calibri"/>
      <family val="2"/>
    </font>
    <font>
      <sz val="10"/>
      <color rgb="FF000000"/>
      <name val="Arial"/>
      <charset val="134"/>
    </font>
    <font>
      <sz val="10"/>
      <color rgb="FF000000"/>
      <name val="Arial"/>
    </font>
    <font>
      <sz val="10"/>
      <name val="Arial"/>
    </font>
    <font>
      <b/>
      <sz val="10"/>
      <color rgb="FFFF0000"/>
      <name val="Arial"/>
    </font>
  </fonts>
  <fills count="31">
    <fill>
      <patternFill patternType="none"/>
    </fill>
    <fill>
      <patternFill patternType="gray125"/>
    </fill>
    <fill>
      <patternFill patternType="solid">
        <fgColor rgb="FFD7E4BD"/>
        <bgColor rgb="FFD6E3BC"/>
      </patternFill>
    </fill>
    <fill>
      <patternFill patternType="solid">
        <fgColor rgb="FFF2F2F2"/>
        <bgColor rgb="FFF3F3F3"/>
      </patternFill>
    </fill>
    <fill>
      <patternFill patternType="solid">
        <fgColor rgb="FFD9D9D9"/>
        <bgColor rgb="FFD8D8D8"/>
      </patternFill>
    </fill>
    <fill>
      <patternFill patternType="solid">
        <fgColor rgb="FFFFFFFF"/>
        <bgColor rgb="FFF3F3F3"/>
      </patternFill>
    </fill>
    <fill>
      <patternFill patternType="solid">
        <fgColor rgb="FFD9EAD3"/>
        <bgColor rgb="FFD7E4BD"/>
      </patternFill>
    </fill>
    <fill>
      <patternFill patternType="solid">
        <fgColor rgb="FFEFEFEF"/>
        <bgColor rgb="FFF2F2F2"/>
      </patternFill>
    </fill>
    <fill>
      <patternFill patternType="solid">
        <fgColor rgb="FFF3F3F3"/>
        <bgColor rgb="FFF2F2F2"/>
      </patternFill>
    </fill>
    <fill>
      <patternFill patternType="solid">
        <fgColor rgb="FFFFFF00"/>
        <bgColor rgb="FFFFCC00"/>
      </patternFill>
    </fill>
    <fill>
      <patternFill patternType="solid">
        <fgColor rgb="FFD6E3BC"/>
        <bgColor rgb="FFD7E4BD"/>
      </patternFill>
    </fill>
    <fill>
      <patternFill patternType="solid">
        <fgColor rgb="FFFBD4B4"/>
        <bgColor rgb="FFDDD9C3"/>
      </patternFill>
    </fill>
    <fill>
      <patternFill patternType="solid">
        <fgColor rgb="FFDDD9C3"/>
        <bgColor rgb="FFD8D8D8"/>
      </patternFill>
    </fill>
    <fill>
      <patternFill patternType="solid">
        <fgColor rgb="FFFFFF99"/>
        <bgColor rgb="FFF3F3F3"/>
      </patternFill>
    </fill>
    <fill>
      <patternFill patternType="solid">
        <fgColor rgb="FFC2D69B"/>
        <bgColor rgb="FFC3D69B"/>
      </patternFill>
    </fill>
    <fill>
      <patternFill patternType="solid">
        <fgColor rgb="FFB6DDE8"/>
        <bgColor rgb="FFB8CCE4"/>
      </patternFill>
    </fill>
    <fill>
      <patternFill patternType="solid">
        <fgColor rgb="FF00FF66"/>
        <bgColor rgb="FF00FFFF"/>
      </patternFill>
    </fill>
    <fill>
      <patternFill patternType="solid">
        <fgColor rgb="FFCFE2F3"/>
        <bgColor rgb="FFD9D9D9"/>
      </patternFill>
    </fill>
    <fill>
      <patternFill patternType="solid">
        <fgColor rgb="FF99CC00"/>
        <bgColor rgb="FFFFCC00"/>
      </patternFill>
    </fill>
    <fill>
      <patternFill patternType="solid">
        <fgColor rgb="FFB8CCE4"/>
        <bgColor rgb="FFB6DDE8"/>
      </patternFill>
    </fill>
    <fill>
      <patternFill patternType="solid">
        <fgColor rgb="FFCCCCCC"/>
        <bgColor rgb="FFC0C0C0"/>
      </patternFill>
    </fill>
    <fill>
      <patternFill patternType="solid">
        <fgColor rgb="FFD8D8D8"/>
        <bgColor rgb="FFD9D9D9"/>
      </patternFill>
    </fill>
    <fill>
      <patternFill patternType="solid">
        <fgColor rgb="FFC0C0C0"/>
        <bgColor rgb="FFBFBFBF"/>
      </patternFill>
    </fill>
    <fill>
      <patternFill patternType="solid">
        <fgColor rgb="FFB7B7B7"/>
        <bgColor rgb="FFBFBFBF"/>
      </patternFill>
    </fill>
    <fill>
      <patternFill patternType="solid">
        <fgColor rgb="FF7F7F7F"/>
        <bgColor rgb="FF4F6228"/>
      </patternFill>
    </fill>
    <fill>
      <patternFill patternType="solid">
        <fgColor rgb="FFC3D69B"/>
        <bgColor rgb="FFC2D69B"/>
      </patternFill>
    </fill>
    <fill>
      <patternFill patternType="solid">
        <fgColor rgb="FFBFBFBF"/>
        <bgColor rgb="FFC0C0C0"/>
      </patternFill>
    </fill>
    <fill>
      <patternFill patternType="solid">
        <fgColor theme="0" tint="-0.14999847407452621"/>
        <bgColor indexed="64"/>
      </patternFill>
    </fill>
    <fill>
      <patternFill patternType="solid">
        <fgColor rgb="FFFFFF00"/>
        <bgColor indexed="64"/>
      </patternFill>
    </fill>
    <fill>
      <patternFill patternType="solid">
        <fgColor theme="0" tint="-4.9989318521683403E-2"/>
        <bgColor indexed="64"/>
      </patternFill>
    </fill>
    <fill>
      <patternFill patternType="solid">
        <fgColor rgb="FFFFFFFF"/>
        <bgColor rgb="FFFFFFFF"/>
      </patternFill>
    </fill>
  </fills>
  <borders count="51">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diagonal/>
    </border>
    <border>
      <left style="thin">
        <color auto="1"/>
      </left>
      <right style="medium">
        <color auto="1"/>
      </right>
      <top style="medium">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auto="1"/>
      </right>
      <top style="thin">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top style="thin">
        <color auto="1"/>
      </top>
      <bottom/>
      <diagonal/>
    </border>
    <border>
      <left style="hair">
        <color auto="1"/>
      </left>
      <right style="hair">
        <color auto="1"/>
      </right>
      <top style="hair">
        <color auto="1"/>
      </top>
      <bottom style="hair">
        <color auto="1"/>
      </bottom>
      <diagonal/>
    </border>
    <border>
      <left/>
      <right style="thin">
        <color auto="1"/>
      </right>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thin">
        <color auto="1"/>
      </left>
      <right/>
      <top/>
      <bottom/>
      <diagonal/>
    </border>
    <border>
      <left style="hair">
        <color auto="1"/>
      </left>
      <right/>
      <top/>
      <bottom style="hair">
        <color auto="1"/>
      </bottom>
      <diagonal/>
    </border>
    <border>
      <left/>
      <right/>
      <top/>
      <bottom style="hair">
        <color auto="1"/>
      </bottom>
      <diagonal/>
    </border>
    <border>
      <left/>
      <right style="thin">
        <color auto="1"/>
      </right>
      <top/>
      <bottom/>
      <diagonal/>
    </border>
    <border>
      <left/>
      <right style="hair">
        <color auto="1"/>
      </right>
      <top/>
      <bottom style="hair">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bottom/>
      <diagonal/>
    </border>
    <border>
      <left style="medium">
        <color auto="1"/>
      </left>
      <right style="medium">
        <color auto="1"/>
      </right>
      <top style="thin">
        <color auto="1"/>
      </top>
      <bottom style="thin">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medium">
        <color auto="1"/>
      </top>
      <bottom/>
      <diagonal/>
    </border>
    <border>
      <left/>
      <right style="medium">
        <color auto="1"/>
      </right>
      <top style="thin">
        <color auto="1"/>
      </top>
      <bottom style="thin">
        <color auto="1"/>
      </bottom>
      <diagonal/>
    </border>
    <border>
      <left style="thin">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medium">
        <color rgb="FF000000"/>
      </bottom>
      <diagonal/>
    </border>
  </borders>
  <cellStyleXfs count="5">
    <xf numFmtId="0" fontId="0" fillId="0" borderId="0"/>
    <xf numFmtId="166" fontId="57" fillId="0" borderId="0" applyBorder="0" applyProtection="0"/>
    <xf numFmtId="0" fontId="75" fillId="0" borderId="0"/>
    <xf numFmtId="0" fontId="74" fillId="0" borderId="0"/>
    <xf numFmtId="166" fontId="57" fillId="0" borderId="0" applyBorder="0" applyProtection="0"/>
  </cellStyleXfs>
  <cellXfs count="929">
    <xf numFmtId="0" fontId="0" fillId="0" borderId="0" xfId="0"/>
    <xf numFmtId="0" fontId="1" fillId="0" borderId="0" xfId="0" applyFont="1" applyAlignment="1"/>
    <xf numFmtId="0" fontId="2" fillId="0" borderId="0" xfId="0" applyFont="1" applyAlignment="1"/>
    <xf numFmtId="0" fontId="3" fillId="0" borderId="0" xfId="0" applyFont="1" applyAlignment="1"/>
    <xf numFmtId="0" fontId="4" fillId="0" borderId="0" xfId="0" applyFont="1" applyAlignment="1"/>
    <xf numFmtId="0" fontId="5" fillId="0" borderId="0" xfId="0" applyFont="1" applyAlignment="1"/>
    <xf numFmtId="0" fontId="6" fillId="0" borderId="0" xfId="0" applyFont="1" applyAlignment="1"/>
    <xf numFmtId="0" fontId="8" fillId="0" borderId="0" xfId="0" applyFont="1" applyAlignment="1">
      <alignment vertical="center"/>
    </xf>
    <xf numFmtId="0" fontId="5" fillId="2" borderId="1"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3" borderId="4" xfId="0" applyFont="1" applyFill="1" applyBorder="1" applyAlignment="1">
      <alignment horizontal="justify" vertical="center" wrapText="1"/>
    </xf>
    <xf numFmtId="167" fontId="9" fillId="3" borderId="5" xfId="0" applyNumberFormat="1" applyFont="1" applyFill="1" applyBorder="1" applyAlignment="1">
      <alignment horizontal="center" vertical="center"/>
    </xf>
    <xf numFmtId="164" fontId="9" fillId="3" borderId="7" xfId="0" applyNumberFormat="1" applyFont="1" applyFill="1" applyBorder="1" applyAlignment="1">
      <alignment vertical="center"/>
    </xf>
    <xf numFmtId="0" fontId="5" fillId="4" borderId="8" xfId="0" applyFont="1" applyFill="1" applyBorder="1" applyAlignment="1">
      <alignment horizontal="justify" vertical="center" wrapText="1"/>
    </xf>
    <xf numFmtId="167" fontId="9" fillId="4" borderId="9" xfId="0" applyNumberFormat="1" applyFont="1" applyFill="1" applyBorder="1" applyAlignment="1">
      <alignment horizontal="center" vertical="center"/>
    </xf>
    <xf numFmtId="164" fontId="9" fillId="4" borderId="10" xfId="0" applyNumberFormat="1" applyFont="1" applyFill="1" applyBorder="1" applyAlignment="1">
      <alignment vertical="center"/>
    </xf>
    <xf numFmtId="0" fontId="5" fillId="3" borderId="8" xfId="0" applyFont="1" applyFill="1" applyBorder="1" applyAlignment="1">
      <alignment horizontal="justify" vertical="center" wrapText="1"/>
    </xf>
    <xf numFmtId="167" fontId="9" fillId="3" borderId="9" xfId="0" applyNumberFormat="1" applyFont="1" applyFill="1" applyBorder="1" applyAlignment="1">
      <alignment horizontal="center" vertical="center"/>
    </xf>
    <xf numFmtId="164" fontId="9" fillId="3" borderId="10" xfId="0" applyNumberFormat="1" applyFont="1" applyFill="1" applyBorder="1" applyAlignment="1">
      <alignment vertical="center"/>
    </xf>
    <xf numFmtId="0" fontId="5" fillId="2" borderId="11" xfId="0" applyFont="1" applyFill="1" applyBorder="1" applyAlignment="1">
      <alignment horizontal="center" vertical="center" wrapText="1"/>
    </xf>
    <xf numFmtId="167" fontId="9" fillId="2" borderId="12" xfId="0" applyNumberFormat="1" applyFont="1" applyFill="1" applyBorder="1" applyAlignment="1">
      <alignment horizontal="center" vertical="center"/>
    </xf>
    <xf numFmtId="164" fontId="9" fillId="2" borderId="13" xfId="0" applyNumberFormat="1" applyFont="1" applyFill="1" applyBorder="1" applyAlignment="1">
      <alignment vertical="center"/>
    </xf>
    <xf numFmtId="0" fontId="2" fillId="0" borderId="0" xfId="0" applyFont="1" applyAlignment="1">
      <alignment horizontal="center" vertical="center" wrapText="1"/>
    </xf>
    <xf numFmtId="164" fontId="10" fillId="0" borderId="0" xfId="0" applyNumberFormat="1" applyFont="1" applyAlignment="1">
      <alignment horizontal="center" vertical="center"/>
    </xf>
    <xf numFmtId="0" fontId="2" fillId="0" borderId="0" xfId="0" applyFont="1" applyAlignment="1">
      <alignment horizontal="center" vertical="center"/>
    </xf>
    <xf numFmtId="0" fontId="5" fillId="2" borderId="16" xfId="0" applyFont="1" applyFill="1" applyBorder="1" applyAlignment="1">
      <alignment vertical="center" wrapText="1"/>
    </xf>
    <xf numFmtId="0" fontId="5" fillId="2" borderId="18" xfId="0" applyFont="1" applyFill="1" applyBorder="1" applyAlignment="1">
      <alignment vertical="center" wrapText="1"/>
    </xf>
    <xf numFmtId="0" fontId="15" fillId="0" borderId="0" xfId="0" applyFont="1" applyAlignment="1"/>
    <xf numFmtId="0" fontId="5" fillId="0" borderId="0" xfId="0" applyFont="1" applyAlignment="1">
      <alignment horizontal="left"/>
    </xf>
    <xf numFmtId="169" fontId="15" fillId="0" borderId="0" xfId="0" applyNumberFormat="1" applyFont="1" applyAlignment="1"/>
    <xf numFmtId="0" fontId="15" fillId="0" borderId="0" xfId="0" applyFont="1" applyBorder="1" applyAlignment="1"/>
    <xf numFmtId="0" fontId="15" fillId="0" borderId="0" xfId="0" applyFont="1" applyAlignment="1">
      <alignment vertical="center"/>
    </xf>
    <xf numFmtId="0" fontId="0" fillId="0" borderId="0" xfId="0" applyFont="1" applyAlignment="1"/>
    <xf numFmtId="0" fontId="21" fillId="5" borderId="0" xfId="0" applyFont="1" applyFill="1" applyAlignment="1">
      <alignment horizontal="center" vertical="center" wrapText="1"/>
    </xf>
    <xf numFmtId="0" fontId="22" fillId="6" borderId="9" xfId="0" applyFont="1" applyFill="1" applyBorder="1" applyAlignment="1">
      <alignment horizontal="center" vertical="center" wrapText="1"/>
    </xf>
    <xf numFmtId="0" fontId="22" fillId="6" borderId="23" xfId="0" applyFont="1" applyFill="1" applyBorder="1" applyAlignment="1">
      <alignment horizontal="left" vertical="center" wrapText="1"/>
    </xf>
    <xf numFmtId="0" fontId="24" fillId="6" borderId="21" xfId="0" applyFont="1" applyFill="1" applyBorder="1" applyAlignment="1">
      <alignment horizontal="left" vertical="center" wrapText="1"/>
    </xf>
    <xf numFmtId="169" fontId="25" fillId="6" borderId="25" xfId="0" applyNumberFormat="1" applyFont="1" applyFill="1" applyBorder="1" applyAlignment="1">
      <alignment horizontal="center" vertical="center" wrapText="1"/>
    </xf>
    <xf numFmtId="0" fontId="24" fillId="6" borderId="16" xfId="0" applyFont="1" applyFill="1" applyBorder="1" applyAlignment="1">
      <alignment horizontal="left" vertical="center" wrapText="1"/>
    </xf>
    <xf numFmtId="0" fontId="24" fillId="6" borderId="17" xfId="0" applyFont="1" applyFill="1" applyBorder="1" applyAlignment="1">
      <alignment horizontal="left" vertical="center" wrapText="1"/>
    </xf>
    <xf numFmtId="0" fontId="24" fillId="5" borderId="0" xfId="0" applyFont="1" applyFill="1" applyBorder="1" applyAlignment="1">
      <alignment horizontal="right" vertical="center" wrapText="1"/>
    </xf>
    <xf numFmtId="0" fontId="24" fillId="6" borderId="9" xfId="0" applyFont="1" applyFill="1" applyBorder="1" applyAlignment="1">
      <alignment horizontal="center" vertical="center" wrapText="1"/>
    </xf>
    <xf numFmtId="0" fontId="22" fillId="5" borderId="0" xfId="0" applyFont="1" applyFill="1" applyAlignment="1">
      <alignment horizontal="center" vertical="center" wrapText="1"/>
    </xf>
    <xf numFmtId="0" fontId="24" fillId="7" borderId="9" xfId="0" applyFont="1" applyFill="1" applyBorder="1" applyAlignment="1">
      <alignment horizontal="center" vertical="center" wrapText="1"/>
    </xf>
    <xf numFmtId="0" fontId="24" fillId="8" borderId="9" xfId="0" applyFont="1" applyFill="1" applyBorder="1" applyAlignment="1">
      <alignment horizontal="center" vertical="center" wrapText="1"/>
    </xf>
    <xf numFmtId="0" fontId="29" fillId="8" borderId="9" xfId="0" applyFont="1" applyFill="1" applyBorder="1" applyAlignment="1">
      <alignment horizontal="center" vertical="center" wrapText="1"/>
    </xf>
    <xf numFmtId="0" fontId="30" fillId="0" borderId="9" xfId="0" applyFont="1" applyBorder="1" applyAlignment="1">
      <alignment horizontal="center" vertical="center" wrapText="1"/>
    </xf>
    <xf numFmtId="0" fontId="22" fillId="6" borderId="9" xfId="0" applyFont="1" applyFill="1" applyBorder="1" applyAlignment="1">
      <alignment horizontal="center" vertical="center"/>
    </xf>
    <xf numFmtId="0" fontId="24" fillId="7" borderId="9" xfId="0" applyFont="1" applyFill="1" applyBorder="1" applyAlignment="1">
      <alignment horizontal="center" vertical="center"/>
    </xf>
    <xf numFmtId="0" fontId="24" fillId="7" borderId="9" xfId="0" applyFont="1" applyFill="1" applyBorder="1" applyAlignment="1">
      <alignment horizontal="right" vertical="center" wrapText="1"/>
    </xf>
    <xf numFmtId="10" fontId="24" fillId="7" borderId="9" xfId="0" applyNumberFormat="1" applyFont="1" applyFill="1" applyBorder="1" applyAlignment="1">
      <alignment horizontal="center" vertical="center" wrapText="1"/>
    </xf>
    <xf numFmtId="173" fontId="24" fillId="7" borderId="9" xfId="0" applyNumberFormat="1" applyFont="1" applyFill="1" applyBorder="1" applyAlignment="1">
      <alignment horizontal="center" vertical="center" wrapText="1"/>
    </xf>
    <xf numFmtId="0" fontId="0" fillId="5" borderId="0" xfId="0" applyFont="1" applyFill="1"/>
    <xf numFmtId="0" fontId="24" fillId="6" borderId="21" xfId="0" applyFont="1" applyFill="1" applyBorder="1" applyAlignment="1">
      <alignment horizontal="center" vertical="center" wrapText="1"/>
    </xf>
    <xf numFmtId="0" fontId="25" fillId="6" borderId="24" xfId="0" applyFont="1" applyFill="1" applyBorder="1" applyAlignment="1">
      <alignment horizontal="center" vertical="center" wrapText="1"/>
    </xf>
    <xf numFmtId="0" fontId="22" fillId="6" borderId="16" xfId="0" applyFont="1" applyFill="1" applyBorder="1" applyAlignment="1">
      <alignment horizontal="center" vertical="center" wrapText="1"/>
    </xf>
    <xf numFmtId="164" fontId="24" fillId="7" borderId="9" xfId="0" applyNumberFormat="1" applyFont="1" applyFill="1" applyBorder="1" applyAlignment="1">
      <alignment vertical="center"/>
    </xf>
    <xf numFmtId="10" fontId="24" fillId="7" borderId="16" xfId="0" applyNumberFormat="1" applyFont="1" applyFill="1" applyBorder="1" applyAlignment="1">
      <alignment horizontal="center" vertical="center"/>
    </xf>
    <xf numFmtId="164" fontId="22" fillId="6" borderId="9" xfId="0" applyNumberFormat="1" applyFont="1" applyFill="1" applyBorder="1" applyAlignment="1">
      <alignment vertical="center"/>
    </xf>
    <xf numFmtId="164" fontId="24" fillId="7" borderId="9" xfId="0" applyNumberFormat="1" applyFont="1" applyFill="1" applyBorder="1" applyAlignment="1">
      <alignment horizontal="right" vertical="center"/>
    </xf>
    <xf numFmtId="164" fontId="24" fillId="6" borderId="9" xfId="0" applyNumberFormat="1" applyFont="1" applyFill="1" applyBorder="1" applyAlignment="1">
      <alignment horizontal="right" vertical="center"/>
    </xf>
    <xf numFmtId="10" fontId="24" fillId="7" borderId="9" xfId="0" applyNumberFormat="1" applyFont="1" applyFill="1" applyBorder="1" applyAlignment="1">
      <alignment horizontal="center" vertical="center"/>
    </xf>
    <xf numFmtId="10" fontId="24" fillId="6" borderId="9" xfId="0" applyNumberFormat="1" applyFont="1" applyFill="1" applyBorder="1" applyAlignment="1">
      <alignment horizontal="center" vertical="center"/>
    </xf>
    <xf numFmtId="0" fontId="30" fillId="0" borderId="9" xfId="0" applyFont="1" applyBorder="1" applyAlignment="1">
      <alignment horizontal="center" vertical="center"/>
    </xf>
    <xf numFmtId="0" fontId="22" fillId="6" borderId="9" xfId="0" applyFont="1" applyFill="1" applyBorder="1" applyAlignment="1">
      <alignment vertical="center" wrapText="1"/>
    </xf>
    <xf numFmtId="164" fontId="25" fillId="7" borderId="17" xfId="0" applyNumberFormat="1" applyFont="1" applyFill="1" applyBorder="1" applyAlignment="1">
      <alignment horizontal="left" vertical="center"/>
    </xf>
    <xf numFmtId="0" fontId="24" fillId="7" borderId="17" xfId="0" applyFont="1" applyFill="1" applyBorder="1" applyAlignment="1">
      <alignment horizontal="left" vertical="center"/>
    </xf>
    <xf numFmtId="0" fontId="30" fillId="0" borderId="0" xfId="0" applyFont="1" applyAlignment="1">
      <alignment horizontal="center" vertical="center" wrapText="1"/>
    </xf>
    <xf numFmtId="0" fontId="30" fillId="0" borderId="0" xfId="0" applyFont="1" applyAlignment="1">
      <alignment horizontal="left" vertical="center" wrapText="1"/>
    </xf>
    <xf numFmtId="0" fontId="24" fillId="0" borderId="0" xfId="0" applyFont="1" applyAlignment="1">
      <alignment horizontal="right" vertical="center" wrapText="1"/>
    </xf>
    <xf numFmtId="164" fontId="22" fillId="7" borderId="9" xfId="0" applyNumberFormat="1" applyFont="1" applyFill="1" applyBorder="1" applyAlignment="1">
      <alignment horizontal="center" vertical="center" wrapText="1"/>
    </xf>
    <xf numFmtId="0" fontId="22" fillId="6" borderId="9" xfId="0" applyFont="1" applyFill="1" applyBorder="1" applyAlignment="1">
      <alignment horizontal="center"/>
    </xf>
    <xf numFmtId="0" fontId="24" fillId="7" borderId="9" xfId="0" applyFont="1" applyFill="1" applyBorder="1" applyAlignment="1">
      <alignment horizontal="center"/>
    </xf>
    <xf numFmtId="171" fontId="31" fillId="7" borderId="9" xfId="0" applyNumberFormat="1" applyFont="1" applyFill="1" applyBorder="1" applyAlignment="1">
      <alignment vertical="center"/>
    </xf>
    <xf numFmtId="3" fontId="31" fillId="7" borderId="9" xfId="0" applyNumberFormat="1" applyFont="1" applyFill="1" applyBorder="1" applyAlignment="1">
      <alignment vertical="center"/>
    </xf>
    <xf numFmtId="0" fontId="24" fillId="7" borderId="18" xfId="0" applyFont="1" applyFill="1" applyBorder="1" applyAlignment="1">
      <alignment horizontal="left" vertical="center"/>
    </xf>
    <xf numFmtId="164" fontId="31" fillId="7" borderId="9" xfId="0" applyNumberFormat="1" applyFont="1" applyFill="1" applyBorder="1" applyAlignment="1">
      <alignment vertical="center"/>
    </xf>
    <xf numFmtId="10" fontId="24" fillId="7" borderId="9" xfId="0" applyNumberFormat="1" applyFont="1" applyFill="1" applyBorder="1" applyAlignment="1">
      <alignment vertical="center"/>
    </xf>
    <xf numFmtId="164" fontId="25" fillId="7" borderId="9" xfId="0" applyNumberFormat="1" applyFont="1" applyFill="1" applyBorder="1" applyAlignment="1">
      <alignment horizontal="right" vertical="center"/>
    </xf>
    <xf numFmtId="164" fontId="24" fillId="7" borderId="9" xfId="0" applyNumberFormat="1" applyFont="1" applyFill="1" applyBorder="1" applyAlignment="1">
      <alignment horizontal="right" vertical="center" wrapText="1"/>
    </xf>
    <xf numFmtId="164" fontId="24" fillId="6" borderId="9" xfId="0" applyNumberFormat="1" applyFont="1" applyFill="1" applyBorder="1" applyAlignment="1">
      <alignment horizontal="right" vertical="center" wrapText="1"/>
    </xf>
    <xf numFmtId="164" fontId="24" fillId="0" borderId="0" xfId="0" applyNumberFormat="1" applyFont="1" applyAlignment="1">
      <alignment horizontal="right" vertical="center" wrapText="1"/>
    </xf>
    <xf numFmtId="164" fontId="22" fillId="6" borderId="9" xfId="0" applyNumberFormat="1" applyFont="1" applyFill="1" applyBorder="1" applyAlignment="1">
      <alignment horizontal="right" vertical="center" wrapText="1"/>
    </xf>
    <xf numFmtId="164" fontId="22" fillId="6" borderId="9" xfId="0" applyNumberFormat="1" applyFont="1" applyFill="1" applyBorder="1" applyAlignment="1">
      <alignment vertical="center" wrapText="1"/>
    </xf>
    <xf numFmtId="164" fontId="24" fillId="7" borderId="9" xfId="0" applyNumberFormat="1" applyFont="1" applyFill="1" applyBorder="1" applyAlignment="1"/>
    <xf numFmtId="164" fontId="24" fillId="7" borderId="9" xfId="0" applyNumberFormat="1" applyFont="1" applyFill="1" applyBorder="1" applyAlignment="1">
      <alignment horizontal="right"/>
    </xf>
    <xf numFmtId="164" fontId="24" fillId="6" borderId="9" xfId="0" applyNumberFormat="1" applyFont="1" applyFill="1" applyBorder="1" applyAlignment="1">
      <alignment horizontal="right"/>
    </xf>
    <xf numFmtId="4" fontId="22" fillId="6" borderId="9" xfId="0" applyNumberFormat="1" applyFont="1" applyFill="1" applyBorder="1" applyAlignment="1">
      <alignment horizontal="center" vertical="center"/>
    </xf>
    <xf numFmtId="0" fontId="18" fillId="6" borderId="9" xfId="0" applyFont="1" applyFill="1" applyBorder="1" applyAlignment="1">
      <alignment horizontal="center" vertical="center"/>
    </xf>
    <xf numFmtId="49" fontId="24" fillId="7" borderId="9" xfId="0" applyNumberFormat="1" applyFont="1" applyFill="1" applyBorder="1" applyAlignment="1">
      <alignment horizontal="center" vertical="center" wrapText="1"/>
    </xf>
    <xf numFmtId="4" fontId="22" fillId="6" borderId="9" xfId="0" applyNumberFormat="1" applyFont="1" applyFill="1" applyBorder="1" applyAlignment="1">
      <alignment horizontal="center" vertical="center" wrapText="1"/>
    </xf>
    <xf numFmtId="10" fontId="25" fillId="6" borderId="9" xfId="0" applyNumberFormat="1" applyFont="1" applyFill="1" applyBorder="1" applyAlignment="1">
      <alignment horizontal="center" vertical="center"/>
    </xf>
    <xf numFmtId="0" fontId="0" fillId="5" borderId="0" xfId="0" applyFont="1" applyFill="1" applyAlignment="1">
      <alignment horizontal="center"/>
    </xf>
    <xf numFmtId="9" fontId="0" fillId="5" borderId="0" xfId="0" applyNumberFormat="1" applyFont="1" applyFill="1" applyAlignment="1">
      <alignment horizontal="center"/>
    </xf>
    <xf numFmtId="49" fontId="24" fillId="6" borderId="18" xfId="0" applyNumberFormat="1" applyFont="1" applyFill="1" applyBorder="1" applyAlignment="1">
      <alignment horizontal="left" vertical="center" wrapText="1"/>
    </xf>
    <xf numFmtId="49" fontId="24" fillId="0" borderId="0" xfId="0" applyNumberFormat="1" applyFont="1" applyAlignment="1">
      <alignment horizontal="right" vertical="center" wrapText="1"/>
    </xf>
    <xf numFmtId="0" fontId="25" fillId="0" borderId="9" xfId="0" applyFont="1" applyBorder="1" applyAlignment="1">
      <alignment horizontal="center" vertical="center"/>
    </xf>
    <xf numFmtId="4" fontId="24" fillId="6" borderId="9" xfId="0" applyNumberFormat="1" applyFont="1" applyFill="1" applyBorder="1" applyAlignment="1">
      <alignment horizontal="right" vertical="center" wrapText="1"/>
    </xf>
    <xf numFmtId="0" fontId="0" fillId="0" borderId="0" xfId="0" applyFont="1" applyAlignment="1">
      <alignment wrapText="1"/>
    </xf>
    <xf numFmtId="39" fontId="24" fillId="0" borderId="9" xfId="0" applyNumberFormat="1" applyFont="1" applyBorder="1" applyAlignment="1">
      <alignment horizontal="right"/>
    </xf>
    <xf numFmtId="39" fontId="24" fillId="6" borderId="9" xfId="0" applyNumberFormat="1" applyFont="1" applyFill="1" applyBorder="1" applyAlignment="1">
      <alignment horizontal="right"/>
    </xf>
    <xf numFmtId="4" fontId="24" fillId="0" borderId="9" xfId="0" applyNumberFormat="1" applyFont="1" applyBorder="1" applyAlignment="1">
      <alignment horizontal="right" wrapText="1"/>
    </xf>
    <xf numFmtId="39" fontId="24" fillId="6" borderId="9" xfId="0" applyNumberFormat="1" applyFont="1" applyFill="1" applyBorder="1" applyAlignment="1">
      <alignment horizontal="right" vertical="center"/>
    </xf>
    <xf numFmtId="175" fontId="0" fillId="9" borderId="9" xfId="0" applyNumberFormat="1" applyFont="1" applyFill="1" applyBorder="1" applyAlignment="1">
      <alignment horizontal="center" vertical="center"/>
    </xf>
    <xf numFmtId="0" fontId="25" fillId="0" borderId="9" xfId="0" applyFont="1" applyBorder="1" applyAlignment="1">
      <alignment horizontal="center" wrapText="1"/>
    </xf>
    <xf numFmtId="3" fontId="25" fillId="0" borderId="9" xfId="0" applyNumberFormat="1" applyFont="1" applyBorder="1" applyAlignment="1">
      <alignment horizontal="center" vertical="center"/>
    </xf>
    <xf numFmtId="0" fontId="25" fillId="0" borderId="9" xfId="0" applyFont="1" applyBorder="1" applyAlignment="1">
      <alignment horizontal="center" vertical="center" wrapText="1"/>
    </xf>
    <xf numFmtId="3" fontId="25" fillId="0" borderId="9" xfId="0" applyNumberFormat="1" applyFont="1" applyBorder="1" applyAlignment="1">
      <alignment horizontal="center" vertical="center" wrapText="1"/>
    </xf>
    <xf numFmtId="171" fontId="24" fillId="0" borderId="0" xfId="0" applyNumberFormat="1" applyFont="1" applyAlignment="1">
      <alignment horizontal="right" vertical="center" wrapText="1"/>
    </xf>
    <xf numFmtId="0" fontId="25" fillId="5" borderId="9" xfId="0" applyFont="1" applyFill="1" applyBorder="1" applyAlignment="1">
      <alignment horizontal="center" vertical="center" wrapText="1"/>
    </xf>
    <xf numFmtId="4" fontId="22" fillId="6" borderId="0" xfId="0" applyNumberFormat="1" applyFont="1" applyFill="1"/>
    <xf numFmtId="0" fontId="22" fillId="6" borderId="0" xfId="0" applyFont="1" applyFill="1" applyAlignment="1">
      <alignment horizontal="left" vertical="center" wrapText="1"/>
    </xf>
    <xf numFmtId="0" fontId="30" fillId="8" borderId="9" xfId="0" applyFont="1" applyFill="1" applyBorder="1" applyAlignment="1">
      <alignment horizontal="center" vertical="center" wrapText="1"/>
    </xf>
    <xf numFmtId="0" fontId="29" fillId="0" borderId="32" xfId="0" applyFont="1" applyBorder="1" applyAlignment="1">
      <alignment horizontal="center" vertical="center" wrapText="1"/>
    </xf>
    <xf numFmtId="0" fontId="29" fillId="0" borderId="33" xfId="0" applyFont="1" applyBorder="1" applyAlignment="1">
      <alignment horizontal="left" vertical="center" wrapText="1"/>
    </xf>
    <xf numFmtId="0" fontId="29" fillId="0" borderId="35" xfId="0" applyFont="1" applyBorder="1" applyAlignment="1">
      <alignment horizontal="left" vertical="center" wrapText="1"/>
    </xf>
    <xf numFmtId="0" fontId="29" fillId="0" borderId="29" xfId="0" applyFont="1" applyBorder="1" applyAlignment="1">
      <alignment horizontal="center" vertical="center" wrapText="1"/>
    </xf>
    <xf numFmtId="0" fontId="29" fillId="0" borderId="32" xfId="0" applyFont="1" applyBorder="1" applyAlignment="1">
      <alignment horizontal="left" vertical="center" wrapText="1"/>
    </xf>
    <xf numFmtId="0" fontId="33" fillId="0" borderId="29" xfId="0" applyFont="1" applyBorder="1" applyAlignment="1">
      <alignment horizontal="center" vertical="center" wrapText="1"/>
    </xf>
    <xf numFmtId="0" fontId="33" fillId="0" borderId="32" xfId="0" applyFont="1" applyBorder="1" applyAlignment="1">
      <alignment horizontal="left" vertical="center" wrapText="1"/>
    </xf>
    <xf numFmtId="0" fontId="33" fillId="0" borderId="33" xfId="0" applyFont="1" applyBorder="1" applyAlignment="1">
      <alignment horizontal="left" vertical="center" wrapText="1"/>
    </xf>
    <xf numFmtId="0" fontId="33" fillId="0" borderId="29" xfId="0" applyFont="1" applyBorder="1" applyAlignment="1">
      <alignment horizontal="center" vertical="center"/>
    </xf>
    <xf numFmtId="0" fontId="33" fillId="0" borderId="32" xfId="0" applyFont="1" applyBorder="1" applyAlignment="1">
      <alignment horizontal="left" vertical="center"/>
    </xf>
    <xf numFmtId="0" fontId="33" fillId="0" borderId="33" xfId="0" applyFont="1" applyBorder="1" applyAlignment="1">
      <alignment horizontal="left" vertical="center"/>
    </xf>
    <xf numFmtId="0" fontId="24" fillId="0" borderId="29" xfId="0" applyFont="1" applyBorder="1" applyAlignment="1">
      <alignment horizontal="right" vertical="center" wrapText="1"/>
    </xf>
    <xf numFmtId="0" fontId="24" fillId="0" borderId="29" xfId="0" applyFont="1" applyBorder="1" applyAlignment="1">
      <alignment horizontal="right" vertical="center"/>
    </xf>
    <xf numFmtId="0" fontId="22" fillId="0" borderId="32" xfId="0" applyFont="1" applyBorder="1" applyAlignment="1">
      <alignment horizontal="center" vertical="center" wrapText="1"/>
    </xf>
    <xf numFmtId="0" fontId="22" fillId="0" borderId="33" xfId="0" applyFont="1" applyBorder="1" applyAlignment="1">
      <alignment horizontal="center" vertical="center" wrapText="1"/>
    </xf>
    <xf numFmtId="0" fontId="22" fillId="0" borderId="35" xfId="0" applyFont="1" applyBorder="1" applyAlignment="1">
      <alignment horizontal="center" vertical="center" wrapText="1"/>
    </xf>
    <xf numFmtId="0" fontId="0" fillId="0" borderId="0" xfId="0" applyFont="1" applyAlignment="1">
      <alignment horizontal="center"/>
    </xf>
    <xf numFmtId="0" fontId="33" fillId="0" borderId="35" xfId="0" applyFont="1" applyBorder="1" applyAlignment="1">
      <alignment horizontal="left" vertical="center" wrapText="1"/>
    </xf>
    <xf numFmtId="0" fontId="33" fillId="0" borderId="35" xfId="0" applyFont="1" applyBorder="1" applyAlignment="1">
      <alignment horizontal="left" vertical="center"/>
    </xf>
    <xf numFmtId="164" fontId="24" fillId="0" borderId="29" xfId="0" applyNumberFormat="1" applyFont="1" applyBorder="1" applyAlignment="1">
      <alignment horizontal="right" vertical="center" wrapText="1"/>
    </xf>
    <xf numFmtId="164" fontId="24" fillId="0" borderId="29" xfId="0" applyNumberFormat="1" applyFont="1" applyBorder="1" applyAlignment="1">
      <alignment horizontal="right" vertical="center"/>
    </xf>
    <xf numFmtId="164" fontId="22" fillId="0" borderId="29" xfId="0" applyNumberFormat="1" applyFont="1" applyBorder="1" applyAlignment="1">
      <alignment vertical="center" wrapText="1"/>
    </xf>
    <xf numFmtId="0" fontId="29" fillId="0" borderId="29" xfId="0" applyFont="1" applyBorder="1" applyAlignment="1">
      <alignment horizontal="center" vertical="center"/>
    </xf>
    <xf numFmtId="4" fontId="29" fillId="0" borderId="29" xfId="0" applyNumberFormat="1" applyFont="1" applyBorder="1" applyAlignment="1">
      <alignment horizontal="center" vertical="center"/>
    </xf>
    <xf numFmtId="4" fontId="29" fillId="0" borderId="32" xfId="0" applyNumberFormat="1" applyFont="1" applyBorder="1" applyAlignment="1">
      <alignment horizontal="center" vertical="center"/>
    </xf>
    <xf numFmtId="4" fontId="29" fillId="0" borderId="35" xfId="0" applyNumberFormat="1" applyFont="1" applyBorder="1" applyAlignment="1">
      <alignment horizontal="center" vertical="center"/>
    </xf>
    <xf numFmtId="0" fontId="33" fillId="0" borderId="29" xfId="0" applyFont="1" applyBorder="1" applyAlignment="1">
      <alignment horizontal="left" vertical="center"/>
    </xf>
    <xf numFmtId="49" fontId="24" fillId="0" borderId="29" xfId="0" applyNumberFormat="1" applyFont="1" applyBorder="1" applyAlignment="1">
      <alignment horizontal="right" vertical="center" wrapText="1"/>
    </xf>
    <xf numFmtId="164" fontId="0" fillId="0" borderId="0" xfId="0" applyNumberFormat="1" applyFont="1" applyAlignment="1"/>
    <xf numFmtId="0" fontId="36" fillId="0" borderId="9" xfId="0" applyFont="1" applyBorder="1" applyAlignment="1">
      <alignment horizontal="center" wrapText="1"/>
    </xf>
    <xf numFmtId="0" fontId="25" fillId="0" borderId="9" xfId="0" applyFont="1" applyBorder="1" applyAlignment="1">
      <alignment horizontal="right" vertical="center" wrapText="1"/>
    </xf>
    <xf numFmtId="49" fontId="25" fillId="0" borderId="9" xfId="0" applyNumberFormat="1" applyFont="1" applyBorder="1" applyAlignment="1">
      <alignment horizontal="center" vertical="center"/>
    </xf>
    <xf numFmtId="3" fontId="25" fillId="5" borderId="9" xfId="0" applyNumberFormat="1" applyFont="1" applyFill="1" applyBorder="1" applyAlignment="1">
      <alignment horizontal="center" vertical="center" wrapText="1"/>
    </xf>
    <xf numFmtId="49" fontId="25" fillId="0" borderId="36" xfId="0" applyNumberFormat="1" applyFont="1" applyBorder="1" applyAlignment="1">
      <alignment horizontal="center" vertical="center"/>
    </xf>
    <xf numFmtId="3" fontId="25" fillId="0" borderId="9" xfId="0" applyNumberFormat="1" applyFont="1" applyBorder="1" applyAlignment="1">
      <alignment horizontal="center" wrapText="1"/>
    </xf>
    <xf numFmtId="4" fontId="24" fillId="5" borderId="0" xfId="0" applyNumberFormat="1" applyFont="1" applyFill="1" applyBorder="1" applyAlignment="1">
      <alignment horizontal="right" vertical="center" wrapText="1"/>
    </xf>
    <xf numFmtId="0" fontId="39" fillId="5" borderId="0" xfId="0" applyFont="1" applyFill="1" applyAlignment="1">
      <alignment horizontal="center" vertical="center"/>
    </xf>
    <xf numFmtId="0" fontId="39" fillId="5" borderId="0" xfId="0" applyFont="1" applyFill="1" applyAlignment="1">
      <alignment horizontal="center" vertical="center" wrapText="1"/>
    </xf>
    <xf numFmtId="0" fontId="24" fillId="2" borderId="9" xfId="0" applyFont="1" applyFill="1" applyBorder="1" applyAlignment="1">
      <alignment horizontal="center" vertical="center"/>
    </xf>
    <xf numFmtId="0" fontId="39" fillId="2" borderId="9" xfId="0" applyFont="1" applyFill="1" applyBorder="1" applyAlignment="1">
      <alignment horizontal="center" vertical="center"/>
    </xf>
    <xf numFmtId="0" fontId="39" fillId="2" borderId="9" xfId="0" applyFont="1" applyFill="1" applyBorder="1" applyAlignment="1">
      <alignment horizontal="center" vertical="center" wrapText="1"/>
    </xf>
    <xf numFmtId="0" fontId="0" fillId="10" borderId="9" xfId="0" applyFont="1" applyFill="1" applyBorder="1" applyAlignment="1">
      <alignment vertical="center" wrapText="1"/>
    </xf>
    <xf numFmtId="3" fontId="28" fillId="9" borderId="9" xfId="0" applyNumberFormat="1" applyFont="1" applyFill="1" applyBorder="1" applyAlignment="1">
      <alignment horizontal="center" vertical="center"/>
    </xf>
    <xf numFmtId="4" fontId="40" fillId="10" borderId="9" xfId="0" applyNumberFormat="1" applyFont="1" applyFill="1" applyBorder="1" applyAlignment="1">
      <alignment horizontal="center" vertical="center"/>
    </xf>
    <xf numFmtId="175" fontId="0" fillId="10" borderId="9" xfId="0" applyNumberFormat="1" applyFont="1" applyFill="1" applyBorder="1" applyAlignment="1">
      <alignment horizontal="center" vertical="center"/>
    </xf>
    <xf numFmtId="0" fontId="18" fillId="10" borderId="9" xfId="0" applyFont="1" applyFill="1" applyBorder="1" applyAlignment="1">
      <alignment horizontal="center" vertical="center"/>
    </xf>
    <xf numFmtId="0" fontId="0" fillId="10" borderId="36" xfId="0" applyFont="1" applyFill="1" applyBorder="1" applyAlignment="1">
      <alignment vertical="center" wrapText="1"/>
    </xf>
    <xf numFmtId="3" fontId="28" fillId="9" borderId="36" xfId="0" applyNumberFormat="1" applyFont="1" applyFill="1" applyBorder="1" applyAlignment="1">
      <alignment horizontal="center" vertical="center"/>
    </xf>
    <xf numFmtId="4" fontId="40" fillId="10" borderId="36" xfId="0" applyNumberFormat="1" applyFont="1" applyFill="1" applyBorder="1" applyAlignment="1">
      <alignment horizontal="center" vertical="center"/>
    </xf>
    <xf numFmtId="175" fontId="0" fillId="10" borderId="36" xfId="0" applyNumberFormat="1" applyFont="1" applyFill="1" applyBorder="1" applyAlignment="1">
      <alignment horizontal="center" vertical="center"/>
    </xf>
    <xf numFmtId="0" fontId="18" fillId="10" borderId="36" xfId="0" applyFont="1" applyFill="1" applyBorder="1" applyAlignment="1">
      <alignment horizontal="center" vertical="center"/>
    </xf>
    <xf numFmtId="0" fontId="24" fillId="11" borderId="9" xfId="0" applyFont="1" applyFill="1" applyBorder="1" applyAlignment="1">
      <alignment horizontal="center" vertical="center" wrapText="1"/>
    </xf>
    <xf numFmtId="0" fontId="0" fillId="11" borderId="9" xfId="0" applyFont="1" applyFill="1" applyBorder="1" applyAlignment="1">
      <alignment vertical="center" wrapText="1"/>
    </xf>
    <xf numFmtId="0" fontId="28" fillId="9" borderId="9" xfId="0" applyFont="1" applyFill="1" applyBorder="1" applyAlignment="1">
      <alignment horizontal="center" vertical="center"/>
    </xf>
    <xf numFmtId="4" fontId="40" fillId="11" borderId="9" xfId="0" applyNumberFormat="1" applyFont="1" applyFill="1" applyBorder="1" applyAlignment="1">
      <alignment horizontal="center" vertical="center"/>
    </xf>
    <xf numFmtId="175" fontId="0" fillId="11" borderId="9" xfId="0" applyNumberFormat="1" applyFont="1" applyFill="1" applyBorder="1" applyAlignment="1">
      <alignment horizontal="center" vertical="center"/>
    </xf>
    <xf numFmtId="0" fontId="18" fillId="11" borderId="9" xfId="0" applyFont="1" applyFill="1" applyBorder="1" applyAlignment="1">
      <alignment horizontal="center" vertical="center"/>
    </xf>
    <xf numFmtId="4" fontId="40" fillId="2" borderId="9" xfId="0" applyNumberFormat="1" applyFont="1" applyFill="1" applyBorder="1" applyAlignment="1">
      <alignment vertical="center"/>
    </xf>
    <xf numFmtId="175" fontId="0" fillId="2" borderId="9" xfId="0" applyNumberFormat="1" applyFont="1" applyFill="1" applyBorder="1" applyAlignment="1">
      <alignment horizontal="center" vertical="center"/>
    </xf>
    <xf numFmtId="0" fontId="17" fillId="2" borderId="9" xfId="0" applyFont="1" applyFill="1" applyBorder="1" applyAlignment="1">
      <alignment horizontal="center" vertical="center"/>
    </xf>
    <xf numFmtId="0" fontId="0" fillId="2" borderId="9" xfId="0" applyFont="1" applyFill="1" applyBorder="1" applyAlignment="1">
      <alignment horizontal="center" vertical="center"/>
    </xf>
    <xf numFmtId="0" fontId="0" fillId="0" borderId="0" xfId="0" applyFont="1" applyAlignment="1">
      <alignment vertical="center" wrapText="1"/>
    </xf>
    <xf numFmtId="3" fontId="18" fillId="0" borderId="0" xfId="0" applyNumberFormat="1" applyFont="1" applyAlignment="1">
      <alignment vertical="center"/>
    </xf>
    <xf numFmtId="0" fontId="0" fillId="0" borderId="0" xfId="0" applyFont="1" applyAlignment="1">
      <alignment horizontal="center" vertical="center"/>
    </xf>
    <xf numFmtId="0" fontId="18" fillId="0" borderId="0" xfId="0" applyFont="1" applyAlignment="1">
      <alignment horizontal="center" vertical="center"/>
    </xf>
    <xf numFmtId="0" fontId="41" fillId="2" borderId="9" xfId="0" applyFont="1" applyFill="1" applyBorder="1" applyAlignment="1">
      <alignment horizontal="center" vertical="center"/>
    </xf>
    <xf numFmtId="0" fontId="18" fillId="2" borderId="9" xfId="0" applyFont="1" applyFill="1" applyBorder="1" applyAlignment="1">
      <alignment horizontal="left" vertical="center"/>
    </xf>
    <xf numFmtId="0" fontId="24" fillId="2" borderId="9" xfId="0" applyFont="1" applyFill="1" applyBorder="1" applyAlignment="1">
      <alignment horizontal="center" vertical="center" wrapText="1"/>
    </xf>
    <xf numFmtId="0" fontId="42" fillId="13" borderId="9" xfId="0" applyFont="1" applyFill="1" applyBorder="1" applyAlignment="1">
      <alignment horizontal="center" vertical="center" wrapText="1"/>
    </xf>
    <xf numFmtId="0" fontId="0" fillId="10" borderId="9" xfId="0" applyFont="1" applyFill="1" applyBorder="1" applyAlignment="1">
      <alignment horizontal="center" vertical="center" wrapText="1"/>
    </xf>
    <xf numFmtId="175" fontId="42" fillId="13" borderId="9" xfId="0" applyNumberFormat="1" applyFont="1" applyFill="1" applyBorder="1" applyAlignment="1">
      <alignment horizontal="center" vertical="center" wrapText="1"/>
    </xf>
    <xf numFmtId="0" fontId="42" fillId="13" borderId="36" xfId="0" applyFont="1" applyFill="1" applyBorder="1" applyAlignment="1">
      <alignment horizontal="center" vertical="center" wrapText="1"/>
    </xf>
    <xf numFmtId="0" fontId="0" fillId="10" borderId="36" xfId="0" applyFont="1" applyFill="1" applyBorder="1" applyAlignment="1">
      <alignment horizontal="center" vertical="center" wrapText="1"/>
    </xf>
    <xf numFmtId="175" fontId="42" fillId="13" borderId="36" xfId="0" applyNumberFormat="1" applyFont="1" applyFill="1" applyBorder="1" applyAlignment="1">
      <alignment horizontal="center" vertical="center" wrapText="1"/>
    </xf>
    <xf numFmtId="0" fontId="0" fillId="11" borderId="9"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0" fillId="2" borderId="9" xfId="0" applyFont="1" applyFill="1" applyBorder="1" applyAlignment="1">
      <alignment horizontal="center" vertical="center" wrapText="1"/>
    </xf>
    <xf numFmtId="0" fontId="42" fillId="2" borderId="9" xfId="0" applyFont="1" applyFill="1" applyBorder="1" applyAlignment="1">
      <alignment horizontal="center" vertical="center" wrapText="1"/>
    </xf>
    <xf numFmtId="0" fontId="42" fillId="0" borderId="0" xfId="0" applyFont="1" applyAlignment="1">
      <alignment vertical="center"/>
    </xf>
    <xf numFmtId="0" fontId="0" fillId="0" borderId="0" xfId="0" applyFont="1" applyAlignment="1">
      <alignment horizontal="center" vertical="center" wrapText="1"/>
    </xf>
    <xf numFmtId="0" fontId="42" fillId="0" borderId="0" xfId="0" applyFont="1" applyAlignment="1">
      <alignment horizontal="center" vertical="center" wrapText="1"/>
    </xf>
    <xf numFmtId="0" fontId="0" fillId="0" borderId="0" xfId="0" applyFont="1" applyAlignment="1">
      <alignment vertical="center"/>
    </xf>
    <xf numFmtId="0" fontId="24" fillId="0" borderId="0" xfId="0" applyFont="1" applyAlignment="1">
      <alignment vertical="center" wrapText="1"/>
    </xf>
    <xf numFmtId="0" fontId="24" fillId="0" borderId="0" xfId="0" applyFont="1" applyAlignment="1">
      <alignment vertical="center"/>
    </xf>
    <xf numFmtId="0" fontId="34" fillId="0" borderId="0" xfId="0" applyFont="1" applyAlignment="1">
      <alignment vertical="center"/>
    </xf>
    <xf numFmtId="0" fontId="24" fillId="14" borderId="9" xfId="0" applyFont="1" applyFill="1" applyBorder="1" applyAlignment="1">
      <alignment horizontal="center" vertical="center" wrapText="1"/>
    </xf>
    <xf numFmtId="4" fontId="40" fillId="6" borderId="9" xfId="0" applyNumberFormat="1" applyFont="1" applyFill="1" applyBorder="1" applyAlignment="1">
      <alignment horizontal="center" vertical="center"/>
    </xf>
    <xf numFmtId="0" fontId="0" fillId="10" borderId="9" xfId="0" applyFont="1" applyFill="1" applyBorder="1" applyAlignment="1">
      <alignment horizontal="center" vertical="center"/>
    </xf>
    <xf numFmtId="4" fontId="40" fillId="2" borderId="9" xfId="0" applyNumberFormat="1" applyFont="1" applyFill="1" applyBorder="1" applyAlignment="1">
      <alignment horizontal="center" vertical="center"/>
    </xf>
    <xf numFmtId="175" fontId="25" fillId="2" borderId="9" xfId="0" applyNumberFormat="1" applyFont="1" applyFill="1" applyBorder="1" applyAlignment="1">
      <alignment horizontal="center" vertical="center"/>
    </xf>
    <xf numFmtId="0" fontId="18" fillId="2" borderId="9" xfId="0" applyFont="1" applyFill="1" applyBorder="1" applyAlignment="1">
      <alignment horizontal="center" vertical="center"/>
    </xf>
    <xf numFmtId="0" fontId="0" fillId="2" borderId="5" xfId="0" applyFont="1" applyFill="1" applyBorder="1" applyAlignment="1">
      <alignment horizontal="center" vertical="center" wrapText="1"/>
    </xf>
    <xf numFmtId="0" fontId="42" fillId="2" borderId="5"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24" fillId="9" borderId="9" xfId="0" applyFont="1" applyFill="1" applyBorder="1" applyAlignment="1">
      <alignment horizontal="center" vertical="center"/>
    </xf>
    <xf numFmtId="0" fontId="24" fillId="9" borderId="9" xfId="0" applyFont="1" applyFill="1" applyBorder="1" applyAlignment="1">
      <alignment horizontal="center" vertical="center" wrapText="1"/>
    </xf>
    <xf numFmtId="0" fontId="0" fillId="14" borderId="9" xfId="0" applyFont="1" applyFill="1" applyBorder="1" applyAlignment="1">
      <alignment vertical="center"/>
    </xf>
    <xf numFmtId="4" fontId="40" fillId="14" borderId="9" xfId="0" applyNumberFormat="1" applyFont="1" applyFill="1" applyBorder="1" applyAlignment="1">
      <alignment horizontal="center" vertical="center"/>
    </xf>
    <xf numFmtId="175" fontId="0" fillId="14" borderId="9" xfId="0" applyNumberFormat="1" applyFont="1" applyFill="1" applyBorder="1" applyAlignment="1">
      <alignment horizontal="center" vertical="center"/>
    </xf>
    <xf numFmtId="0" fontId="18" fillId="14" borderId="9" xfId="0" applyFont="1" applyFill="1" applyBorder="1" applyAlignment="1">
      <alignment horizontal="center" vertical="center"/>
    </xf>
    <xf numFmtId="0" fontId="0" fillId="14" borderId="9" xfId="0" applyFont="1" applyFill="1" applyBorder="1" applyAlignment="1">
      <alignment vertical="center" wrapText="1"/>
    </xf>
    <xf numFmtId="0" fontId="0" fillId="14" borderId="9" xfId="0" applyFont="1" applyFill="1" applyBorder="1" applyAlignment="1">
      <alignment horizontal="center" vertical="center"/>
    </xf>
    <xf numFmtId="0" fontId="0" fillId="11" borderId="9" xfId="0" applyFont="1" applyFill="1" applyBorder="1" applyAlignment="1">
      <alignment horizontal="center" vertical="center"/>
    </xf>
    <xf numFmtId="177" fontId="0" fillId="11" borderId="9" xfId="0" applyNumberFormat="1" applyFont="1" applyFill="1" applyBorder="1" applyAlignment="1">
      <alignment horizontal="center" vertical="center"/>
    </xf>
    <xf numFmtId="0" fontId="24" fillId="15" borderId="5" xfId="0" applyFont="1" applyFill="1" applyBorder="1" applyAlignment="1">
      <alignment horizontal="center" vertical="center" wrapText="1"/>
    </xf>
    <xf numFmtId="0" fontId="0" fillId="15" borderId="5" xfId="0" applyFont="1" applyFill="1" applyBorder="1" applyAlignment="1">
      <alignment vertical="center" wrapText="1"/>
    </xf>
    <xf numFmtId="0" fontId="28" fillId="9" borderId="5" xfId="0" applyFont="1" applyFill="1" applyBorder="1" applyAlignment="1">
      <alignment horizontal="center" vertical="center" wrapText="1"/>
    </xf>
    <xf numFmtId="4" fontId="40" fillId="15" borderId="37" xfId="0" applyNumberFormat="1" applyFont="1" applyFill="1" applyBorder="1" applyAlignment="1">
      <alignment horizontal="center" vertical="center"/>
    </xf>
    <xf numFmtId="175" fontId="0" fillId="15" borderId="5" xfId="0" applyNumberFormat="1" applyFont="1" applyFill="1" applyBorder="1" applyAlignment="1">
      <alignment horizontal="center" vertical="center"/>
    </xf>
    <xf numFmtId="0" fontId="18" fillId="15" borderId="5" xfId="0" applyFont="1" applyFill="1" applyBorder="1" applyAlignment="1">
      <alignment horizontal="center" vertical="center"/>
    </xf>
    <xf numFmtId="4" fontId="40" fillId="9" borderId="9" xfId="0" applyNumberFormat="1" applyFont="1" applyFill="1" applyBorder="1" applyAlignment="1">
      <alignment horizontal="center" vertical="center"/>
    </xf>
    <xf numFmtId="0" fontId="17" fillId="9" borderId="9" xfId="0" applyFont="1" applyFill="1" applyBorder="1" applyAlignment="1">
      <alignment horizontal="center" vertical="center"/>
    </xf>
    <xf numFmtId="0" fontId="0" fillId="9" borderId="9" xfId="0" applyFont="1" applyFill="1" applyBorder="1" applyAlignment="1">
      <alignment horizontal="center" vertical="center"/>
    </xf>
    <xf numFmtId="0" fontId="41" fillId="9" borderId="36" xfId="0" applyFont="1" applyFill="1" applyBorder="1" applyAlignment="1">
      <alignment horizontal="center" vertical="center"/>
    </xf>
    <xf numFmtId="0" fontId="18" fillId="9" borderId="36" xfId="0" applyFont="1" applyFill="1" applyBorder="1" applyAlignment="1">
      <alignment horizontal="center" vertical="center"/>
    </xf>
    <xf numFmtId="0" fontId="34" fillId="0" borderId="31" xfId="0" applyFont="1" applyBorder="1" applyAlignment="1">
      <alignment vertical="center"/>
    </xf>
    <xf numFmtId="0" fontId="34" fillId="0" borderId="0" xfId="0" applyFont="1" applyAlignment="1">
      <alignment horizontal="center" vertical="center"/>
    </xf>
    <xf numFmtId="0" fontId="0" fillId="14" borderId="9" xfId="0" applyFont="1" applyFill="1" applyBorder="1" applyAlignment="1">
      <alignment horizontal="center" vertical="center" wrapText="1"/>
    </xf>
    <xf numFmtId="177" fontId="42" fillId="13" borderId="9" xfId="0" applyNumberFormat="1" applyFont="1" applyFill="1" applyBorder="1" applyAlignment="1">
      <alignment horizontal="center" vertical="center" wrapText="1"/>
    </xf>
    <xf numFmtId="0" fontId="42" fillId="13" borderId="5" xfId="0" applyFont="1" applyFill="1" applyBorder="1" applyAlignment="1">
      <alignment horizontal="center" vertical="center" wrapText="1"/>
    </xf>
    <xf numFmtId="0" fontId="0" fillId="15" borderId="5" xfId="0" applyFont="1" applyFill="1" applyBorder="1" applyAlignment="1">
      <alignment horizontal="center" vertical="center" wrapText="1"/>
    </xf>
    <xf numFmtId="175" fontId="42" fillId="13" borderId="5" xfId="0" applyNumberFormat="1" applyFont="1" applyFill="1" applyBorder="1" applyAlignment="1">
      <alignment horizontal="center" vertical="center" wrapText="1"/>
    </xf>
    <xf numFmtId="0" fontId="17" fillId="13" borderId="9" xfId="0" applyFont="1" applyFill="1" applyBorder="1" applyAlignment="1">
      <alignment horizontal="center" vertical="center" wrapText="1"/>
    </xf>
    <xf numFmtId="0" fontId="0" fillId="9" borderId="9" xfId="0" applyFont="1" applyFill="1" applyBorder="1" applyAlignment="1">
      <alignment horizontal="center" vertical="center" wrapText="1"/>
    </xf>
    <xf numFmtId="0" fontId="42" fillId="13" borderId="16" xfId="0" applyFont="1" applyFill="1" applyBorder="1" applyAlignment="1">
      <alignment horizontal="center" vertical="center" wrapText="1"/>
    </xf>
    <xf numFmtId="0" fontId="17" fillId="13" borderId="18" xfId="0" applyFont="1" applyFill="1" applyBorder="1" applyAlignment="1">
      <alignment horizontal="center" vertical="center" wrapText="1"/>
    </xf>
    <xf numFmtId="0" fontId="34" fillId="0" borderId="34" xfId="0" applyFont="1" applyBorder="1" applyAlignment="1">
      <alignment vertical="center"/>
    </xf>
    <xf numFmtId="0" fontId="34" fillId="0" borderId="27" xfId="0" applyFont="1" applyBorder="1" applyAlignment="1">
      <alignment vertical="center"/>
    </xf>
    <xf numFmtId="0" fontId="43" fillId="5" borderId="0" xfId="0" applyFont="1" applyFill="1" applyAlignment="1">
      <alignment horizontal="center" vertical="center"/>
    </xf>
    <xf numFmtId="1" fontId="0" fillId="0" borderId="0" xfId="0" applyNumberFormat="1" applyFont="1" applyAlignment="1">
      <alignment vertical="center"/>
    </xf>
    <xf numFmtId="0" fontId="34" fillId="0" borderId="0" xfId="0" applyFont="1" applyAlignment="1">
      <alignment vertical="center" wrapText="1"/>
    </xf>
    <xf numFmtId="1" fontId="44" fillId="19" borderId="9" xfId="0" applyNumberFormat="1" applyFont="1" applyFill="1" applyBorder="1" applyAlignment="1" applyProtection="1">
      <alignment horizontal="center" vertical="center" wrapText="1"/>
      <protection locked="0"/>
    </xf>
    <xf numFmtId="168" fontId="44" fillId="19" borderId="9" xfId="0" applyNumberFormat="1" applyFont="1" applyFill="1" applyBorder="1" applyAlignment="1" applyProtection="1">
      <alignment horizontal="center" vertical="center" wrapText="1"/>
      <protection locked="0"/>
    </xf>
    <xf numFmtId="168" fontId="44" fillId="0" borderId="9" xfId="0" applyNumberFormat="1" applyFont="1" applyBorder="1" applyAlignment="1" applyProtection="1">
      <alignment horizontal="center" vertical="center" wrapText="1"/>
      <protection locked="0"/>
    </xf>
    <xf numFmtId="170" fontId="44" fillId="0" borderId="9" xfId="0" applyNumberFormat="1" applyFont="1" applyBorder="1" applyAlignment="1" applyProtection="1">
      <alignment horizontal="center" vertical="center" wrapText="1"/>
    </xf>
    <xf numFmtId="168" fontId="46" fillId="0" borderId="9" xfId="0" applyNumberFormat="1" applyFont="1" applyBorder="1" applyAlignment="1" applyProtection="1">
      <alignment horizontal="center" vertical="center" wrapText="1"/>
      <protection locked="0"/>
    </xf>
    <xf numFmtId="168" fontId="47" fillId="0" borderId="9" xfId="0" applyNumberFormat="1" applyFont="1" applyBorder="1" applyAlignment="1" applyProtection="1">
      <alignment horizontal="center" vertical="center" wrapText="1"/>
      <protection locked="0"/>
    </xf>
    <xf numFmtId="168" fontId="44" fillId="21" borderId="9" xfId="0" applyNumberFormat="1" applyFont="1" applyFill="1" applyBorder="1" applyAlignment="1" applyProtection="1">
      <alignment horizontal="center" vertical="center" wrapText="1"/>
      <protection locked="0"/>
    </xf>
    <xf numFmtId="170" fontId="44" fillId="21" borderId="9" xfId="0" applyNumberFormat="1" applyFont="1" applyFill="1" applyBorder="1" applyAlignment="1" applyProtection="1">
      <alignment horizontal="center" vertical="center" wrapText="1"/>
    </xf>
    <xf numFmtId="168" fontId="46" fillId="21" borderId="9" xfId="0" applyNumberFormat="1" applyFont="1" applyFill="1" applyBorder="1" applyAlignment="1" applyProtection="1">
      <alignment horizontal="center" vertical="center" wrapText="1"/>
      <protection locked="0"/>
    </xf>
    <xf numFmtId="168" fontId="44" fillId="4" borderId="9" xfId="0" applyNumberFormat="1" applyFont="1" applyFill="1" applyBorder="1" applyAlignment="1" applyProtection="1">
      <alignment horizontal="center" vertical="center" wrapText="1"/>
      <protection locked="0"/>
    </xf>
    <xf numFmtId="168" fontId="48" fillId="21" borderId="9" xfId="0" applyNumberFormat="1" applyFont="1" applyFill="1" applyBorder="1" applyAlignment="1" applyProtection="1">
      <alignment horizontal="center" vertical="center" wrapText="1"/>
      <protection locked="0"/>
    </xf>
    <xf numFmtId="168" fontId="48" fillId="0" borderId="9" xfId="0" applyNumberFormat="1" applyFont="1" applyBorder="1" applyAlignment="1" applyProtection="1">
      <alignment horizontal="center" vertical="center" wrapText="1"/>
      <protection locked="0"/>
    </xf>
    <xf numFmtId="170" fontId="44" fillId="4" borderId="9" xfId="0" applyNumberFormat="1" applyFont="1" applyFill="1" applyBorder="1" applyAlignment="1" applyProtection="1">
      <alignment horizontal="center" vertical="center" wrapText="1"/>
    </xf>
    <xf numFmtId="168" fontId="47" fillId="21" borderId="9" xfId="0" applyNumberFormat="1" applyFont="1" applyFill="1" applyBorder="1" applyAlignment="1" applyProtection="1">
      <alignment horizontal="center" vertical="center" wrapText="1"/>
      <protection locked="0"/>
    </xf>
    <xf numFmtId="168" fontId="45" fillId="0" borderId="9" xfId="0" applyNumberFormat="1" applyFont="1" applyBorder="1" applyAlignment="1" applyProtection="1">
      <alignment horizontal="center" vertical="center" wrapText="1"/>
      <protection locked="0"/>
    </xf>
    <xf numFmtId="1" fontId="44" fillId="0" borderId="9" xfId="0" applyNumberFormat="1" applyFont="1" applyBorder="1" applyAlignment="1" applyProtection="1">
      <alignment horizontal="center" vertical="center" wrapText="1"/>
    </xf>
    <xf numFmtId="168" fontId="46" fillId="0" borderId="9" xfId="0" applyNumberFormat="1" applyFont="1" applyFill="1" applyBorder="1" applyAlignment="1" applyProtection="1">
      <alignment horizontal="center" vertical="center" wrapText="1"/>
      <protection locked="0"/>
    </xf>
    <xf numFmtId="1" fontId="44" fillId="4" borderId="9" xfId="0" applyNumberFormat="1" applyFont="1" applyFill="1" applyBorder="1" applyAlignment="1" applyProtection="1">
      <alignment horizontal="center" vertical="center" wrapText="1"/>
    </xf>
    <xf numFmtId="170" fontId="44" fillId="22" borderId="9" xfId="0" applyNumberFormat="1" applyFont="1" applyFill="1" applyBorder="1" applyAlignment="1" applyProtection="1">
      <alignment horizontal="center" vertical="center" wrapText="1"/>
    </xf>
    <xf numFmtId="170" fontId="44" fillId="23" borderId="9" xfId="0" applyNumberFormat="1" applyFont="1" applyFill="1" applyBorder="1" applyAlignment="1" applyProtection="1">
      <alignment horizontal="center" vertical="center" wrapText="1"/>
    </xf>
    <xf numFmtId="170" fontId="44" fillId="20" borderId="9" xfId="0" applyNumberFormat="1" applyFont="1" applyFill="1" applyBorder="1" applyAlignment="1" applyProtection="1">
      <alignment horizontal="center" vertical="center" wrapText="1"/>
    </xf>
    <xf numFmtId="0" fontId="10" fillId="0" borderId="0" xfId="0" applyFont="1" applyProtection="1">
      <protection locked="0"/>
    </xf>
    <xf numFmtId="168" fontId="44" fillId="0" borderId="0" xfId="0" applyNumberFormat="1" applyFont="1" applyAlignment="1" applyProtection="1">
      <alignment horizontal="center" vertical="center"/>
      <protection locked="0"/>
    </xf>
    <xf numFmtId="1" fontId="44" fillId="24" borderId="9" xfId="0" applyNumberFormat="1" applyFont="1" applyFill="1" applyBorder="1" applyAlignment="1" applyProtection="1">
      <alignment horizontal="center" vertical="center"/>
      <protection locked="0"/>
    </xf>
    <xf numFmtId="168" fontId="44" fillId="24" borderId="9" xfId="0" applyNumberFormat="1" applyFont="1" applyFill="1" applyBorder="1" applyAlignment="1" applyProtection="1">
      <alignment horizontal="center" vertical="center"/>
    </xf>
    <xf numFmtId="0" fontId="23" fillId="0" borderId="9" xfId="0" applyFont="1" applyBorder="1" applyAlignment="1">
      <alignment vertical="center" wrapText="1"/>
    </xf>
    <xf numFmtId="0" fontId="49" fillId="5" borderId="9" xfId="0" applyFont="1" applyFill="1" applyBorder="1" applyAlignment="1">
      <alignment wrapText="1"/>
    </xf>
    <xf numFmtId="0" fontId="10" fillId="0" borderId="9" xfId="0" applyFont="1" applyBorder="1" applyAlignment="1">
      <alignment horizontal="center" vertical="center" wrapText="1"/>
    </xf>
    <xf numFmtId="0" fontId="23" fillId="0" borderId="9" xfId="0" applyFont="1" applyBorder="1" applyAlignment="1">
      <alignment horizontal="center" wrapText="1"/>
    </xf>
    <xf numFmtId="0" fontId="24" fillId="23" borderId="10" xfId="0" applyFont="1" applyFill="1" applyBorder="1" applyAlignment="1" applyProtection="1">
      <alignment horizontal="center" vertical="center" wrapText="1"/>
    </xf>
    <xf numFmtId="0" fontId="0" fillId="4" borderId="9" xfId="0" applyFont="1" applyFill="1" applyBorder="1" applyAlignment="1" applyProtection="1">
      <alignment vertical="center" wrapText="1"/>
    </xf>
    <xf numFmtId="0" fontId="24" fillId="23" borderId="41" xfId="0" applyFont="1" applyFill="1" applyBorder="1" applyAlignment="1" applyProtection="1">
      <alignment horizontal="center" vertical="center" wrapText="1"/>
    </xf>
    <xf numFmtId="0" fontId="0" fillId="4" borderId="36" xfId="0" applyFont="1" applyFill="1" applyBorder="1" applyAlignment="1" applyProtection="1">
      <alignment vertical="center" wrapText="1"/>
    </xf>
    <xf numFmtId="0" fontId="28" fillId="5" borderId="42" xfId="0" applyFont="1" applyFill="1" applyBorder="1" applyAlignment="1" applyProtection="1">
      <alignment vertical="center" wrapText="1"/>
      <protection locked="0"/>
    </xf>
    <xf numFmtId="0" fontId="24" fillId="0" borderId="0" xfId="0" applyFont="1" applyAlignment="1" applyProtection="1">
      <alignment horizontal="left" vertical="center" wrapText="1"/>
    </xf>
    <xf numFmtId="0" fontId="22" fillId="5" borderId="0" xfId="0" applyFont="1" applyFill="1" applyAlignment="1" applyProtection="1">
      <alignment horizontal="center" vertical="center" wrapText="1"/>
    </xf>
    <xf numFmtId="0" fontId="25" fillId="0" borderId="10" xfId="0" applyFont="1" applyBorder="1" applyAlignment="1" applyProtection="1">
      <alignment horizontal="center" vertical="center" wrapText="1"/>
      <protection locked="0"/>
    </xf>
    <xf numFmtId="180" fontId="25" fillId="0" borderId="10" xfId="0" applyNumberFormat="1" applyFont="1" applyBorder="1" applyAlignment="1" applyProtection="1">
      <alignment horizontal="left" vertical="center" wrapText="1"/>
      <protection locked="0"/>
    </xf>
    <xf numFmtId="0" fontId="24" fillId="0" borderId="0" xfId="0" applyFont="1" applyAlignment="1" applyProtection="1">
      <alignment horizontal="right" vertical="center" wrapText="1"/>
    </xf>
    <xf numFmtId="10" fontId="24" fillId="0" borderId="0" xfId="0" applyNumberFormat="1" applyFont="1" applyAlignment="1" applyProtection="1">
      <alignment horizontal="center" vertical="center" wrapText="1"/>
    </xf>
    <xf numFmtId="173" fontId="24" fillId="0" borderId="0" xfId="0" applyNumberFormat="1" applyFont="1" applyAlignment="1" applyProtection="1">
      <alignment horizontal="center" vertical="center" wrapText="1"/>
    </xf>
    <xf numFmtId="0" fontId="50" fillId="0" borderId="9" xfId="0" applyFont="1" applyBorder="1" applyAlignment="1">
      <alignment horizontal="center" vertical="center" wrapText="1"/>
    </xf>
    <xf numFmtId="2" fontId="58" fillId="0" borderId="38" xfId="0" applyNumberFormat="1" applyFont="1" applyBorder="1" applyAlignment="1">
      <alignment horizontal="center" vertical="center" wrapText="1"/>
    </xf>
    <xf numFmtId="2" fontId="58" fillId="27" borderId="38" xfId="0" applyNumberFormat="1" applyFont="1" applyFill="1" applyBorder="1" applyAlignment="1">
      <alignment horizontal="center" vertical="center" wrapText="1"/>
    </xf>
    <xf numFmtId="168" fontId="44" fillId="27" borderId="9" xfId="0" applyNumberFormat="1" applyFont="1" applyFill="1" applyBorder="1" applyAlignment="1" applyProtection="1">
      <alignment horizontal="center" vertical="center" wrapText="1"/>
      <protection locked="0"/>
    </xf>
    <xf numFmtId="168" fontId="46" fillId="27" borderId="9" xfId="0" applyNumberFormat="1" applyFont="1" applyFill="1" applyBorder="1" applyAlignment="1" applyProtection="1">
      <alignment horizontal="center" vertical="center" wrapText="1"/>
      <protection locked="0"/>
    </xf>
    <xf numFmtId="178" fontId="44" fillId="27" borderId="38" xfId="0" applyNumberFormat="1" applyFont="1" applyFill="1" applyBorder="1" applyAlignment="1" applyProtection="1">
      <alignment horizontal="center" vertical="center" wrapText="1"/>
      <protection locked="0"/>
    </xf>
    <xf numFmtId="1" fontId="44" fillId="27" borderId="9" xfId="0" applyNumberFormat="1" applyFont="1" applyFill="1" applyBorder="1" applyAlignment="1" applyProtection="1">
      <alignment horizontal="center" vertical="center" wrapText="1"/>
    </xf>
    <xf numFmtId="170" fontId="44" fillId="27" borderId="9" xfId="0" applyNumberFormat="1" applyFont="1" applyFill="1" applyBorder="1" applyAlignment="1" applyProtection="1">
      <alignment horizontal="center" vertical="center" wrapText="1"/>
    </xf>
    <xf numFmtId="168" fontId="48" fillId="27" borderId="9" xfId="0" applyNumberFormat="1" applyFont="1" applyFill="1" applyBorder="1" applyAlignment="1" applyProtection="1">
      <alignment horizontal="center" vertical="center" wrapText="1"/>
      <protection locked="0"/>
    </xf>
    <xf numFmtId="168" fontId="44" fillId="0" borderId="9" xfId="0" applyNumberFormat="1" applyFont="1" applyFill="1" applyBorder="1" applyAlignment="1" applyProtection="1">
      <alignment horizontal="center" vertical="center" wrapText="1"/>
      <protection locked="0"/>
    </xf>
    <xf numFmtId="178" fontId="44" fillId="0" borderId="38" xfId="0" applyNumberFormat="1" applyFont="1" applyFill="1" applyBorder="1" applyAlignment="1" applyProtection="1">
      <alignment horizontal="center" vertical="center" wrapText="1"/>
      <protection locked="0"/>
    </xf>
    <xf numFmtId="2" fontId="58" fillId="0" borderId="38" xfId="0" applyNumberFormat="1" applyFont="1" applyFill="1" applyBorder="1" applyAlignment="1">
      <alignment horizontal="center" vertical="center" wrapText="1"/>
    </xf>
    <xf numFmtId="1" fontId="44" fillId="0" borderId="9" xfId="0" applyNumberFormat="1" applyFont="1" applyFill="1" applyBorder="1" applyAlignment="1" applyProtection="1">
      <alignment horizontal="center" vertical="center" wrapText="1"/>
    </xf>
    <xf numFmtId="170" fontId="44" fillId="0" borderId="9" xfId="0" applyNumberFormat="1" applyFont="1" applyFill="1" applyBorder="1" applyAlignment="1" applyProtection="1">
      <alignment horizontal="center" vertical="center" wrapText="1"/>
    </xf>
    <xf numFmtId="168" fontId="44" fillId="0" borderId="0" xfId="0" applyNumberFormat="1" applyFont="1" applyFill="1" applyAlignment="1" applyProtection="1">
      <alignment horizontal="center" vertical="center"/>
      <protection locked="0"/>
    </xf>
    <xf numFmtId="0" fontId="0" fillId="0" borderId="0" xfId="0" applyFill="1"/>
    <xf numFmtId="168" fontId="48" fillId="0" borderId="9" xfId="0" applyNumberFormat="1" applyFont="1" applyFill="1" applyBorder="1" applyAlignment="1" applyProtection="1">
      <alignment horizontal="center" vertical="center" wrapText="1"/>
      <protection locked="0"/>
    </xf>
    <xf numFmtId="1" fontId="44" fillId="27" borderId="9" xfId="0" applyNumberFormat="1" applyFont="1" applyFill="1" applyBorder="1" applyAlignment="1" applyProtection="1">
      <alignment horizontal="center" vertical="center" wrapText="1"/>
      <protection locked="0"/>
    </xf>
    <xf numFmtId="49" fontId="59" fillId="6" borderId="17" xfId="0" applyNumberFormat="1" applyFont="1" applyFill="1" applyBorder="1" applyAlignment="1">
      <alignment horizontal="center" vertical="center" wrapText="1"/>
    </xf>
    <xf numFmtId="0" fontId="61" fillId="0" borderId="9" xfId="0" applyFont="1" applyBorder="1" applyAlignment="1">
      <alignment horizontal="center" vertical="center" wrapText="1"/>
    </xf>
    <xf numFmtId="2" fontId="12" fillId="0" borderId="5" xfId="0" applyNumberFormat="1" applyFont="1" applyBorder="1" applyAlignment="1">
      <alignment horizontal="center" vertical="center"/>
    </xf>
    <xf numFmtId="0" fontId="13" fillId="0" borderId="7" xfId="0" applyFont="1" applyBorder="1" applyAlignment="1">
      <alignment horizontal="center" vertical="center" wrapText="1"/>
    </xf>
    <xf numFmtId="164" fontId="64" fillId="0" borderId="9" xfId="0" applyNumberFormat="1" applyFont="1" applyBorder="1" applyAlignment="1">
      <alignment horizontal="center" vertical="center" wrapText="1"/>
    </xf>
    <xf numFmtId="0" fontId="5" fillId="2" borderId="17" xfId="0" applyFont="1" applyFill="1" applyBorder="1" applyAlignment="1">
      <alignment horizontal="center" vertical="center" wrapText="1"/>
    </xf>
    <xf numFmtId="179" fontId="28" fillId="0" borderId="9" xfId="0" applyNumberFormat="1" applyFont="1" applyBorder="1" applyAlignment="1" applyProtection="1">
      <alignment horizontal="center" vertical="center" wrapText="1"/>
      <protection locked="0"/>
    </xf>
    <xf numFmtId="179" fontId="28" fillId="5" borderId="9" xfId="0" applyNumberFormat="1" applyFont="1" applyFill="1" applyBorder="1" applyAlignment="1" applyProtection="1">
      <alignment horizontal="center" vertical="center" wrapText="1"/>
      <protection locked="0"/>
    </xf>
    <xf numFmtId="166" fontId="28" fillId="0" borderId="9" xfId="1" applyFont="1" applyBorder="1" applyAlignment="1" applyProtection="1">
      <alignment horizontal="center" vertical="center" wrapText="1"/>
      <protection locked="0"/>
    </xf>
    <xf numFmtId="0" fontId="0" fillId="7" borderId="9" xfId="0" applyFont="1" applyFill="1" applyBorder="1" applyAlignment="1">
      <alignment horizontal="left" vertical="center" wrapText="1"/>
    </xf>
    <xf numFmtId="0" fontId="24" fillId="23" borderId="8" xfId="0" applyFont="1" applyFill="1" applyBorder="1" applyAlignment="1" applyProtection="1">
      <alignment horizontal="center" vertical="center" wrapText="1"/>
    </xf>
    <xf numFmtId="0" fontId="25" fillId="0" borderId="10" xfId="0" applyFont="1" applyBorder="1" applyAlignment="1" applyProtection="1">
      <alignment horizontal="left" vertical="center" wrapText="1"/>
      <protection locked="0"/>
    </xf>
    <xf numFmtId="0" fontId="24" fillId="20" borderId="8" xfId="0" applyFont="1" applyFill="1" applyBorder="1" applyAlignment="1" applyProtection="1">
      <alignment horizontal="left" vertical="center" wrapText="1"/>
    </xf>
    <xf numFmtId="0" fontId="24" fillId="6" borderId="9" xfId="0" applyFont="1" applyFill="1" applyBorder="1" applyAlignment="1">
      <alignment horizontal="center" vertical="center" wrapText="1"/>
    </xf>
    <xf numFmtId="164" fontId="24" fillId="6" borderId="9" xfId="0" applyNumberFormat="1" applyFont="1" applyFill="1" applyBorder="1" applyAlignment="1">
      <alignment horizontal="right" vertical="center" wrapText="1"/>
    </xf>
    <xf numFmtId="3" fontId="25" fillId="0" borderId="9" xfId="0" applyNumberFormat="1" applyFont="1" applyBorder="1" applyAlignment="1">
      <alignment horizontal="center" vertical="center" wrapText="1"/>
    </xf>
    <xf numFmtId="0" fontId="22" fillId="6" borderId="9" xfId="0" applyFont="1" applyFill="1" applyBorder="1" applyAlignment="1">
      <alignment horizontal="center" vertical="center" wrapText="1"/>
    </xf>
    <xf numFmtId="0" fontId="0" fillId="7" borderId="9" xfId="0" applyFont="1" applyFill="1" applyBorder="1" applyAlignment="1">
      <alignment horizontal="left" vertical="center" wrapText="1"/>
    </xf>
    <xf numFmtId="4" fontId="24" fillId="7" borderId="9" xfId="0" applyNumberFormat="1" applyFont="1" applyFill="1" applyBorder="1" applyAlignment="1">
      <alignment horizontal="right" vertical="center" wrapText="1"/>
    </xf>
    <xf numFmtId="0" fontId="24" fillId="7" borderId="9" xfId="0" applyFont="1" applyFill="1" applyBorder="1" applyAlignment="1">
      <alignment horizontal="right" vertical="center" wrapText="1"/>
    </xf>
    <xf numFmtId="0" fontId="32" fillId="0" borderId="26" xfId="0" applyFont="1" applyBorder="1" applyAlignment="1">
      <alignment horizontal="left" vertical="center" wrapText="1"/>
    </xf>
    <xf numFmtId="14" fontId="25" fillId="0" borderId="13" xfId="0" applyNumberFormat="1" applyFont="1" applyBorder="1" applyAlignment="1" applyProtection="1">
      <alignment horizontal="center" vertical="center" wrapText="1"/>
      <protection locked="0"/>
    </xf>
    <xf numFmtId="1" fontId="25" fillId="7" borderId="9" xfId="0" applyNumberFormat="1" applyFont="1" applyFill="1" applyBorder="1" applyAlignment="1">
      <alignment horizontal="center" vertical="center" wrapText="1"/>
    </xf>
    <xf numFmtId="0" fontId="23" fillId="0" borderId="0" xfId="0" applyFont="1" applyAlignment="1" applyProtection="1">
      <alignment vertical="center"/>
    </xf>
    <xf numFmtId="0" fontId="23" fillId="0" borderId="0" xfId="0" applyFont="1" applyAlignment="1" applyProtection="1"/>
    <xf numFmtId="0" fontId="23" fillId="0" borderId="0" xfId="0" applyFont="1"/>
    <xf numFmtId="0" fontId="23" fillId="0" borderId="0" xfId="0" applyFont="1" applyAlignment="1" applyProtection="1">
      <alignment horizontal="justify"/>
    </xf>
    <xf numFmtId="0" fontId="22" fillId="25" borderId="36" xfId="0" applyFont="1" applyFill="1" applyBorder="1" applyAlignment="1" applyProtection="1">
      <alignment horizontal="justify" vertical="center" wrapText="1"/>
    </xf>
    <xf numFmtId="0" fontId="22" fillId="25" borderId="36" xfId="0" applyFont="1" applyFill="1" applyBorder="1" applyAlignment="1" applyProtection="1">
      <alignment horizontal="center" vertical="center" wrapText="1"/>
    </xf>
    <xf numFmtId="170" fontId="22" fillId="25" borderId="36" xfId="0" applyNumberFormat="1" applyFont="1" applyFill="1" applyBorder="1" applyAlignment="1" applyProtection="1">
      <alignment horizontal="center" vertical="center" wrapText="1"/>
    </xf>
    <xf numFmtId="0" fontId="50" fillId="0" borderId="9" xfId="0" applyFont="1" applyBorder="1" applyAlignment="1">
      <alignment vertical="center" wrapText="1"/>
    </xf>
    <xf numFmtId="0" fontId="50" fillId="0" borderId="9" xfId="0" applyFont="1" applyBorder="1" applyAlignment="1" applyProtection="1">
      <alignment horizontal="center" vertical="center" wrapText="1"/>
      <protection locked="0"/>
    </xf>
    <xf numFmtId="164" fontId="50" fillId="10" borderId="9" xfId="0" applyNumberFormat="1" applyFont="1" applyFill="1" applyBorder="1" applyAlignment="1" applyProtection="1">
      <alignment horizontal="right" vertical="center" wrapText="1"/>
    </xf>
    <xf numFmtId="0" fontId="50" fillId="0" borderId="0" xfId="0" applyFont="1" applyAlignment="1" applyProtection="1">
      <alignment vertical="center"/>
    </xf>
    <xf numFmtId="0" fontId="50" fillId="0" borderId="0" xfId="0" applyFont="1" applyAlignment="1" applyProtection="1"/>
    <xf numFmtId="0" fontId="50" fillId="0" borderId="9" xfId="0" applyFont="1" applyBorder="1" applyAlignment="1" applyProtection="1">
      <alignment horizontal="center" vertical="center"/>
      <protection locked="0"/>
    </xf>
    <xf numFmtId="1" fontId="50" fillId="0" borderId="0" xfId="0" applyNumberFormat="1" applyFont="1" applyAlignment="1" applyProtection="1">
      <alignment vertical="center"/>
    </xf>
    <xf numFmtId="0" fontId="50" fillId="0" borderId="0" xfId="0" applyFont="1" applyAlignment="1" applyProtection="1">
      <alignment vertical="center" wrapText="1"/>
    </xf>
    <xf numFmtId="166" fontId="28" fillId="5" borderId="9" xfId="1" applyFont="1" applyFill="1" applyBorder="1" applyAlignment="1" applyProtection="1">
      <alignment horizontal="center" vertical="center" wrapText="1"/>
      <protection locked="0"/>
    </xf>
    <xf numFmtId="0" fontId="50" fillId="5" borderId="9" xfId="0" applyFont="1" applyFill="1" applyBorder="1" applyAlignment="1">
      <alignment wrapText="1"/>
    </xf>
    <xf numFmtId="0" fontId="66" fillId="0" borderId="9" xfId="0" applyFont="1" applyBorder="1" applyAlignment="1">
      <alignment horizontal="center" vertical="center" wrapText="1"/>
    </xf>
    <xf numFmtId="164" fontId="22" fillId="14" borderId="5" xfId="0" applyNumberFormat="1" applyFont="1" applyFill="1" applyBorder="1" applyAlignment="1" applyProtection="1">
      <alignment horizontal="right" vertical="center"/>
    </xf>
    <xf numFmtId="164" fontId="22" fillId="25" borderId="9" xfId="0" applyNumberFormat="1" applyFont="1" applyFill="1" applyBorder="1" applyAlignment="1" applyProtection="1">
      <alignment horizontal="right" vertical="center"/>
    </xf>
    <xf numFmtId="0" fontId="22" fillId="0" borderId="0" xfId="0" applyFont="1" applyAlignment="1" applyProtection="1">
      <alignment horizontal="justify" vertical="center" wrapText="1"/>
    </xf>
    <xf numFmtId="0" fontId="67" fillId="0" borderId="0" xfId="0" applyFont="1" applyAlignment="1" applyProtection="1">
      <alignment horizontal="center" vertical="center" wrapText="1"/>
    </xf>
    <xf numFmtId="170" fontId="67" fillId="0" borderId="0" xfId="0" applyNumberFormat="1" applyFont="1" applyAlignment="1" applyProtection="1">
      <alignment horizontal="right" vertical="center"/>
    </xf>
    <xf numFmtId="0" fontId="23" fillId="0" borderId="9" xfId="0" applyFont="1" applyBorder="1" applyAlignment="1">
      <alignment horizontal="center" vertical="center" wrapText="1"/>
    </xf>
    <xf numFmtId="0" fontId="23" fillId="0" borderId="9" xfId="0" applyFont="1" applyBorder="1" applyAlignment="1" applyProtection="1">
      <alignment horizontal="center" vertical="center"/>
      <protection locked="0"/>
    </xf>
    <xf numFmtId="164" fontId="23" fillId="10" borderId="9" xfId="0" applyNumberFormat="1" applyFont="1" applyFill="1" applyBorder="1" applyAlignment="1" applyProtection="1">
      <alignment horizontal="right" vertical="center"/>
    </xf>
    <xf numFmtId="0" fontId="23" fillId="0" borderId="9" xfId="0" applyFont="1" applyBorder="1" applyAlignment="1">
      <alignment wrapText="1"/>
    </xf>
    <xf numFmtId="0" fontId="28" fillId="0" borderId="9" xfId="0" applyFont="1" applyBorder="1" applyAlignment="1" applyProtection="1">
      <alignment horizontal="center" vertical="center" wrapText="1"/>
      <protection locked="0"/>
    </xf>
    <xf numFmtId="164" fontId="22" fillId="14" borderId="5" xfId="0" applyNumberFormat="1" applyFont="1" applyFill="1" applyBorder="1" applyAlignment="1" applyProtection="1">
      <alignment horizontal="right" vertical="center" wrapText="1"/>
    </xf>
    <xf numFmtId="164" fontId="22" fillId="25" borderId="9" xfId="0" applyNumberFormat="1" applyFont="1" applyFill="1" applyBorder="1" applyAlignment="1" applyProtection="1">
      <alignment vertical="center"/>
    </xf>
    <xf numFmtId="0" fontId="23" fillId="0" borderId="0" xfId="0" applyFont="1" applyAlignment="1" applyProtection="1">
      <alignment horizontal="justify" vertical="center"/>
    </xf>
    <xf numFmtId="0" fontId="23" fillId="0" borderId="0" xfId="0" applyFont="1" applyAlignment="1" applyProtection="1">
      <alignment horizontal="center" vertical="center"/>
    </xf>
    <xf numFmtId="170" fontId="23" fillId="0" borderId="0" xfId="0" applyNumberFormat="1" applyFont="1" applyAlignment="1" applyProtection="1">
      <alignment horizontal="right" vertical="center"/>
    </xf>
    <xf numFmtId="0" fontId="23" fillId="0" borderId="9" xfId="0" applyFont="1" applyBorder="1" applyAlignment="1" applyProtection="1">
      <alignment horizontal="center" vertical="center" wrapText="1"/>
      <protection locked="0"/>
    </xf>
    <xf numFmtId="1" fontId="23" fillId="0" borderId="9" xfId="0" applyNumberFormat="1" applyFont="1" applyBorder="1" applyAlignment="1" applyProtection="1">
      <alignment horizontal="center" vertical="center"/>
      <protection locked="0"/>
    </xf>
    <xf numFmtId="172" fontId="23" fillId="0" borderId="9" xfId="0" applyNumberFormat="1" applyFont="1" applyBorder="1" applyAlignment="1" applyProtection="1">
      <alignment horizontal="center" vertical="center"/>
      <protection locked="0"/>
    </xf>
    <xf numFmtId="164" fontId="22" fillId="14" borderId="5" xfId="0" applyNumberFormat="1" applyFont="1" applyFill="1" applyBorder="1" applyAlignment="1" applyProtection="1">
      <alignment vertical="center"/>
    </xf>
    <xf numFmtId="0" fontId="70" fillId="0" borderId="0" xfId="0" applyFont="1" applyAlignment="1" applyProtection="1">
      <alignment vertical="center" wrapText="1"/>
    </xf>
    <xf numFmtId="164" fontId="22" fillId="25" borderId="5" xfId="0" applyNumberFormat="1" applyFont="1" applyFill="1" applyBorder="1" applyAlignment="1" applyProtection="1">
      <alignment horizontal="right" vertical="center"/>
    </xf>
    <xf numFmtId="0" fontId="65" fillId="25" borderId="9" xfId="0" applyFont="1" applyFill="1" applyBorder="1" applyAlignment="1" applyProtection="1">
      <alignment horizontal="justify" vertical="center"/>
    </xf>
    <xf numFmtId="4" fontId="23" fillId="2" borderId="9" xfId="0" applyNumberFormat="1" applyFont="1" applyFill="1" applyBorder="1" applyAlignment="1" applyProtection="1">
      <alignment horizontal="justify" vertical="center"/>
    </xf>
    <xf numFmtId="4" fontId="22" fillId="25" borderId="9" xfId="0" applyNumberFormat="1" applyFont="1" applyFill="1" applyBorder="1" applyAlignment="1" applyProtection="1">
      <alignment horizontal="justify" vertical="center"/>
    </xf>
    <xf numFmtId="4" fontId="23" fillId="0" borderId="0" xfId="0" applyNumberFormat="1" applyFont="1" applyAlignment="1" applyProtection="1">
      <alignment vertical="center"/>
    </xf>
    <xf numFmtId="4" fontId="22" fillId="0" borderId="0" xfId="0" applyNumberFormat="1" applyFont="1" applyAlignment="1" applyProtection="1">
      <alignment horizontal="justify" vertical="center"/>
    </xf>
    <xf numFmtId="4" fontId="67" fillId="0" borderId="0" xfId="0" applyNumberFormat="1" applyFont="1" applyAlignment="1" applyProtection="1">
      <alignment horizontal="right" vertical="center"/>
    </xf>
    <xf numFmtId="4" fontId="22" fillId="14" borderId="9" xfId="0" applyNumberFormat="1" applyFont="1" applyFill="1" applyBorder="1" applyAlignment="1" applyProtection="1">
      <alignment horizontal="center" vertical="center"/>
    </xf>
    <xf numFmtId="0" fontId="0" fillId="0" borderId="25" xfId="0" applyFont="1" applyBorder="1" applyAlignment="1"/>
    <xf numFmtId="0" fontId="0" fillId="0" borderId="0" xfId="0" applyFont="1" applyBorder="1" applyAlignment="1"/>
    <xf numFmtId="0" fontId="0" fillId="0" borderId="23" xfId="0" applyFont="1" applyBorder="1" applyAlignment="1"/>
    <xf numFmtId="4" fontId="22" fillId="6" borderId="23" xfId="0" applyNumberFormat="1" applyFont="1" applyFill="1" applyBorder="1" applyAlignment="1">
      <alignment vertical="center" wrapText="1"/>
    </xf>
    <xf numFmtId="0" fontId="25" fillId="5" borderId="10" xfId="0" applyFont="1" applyFill="1" applyBorder="1" applyAlignment="1" applyProtection="1">
      <alignment horizontal="left" vertical="center" wrapText="1"/>
      <protection locked="0"/>
    </xf>
    <xf numFmtId="0" fontId="0" fillId="5" borderId="0" xfId="0" applyFont="1" applyFill="1" applyAlignment="1">
      <alignment vertical="center" wrapText="1"/>
    </xf>
    <xf numFmtId="0" fontId="0" fillId="0" borderId="0" xfId="0" applyAlignment="1">
      <alignment vertical="center" wrapText="1"/>
    </xf>
    <xf numFmtId="164" fontId="24" fillId="7" borderId="9" xfId="0" applyNumberFormat="1" applyFont="1" applyFill="1" applyBorder="1" applyAlignment="1">
      <alignment vertical="center" wrapText="1"/>
    </xf>
    <xf numFmtId="10" fontId="24" fillId="7" borderId="16" xfId="0" applyNumberFormat="1" applyFont="1" applyFill="1" applyBorder="1" applyAlignment="1">
      <alignment horizontal="center" vertical="center" wrapText="1"/>
    </xf>
    <xf numFmtId="4" fontId="24" fillId="0" borderId="26" xfId="0" applyNumberFormat="1" applyFont="1" applyBorder="1" applyAlignment="1">
      <alignment horizontal="right" vertical="center" wrapText="1"/>
    </xf>
    <xf numFmtId="10" fontId="24" fillId="6" borderId="9" xfId="0" applyNumberFormat="1" applyFont="1" applyFill="1" applyBorder="1" applyAlignment="1">
      <alignment horizontal="center" vertical="center" wrapText="1"/>
    </xf>
    <xf numFmtId="171" fontId="31" fillId="7" borderId="9" xfId="0" applyNumberFormat="1" applyFont="1" applyFill="1" applyBorder="1" applyAlignment="1">
      <alignment vertical="center" wrapText="1"/>
    </xf>
    <xf numFmtId="3" fontId="31" fillId="7" borderId="9" xfId="0" applyNumberFormat="1" applyFont="1" applyFill="1" applyBorder="1" applyAlignment="1">
      <alignment vertical="center" wrapText="1"/>
    </xf>
    <xf numFmtId="9" fontId="24" fillId="7" borderId="9" xfId="0" applyNumberFormat="1" applyFont="1" applyFill="1" applyBorder="1" applyAlignment="1">
      <alignment vertical="center" wrapText="1"/>
    </xf>
    <xf numFmtId="164" fontId="31" fillId="7" borderId="9" xfId="0" applyNumberFormat="1" applyFont="1" applyFill="1" applyBorder="1" applyAlignment="1">
      <alignment vertical="center" wrapText="1"/>
    </xf>
    <xf numFmtId="10" fontId="24" fillId="7" borderId="9" xfId="0" applyNumberFormat="1" applyFont="1" applyFill="1" applyBorder="1" applyAlignment="1">
      <alignment vertical="center" wrapText="1"/>
    </xf>
    <xf numFmtId="164" fontId="25" fillId="7" borderId="9" xfId="0" applyNumberFormat="1" applyFont="1" applyFill="1" applyBorder="1" applyAlignment="1">
      <alignment horizontal="right" vertical="center" wrapText="1"/>
    </xf>
    <xf numFmtId="0" fontId="24" fillId="0" borderId="26" xfId="0" applyFont="1" applyBorder="1" applyAlignment="1">
      <alignment horizontal="center" vertical="center" wrapText="1"/>
    </xf>
    <xf numFmtId="0" fontId="18" fillId="6" borderId="9" xfId="0" applyFont="1" applyFill="1" applyBorder="1" applyAlignment="1">
      <alignment horizontal="center" vertical="center" wrapText="1"/>
    </xf>
    <xf numFmtId="10" fontId="25" fillId="6" borderId="9" xfId="0" applyNumberFormat="1" applyFont="1" applyFill="1" applyBorder="1" applyAlignment="1">
      <alignment horizontal="center" vertical="center" wrapText="1"/>
    </xf>
    <xf numFmtId="0" fontId="0" fillId="5" borderId="0" xfId="0" applyFont="1" applyFill="1" applyAlignment="1">
      <alignment horizontal="center" vertical="center" wrapText="1"/>
    </xf>
    <xf numFmtId="9" fontId="0" fillId="5" borderId="0" xfId="0" applyNumberFormat="1" applyFont="1" applyFill="1" applyAlignment="1">
      <alignment horizontal="center" vertical="center" wrapText="1"/>
    </xf>
    <xf numFmtId="0" fontId="38" fillId="0" borderId="0" xfId="0" applyFont="1" applyAlignment="1">
      <alignment vertical="center" wrapText="1"/>
    </xf>
    <xf numFmtId="0" fontId="0" fillId="0" borderId="25" xfId="0" applyFont="1" applyBorder="1" applyAlignment="1">
      <alignment vertical="center" wrapText="1"/>
    </xf>
    <xf numFmtId="0" fontId="0" fillId="0" borderId="0" xfId="0" applyFont="1" applyBorder="1" applyAlignment="1">
      <alignment vertical="center" wrapText="1"/>
    </xf>
    <xf numFmtId="0" fontId="0" fillId="0" borderId="23" xfId="0" applyFont="1" applyBorder="1" applyAlignment="1">
      <alignment vertical="center" wrapText="1"/>
    </xf>
    <xf numFmtId="39" fontId="24" fillId="0" borderId="9" xfId="0" applyNumberFormat="1" applyFont="1" applyBorder="1" applyAlignment="1">
      <alignment horizontal="right" vertical="center" wrapText="1"/>
    </xf>
    <xf numFmtId="39" fontId="24" fillId="6" borderId="9" xfId="0" applyNumberFormat="1" applyFont="1" applyFill="1" applyBorder="1" applyAlignment="1">
      <alignment horizontal="right" vertical="center" wrapText="1"/>
    </xf>
    <xf numFmtId="0" fontId="0" fillId="0" borderId="0" xfId="0" applyFont="1" applyAlignment="1" applyProtection="1">
      <alignment vertical="center" wrapText="1"/>
    </xf>
    <xf numFmtId="0" fontId="0" fillId="0" borderId="0" xfId="0" applyFont="1" applyAlignment="1" applyProtection="1">
      <alignment horizontal="center" vertical="center" wrapText="1"/>
    </xf>
    <xf numFmtId="0" fontId="24" fillId="26" borderId="14" xfId="0" applyFont="1" applyFill="1" applyBorder="1" applyAlignment="1" applyProtection="1">
      <alignment horizontal="center" vertical="center" wrapText="1"/>
    </xf>
    <xf numFmtId="0" fontId="24" fillId="26" borderId="39" xfId="0" applyFont="1" applyFill="1" applyBorder="1" applyAlignment="1" applyProtection="1">
      <alignment horizontal="center" vertical="center" wrapText="1"/>
    </xf>
    <xf numFmtId="0" fontId="24" fillId="26" borderId="4" xfId="0" applyFont="1" applyFill="1" applyBorder="1" applyAlignment="1" applyProtection="1">
      <alignment horizontal="center" vertical="center" wrapText="1"/>
    </xf>
    <xf numFmtId="0" fontId="0" fillId="21" borderId="4" xfId="0" applyFont="1" applyFill="1" applyBorder="1" applyAlignment="1" applyProtection="1">
      <alignment horizontal="center" vertical="center" wrapText="1"/>
    </xf>
    <xf numFmtId="0" fontId="0" fillId="21" borderId="8" xfId="0" applyFont="1" applyFill="1" applyBorder="1" applyAlignment="1" applyProtection="1">
      <alignment horizontal="center" vertical="center" wrapText="1"/>
    </xf>
    <xf numFmtId="0" fontId="24" fillId="23" borderId="9" xfId="0" applyFont="1" applyFill="1" applyBorder="1" applyAlignment="1" applyProtection="1">
      <alignment horizontal="center" vertical="center" wrapText="1"/>
    </xf>
    <xf numFmtId="3" fontId="28" fillId="5" borderId="10" xfId="0" applyNumberFormat="1" applyFont="1" applyFill="1" applyBorder="1" applyAlignment="1" applyProtection="1">
      <alignment vertical="center" wrapText="1"/>
      <protection locked="0"/>
    </xf>
    <xf numFmtId="3" fontId="28" fillId="0" borderId="10" xfId="0" applyNumberFormat="1" applyFont="1" applyBorder="1" applyAlignment="1" applyProtection="1">
      <alignment vertical="center" wrapText="1"/>
      <protection locked="0"/>
    </xf>
    <xf numFmtId="3" fontId="28" fillId="0" borderId="10" xfId="0" applyNumberFormat="1" applyFont="1" applyFill="1" applyBorder="1" applyAlignment="1" applyProtection="1">
      <alignment vertical="center" wrapText="1"/>
      <protection locked="0"/>
    </xf>
    <xf numFmtId="0" fontId="28" fillId="5" borderId="10" xfId="0" applyFont="1" applyFill="1" applyBorder="1" applyAlignment="1" applyProtection="1">
      <alignment vertical="center" wrapText="1"/>
      <protection locked="0"/>
    </xf>
    <xf numFmtId="0" fontId="0" fillId="5" borderId="0" xfId="0" applyFont="1" applyFill="1" applyAlignment="1" applyProtection="1">
      <alignment vertical="center" wrapText="1"/>
    </xf>
    <xf numFmtId="0" fontId="0" fillId="23" borderId="11" xfId="0" applyFont="1" applyFill="1" applyBorder="1" applyAlignment="1" applyProtection="1">
      <alignment horizontal="center" vertical="center" wrapText="1"/>
    </xf>
    <xf numFmtId="0" fontId="18" fillId="5" borderId="0" xfId="0" applyFont="1" applyFill="1" applyAlignment="1" applyProtection="1">
      <alignment horizontal="center" vertical="center" wrapText="1"/>
    </xf>
    <xf numFmtId="0" fontId="24" fillId="23" borderId="11" xfId="0" applyFont="1" applyFill="1" applyBorder="1" applyAlignment="1" applyProtection="1">
      <alignment horizontal="center" vertical="center" wrapText="1"/>
    </xf>
    <xf numFmtId="1" fontId="25" fillId="5" borderId="46" xfId="0" applyNumberFormat="1" applyFont="1" applyFill="1" applyBorder="1" applyAlignment="1" applyProtection="1">
      <alignment horizontal="center" vertical="center" wrapText="1"/>
      <protection locked="0"/>
    </xf>
    <xf numFmtId="0" fontId="24" fillId="5" borderId="46" xfId="0" applyFont="1" applyFill="1" applyBorder="1" applyAlignment="1" applyProtection="1">
      <alignment horizontal="center" vertical="center" wrapText="1"/>
      <protection locked="0"/>
    </xf>
    <xf numFmtId="10" fontId="25" fillId="5" borderId="46" xfId="0" applyNumberFormat="1" applyFont="1" applyFill="1" applyBorder="1" applyAlignment="1" applyProtection="1">
      <alignment horizontal="center" vertical="center" wrapText="1"/>
      <protection locked="0"/>
    </xf>
    <xf numFmtId="10" fontId="25" fillId="5" borderId="19" xfId="0" applyNumberFormat="1" applyFont="1" applyFill="1" applyBorder="1" applyAlignment="1" applyProtection="1">
      <alignment horizontal="center" vertical="center" wrapText="1"/>
      <protection locked="0"/>
    </xf>
    <xf numFmtId="10" fontId="25" fillId="0" borderId="10" xfId="0" applyNumberFormat="1" applyFont="1" applyBorder="1" applyAlignment="1" applyProtection="1">
      <alignment horizontal="center" vertical="center" wrapText="1"/>
      <protection locked="0"/>
    </xf>
    <xf numFmtId="10" fontId="24" fillId="20" borderId="10" xfId="0" applyNumberFormat="1" applyFont="1" applyFill="1" applyBorder="1" applyAlignment="1" applyProtection="1">
      <alignment horizontal="center" vertical="center" wrapText="1"/>
    </xf>
    <xf numFmtId="10" fontId="25" fillId="0" borderId="13" xfId="0" applyNumberFormat="1" applyFont="1" applyBorder="1" applyAlignment="1" applyProtection="1">
      <alignment horizontal="center" vertical="center" wrapText="1"/>
      <protection locked="0"/>
    </xf>
    <xf numFmtId="164" fontId="25" fillId="5" borderId="19" xfId="0" applyNumberFormat="1" applyFont="1" applyFill="1" applyBorder="1" applyAlignment="1" applyProtection="1">
      <alignment horizontal="center" vertical="center" wrapText="1"/>
      <protection locked="0"/>
    </xf>
    <xf numFmtId="0" fontId="24" fillId="23" borderId="8" xfId="0" applyFont="1" applyFill="1" applyBorder="1" applyAlignment="1" applyProtection="1">
      <alignment horizontal="center" vertical="center" wrapText="1"/>
    </xf>
    <xf numFmtId="0" fontId="24" fillId="23" borderId="11" xfId="0" applyFont="1" applyFill="1" applyBorder="1" applyAlignment="1" applyProtection="1">
      <alignment horizontal="center" vertical="center" wrapText="1"/>
    </xf>
    <xf numFmtId="0" fontId="24" fillId="6" borderId="9" xfId="0" applyFont="1" applyFill="1" applyBorder="1" applyAlignment="1">
      <alignment horizontal="center" vertical="center" wrapText="1"/>
    </xf>
    <xf numFmtId="0" fontId="24" fillId="7" borderId="9" xfId="0" applyFont="1" applyFill="1" applyBorder="1" applyAlignment="1">
      <alignment horizontal="right" vertical="center" wrapText="1"/>
    </xf>
    <xf numFmtId="164" fontId="24" fillId="6" borderId="9" xfId="0" applyNumberFormat="1" applyFont="1" applyFill="1" applyBorder="1" applyAlignment="1">
      <alignment horizontal="right" vertical="center" wrapText="1"/>
    </xf>
    <xf numFmtId="0" fontId="24" fillId="7" borderId="9" xfId="0" applyFont="1" applyFill="1" applyBorder="1" applyAlignment="1">
      <alignment horizontal="center" vertical="center" wrapText="1"/>
    </xf>
    <xf numFmtId="164" fontId="24" fillId="7" borderId="9" xfId="0" applyNumberFormat="1" applyFont="1" applyFill="1" applyBorder="1" applyAlignment="1">
      <alignment horizontal="right" vertical="center" wrapText="1"/>
    </xf>
    <xf numFmtId="0" fontId="57" fillId="0" borderId="0" xfId="0" applyFont="1" applyAlignment="1">
      <alignment vertical="center" wrapText="1"/>
    </xf>
    <xf numFmtId="0" fontId="24" fillId="5" borderId="0" xfId="0" applyFont="1" applyFill="1" applyAlignment="1">
      <alignment horizontal="center" vertical="center" wrapText="1"/>
    </xf>
    <xf numFmtId="0" fontId="57" fillId="5" borderId="0" xfId="0" applyFont="1" applyFill="1" applyAlignment="1">
      <alignment vertical="center" wrapText="1"/>
    </xf>
    <xf numFmtId="4" fontId="24" fillId="6" borderId="23" xfId="0" applyNumberFormat="1" applyFont="1" applyFill="1" applyBorder="1" applyAlignment="1">
      <alignment vertical="center" wrapText="1"/>
    </xf>
    <xf numFmtId="0" fontId="24" fillId="6" borderId="23" xfId="0" applyFont="1" applyFill="1" applyBorder="1" applyAlignment="1">
      <alignment horizontal="left" vertical="center" wrapText="1"/>
    </xf>
    <xf numFmtId="0" fontId="24" fillId="6" borderId="16" xfId="0" applyFont="1" applyFill="1" applyBorder="1" applyAlignment="1">
      <alignment horizontal="center" vertical="center" wrapText="1"/>
    </xf>
    <xf numFmtId="1" fontId="25" fillId="7" borderId="17" xfId="0" applyNumberFormat="1" applyFont="1" applyFill="1" applyBorder="1" applyAlignment="1">
      <alignment horizontal="center" vertical="center" wrapText="1"/>
    </xf>
    <xf numFmtId="0" fontId="57" fillId="7" borderId="16" xfId="0" applyFont="1" applyFill="1" applyBorder="1" applyAlignment="1">
      <alignment horizontal="left" vertical="center" wrapText="1"/>
    </xf>
    <xf numFmtId="164" fontId="24" fillId="6" borderId="9" xfId="0" applyNumberFormat="1" applyFont="1" applyFill="1" applyBorder="1" applyAlignment="1">
      <alignment vertical="center" wrapText="1"/>
    </xf>
    <xf numFmtId="0" fontId="29" fillId="0" borderId="9"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lignment horizontal="left" vertical="center" wrapText="1"/>
    </xf>
    <xf numFmtId="0" fontId="24" fillId="6" borderId="9" xfId="0" applyFont="1" applyFill="1" applyBorder="1" applyAlignment="1">
      <alignment vertical="center" wrapText="1"/>
    </xf>
    <xf numFmtId="171" fontId="24" fillId="7" borderId="9" xfId="0" applyNumberFormat="1" applyFont="1" applyFill="1" applyBorder="1" applyAlignment="1">
      <alignment vertical="center" wrapText="1"/>
    </xf>
    <xf numFmtId="3" fontId="24" fillId="7" borderId="9" xfId="0" applyNumberFormat="1" applyFont="1" applyFill="1" applyBorder="1" applyAlignment="1">
      <alignment vertical="center" wrapText="1"/>
    </xf>
    <xf numFmtId="164" fontId="24" fillId="7" borderId="9" xfId="0" applyNumberFormat="1" applyFont="1" applyFill="1" applyBorder="1" applyAlignment="1">
      <alignment horizontal="center" vertical="center" wrapText="1"/>
    </xf>
    <xf numFmtId="0" fontId="24" fillId="0" borderId="0" xfId="0" applyFont="1" applyAlignment="1">
      <alignment horizontal="center" vertical="center" wrapText="1"/>
    </xf>
    <xf numFmtId="164" fontId="24" fillId="0" borderId="0" xfId="0" applyNumberFormat="1" applyFont="1" applyAlignment="1">
      <alignment vertical="center" wrapText="1"/>
    </xf>
    <xf numFmtId="4" fontId="24" fillId="6" borderId="9" xfId="0" applyNumberFormat="1" applyFont="1" applyFill="1" applyBorder="1" applyAlignment="1">
      <alignment horizontal="center" vertical="center" wrapText="1"/>
    </xf>
    <xf numFmtId="164" fontId="25" fillId="7" borderId="26" xfId="0" applyNumberFormat="1" applyFont="1" applyFill="1" applyBorder="1" applyAlignment="1">
      <alignment horizontal="right" vertical="center" wrapText="1"/>
    </xf>
    <xf numFmtId="0" fontId="57" fillId="5" borderId="0" xfId="0" applyFont="1" applyFill="1" applyAlignment="1">
      <alignment horizontal="center" vertical="center" wrapText="1"/>
    </xf>
    <xf numFmtId="9" fontId="57" fillId="5" borderId="0" xfId="0" applyNumberFormat="1" applyFont="1" applyFill="1" applyAlignment="1">
      <alignment horizontal="center" vertical="center" wrapText="1"/>
    </xf>
    <xf numFmtId="0" fontId="57" fillId="0" borderId="25" xfId="0" applyFont="1" applyBorder="1" applyAlignment="1"/>
    <xf numFmtId="0" fontId="57" fillId="0" borderId="0" xfId="0" applyFont="1" applyBorder="1" applyAlignment="1"/>
    <xf numFmtId="0" fontId="57" fillId="0" borderId="23" xfId="0" applyFont="1" applyBorder="1" applyAlignment="1"/>
    <xf numFmtId="49" fontId="25" fillId="6" borderId="17" xfId="0" applyNumberFormat="1" applyFont="1" applyFill="1" applyBorder="1" applyAlignment="1">
      <alignment horizontal="center" vertical="center" wrapText="1"/>
    </xf>
    <xf numFmtId="0" fontId="24" fillId="6" borderId="9" xfId="0" applyFont="1" applyFill="1" applyBorder="1" applyAlignment="1">
      <alignment horizontal="center" vertical="center" wrapText="1"/>
    </xf>
    <xf numFmtId="171" fontId="24" fillId="6" borderId="9" xfId="0" applyNumberFormat="1" applyFont="1" applyFill="1" applyBorder="1" applyAlignment="1">
      <alignment horizontal="right" vertical="center" wrapText="1"/>
    </xf>
    <xf numFmtId="164" fontId="24" fillId="6" borderId="9" xfId="0" applyNumberFormat="1" applyFont="1" applyFill="1" applyBorder="1" applyAlignment="1">
      <alignment horizontal="right" vertical="center" wrapText="1"/>
    </xf>
    <xf numFmtId="171" fontId="25" fillId="0" borderId="9" xfId="0" applyNumberFormat="1" applyFont="1" applyBorder="1" applyAlignment="1">
      <alignment horizontal="right" vertical="center" wrapText="1"/>
    </xf>
    <xf numFmtId="0" fontId="0" fillId="0" borderId="9" xfId="0" applyFont="1" applyBorder="1" applyAlignment="1">
      <alignment horizontal="left" vertical="center" wrapText="1"/>
    </xf>
    <xf numFmtId="0" fontId="31" fillId="6" borderId="9" xfId="0" applyFont="1" applyFill="1" applyBorder="1" applyAlignment="1">
      <alignment horizontal="center" vertical="center" wrapText="1"/>
    </xf>
    <xf numFmtId="0" fontId="22" fillId="6" borderId="9" xfId="0" applyFont="1" applyFill="1" applyBorder="1" applyAlignment="1">
      <alignment horizontal="center" vertical="center" wrapText="1"/>
    </xf>
    <xf numFmtId="0" fontId="0" fillId="7" borderId="9" xfId="0" applyFont="1" applyFill="1" applyBorder="1" applyAlignment="1">
      <alignment horizontal="left" vertical="center" wrapText="1"/>
    </xf>
    <xf numFmtId="4" fontId="24" fillId="7" borderId="9" xfId="0" applyNumberFormat="1" applyFont="1" applyFill="1" applyBorder="1" applyAlignment="1">
      <alignment horizontal="right" vertical="center" wrapText="1"/>
    </xf>
    <xf numFmtId="0" fontId="24" fillId="7" borderId="9" xfId="0" applyFont="1" applyFill="1" applyBorder="1" applyAlignment="1">
      <alignment horizontal="right" vertical="center" wrapText="1"/>
    </xf>
    <xf numFmtId="4" fontId="24" fillId="0" borderId="9" xfId="0" applyNumberFormat="1" applyFont="1" applyBorder="1" applyAlignment="1">
      <alignment horizontal="right" vertical="center" wrapText="1"/>
    </xf>
    <xf numFmtId="0" fontId="24" fillId="7" borderId="9" xfId="0" applyFont="1" applyFill="1" applyBorder="1" applyAlignment="1">
      <alignment horizontal="center" vertical="center" wrapText="1"/>
    </xf>
    <xf numFmtId="164" fontId="24" fillId="7" borderId="9" xfId="0" applyNumberFormat="1" applyFont="1" applyFill="1" applyBorder="1" applyAlignment="1">
      <alignment horizontal="right" vertical="center" wrapText="1"/>
    </xf>
    <xf numFmtId="0" fontId="18" fillId="6" borderId="9" xfId="0" applyFont="1" applyFill="1" applyBorder="1" applyAlignment="1">
      <alignment horizontal="center" vertical="center" wrapText="1"/>
    </xf>
    <xf numFmtId="164" fontId="25" fillId="7" borderId="17" xfId="0" applyNumberFormat="1" applyFont="1" applyFill="1" applyBorder="1" applyAlignment="1">
      <alignment horizontal="left" vertical="center" wrapText="1"/>
    </xf>
    <xf numFmtId="0" fontId="24" fillId="7" borderId="17" xfId="0" applyFont="1" applyFill="1" applyBorder="1" applyAlignment="1">
      <alignment horizontal="left" vertical="center" wrapText="1"/>
    </xf>
    <xf numFmtId="0" fontId="24" fillId="7" borderId="18" xfId="0" applyFont="1" applyFill="1" applyBorder="1" applyAlignment="1">
      <alignment horizontal="left" vertical="center" wrapText="1"/>
    </xf>
    <xf numFmtId="0" fontId="22" fillId="0" borderId="0" xfId="0" applyFont="1" applyAlignment="1">
      <alignment horizontal="center" vertical="center" wrapText="1"/>
    </xf>
    <xf numFmtId="164" fontId="22" fillId="0" borderId="0" xfId="0" applyNumberFormat="1" applyFont="1" applyAlignment="1">
      <alignment vertical="center" wrapText="1"/>
    </xf>
    <xf numFmtId="0" fontId="62" fillId="0" borderId="9" xfId="0" applyFont="1" applyBorder="1" applyAlignment="1">
      <alignment horizontal="center" vertical="center" wrapText="1"/>
    </xf>
    <xf numFmtId="4" fontId="24" fillId="0" borderId="0" xfId="0" applyNumberFormat="1" applyFont="1" applyAlignment="1">
      <alignment horizontal="right" vertical="center" wrapText="1"/>
    </xf>
    <xf numFmtId="49" fontId="36" fillId="0" borderId="9" xfId="0" applyNumberFormat="1" applyFont="1" applyBorder="1" applyAlignment="1">
      <alignment horizontal="center" vertical="center" wrapText="1"/>
    </xf>
    <xf numFmtId="0" fontId="36" fillId="0" borderId="9" xfId="0" applyFont="1" applyBorder="1" applyAlignment="1">
      <alignment horizontal="center" vertical="center" wrapText="1"/>
    </xf>
    <xf numFmtId="2" fontId="36" fillId="0" borderId="9" xfId="0" applyNumberFormat="1" applyFont="1" applyBorder="1" applyAlignment="1">
      <alignment horizontal="center" vertical="center" wrapText="1"/>
    </xf>
    <xf numFmtId="175" fontId="25" fillId="0" borderId="9" xfId="0" applyNumberFormat="1" applyFont="1" applyBorder="1" applyAlignment="1">
      <alignment horizontal="center" vertical="center" wrapText="1"/>
    </xf>
    <xf numFmtId="49" fontId="25" fillId="0" borderId="9" xfId="0" applyNumberFormat="1" applyFont="1" applyBorder="1" applyAlignment="1">
      <alignment horizontal="center" vertical="center" wrapText="1"/>
    </xf>
    <xf numFmtId="176" fontId="25" fillId="0" borderId="9" xfId="0" applyNumberFormat="1" applyFont="1" applyBorder="1" applyAlignment="1">
      <alignment horizontal="center" vertical="center" wrapText="1"/>
    </xf>
    <xf numFmtId="171" fontId="24" fillId="6" borderId="9" xfId="0" applyNumberFormat="1" applyFont="1" applyFill="1" applyBorder="1" applyAlignment="1">
      <alignment vertical="center" wrapText="1"/>
    </xf>
    <xf numFmtId="0" fontId="0" fillId="0" borderId="9" xfId="0" applyFont="1" applyBorder="1" applyAlignment="1">
      <alignment vertical="center" wrapText="1"/>
    </xf>
    <xf numFmtId="165" fontId="25" fillId="0" borderId="9" xfId="0" applyNumberFormat="1" applyFont="1" applyBorder="1" applyAlignment="1">
      <alignment horizontal="center" vertical="center" wrapText="1"/>
    </xf>
    <xf numFmtId="176" fontId="25" fillId="0" borderId="9" xfId="0" applyNumberFormat="1" applyFont="1" applyBorder="1" applyAlignment="1">
      <alignment vertical="center" wrapText="1"/>
    </xf>
    <xf numFmtId="171" fontId="25" fillId="0" borderId="9" xfId="0" applyNumberFormat="1" applyFont="1" applyBorder="1" applyAlignment="1">
      <alignment vertical="center" wrapText="1"/>
    </xf>
    <xf numFmtId="38" fontId="25" fillId="0" borderId="9" xfId="0" applyNumberFormat="1" applyFont="1" applyBorder="1" applyAlignment="1">
      <alignment horizontal="center" vertical="center" wrapText="1"/>
    </xf>
    <xf numFmtId="0" fontId="0" fillId="28" borderId="0" xfId="0" applyFont="1" applyFill="1" applyAlignment="1">
      <alignment vertical="center" wrapText="1"/>
    </xf>
    <xf numFmtId="2" fontId="63" fillId="0" borderId="9" xfId="0" applyNumberFormat="1" applyFont="1" applyBorder="1" applyAlignment="1">
      <alignment horizontal="center" vertical="center"/>
    </xf>
    <xf numFmtId="0" fontId="77" fillId="30" borderId="49" xfId="2" applyFont="1" applyFill="1" applyBorder="1" applyAlignment="1">
      <alignment horizontal="left" vertical="center" wrapText="1"/>
    </xf>
    <xf numFmtId="0" fontId="77" fillId="30" borderId="0" xfId="2" applyFont="1" applyFill="1" applyBorder="1" applyAlignment="1">
      <alignment vertical="center" wrapText="1"/>
    </xf>
    <xf numFmtId="164" fontId="77" fillId="30" borderId="50" xfId="2" applyNumberFormat="1" applyFont="1" applyFill="1" applyBorder="1" applyAlignment="1">
      <alignment horizontal="center" vertical="center" wrapText="1"/>
    </xf>
    <xf numFmtId="0" fontId="77" fillId="30" borderId="47" xfId="2" applyFont="1" applyFill="1" applyBorder="1" applyAlignment="1">
      <alignment horizontal="center" vertical="center" wrapText="1"/>
    </xf>
    <xf numFmtId="0" fontId="76" fillId="0" borderId="48" xfId="2" applyFont="1" applyBorder="1"/>
    <xf numFmtId="0" fontId="18" fillId="23" borderId="40" xfId="0" applyFont="1" applyFill="1" applyBorder="1" applyAlignment="1" applyProtection="1">
      <alignment horizontal="center" vertical="center" wrapText="1"/>
    </xf>
    <xf numFmtId="0" fontId="52" fillId="5" borderId="10" xfId="0" applyFont="1" applyFill="1" applyBorder="1" applyAlignment="1" applyProtection="1">
      <alignment horizontal="center" vertical="center" wrapText="1"/>
      <protection locked="0"/>
    </xf>
    <xf numFmtId="49" fontId="25" fillId="5" borderId="10" xfId="0" applyNumberFormat="1" applyFont="1" applyFill="1" applyBorder="1" applyAlignment="1" applyProtection="1">
      <alignment horizontal="center" vertical="center" wrapText="1"/>
      <protection locked="0"/>
    </xf>
    <xf numFmtId="14" fontId="25" fillId="5" borderId="10" xfId="0" applyNumberFormat="1" applyFont="1" applyFill="1" applyBorder="1" applyAlignment="1" applyProtection="1">
      <alignment horizontal="center" vertical="center" wrapText="1"/>
      <protection locked="0"/>
    </xf>
    <xf numFmtId="0" fontId="25" fillId="0" borderId="10" xfId="0" applyFont="1" applyBorder="1" applyAlignment="1" applyProtection="1">
      <alignment horizontal="center" vertical="center" wrapText="1"/>
      <protection locked="0"/>
    </xf>
    <xf numFmtId="0" fontId="18" fillId="26" borderId="15" xfId="0" applyFont="1" applyFill="1" applyBorder="1" applyAlignment="1" applyProtection="1">
      <alignment horizontal="center" vertical="center" wrapText="1"/>
    </xf>
    <xf numFmtId="10" fontId="25" fillId="5" borderId="13" xfId="0" applyNumberFormat="1" applyFont="1" applyFill="1" applyBorder="1" applyAlignment="1" applyProtection="1">
      <alignment horizontal="center" vertical="center" wrapText="1"/>
      <protection locked="0"/>
    </xf>
    <xf numFmtId="0" fontId="18" fillId="23" borderId="44" xfId="0" applyFont="1" applyFill="1" applyBorder="1" applyAlignment="1" applyProtection="1">
      <alignment horizontal="center" vertical="center" wrapText="1"/>
    </xf>
    <xf numFmtId="10" fontId="25" fillId="5" borderId="10" xfId="0" applyNumberFormat="1" applyFont="1" applyFill="1" applyBorder="1" applyAlignment="1" applyProtection="1">
      <alignment horizontal="center" vertical="center" wrapText="1"/>
      <protection locked="0"/>
    </xf>
    <xf numFmtId="0" fontId="24" fillId="23" borderId="8" xfId="0" applyFont="1" applyFill="1" applyBorder="1" applyAlignment="1" applyProtection="1">
      <alignment horizontal="center" vertical="center" wrapText="1"/>
    </xf>
    <xf numFmtId="0" fontId="24" fillId="23" borderId="4" xfId="0" applyFont="1" applyFill="1" applyBorder="1" applyAlignment="1" applyProtection="1">
      <alignment horizontal="center" vertical="center" wrapText="1"/>
    </xf>
    <xf numFmtId="0" fontId="25" fillId="5" borderId="13" xfId="0" applyFont="1" applyFill="1" applyBorder="1" applyAlignment="1" applyProtection="1">
      <alignment horizontal="center" vertical="center" wrapText="1"/>
      <protection locked="0"/>
    </xf>
    <xf numFmtId="9" fontId="25" fillId="5" borderId="13" xfId="0" applyNumberFormat="1" applyFont="1" applyFill="1" applyBorder="1" applyAlignment="1" applyProtection="1">
      <alignment horizontal="center" vertical="center" wrapText="1"/>
      <protection locked="0"/>
    </xf>
    <xf numFmtId="164" fontId="25" fillId="5" borderId="10" xfId="0" applyNumberFormat="1" applyFont="1" applyFill="1" applyBorder="1" applyAlignment="1" applyProtection="1">
      <alignment horizontal="center" vertical="center" wrapText="1"/>
      <protection locked="0"/>
    </xf>
    <xf numFmtId="0" fontId="24" fillId="20" borderId="8" xfId="0" applyFont="1" applyFill="1" applyBorder="1" applyAlignment="1" applyProtection="1">
      <alignment horizontal="left" vertical="center" wrapText="1"/>
    </xf>
    <xf numFmtId="0" fontId="24" fillId="20" borderId="11" xfId="0" applyFont="1" applyFill="1" applyBorder="1" applyAlignment="1" applyProtection="1">
      <alignment horizontal="left" vertical="center" wrapText="1"/>
    </xf>
    <xf numFmtId="0" fontId="25" fillId="5" borderId="10" xfId="0" applyFont="1" applyFill="1" applyBorder="1" applyAlignment="1" applyProtection="1">
      <alignment horizontal="center" vertical="center" wrapText="1"/>
      <protection locked="0"/>
    </xf>
    <xf numFmtId="0" fontId="31" fillId="20" borderId="8" xfId="0" applyFont="1" applyFill="1" applyBorder="1" applyAlignment="1" applyProtection="1">
      <alignment horizontal="left" vertical="center" wrapText="1"/>
    </xf>
    <xf numFmtId="0" fontId="24" fillId="23" borderId="11" xfId="0" applyFont="1" applyFill="1" applyBorder="1" applyAlignment="1" applyProtection="1">
      <alignment horizontal="center" vertical="center" wrapText="1"/>
    </xf>
    <xf numFmtId="0" fontId="22" fillId="20" borderId="44" xfId="0" applyFont="1" applyFill="1" applyBorder="1" applyAlignment="1" applyProtection="1">
      <alignment horizontal="center" vertical="center" wrapText="1"/>
    </xf>
    <xf numFmtId="0" fontId="18" fillId="20" borderId="45" xfId="0" applyFont="1" applyFill="1" applyBorder="1" applyAlignment="1" applyProtection="1">
      <alignment horizontal="center" vertical="center" wrapText="1"/>
    </xf>
    <xf numFmtId="0" fontId="25" fillId="0" borderId="10" xfId="0" applyFont="1" applyBorder="1" applyAlignment="1" applyProtection="1">
      <alignment horizontal="left" vertical="center" wrapText="1"/>
      <protection locked="0"/>
    </xf>
    <xf numFmtId="0" fontId="22" fillId="23" borderId="44" xfId="0" applyFont="1" applyFill="1" applyBorder="1" applyAlignment="1" applyProtection="1">
      <alignment horizontal="center" vertical="center" wrapText="1"/>
    </xf>
    <xf numFmtId="0" fontId="16" fillId="0" borderId="21" xfId="0" applyFont="1" applyBorder="1" applyAlignment="1" applyProtection="1">
      <alignment horizontal="center" vertical="center" wrapText="1"/>
    </xf>
    <xf numFmtId="0" fontId="16" fillId="0" borderId="25" xfId="0" applyFont="1" applyBorder="1" applyAlignment="1" applyProtection="1">
      <alignment horizontal="center" vertical="center" wrapText="1"/>
    </xf>
    <xf numFmtId="0" fontId="16" fillId="0" borderId="24" xfId="0" applyFont="1" applyBorder="1" applyAlignment="1" applyProtection="1">
      <alignment horizontal="center" vertical="center" wrapText="1"/>
    </xf>
    <xf numFmtId="0" fontId="17" fillId="0" borderId="31" xfId="0" applyFont="1" applyBorder="1" applyAlignment="1" applyProtection="1">
      <alignment horizontal="center" vertical="center" wrapText="1"/>
    </xf>
    <xf numFmtId="0" fontId="17" fillId="0" borderId="0" xfId="0" applyFont="1" applyBorder="1" applyAlignment="1" applyProtection="1">
      <alignment horizontal="center" vertical="center" wrapText="1"/>
    </xf>
    <xf numFmtId="0" fontId="17" fillId="0" borderId="34" xfId="0" applyFont="1" applyBorder="1" applyAlignment="1" applyProtection="1">
      <alignment horizontal="center" vertical="center" wrapText="1"/>
    </xf>
    <xf numFmtId="0" fontId="18" fillId="0" borderId="31" xfId="0" applyFont="1" applyBorder="1" applyAlignment="1" applyProtection="1">
      <alignment horizontal="center" vertical="center" wrapText="1"/>
    </xf>
    <xf numFmtId="0" fontId="18" fillId="0" borderId="0" xfId="0" applyFont="1" applyBorder="1" applyAlignment="1" applyProtection="1">
      <alignment horizontal="center" vertical="center" wrapText="1"/>
    </xf>
    <xf numFmtId="0" fontId="18" fillId="0" borderId="34" xfId="0" applyFont="1" applyBorder="1" applyAlignment="1" applyProtection="1">
      <alignment horizontal="center" vertical="center" wrapText="1"/>
    </xf>
    <xf numFmtId="0" fontId="19" fillId="0" borderId="31" xfId="0" applyFont="1" applyBorder="1" applyAlignment="1" applyProtection="1">
      <alignment horizontal="center" vertical="center" wrapText="1"/>
      <protection locked="0"/>
    </xf>
    <xf numFmtId="0" fontId="19" fillId="0" borderId="0" xfId="0" applyFont="1" applyBorder="1" applyAlignment="1" applyProtection="1">
      <alignment horizontal="center" vertical="center" wrapText="1"/>
      <protection locked="0"/>
    </xf>
    <xf numFmtId="0" fontId="19" fillId="0" borderId="34" xfId="0" applyFont="1" applyBorder="1" applyAlignment="1" applyProtection="1">
      <alignment horizontal="center" vertical="center" wrapText="1"/>
      <protection locked="0"/>
    </xf>
    <xf numFmtId="0" fontId="51" fillId="0" borderId="22" xfId="0" applyFont="1" applyBorder="1" applyAlignment="1" applyProtection="1">
      <alignment horizontal="center" vertical="center" wrapText="1"/>
    </xf>
    <xf numFmtId="0" fontId="51" fillId="0" borderId="23" xfId="0" applyFont="1" applyBorder="1" applyAlignment="1" applyProtection="1">
      <alignment horizontal="center" vertical="center" wrapText="1"/>
    </xf>
    <xf numFmtId="0" fontId="51" fillId="0" borderId="27" xfId="0" applyFont="1" applyBorder="1" applyAlignment="1" applyProtection="1">
      <alignment horizontal="center" vertical="center" wrapText="1"/>
    </xf>
    <xf numFmtId="0" fontId="19" fillId="23" borderId="43" xfId="0" applyFont="1" applyFill="1" applyBorder="1" applyAlignment="1" applyProtection="1">
      <alignment horizontal="center" vertical="center" wrapText="1"/>
    </xf>
    <xf numFmtId="0" fontId="24" fillId="23" borderId="40" xfId="0" applyFont="1" applyFill="1" applyBorder="1" applyAlignment="1" applyProtection="1">
      <alignment horizontal="center" vertical="center" wrapText="1"/>
    </xf>
    <xf numFmtId="0" fontId="22" fillId="25" borderId="9" xfId="0" applyFont="1" applyFill="1" applyBorder="1" applyAlignment="1" applyProtection="1">
      <alignment horizontal="center" vertical="center" wrapText="1"/>
    </xf>
    <xf numFmtId="0" fontId="23" fillId="21" borderId="9" xfId="0" applyFont="1" applyFill="1" applyBorder="1" applyAlignment="1" applyProtection="1">
      <alignment horizontal="left" vertical="center" wrapText="1"/>
    </xf>
    <xf numFmtId="4" fontId="22" fillId="0" borderId="9" xfId="0" applyNumberFormat="1" applyFont="1" applyBorder="1" applyAlignment="1" applyProtection="1">
      <alignment horizontal="center" vertical="center"/>
    </xf>
    <xf numFmtId="170" fontId="23" fillId="0" borderId="9" xfId="0" applyNumberFormat="1" applyFont="1" applyBorder="1" applyAlignment="1" applyProtection="1">
      <alignment horizontal="right" vertical="center"/>
    </xf>
    <xf numFmtId="164" fontId="22" fillId="25" borderId="9" xfId="0" applyNumberFormat="1" applyFont="1" applyFill="1" applyBorder="1" applyAlignment="1" applyProtection="1">
      <alignment horizontal="right" vertical="center"/>
    </xf>
    <xf numFmtId="4" fontId="23" fillId="0" borderId="9" xfId="0" applyNumberFormat="1" applyFont="1" applyBorder="1" applyAlignment="1" applyProtection="1">
      <alignment horizontal="center" vertical="center"/>
    </xf>
    <xf numFmtId="164" fontId="23" fillId="2" borderId="9" xfId="0" applyNumberFormat="1" applyFont="1" applyFill="1" applyBorder="1" applyAlignment="1" applyProtection="1">
      <alignment horizontal="right" vertical="center"/>
    </xf>
    <xf numFmtId="0" fontId="22" fillId="25" borderId="5" xfId="0" applyFont="1" applyFill="1" applyBorder="1" applyAlignment="1" applyProtection="1">
      <alignment horizontal="right" vertical="center"/>
    </xf>
    <xf numFmtId="0" fontId="22" fillId="25" borderId="9" xfId="0" applyFont="1" applyFill="1" applyBorder="1" applyAlignment="1" applyProtection="1">
      <alignment horizontal="right" vertical="center"/>
    </xf>
    <xf numFmtId="0" fontId="65" fillId="25" borderId="9" xfId="0" applyFont="1" applyFill="1" applyBorder="1" applyAlignment="1" applyProtection="1">
      <alignment horizontal="center" vertical="center"/>
    </xf>
    <xf numFmtId="0" fontId="65" fillId="25" borderId="9" xfId="0" applyFont="1" applyFill="1" applyBorder="1" applyAlignment="1" applyProtection="1">
      <alignment horizontal="center" vertical="center" wrapText="1"/>
    </xf>
    <xf numFmtId="0" fontId="23" fillId="0" borderId="0" xfId="0" applyFont="1" applyBorder="1" applyAlignment="1" applyProtection="1">
      <alignment horizontal="center" vertical="center"/>
    </xf>
    <xf numFmtId="0" fontId="22" fillId="14" borderId="5" xfId="0" applyFont="1" applyFill="1" applyBorder="1" applyAlignment="1" applyProtection="1">
      <alignment horizontal="right" vertical="center"/>
    </xf>
    <xf numFmtId="0" fontId="70" fillId="0" borderId="0" xfId="0" applyFont="1" applyBorder="1" applyAlignment="1" applyProtection="1">
      <alignment horizontal="center" vertical="center" wrapText="1"/>
    </xf>
    <xf numFmtId="0" fontId="22" fillId="14" borderId="5" xfId="0" applyFont="1" applyFill="1" applyBorder="1" applyAlignment="1" applyProtection="1">
      <alignment horizontal="right" vertical="center" wrapText="1"/>
    </xf>
    <xf numFmtId="0" fontId="22" fillId="25" borderId="9" xfId="0" applyFont="1" applyFill="1" applyBorder="1" applyAlignment="1" applyProtection="1">
      <alignment horizontal="right" vertical="center" wrapText="1"/>
    </xf>
    <xf numFmtId="0" fontId="22" fillId="0" borderId="21" xfId="0" applyFont="1" applyBorder="1" applyAlignment="1" applyProtection="1">
      <alignment horizontal="center"/>
    </xf>
    <xf numFmtId="0" fontId="22" fillId="0" borderId="25" xfId="0" applyFont="1" applyBorder="1" applyAlignment="1" applyProtection="1">
      <alignment horizontal="center"/>
    </xf>
    <xf numFmtId="0" fontId="22" fillId="0" borderId="24" xfId="0" applyFont="1" applyBorder="1" applyAlignment="1" applyProtection="1">
      <alignment horizontal="center"/>
    </xf>
    <xf numFmtId="0" fontId="22" fillId="0" borderId="31" xfId="0" applyFont="1" applyBorder="1" applyAlignment="1" applyProtection="1">
      <alignment horizontal="center"/>
    </xf>
    <xf numFmtId="0" fontId="22" fillId="0" borderId="0" xfId="0" applyFont="1" applyBorder="1" applyAlignment="1" applyProtection="1">
      <alignment horizontal="center"/>
    </xf>
    <xf numFmtId="0" fontId="22" fillId="0" borderId="34" xfId="0" applyFont="1" applyBorder="1" applyAlignment="1" applyProtection="1">
      <alignment horizontal="center"/>
    </xf>
    <xf numFmtId="0" fontId="28" fillId="0" borderId="31" xfId="0" applyFont="1" applyBorder="1" applyAlignment="1" applyProtection="1">
      <alignment horizontal="center"/>
    </xf>
    <xf numFmtId="0" fontId="28" fillId="0" borderId="0" xfId="0" applyFont="1" applyBorder="1" applyAlignment="1" applyProtection="1">
      <alignment horizontal="center"/>
    </xf>
    <xf numFmtId="0" fontId="28" fillId="0" borderId="34" xfId="0" applyFont="1" applyBorder="1" applyAlignment="1" applyProtection="1">
      <alignment horizontal="center"/>
    </xf>
    <xf numFmtId="0" fontId="65" fillId="0" borderId="22" xfId="0" applyFont="1" applyBorder="1" applyAlignment="1" applyProtection="1">
      <alignment horizontal="center" vertical="center"/>
    </xf>
    <xf numFmtId="0" fontId="65" fillId="0" borderId="23" xfId="0" applyFont="1" applyBorder="1" applyAlignment="1" applyProtection="1">
      <alignment horizontal="center" vertical="center"/>
    </xf>
    <xf numFmtId="0" fontId="65" fillId="0" borderId="27" xfId="0" applyFont="1" applyBorder="1" applyAlignment="1" applyProtection="1">
      <alignment horizontal="center" vertical="center"/>
    </xf>
    <xf numFmtId="168" fontId="45" fillId="0" borderId="16" xfId="0" applyNumberFormat="1" applyFont="1" applyBorder="1" applyAlignment="1" applyProtection="1">
      <alignment horizontal="center" vertical="center"/>
      <protection locked="0"/>
    </xf>
    <xf numFmtId="168" fontId="45" fillId="0" borderId="17" xfId="0" applyNumberFormat="1" applyFont="1" applyBorder="1" applyAlignment="1" applyProtection="1">
      <alignment horizontal="center" vertical="center"/>
      <protection locked="0"/>
    </xf>
    <xf numFmtId="168" fontId="45" fillId="0" borderId="18" xfId="0" applyNumberFormat="1" applyFont="1" applyBorder="1" applyAlignment="1" applyProtection="1">
      <alignment horizontal="center" vertical="center"/>
      <protection locked="0"/>
    </xf>
    <xf numFmtId="168" fontId="5" fillId="19" borderId="16" xfId="0" applyNumberFormat="1" applyFont="1" applyFill="1" applyBorder="1" applyAlignment="1" applyProtection="1">
      <alignment horizontal="center" vertical="center"/>
      <protection locked="0"/>
    </xf>
    <xf numFmtId="168" fontId="5" fillId="19" borderId="17" xfId="0" applyNumberFormat="1" applyFont="1" applyFill="1" applyBorder="1" applyAlignment="1" applyProtection="1">
      <alignment horizontal="center" vertical="center"/>
      <protection locked="0"/>
    </xf>
    <xf numFmtId="168" fontId="5" fillId="19" borderId="18" xfId="0" applyNumberFormat="1" applyFont="1" applyFill="1" applyBorder="1" applyAlignment="1" applyProtection="1">
      <alignment horizontal="center" vertical="center"/>
      <protection locked="0"/>
    </xf>
    <xf numFmtId="0" fontId="42" fillId="18" borderId="21" xfId="0" applyFont="1" applyFill="1" applyBorder="1" applyAlignment="1" applyProtection="1">
      <alignment horizontal="center" vertical="center" wrapText="1"/>
      <protection locked="0"/>
    </xf>
    <xf numFmtId="0" fontId="42" fillId="18" borderId="25" xfId="0" applyFont="1" applyFill="1" applyBorder="1" applyAlignment="1" applyProtection="1">
      <alignment horizontal="center" vertical="center" wrapText="1"/>
      <protection locked="0"/>
    </xf>
    <xf numFmtId="0" fontId="42" fillId="18" borderId="24" xfId="0" applyFont="1" applyFill="1" applyBorder="1" applyAlignment="1" applyProtection="1">
      <alignment horizontal="center" vertical="center" wrapText="1"/>
      <protection locked="0"/>
    </xf>
    <xf numFmtId="1" fontId="44" fillId="0" borderId="36" xfId="0" applyNumberFormat="1" applyFont="1" applyBorder="1" applyAlignment="1" applyProtection="1">
      <alignment horizontal="center" vertical="center" wrapText="1"/>
      <protection locked="0"/>
    </xf>
    <xf numFmtId="1" fontId="44" fillId="0" borderId="37" xfId="0" applyNumberFormat="1" applyFont="1" applyBorder="1" applyAlignment="1" applyProtection="1">
      <alignment horizontal="center" vertical="center" wrapText="1"/>
      <protection locked="0"/>
    </xf>
    <xf numFmtId="1" fontId="44" fillId="0" borderId="5" xfId="0" applyNumberFormat="1" applyFont="1" applyBorder="1" applyAlignment="1" applyProtection="1">
      <alignment horizontal="center" vertical="center" wrapText="1"/>
      <protection locked="0"/>
    </xf>
    <xf numFmtId="168" fontId="44" fillId="0" borderId="36" xfId="0" applyNumberFormat="1" applyFont="1" applyBorder="1" applyAlignment="1" applyProtection="1">
      <alignment horizontal="center" vertical="center" wrapText="1"/>
      <protection locked="0"/>
    </xf>
    <xf numFmtId="168" fontId="44" fillId="0" borderId="37" xfId="0" applyNumberFormat="1" applyFont="1" applyBorder="1" applyAlignment="1" applyProtection="1">
      <alignment horizontal="center" vertical="center" wrapText="1"/>
      <protection locked="0"/>
    </xf>
    <xf numFmtId="168" fontId="44" fillId="0" borderId="5" xfId="0" applyNumberFormat="1" applyFont="1" applyBorder="1" applyAlignment="1" applyProtection="1">
      <alignment horizontal="center" vertical="center" wrapText="1"/>
      <protection locked="0"/>
    </xf>
    <xf numFmtId="0" fontId="15" fillId="17" borderId="21" xfId="0" applyFont="1" applyFill="1" applyBorder="1" applyAlignment="1" applyProtection="1">
      <alignment horizontal="center"/>
      <protection locked="0"/>
    </xf>
    <xf numFmtId="0" fontId="15" fillId="17" borderId="25" xfId="0" applyFont="1" applyFill="1" applyBorder="1" applyAlignment="1" applyProtection="1">
      <alignment horizontal="center"/>
      <protection locked="0"/>
    </xf>
    <xf numFmtId="0" fontId="15" fillId="17" borderId="24" xfId="0" applyFont="1" applyFill="1" applyBorder="1" applyAlignment="1" applyProtection="1">
      <alignment horizontal="center"/>
      <protection locked="0"/>
    </xf>
    <xf numFmtId="1" fontId="44" fillId="19" borderId="36" xfId="0" applyNumberFormat="1" applyFont="1" applyFill="1" applyBorder="1" applyAlignment="1" applyProtection="1">
      <alignment horizontal="center" vertical="center" wrapText="1"/>
      <protection locked="0"/>
    </xf>
    <xf numFmtId="1" fontId="44" fillId="19" borderId="37" xfId="0" applyNumberFormat="1" applyFont="1" applyFill="1" applyBorder="1" applyAlignment="1" applyProtection="1">
      <alignment horizontal="center" vertical="center" wrapText="1"/>
      <protection locked="0"/>
    </xf>
    <xf numFmtId="1" fontId="44" fillId="19" borderId="5" xfId="0" applyNumberFormat="1" applyFont="1" applyFill="1" applyBorder="1" applyAlignment="1" applyProtection="1">
      <alignment horizontal="center" vertical="center" wrapText="1"/>
      <protection locked="0"/>
    </xf>
    <xf numFmtId="168" fontId="44" fillId="19" borderId="36" xfId="0" applyNumberFormat="1" applyFont="1" applyFill="1" applyBorder="1" applyAlignment="1" applyProtection="1">
      <alignment horizontal="center" vertical="center" wrapText="1"/>
      <protection locked="0"/>
    </xf>
    <xf numFmtId="168" fontId="44" fillId="19" borderId="37" xfId="0" applyNumberFormat="1" applyFont="1" applyFill="1" applyBorder="1" applyAlignment="1" applyProtection="1">
      <alignment horizontal="center" vertical="center" wrapText="1"/>
      <protection locked="0"/>
    </xf>
    <xf numFmtId="168" fontId="44" fillId="19" borderId="5" xfId="0" applyNumberFormat="1" applyFont="1" applyFill="1" applyBorder="1" applyAlignment="1" applyProtection="1">
      <alignment horizontal="center" vertical="center" wrapText="1"/>
      <protection locked="0"/>
    </xf>
    <xf numFmtId="0" fontId="42" fillId="9" borderId="21" xfId="0" applyFont="1" applyFill="1" applyBorder="1" applyAlignment="1" applyProtection="1">
      <alignment horizontal="center" vertical="center" wrapText="1"/>
      <protection locked="0"/>
    </xf>
    <xf numFmtId="0" fontId="42" fillId="9" borderId="25" xfId="0" applyFont="1" applyFill="1" applyBorder="1" applyAlignment="1" applyProtection="1">
      <alignment horizontal="center" vertical="center" wrapText="1"/>
      <protection locked="0"/>
    </xf>
    <xf numFmtId="0" fontId="42" fillId="9" borderId="24" xfId="0" applyFont="1" applyFill="1" applyBorder="1" applyAlignment="1" applyProtection="1">
      <alignment horizontal="center" vertical="center" wrapText="1"/>
      <protection locked="0"/>
    </xf>
    <xf numFmtId="0" fontId="18" fillId="9" borderId="31" xfId="0" applyFont="1" applyFill="1" applyBorder="1" applyAlignment="1" applyProtection="1">
      <alignment horizontal="center" vertical="center"/>
      <protection locked="0"/>
    </xf>
    <xf numFmtId="0" fontId="18" fillId="9" borderId="0" xfId="0" applyFont="1" applyFill="1" applyBorder="1" applyAlignment="1" applyProtection="1">
      <alignment horizontal="center" vertical="center"/>
      <protection locked="0"/>
    </xf>
    <xf numFmtId="0" fontId="18" fillId="9" borderId="34" xfId="0" applyFont="1" applyFill="1" applyBorder="1" applyAlignment="1" applyProtection="1">
      <alignment horizontal="center" vertical="center"/>
      <protection locked="0"/>
    </xf>
    <xf numFmtId="1" fontId="44" fillId="20" borderId="36" xfId="0" applyNumberFormat="1" applyFont="1" applyFill="1" applyBorder="1" applyAlignment="1" applyProtection="1">
      <alignment horizontal="center" vertical="center" wrapText="1"/>
      <protection locked="0"/>
    </xf>
    <xf numFmtId="1" fontId="44" fillId="20" borderId="37" xfId="0" applyNumberFormat="1" applyFont="1" applyFill="1" applyBorder="1" applyAlignment="1" applyProtection="1">
      <alignment horizontal="center" vertical="center" wrapText="1"/>
      <protection locked="0"/>
    </xf>
    <xf numFmtId="1" fontId="44" fillId="20" borderId="5" xfId="0" applyNumberFormat="1" applyFont="1" applyFill="1" applyBorder="1" applyAlignment="1" applyProtection="1">
      <alignment horizontal="center" vertical="center" wrapText="1"/>
      <protection locked="0"/>
    </xf>
    <xf numFmtId="168" fontId="44" fillId="21" borderId="36" xfId="0" applyNumberFormat="1" applyFont="1" applyFill="1" applyBorder="1" applyAlignment="1" applyProtection="1">
      <alignment horizontal="center" vertical="center" wrapText="1"/>
      <protection locked="0"/>
    </xf>
    <xf numFmtId="168" fontId="44" fillId="21" borderId="37" xfId="0" applyNumberFormat="1" applyFont="1" applyFill="1" applyBorder="1" applyAlignment="1" applyProtection="1">
      <alignment horizontal="center" vertical="center" wrapText="1"/>
      <protection locked="0"/>
    </xf>
    <xf numFmtId="168" fontId="44" fillId="21" borderId="5" xfId="0" applyNumberFormat="1" applyFont="1" applyFill="1" applyBorder="1" applyAlignment="1" applyProtection="1">
      <alignment horizontal="center" vertical="center" wrapText="1"/>
      <protection locked="0"/>
    </xf>
    <xf numFmtId="1" fontId="44" fillId="0" borderId="36" xfId="0" applyNumberFormat="1" applyFont="1" applyFill="1" applyBorder="1" applyAlignment="1" applyProtection="1">
      <alignment horizontal="center" vertical="center" wrapText="1"/>
      <protection locked="0"/>
    </xf>
    <xf numFmtId="1" fontId="44" fillId="0" borderId="37" xfId="0" applyNumberFormat="1" applyFont="1" applyFill="1" applyBorder="1" applyAlignment="1" applyProtection="1">
      <alignment horizontal="center" vertical="center" wrapText="1"/>
      <protection locked="0"/>
    </xf>
    <xf numFmtId="1" fontId="44" fillId="0" borderId="5" xfId="0" applyNumberFormat="1" applyFont="1" applyFill="1" applyBorder="1" applyAlignment="1" applyProtection="1">
      <alignment horizontal="center" vertical="center" wrapText="1"/>
      <protection locked="0"/>
    </xf>
    <xf numFmtId="168" fontId="44" fillId="0" borderId="36" xfId="0" applyNumberFormat="1" applyFont="1" applyFill="1" applyBorder="1" applyAlignment="1" applyProtection="1">
      <alignment horizontal="center" vertical="center" wrapText="1"/>
      <protection locked="0"/>
    </xf>
    <xf numFmtId="168" fontId="44" fillId="0" borderId="37" xfId="0" applyNumberFormat="1" applyFont="1" applyFill="1" applyBorder="1" applyAlignment="1" applyProtection="1">
      <alignment horizontal="center" vertical="center" wrapText="1"/>
      <protection locked="0"/>
    </xf>
    <xf numFmtId="168" fontId="44" fillId="0" borderId="5" xfId="0" applyNumberFormat="1" applyFont="1" applyFill="1" applyBorder="1" applyAlignment="1" applyProtection="1">
      <alignment horizontal="center" vertical="center" wrapText="1"/>
      <protection locked="0"/>
    </xf>
    <xf numFmtId="170" fontId="44" fillId="0" borderId="36" xfId="0" applyNumberFormat="1" applyFont="1" applyBorder="1" applyAlignment="1" applyProtection="1">
      <alignment horizontal="center" vertical="center" wrapText="1"/>
    </xf>
    <xf numFmtId="170" fontId="44" fillId="0" borderId="37" xfId="0" applyNumberFormat="1" applyFont="1" applyBorder="1" applyAlignment="1" applyProtection="1">
      <alignment horizontal="center" vertical="center" wrapText="1"/>
    </xf>
    <xf numFmtId="170" fontId="44" fillId="0" borderId="5" xfId="0" applyNumberFormat="1" applyFont="1" applyBorder="1" applyAlignment="1" applyProtection="1">
      <alignment horizontal="center" vertical="center" wrapText="1"/>
    </xf>
    <xf numFmtId="170" fontId="44" fillId="21" borderId="36" xfId="0" applyNumberFormat="1" applyFont="1" applyFill="1" applyBorder="1" applyAlignment="1" applyProtection="1">
      <alignment horizontal="center" vertical="center" wrapText="1"/>
    </xf>
    <xf numFmtId="170" fontId="44" fillId="21" borderId="37" xfId="0" applyNumberFormat="1" applyFont="1" applyFill="1" applyBorder="1" applyAlignment="1" applyProtection="1">
      <alignment horizontal="center" vertical="center" wrapText="1"/>
    </xf>
    <xf numFmtId="170" fontId="44" fillId="21" borderId="5" xfId="0" applyNumberFormat="1" applyFont="1" applyFill="1" applyBorder="1" applyAlignment="1" applyProtection="1">
      <alignment horizontal="center" vertical="center" wrapText="1"/>
    </xf>
    <xf numFmtId="1" fontId="44" fillId="27" borderId="36" xfId="0" applyNumberFormat="1" applyFont="1" applyFill="1" applyBorder="1" applyAlignment="1" applyProtection="1">
      <alignment horizontal="center" vertical="center" wrapText="1"/>
      <protection locked="0"/>
    </xf>
    <xf numFmtId="1" fontId="44" fillId="27" borderId="37" xfId="0" applyNumberFormat="1" applyFont="1" applyFill="1" applyBorder="1" applyAlignment="1" applyProtection="1">
      <alignment horizontal="center" vertical="center" wrapText="1"/>
      <protection locked="0"/>
    </xf>
    <xf numFmtId="1" fontId="44" fillId="27" borderId="5" xfId="0" applyNumberFormat="1" applyFont="1" applyFill="1" applyBorder="1" applyAlignment="1" applyProtection="1">
      <alignment horizontal="center" vertical="center" wrapText="1"/>
      <protection locked="0"/>
    </xf>
    <xf numFmtId="168" fontId="44" fillId="27" borderId="36" xfId="0" applyNumberFormat="1" applyFont="1" applyFill="1" applyBorder="1" applyAlignment="1" applyProtection="1">
      <alignment horizontal="center" vertical="center" wrapText="1"/>
      <protection locked="0"/>
    </xf>
    <xf numFmtId="168" fontId="44" fillId="27" borderId="37" xfId="0" applyNumberFormat="1" applyFont="1" applyFill="1" applyBorder="1" applyAlignment="1" applyProtection="1">
      <alignment horizontal="center" vertical="center" wrapText="1"/>
      <protection locked="0"/>
    </xf>
    <xf numFmtId="168" fontId="44" fillId="27" borderId="5" xfId="0" applyNumberFormat="1" applyFont="1" applyFill="1" applyBorder="1" applyAlignment="1" applyProtection="1">
      <alignment horizontal="center" vertical="center" wrapText="1"/>
      <protection locked="0"/>
    </xf>
    <xf numFmtId="170" fontId="44" fillId="27" borderId="36" xfId="0" applyNumberFormat="1" applyFont="1" applyFill="1" applyBorder="1" applyAlignment="1" applyProtection="1">
      <alignment horizontal="center" vertical="center" wrapText="1"/>
    </xf>
    <xf numFmtId="170" fontId="44" fillId="27" borderId="37" xfId="0" applyNumberFormat="1" applyFont="1" applyFill="1" applyBorder="1" applyAlignment="1" applyProtection="1">
      <alignment horizontal="center" vertical="center" wrapText="1"/>
    </xf>
    <xf numFmtId="170" fontId="44" fillId="27" borderId="5" xfId="0" applyNumberFormat="1" applyFont="1" applyFill="1" applyBorder="1" applyAlignment="1" applyProtection="1">
      <alignment horizontal="center" vertical="center" wrapText="1"/>
    </xf>
    <xf numFmtId="170" fontId="44" fillId="0" borderId="36" xfId="0" applyNumberFormat="1" applyFont="1" applyFill="1" applyBorder="1" applyAlignment="1" applyProtection="1">
      <alignment horizontal="center" vertical="center" wrapText="1"/>
    </xf>
    <xf numFmtId="170" fontId="44" fillId="0" borderId="37" xfId="0" applyNumberFormat="1" applyFont="1" applyFill="1" applyBorder="1" applyAlignment="1" applyProtection="1">
      <alignment horizontal="center" vertical="center" wrapText="1"/>
    </xf>
    <xf numFmtId="170" fontId="44" fillId="0" borderId="5" xfId="0" applyNumberFormat="1" applyFont="1" applyFill="1" applyBorder="1" applyAlignment="1" applyProtection="1">
      <alignment horizontal="center" vertical="center" wrapText="1"/>
    </xf>
    <xf numFmtId="0" fontId="34" fillId="0" borderId="37" xfId="0" applyFont="1" applyBorder="1" applyAlignment="1">
      <alignment horizontal="center" vertical="center" wrapText="1"/>
    </xf>
    <xf numFmtId="0" fontId="34" fillId="0" borderId="22" xfId="0" applyFont="1" applyBorder="1" applyAlignment="1">
      <alignment vertical="center" wrapText="1"/>
    </xf>
    <xf numFmtId="0" fontId="24" fillId="14" borderId="9" xfId="0" applyFont="1" applyFill="1" applyBorder="1" applyAlignment="1">
      <alignment horizontal="center" vertical="center"/>
    </xf>
    <xf numFmtId="0" fontId="24" fillId="11" borderId="9" xfId="0" applyFont="1" applyFill="1" applyBorder="1" applyAlignment="1">
      <alignment horizontal="center" vertical="center"/>
    </xf>
    <xf numFmtId="0" fontId="22" fillId="9" borderId="9" xfId="0" applyFont="1" applyFill="1" applyBorder="1" applyAlignment="1">
      <alignment horizontal="center" vertical="center" wrapText="1"/>
    </xf>
    <xf numFmtId="0" fontId="17" fillId="12" borderId="36" xfId="0" applyFont="1" applyFill="1" applyBorder="1" applyAlignment="1">
      <alignment vertical="center" wrapText="1"/>
    </xf>
    <xf numFmtId="0" fontId="34" fillId="0" borderId="37" xfId="0" applyFont="1" applyBorder="1" applyAlignment="1">
      <alignment horizontal="left" vertical="center" wrapText="1"/>
    </xf>
    <xf numFmtId="0" fontId="34" fillId="12" borderId="37" xfId="0" applyFont="1" applyFill="1" applyBorder="1" applyAlignment="1">
      <alignment horizontal="left" vertical="center" wrapText="1"/>
    </xf>
    <xf numFmtId="0" fontId="24" fillId="9" borderId="9" xfId="0" applyFont="1" applyFill="1" applyBorder="1" applyAlignment="1">
      <alignment horizontal="center" vertical="center" wrapText="1"/>
    </xf>
    <xf numFmtId="0" fontId="18" fillId="9" borderId="16" xfId="0" applyFont="1" applyFill="1" applyBorder="1" applyAlignment="1">
      <alignment horizontal="center" vertical="center" wrapText="1"/>
    </xf>
    <xf numFmtId="0" fontId="18" fillId="9" borderId="36" xfId="0" applyFont="1" applyFill="1" applyBorder="1" applyAlignment="1">
      <alignment horizontal="right" vertical="center"/>
    </xf>
    <xf numFmtId="0" fontId="18" fillId="16" borderId="36" xfId="0" applyFont="1" applyFill="1" applyBorder="1" applyAlignment="1">
      <alignment horizontal="right" vertical="center"/>
    </xf>
    <xf numFmtId="175" fontId="41" fillId="16" borderId="9" xfId="0" applyNumberFormat="1" applyFont="1" applyFill="1" applyBorder="1" applyAlignment="1">
      <alignment horizontal="center" vertical="center"/>
    </xf>
    <xf numFmtId="0" fontId="16" fillId="0" borderId="21" xfId="0" applyFont="1" applyBorder="1" applyAlignment="1">
      <alignment horizontal="center"/>
    </xf>
    <xf numFmtId="0" fontId="16" fillId="0" borderId="25" xfId="0" applyFont="1" applyBorder="1" applyAlignment="1">
      <alignment horizontal="center"/>
    </xf>
    <xf numFmtId="0" fontId="16" fillId="0" borderId="24" xfId="0" applyFont="1" applyBorder="1" applyAlignment="1">
      <alignment horizontal="center"/>
    </xf>
    <xf numFmtId="0" fontId="17" fillId="0" borderId="31" xfId="0" applyFont="1" applyBorder="1" applyAlignment="1">
      <alignment horizontal="center"/>
    </xf>
    <xf numFmtId="0" fontId="17" fillId="0" borderId="0" xfId="0" applyFont="1" applyBorder="1" applyAlignment="1">
      <alignment horizontal="center"/>
    </xf>
    <xf numFmtId="0" fontId="17" fillId="0" borderId="34" xfId="0" applyFont="1" applyBorder="1" applyAlignment="1">
      <alignment horizontal="center"/>
    </xf>
    <xf numFmtId="0" fontId="18" fillId="0" borderId="31" xfId="0" applyFont="1" applyBorder="1" applyAlignment="1">
      <alignment horizontal="center"/>
    </xf>
    <xf numFmtId="0" fontId="18" fillId="0" borderId="0" xfId="0" applyFont="1" applyBorder="1" applyAlignment="1">
      <alignment horizontal="center"/>
    </xf>
    <xf numFmtId="0" fontId="18" fillId="0" borderId="34" xfId="0" applyFont="1" applyBorder="1" applyAlignment="1">
      <alignment horizontal="center"/>
    </xf>
    <xf numFmtId="0" fontId="19" fillId="0" borderId="31" xfId="0" applyFont="1" applyBorder="1" applyAlignment="1">
      <alignment horizontal="center"/>
    </xf>
    <xf numFmtId="0" fontId="19" fillId="0" borderId="0" xfId="0" applyFont="1" applyBorder="1" applyAlignment="1">
      <alignment horizontal="center"/>
    </xf>
    <xf numFmtId="0" fontId="19" fillId="0" borderId="34" xfId="0" applyFont="1" applyBorder="1" applyAlignment="1">
      <alignment horizontal="center"/>
    </xf>
    <xf numFmtId="0" fontId="20" fillId="5" borderId="22" xfId="0" applyFont="1" applyFill="1" applyBorder="1" applyAlignment="1">
      <alignment horizontal="center" vertical="center" wrapText="1"/>
    </xf>
    <xf numFmtId="0" fontId="20" fillId="5" borderId="23" xfId="0" applyFont="1" applyFill="1" applyBorder="1" applyAlignment="1">
      <alignment horizontal="center" vertical="center" wrapText="1"/>
    </xf>
    <xf numFmtId="0" fontId="20" fillId="5" borderId="27" xfId="0" applyFont="1" applyFill="1" applyBorder="1" applyAlignment="1">
      <alignment horizontal="center" vertical="center" wrapText="1"/>
    </xf>
    <xf numFmtId="0" fontId="17" fillId="2" borderId="9" xfId="0" applyFont="1" applyFill="1" applyBorder="1" applyAlignment="1">
      <alignment horizontal="center" vertical="center" wrapText="1"/>
    </xf>
    <xf numFmtId="0" fontId="35" fillId="0" borderId="5" xfId="0" applyFont="1" applyBorder="1" applyAlignment="1">
      <alignment horizontal="left" vertical="center"/>
    </xf>
    <xf numFmtId="0" fontId="24" fillId="14" borderId="9" xfId="0" applyFont="1" applyFill="1" applyBorder="1" applyAlignment="1">
      <alignment horizontal="center" vertical="center" wrapText="1"/>
    </xf>
    <xf numFmtId="0" fontId="24" fillId="2" borderId="9" xfId="0" applyFont="1" applyFill="1" applyBorder="1" applyAlignment="1">
      <alignment horizontal="center" vertical="center" wrapText="1"/>
    </xf>
    <xf numFmtId="0" fontId="18" fillId="2" borderId="16" xfId="0" applyFont="1" applyFill="1" applyBorder="1" applyAlignment="1">
      <alignment horizontal="center" vertical="center" wrapText="1"/>
    </xf>
    <xf numFmtId="0" fontId="18" fillId="2" borderId="9" xfId="0" applyFont="1" applyFill="1" applyBorder="1" applyAlignment="1">
      <alignment horizontal="center" vertical="center" wrapText="1"/>
    </xf>
    <xf numFmtId="175" fontId="41" fillId="2" borderId="9" xfId="0" applyNumberFormat="1" applyFont="1" applyFill="1" applyBorder="1" applyAlignment="1">
      <alignment horizontal="center" vertical="center"/>
    </xf>
    <xf numFmtId="0" fontId="16" fillId="0" borderId="0" xfId="0" applyFont="1" applyBorder="1" applyAlignment="1">
      <alignment horizontal="center"/>
    </xf>
    <xf numFmtId="0" fontId="20" fillId="5" borderId="0" xfId="0" applyFont="1" applyFill="1" applyBorder="1" applyAlignment="1">
      <alignment horizontal="center" vertical="center" wrapText="1"/>
    </xf>
    <xf numFmtId="0" fontId="34" fillId="0" borderId="5" xfId="0" applyFont="1" applyBorder="1" applyAlignment="1">
      <alignment horizontal="left" vertical="center" wrapText="1"/>
    </xf>
    <xf numFmtId="0" fontId="18" fillId="2" borderId="9" xfId="0" applyFont="1" applyFill="1" applyBorder="1" applyAlignment="1">
      <alignment horizontal="right" vertical="center"/>
    </xf>
    <xf numFmtId="0" fontId="18" fillId="2" borderId="9" xfId="0" applyFont="1" applyFill="1" applyBorder="1" applyAlignment="1">
      <alignment horizontal="right" vertical="center" wrapText="1"/>
    </xf>
    <xf numFmtId="0" fontId="24" fillId="10" borderId="36" xfId="0" applyFont="1" applyFill="1" applyBorder="1" applyAlignment="1">
      <alignment horizontal="center" vertical="center" wrapText="1"/>
    </xf>
    <xf numFmtId="0" fontId="22" fillId="6" borderId="9" xfId="0" applyFont="1" applyFill="1" applyBorder="1" applyAlignment="1">
      <alignment horizontal="left" vertical="center" wrapText="1"/>
    </xf>
    <xf numFmtId="164" fontId="28" fillId="9" borderId="9" xfId="0" applyNumberFormat="1" applyFont="1" applyFill="1" applyBorder="1" applyAlignment="1">
      <alignment horizontal="right" vertical="center" wrapText="1"/>
    </xf>
    <xf numFmtId="0" fontId="24" fillId="6" borderId="9" xfId="0" applyFont="1" applyFill="1" applyBorder="1" applyAlignment="1">
      <alignment horizontal="center" vertical="center" wrapText="1"/>
    </xf>
    <xf numFmtId="0" fontId="24" fillId="6" borderId="9" xfId="0" applyFont="1" applyFill="1" applyBorder="1" applyAlignment="1">
      <alignment horizontal="center" vertical="center"/>
    </xf>
    <xf numFmtId="0" fontId="0" fillId="9" borderId="9" xfId="0" applyFont="1" applyFill="1" applyBorder="1" applyAlignment="1">
      <alignment horizontal="left" vertical="center"/>
    </xf>
    <xf numFmtId="175" fontId="0" fillId="9" borderId="9" xfId="0" applyNumberFormat="1" applyFont="1" applyFill="1" applyBorder="1" applyAlignment="1">
      <alignment horizontal="center" vertical="center"/>
    </xf>
    <xf numFmtId="0" fontId="25" fillId="0" borderId="9" xfId="0" applyFont="1" applyBorder="1" applyAlignment="1">
      <alignment horizontal="left" vertical="center" wrapText="1"/>
    </xf>
    <xf numFmtId="0" fontId="24" fillId="7" borderId="9" xfId="0" applyFont="1" applyFill="1" applyBorder="1" applyAlignment="1">
      <alignment horizontal="center" vertical="center"/>
    </xf>
    <xf numFmtId="4" fontId="30" fillId="0" borderId="9" xfId="0" applyNumberFormat="1" applyFont="1" applyBorder="1" applyAlignment="1">
      <alignment horizontal="center" vertical="center"/>
    </xf>
    <xf numFmtId="164" fontId="24" fillId="7" borderId="9" xfId="0" applyNumberFormat="1" applyFont="1" applyFill="1" applyBorder="1" applyAlignment="1">
      <alignment horizontal="right" vertical="center"/>
    </xf>
    <xf numFmtId="0" fontId="24" fillId="7" borderId="9" xfId="0" applyFont="1" applyFill="1" applyBorder="1" applyAlignment="1">
      <alignment horizontal="left" vertical="center"/>
    </xf>
    <xf numFmtId="0" fontId="71" fillId="29" borderId="21" xfId="0" applyFont="1" applyFill="1" applyBorder="1" applyAlignment="1" applyProtection="1">
      <alignment horizontal="center" vertical="center" wrapText="1"/>
    </xf>
    <xf numFmtId="0" fontId="71" fillId="29" borderId="25" xfId="0" applyFont="1" applyFill="1" applyBorder="1" applyAlignment="1" applyProtection="1">
      <alignment horizontal="center" vertical="center" wrapText="1"/>
    </xf>
    <xf numFmtId="0" fontId="71" fillId="29" borderId="31" xfId="0" applyFont="1" applyFill="1" applyBorder="1" applyAlignment="1" applyProtection="1">
      <alignment horizontal="center" vertical="center" wrapText="1"/>
    </xf>
    <xf numFmtId="0" fontId="71" fillId="29" borderId="0" xfId="0" applyFont="1" applyFill="1" applyBorder="1" applyAlignment="1" applyProtection="1">
      <alignment horizontal="center" vertical="center" wrapText="1"/>
    </xf>
    <xf numFmtId="0" fontId="71" fillId="29" borderId="22" xfId="0" applyFont="1" applyFill="1" applyBorder="1" applyAlignment="1" applyProtection="1">
      <alignment horizontal="center" vertical="center" wrapText="1"/>
    </xf>
    <xf numFmtId="0" fontId="71" fillId="29" borderId="23" xfId="0" applyFont="1" applyFill="1" applyBorder="1" applyAlignment="1" applyProtection="1">
      <alignment horizontal="center" vertical="center" wrapText="1"/>
    </xf>
    <xf numFmtId="0" fontId="24" fillId="6" borderId="9" xfId="0" applyFont="1" applyFill="1" applyBorder="1" applyAlignment="1">
      <alignment horizontal="left" vertical="center"/>
    </xf>
    <xf numFmtId="0" fontId="24" fillId="6" borderId="9" xfId="0" applyFont="1" applyFill="1" applyBorder="1" applyAlignment="1">
      <alignment horizontal="right" wrapText="1"/>
    </xf>
    <xf numFmtId="171" fontId="24" fillId="6" borderId="9" xfId="0" applyNumberFormat="1" applyFont="1" applyFill="1" applyBorder="1" applyAlignment="1">
      <alignment horizontal="right" vertical="center" wrapText="1"/>
    </xf>
    <xf numFmtId="0" fontId="25" fillId="5" borderId="9" xfId="0" applyFont="1" applyFill="1" applyBorder="1" applyAlignment="1">
      <alignment horizontal="center" vertical="center" wrapText="1"/>
    </xf>
    <xf numFmtId="0" fontId="31" fillId="0" borderId="9" xfId="0" applyFont="1" applyBorder="1" applyAlignment="1">
      <alignment horizontal="left" wrapText="1"/>
    </xf>
    <xf numFmtId="164" fontId="24" fillId="0" borderId="9" xfId="0" applyNumberFormat="1" applyFont="1" applyBorder="1" applyAlignment="1">
      <alignment horizontal="center"/>
    </xf>
    <xf numFmtId="164" fontId="24" fillId="0" borderId="9" xfId="0" applyNumberFormat="1" applyFont="1" applyBorder="1" applyAlignment="1">
      <alignment horizontal="right" vertical="center" wrapText="1"/>
    </xf>
    <xf numFmtId="3" fontId="28" fillId="9" borderId="9" xfId="0" applyNumberFormat="1" applyFont="1" applyFill="1" applyBorder="1" applyAlignment="1">
      <alignment horizontal="right" vertical="center" wrapText="1"/>
    </xf>
    <xf numFmtId="164" fontId="24" fillId="6" borderId="9" xfId="0" applyNumberFormat="1" applyFont="1" applyFill="1" applyBorder="1" applyAlignment="1">
      <alignment horizontal="right" vertical="center" wrapText="1"/>
    </xf>
    <xf numFmtId="0" fontId="24" fillId="0" borderId="9" xfId="0" applyFont="1" applyBorder="1" applyAlignment="1">
      <alignment horizontal="left"/>
    </xf>
    <xf numFmtId="0" fontId="24" fillId="0" borderId="9" xfId="0" applyFont="1" applyBorder="1" applyAlignment="1">
      <alignment horizontal="left" wrapText="1"/>
    </xf>
    <xf numFmtId="171" fontId="24" fillId="0" borderId="9" xfId="0" applyNumberFormat="1" applyFont="1" applyBorder="1" applyAlignment="1">
      <alignment horizontal="right" vertical="center" wrapText="1"/>
    </xf>
    <xf numFmtId="171" fontId="24" fillId="0" borderId="9" xfId="0" applyNumberFormat="1" applyFont="1" applyBorder="1" applyAlignment="1">
      <alignment horizontal="center" wrapText="1"/>
    </xf>
    <xf numFmtId="0" fontId="24" fillId="6" borderId="9" xfId="0" applyFont="1" applyFill="1" applyBorder="1" applyAlignment="1">
      <alignment horizontal="right" vertical="center" wrapText="1"/>
    </xf>
    <xf numFmtId="0" fontId="32" fillId="0" borderId="30" xfId="0" applyFont="1" applyBorder="1" applyAlignment="1">
      <alignment horizontal="left" vertical="center" wrapText="1"/>
    </xf>
    <xf numFmtId="0" fontId="18" fillId="6" borderId="9" xfId="0" applyFont="1" applyFill="1" applyBorder="1" applyAlignment="1">
      <alignment horizontal="center" vertical="center"/>
    </xf>
    <xf numFmtId="0" fontId="0" fillId="0" borderId="9" xfId="0" applyFont="1" applyBorder="1" applyAlignment="1">
      <alignment horizontal="left" vertical="center"/>
    </xf>
    <xf numFmtId="171" fontId="25" fillId="0" borderId="9" xfId="0" applyNumberFormat="1" applyFont="1" applyBorder="1" applyAlignment="1">
      <alignment horizontal="center"/>
    </xf>
    <xf numFmtId="171" fontId="25" fillId="0" borderId="9" xfId="0" applyNumberFormat="1" applyFont="1" applyBorder="1" applyAlignment="1">
      <alignment horizontal="right" vertical="center" wrapText="1"/>
    </xf>
    <xf numFmtId="3" fontId="25" fillId="0" borderId="9" xfId="0" applyNumberFormat="1" applyFont="1" applyBorder="1" applyAlignment="1">
      <alignment horizontal="center"/>
    </xf>
    <xf numFmtId="171" fontId="25" fillId="0" borderId="9" xfId="0" applyNumberFormat="1" applyFont="1" applyBorder="1" applyAlignment="1">
      <alignment horizontal="right" vertical="center"/>
    </xf>
    <xf numFmtId="0" fontId="0" fillId="0" borderId="9" xfId="0" applyFont="1" applyBorder="1" applyAlignment="1">
      <alignment horizontal="left" vertical="center" wrapText="1"/>
    </xf>
    <xf numFmtId="171" fontId="25" fillId="0" borderId="9" xfId="0" applyNumberFormat="1" applyFont="1" applyBorder="1" applyAlignment="1">
      <alignment horizontal="center" vertical="center"/>
    </xf>
    <xf numFmtId="0" fontId="0" fillId="0" borderId="36" xfId="0" applyFont="1" applyBorder="1" applyAlignment="1">
      <alignment horizontal="left" vertical="center" wrapText="1"/>
    </xf>
    <xf numFmtId="3" fontId="25" fillId="0" borderId="36" xfId="0" applyNumberFormat="1" applyFont="1" applyBorder="1" applyAlignment="1">
      <alignment horizontal="center" vertical="center"/>
    </xf>
    <xf numFmtId="171" fontId="25" fillId="0" borderId="36" xfId="0" applyNumberFormat="1" applyFont="1" applyBorder="1" applyAlignment="1">
      <alignment horizontal="center" vertical="center"/>
    </xf>
    <xf numFmtId="171" fontId="25" fillId="0" borderId="36" xfId="0" applyNumberFormat="1" applyFont="1" applyBorder="1" applyAlignment="1">
      <alignment horizontal="right" vertical="center"/>
    </xf>
    <xf numFmtId="171" fontId="24" fillId="6" borderId="9" xfId="0" applyNumberFormat="1" applyFont="1" applyFill="1" applyBorder="1" applyAlignment="1">
      <alignment horizontal="right" vertical="center"/>
    </xf>
    <xf numFmtId="3" fontId="25" fillId="0" borderId="9" xfId="0" applyNumberFormat="1" applyFont="1" applyBorder="1" applyAlignment="1">
      <alignment horizontal="center" vertical="center"/>
    </xf>
    <xf numFmtId="0" fontId="0" fillId="5" borderId="9" xfId="0" applyFont="1" applyFill="1" applyBorder="1" applyAlignment="1">
      <alignment horizontal="left" vertical="center" wrapText="1"/>
    </xf>
    <xf numFmtId="171" fontId="25" fillId="5" borderId="9" xfId="0" applyNumberFormat="1" applyFont="1" applyFill="1" applyBorder="1" applyAlignment="1">
      <alignment horizontal="center" vertical="center" wrapText="1"/>
    </xf>
    <xf numFmtId="171" fontId="25" fillId="5" borderId="9" xfId="0" applyNumberFormat="1" applyFont="1" applyFill="1" applyBorder="1" applyAlignment="1">
      <alignment horizontal="right" vertical="center" wrapText="1"/>
    </xf>
    <xf numFmtId="3" fontId="25" fillId="5" borderId="9" xfId="0" applyNumberFormat="1" applyFont="1" applyFill="1" applyBorder="1" applyAlignment="1">
      <alignment horizontal="center" vertical="center" wrapText="1"/>
    </xf>
    <xf numFmtId="164" fontId="25" fillId="5" borderId="9" xfId="0" applyNumberFormat="1" applyFont="1" applyFill="1" applyBorder="1" applyAlignment="1">
      <alignment horizontal="center" vertical="center" wrapText="1"/>
    </xf>
    <xf numFmtId="3" fontId="25" fillId="0" borderId="9" xfId="0" applyNumberFormat="1" applyFont="1" applyBorder="1" applyAlignment="1">
      <alignment horizontal="center" vertical="center" wrapText="1"/>
    </xf>
    <xf numFmtId="164" fontId="25" fillId="0" borderId="9" xfId="0" applyNumberFormat="1" applyFont="1" applyBorder="1" applyAlignment="1">
      <alignment horizontal="center" vertical="center" wrapText="1"/>
    </xf>
    <xf numFmtId="0" fontId="31" fillId="5" borderId="0" xfId="0" applyFont="1" applyFill="1" applyBorder="1" applyAlignment="1">
      <alignment horizontal="center" vertical="center" wrapText="1"/>
    </xf>
    <xf numFmtId="0" fontId="24" fillId="6" borderId="9" xfId="0" applyFont="1" applyFill="1" applyBorder="1" applyAlignment="1">
      <alignment horizontal="left" vertical="center" wrapText="1"/>
    </xf>
    <xf numFmtId="0" fontId="31" fillId="6" borderId="9" xfId="0" applyFont="1" applyFill="1" applyBorder="1" applyAlignment="1">
      <alignment horizontal="center" vertical="center" wrapText="1"/>
    </xf>
    <xf numFmtId="171" fontId="25" fillId="0" borderId="9" xfId="0" applyNumberFormat="1" applyFont="1" applyBorder="1" applyAlignment="1">
      <alignment horizontal="center" vertical="center" wrapText="1"/>
    </xf>
    <xf numFmtId="0" fontId="32" fillId="0" borderId="9" xfId="0" applyFont="1" applyBorder="1" applyAlignment="1">
      <alignment horizontal="left" vertical="center" wrapText="1"/>
    </xf>
    <xf numFmtId="49" fontId="24" fillId="6" borderId="16" xfId="0" applyNumberFormat="1" applyFont="1" applyFill="1" applyBorder="1" applyAlignment="1">
      <alignment horizontal="right" vertical="center" wrapText="1"/>
    </xf>
    <xf numFmtId="0" fontId="24" fillId="0" borderId="9" xfId="0" applyFont="1" applyBorder="1" applyAlignment="1">
      <alignment horizontal="left" vertical="center" wrapText="1"/>
    </xf>
    <xf numFmtId="49" fontId="18" fillId="6" borderId="9" xfId="0" applyNumberFormat="1" applyFont="1" applyFill="1" applyBorder="1" applyAlignment="1">
      <alignment horizontal="center" vertical="top" wrapText="1"/>
    </xf>
    <xf numFmtId="49" fontId="24" fillId="6" borderId="9" xfId="0" applyNumberFormat="1" applyFont="1" applyFill="1" applyBorder="1" applyAlignment="1">
      <alignment horizontal="left" vertical="center" wrapText="1"/>
    </xf>
    <xf numFmtId="49" fontId="24" fillId="7" borderId="9" xfId="0" applyNumberFormat="1" applyFont="1" applyFill="1" applyBorder="1" applyAlignment="1">
      <alignment horizontal="left" vertical="center" wrapText="1"/>
    </xf>
    <xf numFmtId="49" fontId="24" fillId="6" borderId="9" xfId="0" applyNumberFormat="1" applyFont="1" applyFill="1" applyBorder="1" applyAlignment="1">
      <alignment horizontal="right" vertical="center" wrapText="1"/>
    </xf>
    <xf numFmtId="0" fontId="24" fillId="6" borderId="9" xfId="0" applyFont="1" applyFill="1" applyBorder="1" applyAlignment="1">
      <alignment horizontal="right" vertical="center"/>
    </xf>
    <xf numFmtId="0" fontId="30" fillId="0" borderId="9" xfId="0" applyFont="1" applyBorder="1" applyAlignment="1">
      <alignment horizontal="left" vertical="center"/>
    </xf>
    <xf numFmtId="0" fontId="44" fillId="29" borderId="21" xfId="0" applyFont="1" applyFill="1" applyBorder="1" applyAlignment="1" applyProtection="1">
      <alignment horizontal="center" vertical="center" wrapText="1"/>
    </xf>
    <xf numFmtId="0" fontId="44" fillId="29" borderId="25" xfId="0" applyFont="1" applyFill="1" applyBorder="1" applyAlignment="1" applyProtection="1">
      <alignment horizontal="center" vertical="center" wrapText="1"/>
    </xf>
    <xf numFmtId="0" fontId="44" fillId="29" borderId="31" xfId="0" applyFont="1" applyFill="1" applyBorder="1" applyAlignment="1" applyProtection="1">
      <alignment horizontal="center" vertical="center" wrapText="1"/>
    </xf>
    <xf numFmtId="0" fontId="44" fillId="29" borderId="0" xfId="0" applyFont="1" applyFill="1" applyBorder="1" applyAlignment="1" applyProtection="1">
      <alignment horizontal="center" vertical="center" wrapText="1"/>
    </xf>
    <xf numFmtId="0" fontId="44" fillId="29" borderId="22" xfId="0" applyFont="1" applyFill="1" applyBorder="1" applyAlignment="1" applyProtection="1">
      <alignment horizontal="center" vertical="center" wrapText="1"/>
    </xf>
    <xf numFmtId="0" fontId="44" fillId="29" borderId="23" xfId="0" applyFont="1" applyFill="1" applyBorder="1" applyAlignment="1" applyProtection="1">
      <alignment horizontal="center" vertical="center" wrapText="1"/>
    </xf>
    <xf numFmtId="0" fontId="71" fillId="29" borderId="25" xfId="0" applyFont="1" applyFill="1" applyBorder="1" applyAlignment="1" applyProtection="1">
      <alignment horizontal="left" vertical="center"/>
    </xf>
    <xf numFmtId="0" fontId="71" fillId="29" borderId="24" xfId="0" applyFont="1" applyFill="1" applyBorder="1" applyAlignment="1" applyProtection="1">
      <alignment horizontal="left" vertical="center"/>
    </xf>
    <xf numFmtId="0" fontId="71" fillId="29" borderId="0" xfId="0" applyFont="1" applyFill="1" applyBorder="1" applyAlignment="1" applyProtection="1">
      <alignment horizontal="left" vertical="center"/>
    </xf>
    <xf numFmtId="0" fontId="71" fillId="29" borderId="34" xfId="0" applyFont="1" applyFill="1" applyBorder="1" applyAlignment="1" applyProtection="1">
      <alignment horizontal="left" vertical="center"/>
    </xf>
    <xf numFmtId="0" fontId="71" fillId="29" borderId="23" xfId="0" applyFont="1" applyFill="1" applyBorder="1" applyAlignment="1" applyProtection="1">
      <alignment horizontal="left" vertical="center"/>
    </xf>
    <xf numFmtId="0" fontId="71" fillId="29" borderId="27" xfId="0" applyFont="1" applyFill="1" applyBorder="1" applyAlignment="1" applyProtection="1">
      <alignment horizontal="left" vertical="center"/>
    </xf>
    <xf numFmtId="4" fontId="30" fillId="0" borderId="36" xfId="0" applyNumberFormat="1" applyFont="1" applyBorder="1" applyAlignment="1">
      <alignment horizontal="center" vertical="center"/>
    </xf>
    <xf numFmtId="4" fontId="30" fillId="0" borderId="37" xfId="0" applyNumberFormat="1" applyFont="1" applyBorder="1" applyAlignment="1">
      <alignment horizontal="center" vertical="center"/>
    </xf>
    <xf numFmtId="4" fontId="30" fillId="0" borderId="5" xfId="0" applyNumberFormat="1" applyFont="1" applyBorder="1" applyAlignment="1">
      <alignment horizontal="center" vertical="center"/>
    </xf>
    <xf numFmtId="0" fontId="22" fillId="6" borderId="9" xfId="0" applyFont="1" applyFill="1" applyBorder="1" applyAlignment="1">
      <alignment horizontal="center" vertical="center"/>
    </xf>
    <xf numFmtId="0" fontId="24" fillId="7" borderId="9" xfId="0" applyFont="1" applyFill="1" applyBorder="1" applyAlignment="1">
      <alignment horizontal="left" vertical="center" wrapText="1"/>
    </xf>
    <xf numFmtId="0" fontId="18" fillId="6" borderId="9" xfId="0" applyFont="1" applyFill="1" applyBorder="1" applyAlignment="1">
      <alignment horizontal="left" vertical="center"/>
    </xf>
    <xf numFmtId="0" fontId="0" fillId="5" borderId="0" xfId="0" applyFont="1" applyFill="1" applyBorder="1" applyAlignment="1">
      <alignment horizontal="center"/>
    </xf>
    <xf numFmtId="0" fontId="32" fillId="0" borderId="29" xfId="0" applyFont="1" applyBorder="1" applyAlignment="1">
      <alignment horizontal="left" vertical="center" wrapText="1"/>
    </xf>
    <xf numFmtId="0" fontId="22" fillId="6" borderId="9" xfId="0" applyFont="1" applyFill="1" applyBorder="1" applyAlignment="1">
      <alignment horizontal="center" vertical="center" wrapText="1"/>
    </xf>
    <xf numFmtId="0" fontId="24" fillId="0" borderId="29" xfId="0" applyFont="1" applyBorder="1" applyAlignment="1">
      <alignment horizontal="center" vertical="center"/>
    </xf>
    <xf numFmtId="0" fontId="30" fillId="0" borderId="9" xfId="0" applyFont="1" applyBorder="1" applyAlignment="1">
      <alignment horizontal="left" vertical="center" wrapText="1"/>
    </xf>
    <xf numFmtId="0" fontId="0" fillId="7" borderId="9" xfId="0" applyFont="1" applyFill="1" applyBorder="1" applyAlignment="1">
      <alignment horizontal="left" vertical="center" wrapText="1"/>
    </xf>
    <xf numFmtId="0" fontId="0" fillId="7" borderId="9" xfId="0" applyFont="1" applyFill="1" applyBorder="1" applyAlignment="1">
      <alignment horizontal="left" vertical="center"/>
    </xf>
    <xf numFmtId="0" fontId="24" fillId="7" borderId="16" xfId="0" applyFont="1" applyFill="1" applyBorder="1" applyAlignment="1">
      <alignment horizontal="left" vertical="center"/>
    </xf>
    <xf numFmtId="0" fontId="31" fillId="7" borderId="9" xfId="0" applyFont="1" applyFill="1" applyBorder="1" applyAlignment="1">
      <alignment horizontal="left" vertical="center"/>
    </xf>
    <xf numFmtId="0" fontId="24" fillId="8" borderId="9" xfId="0" applyFont="1" applyFill="1" applyBorder="1" applyAlignment="1">
      <alignment horizontal="left" vertical="center" wrapText="1"/>
    </xf>
    <xf numFmtId="169" fontId="28" fillId="8" borderId="9" xfId="0" applyNumberFormat="1" applyFont="1" applyFill="1" applyBorder="1" applyAlignment="1">
      <alignment horizontal="right" vertical="center" wrapText="1"/>
    </xf>
    <xf numFmtId="0" fontId="30" fillId="8" borderId="9" xfId="0" applyFont="1" applyFill="1" applyBorder="1" applyAlignment="1">
      <alignment horizontal="left" vertical="center" wrapText="1"/>
    </xf>
    <xf numFmtId="0" fontId="25" fillId="7" borderId="9" xfId="0" applyFont="1" applyFill="1" applyBorder="1" applyAlignment="1">
      <alignment horizontal="left" vertical="center" wrapText="1"/>
    </xf>
    <xf numFmtId="0" fontId="24" fillId="7" borderId="16" xfId="0" applyFont="1" applyFill="1" applyBorder="1" applyAlignment="1">
      <alignment horizontal="left" vertical="center" wrapText="1"/>
    </xf>
    <xf numFmtId="0" fontId="25" fillId="7" borderId="18" xfId="0" applyFont="1" applyFill="1" applyBorder="1" applyAlignment="1">
      <alignment horizontal="left" vertical="center" wrapText="1"/>
    </xf>
    <xf numFmtId="0" fontId="28" fillId="8" borderId="9" xfId="0" applyFont="1" applyFill="1" applyBorder="1" applyAlignment="1">
      <alignment horizontal="right" vertical="center" wrapText="1"/>
    </xf>
    <xf numFmtId="171" fontId="28" fillId="8" borderId="9" xfId="0" applyNumberFormat="1" applyFont="1" applyFill="1" applyBorder="1" applyAlignment="1">
      <alignment horizontal="right" vertical="center" wrapText="1"/>
    </xf>
    <xf numFmtId="0" fontId="0" fillId="0" borderId="9" xfId="0" applyFont="1" applyBorder="1" applyAlignment="1">
      <alignment horizontal="center" vertical="center"/>
    </xf>
    <xf numFmtId="4" fontId="0" fillId="0" borderId="9" xfId="0" applyNumberFormat="1" applyFont="1" applyBorder="1" applyAlignment="1">
      <alignment horizontal="right" vertical="center" wrapText="1"/>
    </xf>
    <xf numFmtId="0" fontId="24" fillId="7" borderId="9" xfId="0" applyFont="1" applyFill="1" applyBorder="1" applyAlignment="1">
      <alignment horizontal="right" vertical="center"/>
    </xf>
    <xf numFmtId="4" fontId="24" fillId="7" borderId="9" xfId="0" applyNumberFormat="1" applyFont="1" applyFill="1" applyBorder="1" applyAlignment="1">
      <alignment horizontal="right" vertical="center" wrapText="1"/>
    </xf>
    <xf numFmtId="0" fontId="24" fillId="7" borderId="9" xfId="0" applyFont="1" applyFill="1" applyBorder="1" applyAlignment="1">
      <alignment horizontal="right" vertical="center" wrapText="1"/>
    </xf>
    <xf numFmtId="4" fontId="24" fillId="7" borderId="9" xfId="0" applyNumberFormat="1" applyFont="1" applyFill="1" applyBorder="1" applyAlignment="1">
      <alignment horizontal="right" vertical="center"/>
    </xf>
    <xf numFmtId="0" fontId="24" fillId="0" borderId="30" xfId="0" applyFont="1" applyBorder="1" applyAlignment="1">
      <alignment horizontal="center" vertical="center"/>
    </xf>
    <xf numFmtId="0" fontId="27" fillId="6" borderId="9" xfId="0" applyFont="1" applyFill="1" applyBorder="1" applyAlignment="1">
      <alignment horizontal="center" vertical="center" wrapText="1"/>
    </xf>
    <xf numFmtId="0" fontId="0" fillId="0" borderId="9" xfId="0" applyFont="1" applyBorder="1" applyAlignment="1">
      <alignment horizontal="center" vertical="center" wrapText="1"/>
    </xf>
    <xf numFmtId="4" fontId="24" fillId="0" borderId="9" xfId="0" applyNumberFormat="1" applyFont="1" applyBorder="1" applyAlignment="1">
      <alignment horizontal="right" vertical="center" wrapText="1"/>
    </xf>
    <xf numFmtId="2" fontId="24" fillId="0" borderId="9" xfId="0" applyNumberFormat="1" applyFont="1" applyBorder="1" applyAlignment="1">
      <alignment horizontal="right" vertical="center" wrapText="1"/>
    </xf>
    <xf numFmtId="0" fontId="25" fillId="7" borderId="9" xfId="0" applyFont="1" applyFill="1" applyBorder="1" applyAlignment="1">
      <alignment horizontal="center" vertical="center" wrapText="1"/>
    </xf>
    <xf numFmtId="0" fontId="22" fillId="7" borderId="9" xfId="0" applyFont="1" applyFill="1" applyBorder="1" applyAlignment="1">
      <alignment horizontal="center" vertical="center" wrapText="1"/>
    </xf>
    <xf numFmtId="0" fontId="25" fillId="6" borderId="9" xfId="0" applyFont="1" applyFill="1" applyBorder="1" applyAlignment="1">
      <alignment horizontal="center" vertical="center" wrapText="1"/>
    </xf>
    <xf numFmtId="14" fontId="25" fillId="7" borderId="9" xfId="0" applyNumberFormat="1" applyFont="1" applyFill="1" applyBorder="1" applyAlignment="1">
      <alignment horizontal="center" vertical="center" wrapText="1"/>
    </xf>
    <xf numFmtId="169" fontId="25" fillId="7" borderId="9" xfId="0" applyNumberFormat="1" applyFont="1" applyFill="1" applyBorder="1" applyAlignment="1">
      <alignment horizontal="center" vertical="center" wrapText="1"/>
    </xf>
    <xf numFmtId="0" fontId="25" fillId="6" borderId="24" xfId="0" applyFont="1" applyFill="1" applyBorder="1" applyAlignment="1">
      <alignment horizontal="left" vertical="center" wrapText="1"/>
    </xf>
    <xf numFmtId="49" fontId="25" fillId="6" borderId="24" xfId="0" applyNumberFormat="1" applyFont="1" applyFill="1" applyBorder="1" applyAlignment="1">
      <alignment horizontal="center" vertical="center" wrapText="1"/>
    </xf>
    <xf numFmtId="0" fontId="25" fillId="6" borderId="18" xfId="0" applyFont="1" applyFill="1" applyBorder="1" applyAlignment="1">
      <alignment horizontal="left" vertical="center" wrapText="1"/>
    </xf>
    <xf numFmtId="0" fontId="25" fillId="6" borderId="18" xfId="0" applyFont="1" applyFill="1" applyBorder="1" applyAlignment="1">
      <alignment horizontal="right" vertical="center" wrapText="1"/>
    </xf>
    <xf numFmtId="0" fontId="25" fillId="6" borderId="18" xfId="0" applyFont="1" applyFill="1" applyBorder="1"/>
    <xf numFmtId="174" fontId="25" fillId="6" borderId="18" xfId="0" applyNumberFormat="1" applyFont="1" applyFill="1" applyBorder="1" applyAlignment="1">
      <alignment horizontal="right" vertical="center" wrapText="1"/>
    </xf>
    <xf numFmtId="0" fontId="24" fillId="5" borderId="0" xfId="0" applyFont="1" applyFill="1" applyBorder="1" applyAlignment="1">
      <alignment horizontal="right" vertical="center" wrapText="1"/>
    </xf>
    <xf numFmtId="0" fontId="24" fillId="5" borderId="0" xfId="0" applyFont="1" applyFill="1" applyBorder="1" applyAlignment="1">
      <alignment horizontal="left" vertical="center" wrapText="1"/>
    </xf>
    <xf numFmtId="0" fontId="16" fillId="6" borderId="9" xfId="0" applyFont="1" applyFill="1" applyBorder="1" applyAlignment="1">
      <alignment horizontal="center" vertical="center" wrapText="1"/>
    </xf>
    <xf numFmtId="0" fontId="23" fillId="6" borderId="21" xfId="0" applyFont="1" applyFill="1" applyBorder="1" applyAlignment="1">
      <alignment horizontal="right" vertical="center" wrapText="1"/>
    </xf>
    <xf numFmtId="0" fontId="22" fillId="6" borderId="24" xfId="0" applyFont="1" applyFill="1" applyBorder="1" applyAlignment="1">
      <alignment horizontal="left" vertical="center"/>
    </xf>
    <xf numFmtId="0" fontId="23" fillId="6" borderId="31" xfId="0" applyFont="1" applyFill="1" applyBorder="1" applyAlignment="1">
      <alignment horizontal="right" vertical="center" wrapText="1"/>
    </xf>
    <xf numFmtId="0" fontId="23" fillId="6" borderId="34" xfId="0" applyFont="1" applyFill="1" applyBorder="1" applyAlignment="1">
      <alignment horizontal="left" vertical="center" wrapText="1"/>
    </xf>
    <xf numFmtId="0" fontId="25" fillId="5" borderId="29" xfId="0" applyFont="1" applyFill="1" applyBorder="1" applyAlignment="1">
      <alignment horizontal="center" vertical="center" wrapText="1"/>
    </xf>
    <xf numFmtId="0" fontId="0" fillId="9" borderId="9" xfId="0" applyFont="1" applyFill="1" applyBorder="1" applyAlignment="1">
      <alignment horizontal="left" vertical="center" wrapText="1"/>
    </xf>
    <xf numFmtId="175" fontId="0" fillId="9" borderId="9" xfId="0" applyNumberFormat="1" applyFont="1" applyFill="1" applyBorder="1" applyAlignment="1">
      <alignment horizontal="center" vertical="center" wrapText="1"/>
    </xf>
    <xf numFmtId="0" fontId="24" fillId="7" borderId="9" xfId="0" applyFont="1" applyFill="1" applyBorder="1" applyAlignment="1">
      <alignment horizontal="center" vertical="center" wrapText="1"/>
    </xf>
    <xf numFmtId="4" fontId="61" fillId="0" borderId="9" xfId="0" applyNumberFormat="1" applyFont="1" applyBorder="1" applyAlignment="1">
      <alignment horizontal="center" vertical="center" wrapText="1"/>
    </xf>
    <xf numFmtId="4" fontId="30" fillId="0" borderId="9" xfId="0" applyNumberFormat="1" applyFont="1" applyBorder="1" applyAlignment="1">
      <alignment horizontal="center" vertical="center" wrapText="1"/>
    </xf>
    <xf numFmtId="164" fontId="24" fillId="7" borderId="9" xfId="0" applyNumberFormat="1" applyFont="1" applyFill="1" applyBorder="1" applyAlignment="1">
      <alignment horizontal="right" vertical="center" wrapText="1"/>
    </xf>
    <xf numFmtId="0" fontId="22" fillId="0" borderId="9" xfId="0" applyFont="1" applyBorder="1" applyAlignment="1">
      <alignment horizontal="left" vertical="center" wrapText="1"/>
    </xf>
    <xf numFmtId="164" fontId="19" fillId="9" borderId="9" xfId="0" applyNumberFormat="1" applyFont="1" applyFill="1" applyBorder="1" applyAlignment="1">
      <alignment horizontal="right" vertical="center" wrapText="1"/>
    </xf>
    <xf numFmtId="3" fontId="19" fillId="9" borderId="9" xfId="0" applyNumberFormat="1" applyFont="1" applyFill="1" applyBorder="1" applyAlignment="1">
      <alignment horizontal="right" vertical="center" wrapText="1"/>
    </xf>
    <xf numFmtId="171" fontId="24" fillId="0" borderId="9" xfId="0" applyNumberFormat="1" applyFont="1" applyBorder="1" applyAlignment="1">
      <alignment horizontal="center" vertical="center" wrapText="1"/>
    </xf>
    <xf numFmtId="0" fontId="24" fillId="0" borderId="16" xfId="0" applyFont="1" applyBorder="1" applyAlignment="1">
      <alignment horizontal="left" vertical="center" wrapText="1"/>
    </xf>
    <xf numFmtId="0" fontId="25" fillId="0" borderId="26" xfId="0" applyFont="1" applyBorder="1" applyAlignment="1">
      <alignment horizontal="center" vertical="center" wrapText="1"/>
    </xf>
    <xf numFmtId="0" fontId="18" fillId="6" borderId="9" xfId="0" applyFont="1" applyFill="1" applyBorder="1" applyAlignment="1">
      <alignment horizontal="center" vertical="center" wrapText="1"/>
    </xf>
    <xf numFmtId="0" fontId="24" fillId="0" borderId="26" xfId="0" applyFont="1" applyBorder="1" applyAlignment="1">
      <alignment horizontal="center" vertical="center" wrapText="1"/>
    </xf>
    <xf numFmtId="49" fontId="18" fillId="6" borderId="9" xfId="0" applyNumberFormat="1" applyFont="1" applyFill="1" applyBorder="1" applyAlignment="1">
      <alignment horizontal="center" vertical="center" wrapText="1"/>
    </xf>
    <xf numFmtId="0" fontId="71" fillId="29" borderId="25" xfId="0" applyFont="1" applyFill="1" applyBorder="1" applyAlignment="1" applyProtection="1">
      <alignment horizontal="left" vertical="center" wrapText="1"/>
    </xf>
    <xf numFmtId="0" fontId="71" fillId="29" borderId="24" xfId="0" applyFont="1" applyFill="1" applyBorder="1" applyAlignment="1" applyProtection="1">
      <alignment horizontal="left" vertical="center" wrapText="1"/>
    </xf>
    <xf numFmtId="0" fontId="71" fillId="29" borderId="0" xfId="0" applyFont="1" applyFill="1" applyBorder="1" applyAlignment="1" applyProtection="1">
      <alignment horizontal="left" vertical="center" wrapText="1"/>
    </xf>
    <xf numFmtId="0" fontId="71" fillId="29" borderId="34" xfId="0" applyFont="1" applyFill="1" applyBorder="1" applyAlignment="1" applyProtection="1">
      <alignment horizontal="left" vertical="center" wrapText="1"/>
    </xf>
    <xf numFmtId="0" fontId="71" fillId="29" borderId="23" xfId="0" applyFont="1" applyFill="1" applyBorder="1" applyAlignment="1" applyProtection="1">
      <alignment horizontal="left" vertical="center" wrapText="1"/>
    </xf>
    <xf numFmtId="0" fontId="71" fillId="29" borderId="27" xfId="0" applyFont="1" applyFill="1" applyBorder="1" applyAlignment="1" applyProtection="1">
      <alignment horizontal="left" vertical="center" wrapText="1"/>
    </xf>
    <xf numFmtId="4" fontId="30" fillId="0" borderId="36" xfId="0" applyNumberFormat="1" applyFont="1" applyBorder="1" applyAlignment="1">
      <alignment horizontal="center" vertical="center" wrapText="1"/>
    </xf>
    <xf numFmtId="4" fontId="30" fillId="0" borderId="37" xfId="0" applyNumberFormat="1" applyFont="1" applyBorder="1" applyAlignment="1">
      <alignment horizontal="center" vertical="center" wrapText="1"/>
    </xf>
    <xf numFmtId="4" fontId="30" fillId="0" borderId="5" xfId="0" applyNumberFormat="1" applyFont="1" applyBorder="1" applyAlignment="1">
      <alignment horizontal="center" vertical="center" wrapText="1"/>
    </xf>
    <xf numFmtId="0" fontId="18" fillId="6" borderId="9" xfId="0" applyFont="1" applyFill="1" applyBorder="1" applyAlignment="1">
      <alignment horizontal="left" vertical="center" wrapText="1"/>
    </xf>
    <xf numFmtId="0" fontId="0" fillId="5" borderId="0" xfId="0" applyFont="1" applyFill="1" applyBorder="1" applyAlignment="1">
      <alignment horizontal="center" vertical="center" wrapText="1"/>
    </xf>
    <xf numFmtId="0" fontId="32" fillId="0" borderId="26" xfId="0" applyFont="1" applyBorder="1" applyAlignment="1">
      <alignment horizontal="left" vertical="center" wrapText="1"/>
    </xf>
    <xf numFmtId="0" fontId="24" fillId="0" borderId="26" xfId="0" applyFont="1" applyBorder="1" applyAlignment="1">
      <alignment horizontal="right" vertical="center" wrapText="1"/>
    </xf>
    <xf numFmtId="0" fontId="24" fillId="0" borderId="26" xfId="0" applyFont="1" applyBorder="1" applyAlignment="1">
      <alignment horizontal="left" vertical="center" wrapText="1"/>
    </xf>
    <xf numFmtId="0" fontId="60" fillId="7" borderId="16" xfId="0" applyFont="1" applyFill="1" applyBorder="1" applyAlignment="1">
      <alignment horizontal="left" vertical="center" wrapText="1"/>
    </xf>
    <xf numFmtId="164" fontId="25" fillId="7" borderId="17" xfId="0" applyNumberFormat="1" applyFont="1" applyFill="1" applyBorder="1" applyAlignment="1">
      <alignment horizontal="center" vertical="center" wrapText="1"/>
    </xf>
    <xf numFmtId="164" fontId="25" fillId="7" borderId="18" xfId="0" applyNumberFormat="1" applyFont="1" applyFill="1" applyBorder="1" applyAlignment="1">
      <alignment horizontal="center" vertical="center" wrapText="1"/>
    </xf>
    <xf numFmtId="0" fontId="31" fillId="7" borderId="9" xfId="0" applyFont="1" applyFill="1" applyBorder="1" applyAlignment="1">
      <alignment horizontal="left" vertical="center" wrapText="1"/>
    </xf>
    <xf numFmtId="0" fontId="0" fillId="5" borderId="26" xfId="0" applyFont="1" applyFill="1" applyBorder="1" applyAlignment="1">
      <alignment horizontal="left" vertical="center" wrapText="1"/>
    </xf>
    <xf numFmtId="0" fontId="61" fillId="0" borderId="9" xfId="0" applyFont="1" applyBorder="1" applyAlignment="1">
      <alignment horizontal="left" vertical="center" wrapText="1"/>
    </xf>
    <xf numFmtId="0" fontId="0" fillId="0" borderId="26" xfId="0" applyFont="1" applyBorder="1" applyAlignment="1">
      <alignment horizontal="left" vertical="center" wrapText="1"/>
    </xf>
    <xf numFmtId="0" fontId="29" fillId="8" borderId="9" xfId="0" applyFont="1" applyFill="1" applyBorder="1" applyAlignment="1">
      <alignment horizontal="left" vertical="center" wrapText="1"/>
    </xf>
    <xf numFmtId="0" fontId="26" fillId="0" borderId="26" xfId="0" applyFont="1" applyBorder="1" applyAlignment="1">
      <alignment horizontal="left" vertical="center" wrapText="1"/>
    </xf>
    <xf numFmtId="169" fontId="25" fillId="7" borderId="16" xfId="0" applyNumberFormat="1" applyFont="1" applyFill="1" applyBorder="1" applyAlignment="1">
      <alignment horizontal="center" vertical="center" wrapText="1"/>
    </xf>
    <xf numFmtId="169" fontId="25" fillId="7" borderId="17" xfId="0" applyNumberFormat="1" applyFont="1" applyFill="1" applyBorder="1" applyAlignment="1">
      <alignment horizontal="center" vertical="center" wrapText="1"/>
    </xf>
    <xf numFmtId="169" fontId="25" fillId="7" borderId="18" xfId="0" applyNumberFormat="1" applyFont="1" applyFill="1" applyBorder="1" applyAlignment="1">
      <alignment horizontal="center" vertical="center" wrapText="1"/>
    </xf>
    <xf numFmtId="0" fontId="23" fillId="6" borderId="22" xfId="0" applyFont="1" applyFill="1" applyBorder="1" applyAlignment="1">
      <alignment horizontal="right" vertical="center" wrapText="1"/>
    </xf>
    <xf numFmtId="0" fontId="23" fillId="6" borderId="27" xfId="0" applyFont="1" applyFill="1" applyBorder="1" applyAlignment="1">
      <alignment horizontal="left" vertical="center" wrapText="1"/>
    </xf>
    <xf numFmtId="0" fontId="25" fillId="6" borderId="18" xfId="0" applyFont="1" applyFill="1" applyBorder="1" applyAlignment="1">
      <alignment vertical="center" wrapText="1"/>
    </xf>
    <xf numFmtId="0" fontId="16" fillId="0" borderId="21"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4" xfId="0" applyFont="1" applyBorder="1" applyAlignment="1">
      <alignment horizontal="center" vertical="center" wrapText="1"/>
    </xf>
    <xf numFmtId="0" fontId="17" fillId="0" borderId="31" xfId="0" applyFont="1" applyBorder="1" applyAlignment="1">
      <alignment horizontal="center" vertical="center" wrapText="1"/>
    </xf>
    <xf numFmtId="0" fontId="17" fillId="0" borderId="0" xfId="0" applyFont="1" applyBorder="1" applyAlignment="1">
      <alignment horizontal="center" vertical="center" wrapText="1"/>
    </xf>
    <xf numFmtId="0" fontId="17" fillId="0" borderId="34"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0" xfId="0" applyFont="1" applyBorder="1" applyAlignment="1">
      <alignment horizontal="center" vertical="center" wrapText="1"/>
    </xf>
    <xf numFmtId="0" fontId="18" fillId="0" borderId="34"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34" xfId="0" applyFont="1" applyBorder="1" applyAlignment="1">
      <alignment horizontal="center" vertical="center" wrapText="1"/>
    </xf>
    <xf numFmtId="0" fontId="21" fillId="5" borderId="0" xfId="0" applyFont="1" applyFill="1" applyBorder="1" applyAlignment="1">
      <alignment horizontal="center" vertical="center" wrapText="1"/>
    </xf>
    <xf numFmtId="0" fontId="22" fillId="6" borderId="24" xfId="0" applyFont="1" applyFill="1" applyBorder="1" applyAlignment="1">
      <alignment horizontal="left" vertical="center" wrapText="1"/>
    </xf>
    <xf numFmtId="0" fontId="25" fillId="0" borderId="28" xfId="0" applyFont="1" applyBorder="1" applyAlignment="1">
      <alignment horizontal="justify" vertical="center" wrapText="1"/>
    </xf>
    <xf numFmtId="4" fontId="62" fillId="0" borderId="9" xfId="0" applyNumberFormat="1" applyFont="1" applyBorder="1" applyAlignment="1">
      <alignment horizontal="center" vertical="center" wrapText="1"/>
    </xf>
    <xf numFmtId="4" fontId="29" fillId="0" borderId="9" xfId="0" applyNumberFormat="1" applyFont="1" applyBorder="1" applyAlignment="1">
      <alignment horizontal="center" vertical="center" wrapText="1"/>
    </xf>
    <xf numFmtId="164" fontId="24" fillId="0" borderId="9" xfId="0" applyNumberFormat="1" applyFont="1" applyBorder="1" applyAlignment="1">
      <alignment horizontal="center" vertical="center" wrapText="1"/>
    </xf>
    <xf numFmtId="0" fontId="24" fillId="6" borderId="30" xfId="0" applyFont="1" applyFill="1" applyBorder="1" applyAlignment="1">
      <alignment horizontal="center" vertical="center" wrapText="1"/>
    </xf>
    <xf numFmtId="4" fontId="36" fillId="0" borderId="9" xfId="0" applyNumberFormat="1" applyFont="1" applyBorder="1" applyAlignment="1">
      <alignment horizontal="center" vertical="center" wrapText="1"/>
    </xf>
    <xf numFmtId="2" fontId="36" fillId="0" borderId="9" xfId="0" applyNumberFormat="1" applyFont="1" applyBorder="1" applyAlignment="1">
      <alignment horizontal="center" vertical="center" wrapText="1"/>
    </xf>
    <xf numFmtId="0" fontId="37" fillId="5" borderId="9" xfId="0" applyFont="1" applyFill="1" applyBorder="1" applyAlignment="1">
      <alignment horizontal="center" vertical="center" wrapText="1"/>
    </xf>
    <xf numFmtId="0" fontId="29" fillId="0" borderId="9" xfId="0" applyFont="1" applyBorder="1" applyAlignment="1">
      <alignment horizontal="left" vertical="center" wrapText="1"/>
    </xf>
    <xf numFmtId="0" fontId="26" fillId="0" borderId="29" xfId="0" applyFont="1" applyBorder="1" applyAlignment="1">
      <alignment horizontal="left" vertical="center" wrapText="1"/>
    </xf>
    <xf numFmtId="0" fontId="57" fillId="9" borderId="9" xfId="0" applyFont="1" applyFill="1" applyBorder="1" applyAlignment="1">
      <alignment horizontal="left" vertical="center" wrapText="1"/>
    </xf>
    <xf numFmtId="0" fontId="57" fillId="9" borderId="9" xfId="0" applyFont="1" applyFill="1" applyBorder="1" applyAlignment="1">
      <alignment horizontal="center" vertical="center" wrapText="1"/>
    </xf>
    <xf numFmtId="0" fontId="73" fillId="29" borderId="21" xfId="0" applyFont="1" applyFill="1" applyBorder="1" applyAlignment="1" applyProtection="1">
      <alignment horizontal="center" vertical="center" wrapText="1"/>
    </xf>
    <xf numFmtId="0" fontId="73" fillId="29" borderId="25" xfId="0" applyFont="1" applyFill="1" applyBorder="1" applyAlignment="1" applyProtection="1">
      <alignment horizontal="center" vertical="center" wrapText="1"/>
    </xf>
    <xf numFmtId="0" fontId="73" fillId="29" borderId="31" xfId="0" applyFont="1" applyFill="1" applyBorder="1" applyAlignment="1" applyProtection="1">
      <alignment horizontal="center" vertical="center" wrapText="1"/>
    </xf>
    <xf numFmtId="0" fontId="73" fillId="29" borderId="0" xfId="0" applyFont="1" applyFill="1" applyBorder="1" applyAlignment="1" applyProtection="1">
      <alignment horizontal="center" vertical="center" wrapText="1"/>
    </xf>
    <xf numFmtId="0" fontId="73" fillId="29" borderId="22" xfId="0" applyFont="1" applyFill="1" applyBorder="1" applyAlignment="1" applyProtection="1">
      <alignment horizontal="center" vertical="center" wrapText="1"/>
    </xf>
    <xf numFmtId="0" fontId="73" fillId="29" borderId="23" xfId="0" applyFont="1" applyFill="1" applyBorder="1" applyAlignment="1" applyProtection="1">
      <alignment horizontal="center" vertical="center" wrapText="1"/>
    </xf>
    <xf numFmtId="0" fontId="57" fillId="5" borderId="9" xfId="0" applyFont="1" applyFill="1" applyBorder="1" applyAlignment="1">
      <alignment horizontal="center" vertical="center" wrapText="1"/>
    </xf>
    <xf numFmtId="0" fontId="25" fillId="9" borderId="9" xfId="0" applyFont="1" applyFill="1" applyBorder="1" applyAlignment="1">
      <alignment horizontal="right" vertical="center" wrapText="1"/>
    </xf>
    <xf numFmtId="164" fontId="25" fillId="9" borderId="9" xfId="0" applyNumberFormat="1" applyFont="1" applyFill="1" applyBorder="1" applyAlignment="1">
      <alignment horizontal="right" vertical="center" wrapText="1"/>
    </xf>
    <xf numFmtId="49" fontId="24" fillId="5" borderId="9" xfId="0" applyNumberFormat="1" applyFont="1" applyFill="1" applyBorder="1" applyAlignment="1">
      <alignment horizontal="center" vertical="center" wrapText="1"/>
    </xf>
    <xf numFmtId="0" fontId="57" fillId="0" borderId="26" xfId="0" applyFont="1" applyBorder="1" applyAlignment="1">
      <alignment horizontal="left" vertical="center" wrapText="1"/>
    </xf>
    <xf numFmtId="49" fontId="24" fillId="6" borderId="9" xfId="0" applyNumberFormat="1" applyFont="1" applyFill="1" applyBorder="1" applyAlignment="1">
      <alignment horizontal="center" vertical="center" wrapText="1"/>
    </xf>
    <xf numFmtId="0" fontId="73" fillId="29" borderId="25" xfId="0" applyFont="1" applyFill="1" applyBorder="1" applyAlignment="1" applyProtection="1">
      <alignment horizontal="left" vertical="center"/>
    </xf>
    <xf numFmtId="0" fontId="73" fillId="29" borderId="24" xfId="0" applyFont="1" applyFill="1" applyBorder="1" applyAlignment="1" applyProtection="1">
      <alignment horizontal="left" vertical="center"/>
    </xf>
    <xf numFmtId="0" fontId="73" fillId="29" borderId="0" xfId="0" applyFont="1" applyFill="1" applyBorder="1" applyAlignment="1" applyProtection="1">
      <alignment horizontal="left" vertical="center"/>
    </xf>
    <xf numFmtId="0" fontId="73" fillId="29" borderId="34" xfId="0" applyFont="1" applyFill="1" applyBorder="1" applyAlignment="1" applyProtection="1">
      <alignment horizontal="left" vertical="center"/>
    </xf>
    <xf numFmtId="0" fontId="73" fillId="29" borderId="23" xfId="0" applyFont="1" applyFill="1" applyBorder="1" applyAlignment="1" applyProtection="1">
      <alignment horizontal="left" vertical="center"/>
    </xf>
    <xf numFmtId="0" fontId="73" fillId="29" borderId="27" xfId="0" applyFont="1" applyFill="1" applyBorder="1" applyAlignment="1" applyProtection="1">
      <alignment horizontal="left" vertical="center"/>
    </xf>
    <xf numFmtId="4" fontId="29" fillId="0" borderId="36" xfId="0" applyNumberFormat="1" applyFont="1" applyBorder="1" applyAlignment="1">
      <alignment horizontal="center" vertical="center"/>
    </xf>
    <xf numFmtId="4" fontId="29" fillId="0" borderId="37" xfId="0" applyNumberFormat="1" applyFont="1" applyBorder="1" applyAlignment="1">
      <alignment horizontal="center" vertical="center"/>
    </xf>
    <xf numFmtId="4" fontId="29" fillId="0" borderId="5" xfId="0" applyNumberFormat="1" applyFont="1" applyBorder="1" applyAlignment="1">
      <alignment horizontal="center" vertical="center"/>
    </xf>
    <xf numFmtId="0" fontId="57" fillId="5" borderId="0" xfId="0" applyFont="1" applyFill="1" applyBorder="1" applyAlignment="1">
      <alignment horizontal="center" vertical="center" wrapText="1"/>
    </xf>
    <xf numFmtId="0" fontId="57" fillId="7" borderId="9" xfId="0" applyFont="1" applyFill="1" applyBorder="1" applyAlignment="1">
      <alignment horizontal="left" vertical="center" wrapText="1"/>
    </xf>
    <xf numFmtId="0" fontId="24" fillId="8" borderId="16" xfId="0" applyFont="1" applyFill="1" applyBorder="1" applyAlignment="1">
      <alignment horizontal="left" vertical="center" wrapText="1"/>
    </xf>
    <xf numFmtId="0" fontId="24" fillId="8" borderId="17" xfId="0" applyFont="1" applyFill="1" applyBorder="1" applyAlignment="1">
      <alignment horizontal="left" vertical="center" wrapText="1"/>
    </xf>
    <xf numFmtId="0" fontId="24" fillId="8" borderId="18" xfId="0" applyFont="1" applyFill="1" applyBorder="1" applyAlignment="1">
      <alignment horizontal="left" vertical="center" wrapText="1"/>
    </xf>
    <xf numFmtId="0" fontId="25" fillId="8" borderId="16" xfId="0" applyFont="1" applyFill="1" applyBorder="1" applyAlignment="1">
      <alignment horizontal="right" vertical="center" wrapText="1"/>
    </xf>
    <xf numFmtId="0" fontId="25" fillId="8" borderId="17" xfId="0" applyFont="1" applyFill="1" applyBorder="1" applyAlignment="1">
      <alignment horizontal="right" vertical="center" wrapText="1"/>
    </xf>
    <xf numFmtId="0" fontId="25" fillId="8" borderId="18" xfId="0" applyFont="1" applyFill="1" applyBorder="1" applyAlignment="1">
      <alignment horizontal="right" vertical="center" wrapText="1"/>
    </xf>
    <xf numFmtId="169" fontId="25" fillId="8" borderId="16" xfId="0" applyNumberFormat="1" applyFont="1" applyFill="1" applyBorder="1" applyAlignment="1">
      <alignment horizontal="right" vertical="center" wrapText="1"/>
    </xf>
    <xf numFmtId="169" fontId="25" fillId="8" borderId="17" xfId="0" applyNumberFormat="1" applyFont="1" applyFill="1" applyBorder="1" applyAlignment="1">
      <alignment horizontal="right" vertical="center" wrapText="1"/>
    </xf>
    <xf numFmtId="169" fontId="25" fillId="8" borderId="18" xfId="0" applyNumberFormat="1" applyFont="1" applyFill="1" applyBorder="1" applyAlignment="1">
      <alignment horizontal="right" vertical="center" wrapText="1"/>
    </xf>
    <xf numFmtId="0" fontId="37" fillId="0" borderId="0" xfId="0" applyFont="1" applyBorder="1" applyAlignment="1">
      <alignment horizontal="left" vertical="center" wrapText="1"/>
    </xf>
    <xf numFmtId="171" fontId="25" fillId="8" borderId="16" xfId="0" applyNumberFormat="1" applyFont="1" applyFill="1" applyBorder="1" applyAlignment="1">
      <alignment horizontal="right" vertical="center" wrapText="1"/>
    </xf>
    <xf numFmtId="171" fontId="25" fillId="8" borderId="17" xfId="0" applyNumberFormat="1" applyFont="1" applyFill="1" applyBorder="1" applyAlignment="1">
      <alignment horizontal="right" vertical="center" wrapText="1"/>
    </xf>
    <xf numFmtId="171" fontId="25" fillId="8" borderId="18" xfId="0" applyNumberFormat="1" applyFont="1" applyFill="1" applyBorder="1" applyAlignment="1">
      <alignment horizontal="right" vertical="center" wrapText="1"/>
    </xf>
    <xf numFmtId="0" fontId="57" fillId="6" borderId="22" xfId="0" applyFont="1" applyFill="1" applyBorder="1" applyAlignment="1">
      <alignment horizontal="right" vertical="center" wrapText="1"/>
    </xf>
    <xf numFmtId="0" fontId="57" fillId="6" borderId="27" xfId="0" applyFont="1" applyFill="1" applyBorder="1" applyAlignment="1">
      <alignment horizontal="left" vertical="center" wrapText="1"/>
    </xf>
    <xf numFmtId="0" fontId="16" fillId="0" borderId="0" xfId="0" applyFont="1" applyBorder="1" applyAlignment="1">
      <alignment horizontal="center" vertical="center" wrapText="1"/>
    </xf>
    <xf numFmtId="0" fontId="24" fillId="5" borderId="0" xfId="0" applyFont="1" applyFill="1" applyBorder="1" applyAlignment="1">
      <alignment horizontal="center" vertical="center" wrapText="1"/>
    </xf>
    <xf numFmtId="0" fontId="57" fillId="6" borderId="21" xfId="0" applyFont="1" applyFill="1" applyBorder="1" applyAlignment="1">
      <alignment horizontal="right" vertical="center" wrapText="1"/>
    </xf>
    <xf numFmtId="0" fontId="24" fillId="6" borderId="24" xfId="0" applyFont="1" applyFill="1" applyBorder="1" applyAlignment="1">
      <alignment horizontal="left" vertical="center" wrapText="1"/>
    </xf>
    <xf numFmtId="0" fontId="15" fillId="0" borderId="0" xfId="0" applyFont="1" applyBorder="1" applyAlignment="1">
      <alignment horizontal="left" vertical="center"/>
    </xf>
    <xf numFmtId="169" fontId="15" fillId="0" borderId="0" xfId="0" applyNumberFormat="1" applyFont="1" applyBorder="1" applyAlignment="1">
      <alignment horizontal="left" vertical="center"/>
    </xf>
    <xf numFmtId="0" fontId="15" fillId="0" borderId="20" xfId="0" applyFont="1" applyBorder="1" applyAlignment="1">
      <alignment horizontal="center"/>
    </xf>
    <xf numFmtId="0" fontId="15" fillId="0" borderId="0" xfId="0" applyFont="1" applyBorder="1" applyAlignment="1">
      <alignment horizontal="left"/>
    </xf>
    <xf numFmtId="0" fontId="15" fillId="0" borderId="0" xfId="0" applyFont="1" applyBorder="1" applyAlignment="1">
      <alignment horizontal="center"/>
    </xf>
    <xf numFmtId="0" fontId="15" fillId="0" borderId="0" xfId="0" applyFont="1" applyBorder="1" applyAlignment="1">
      <alignment horizontal="left" wrapText="1"/>
    </xf>
    <xf numFmtId="164" fontId="9" fillId="2" borderId="12" xfId="0" applyNumberFormat="1" applyFont="1" applyFill="1" applyBorder="1" applyAlignment="1">
      <alignment horizontal="center" vertical="center"/>
    </xf>
    <xf numFmtId="0" fontId="11" fillId="0" borderId="39" xfId="0" applyFont="1" applyBorder="1" applyAlignment="1">
      <alignment horizontal="justify" vertical="center" wrapText="1"/>
    </xf>
    <xf numFmtId="164" fontId="14" fillId="2" borderId="19" xfId="0" applyNumberFormat="1" applyFont="1" applyFill="1" applyBorder="1" applyAlignment="1">
      <alignment horizontal="center" vertical="center"/>
    </xf>
    <xf numFmtId="0" fontId="63" fillId="0" borderId="9" xfId="0" applyFont="1" applyBorder="1" applyAlignment="1">
      <alignment horizontal="center" vertical="center" wrapText="1"/>
    </xf>
    <xf numFmtId="0" fontId="5" fillId="2" borderId="2" xfId="0" applyFont="1" applyFill="1" applyBorder="1" applyAlignment="1">
      <alignment horizontal="center" vertical="center" wrapText="1"/>
    </xf>
    <xf numFmtId="164" fontId="9" fillId="3" borderId="6" xfId="0" applyNumberFormat="1" applyFont="1" applyFill="1" applyBorder="1" applyAlignment="1">
      <alignment horizontal="center" vertical="center"/>
    </xf>
    <xf numFmtId="164" fontId="9" fillId="4" borderId="9" xfId="0" applyNumberFormat="1" applyFont="1" applyFill="1" applyBorder="1" applyAlignment="1">
      <alignment horizontal="center" vertical="center"/>
    </xf>
    <xf numFmtId="164" fontId="9" fillId="3" borderId="9" xfId="0" applyNumberFormat="1" applyFont="1" applyFill="1" applyBorder="1" applyAlignment="1">
      <alignment horizontal="center" vertical="center"/>
    </xf>
    <xf numFmtId="0" fontId="3" fillId="0" borderId="0" xfId="0" applyFont="1" applyBorder="1" applyAlignment="1">
      <alignment horizontal="center"/>
    </xf>
    <xf numFmtId="0" fontId="4" fillId="0" borderId="0" xfId="0" applyFont="1" applyBorder="1" applyAlignment="1">
      <alignment horizontal="center"/>
    </xf>
    <xf numFmtId="0" fontId="5" fillId="0" borderId="0" xfId="0" applyFont="1" applyBorder="1" applyAlignment="1">
      <alignment horizontal="center"/>
    </xf>
    <xf numFmtId="0" fontId="6" fillId="0" borderId="0" xfId="0" applyFont="1" applyBorder="1" applyAlignment="1">
      <alignment horizontal="center"/>
    </xf>
    <xf numFmtId="0" fontId="7" fillId="0" borderId="0" xfId="0" applyFont="1" applyBorder="1" applyAlignment="1">
      <alignment horizontal="center" vertical="center"/>
    </xf>
  </cellXfs>
  <cellStyles count="5">
    <cellStyle name="Moeda" xfId="1" builtinId="4"/>
    <cellStyle name="Moeda 2" xfId="4"/>
    <cellStyle name="Normal" xfId="0" builtinId="0"/>
    <cellStyle name="Normal 2" xfId="3"/>
    <cellStyle name="Normal 3" xfId="2"/>
  </cellStyles>
  <dxfs count="8">
    <dxf>
      <fill>
        <patternFill patternType="solid">
          <bgColor rgb="FF00FFFF"/>
        </patternFill>
      </fill>
    </dxf>
    <dxf>
      <fill>
        <patternFill patternType="solid">
          <bgColor rgb="FF00FFFF"/>
        </patternFill>
      </fill>
    </dxf>
    <dxf>
      <fill>
        <patternFill patternType="solid">
          <bgColor rgb="FF00FFFF"/>
        </patternFill>
      </fill>
    </dxf>
    <dxf>
      <fill>
        <patternFill patternType="solid">
          <bgColor rgb="FF00FFFF"/>
        </patternFill>
      </fill>
    </dxf>
    <dxf>
      <fill>
        <patternFill patternType="solid">
          <bgColor rgb="FF00FFFF"/>
        </patternFill>
      </fill>
    </dxf>
    <dxf>
      <fill>
        <patternFill patternType="solid">
          <bgColor rgb="FF00FFFF"/>
        </patternFill>
      </fill>
    </dxf>
    <dxf>
      <fill>
        <patternFill patternType="solid">
          <bgColor rgb="FF00FFFF"/>
        </patternFill>
      </fill>
    </dxf>
    <dxf>
      <font>
        <color rgb="FF000000"/>
      </font>
      <fill>
        <patternFill patternType="solid">
          <bgColor rgb="FF00FFFF"/>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800000"/>
      <rgbColor rgb="0038761D"/>
      <rgbColor rgb="00000080"/>
      <rgbColor rgb="004F6228"/>
      <rgbColor rgb="00800080"/>
      <rgbColor rgb="00008080"/>
      <rgbColor rgb="00C0C0C0"/>
      <rgbColor rgb="007F7F7F"/>
      <rgbColor rgb="00D8D8D8"/>
      <rgbColor rgb="007030A0"/>
      <rgbColor rgb="00F3F3F3"/>
      <rgbColor rgb="00CFE2F3"/>
      <rgbColor rgb="00660066"/>
      <rgbColor rgb="00DDD9C3"/>
      <rgbColor rgb="000066CC"/>
      <rgbColor rgb="00B8CCE4"/>
      <rgbColor rgb="00000080"/>
      <rgbColor rgb="00FF00FF"/>
      <rgbColor rgb="00C3D69B"/>
      <rgbColor rgb="00F2F2F2"/>
      <rgbColor rgb="00800080"/>
      <rgbColor rgb="00800000"/>
      <rgbColor rgb="00008080"/>
      <rgbColor rgb="000000FF"/>
      <rgbColor rgb="0000CCFF"/>
      <rgbColor rgb="00EFEFEF"/>
      <rgbColor rgb="00D9EAD3"/>
      <rgbColor rgb="00FFFF99"/>
      <rgbColor rgb="00B6DDE8"/>
      <rgbColor rgb="00CCCCCC"/>
      <rgbColor rgb="00BFBFBF"/>
      <rgbColor rgb="00FBD4B4"/>
      <rgbColor rgb="003366FF"/>
      <rgbColor rgb="00D6E3BC"/>
      <rgbColor rgb="0099CC00"/>
      <rgbColor rgb="00FFCC00"/>
      <rgbColor rgb="00C2D69B"/>
      <rgbColor rgb="00FF3333"/>
      <rgbColor rgb="00D7E4BD"/>
      <rgbColor rgb="00B7B7B7"/>
      <rgbColor rgb="00003366"/>
      <rgbColor rgb="00D9D9D9"/>
      <rgbColor rgb="00003300"/>
      <rgbColor rgb="00333300"/>
      <rgbColor rgb="00993300"/>
      <rgbColor rgb="00993366"/>
      <rgbColor rgb="00333399"/>
      <rgbColor rgb="00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76320</xdr:colOff>
      <xdr:row>0</xdr:row>
      <xdr:rowOff>19080</xdr:rowOff>
    </xdr:from>
    <xdr:to>
      <xdr:col>0</xdr:col>
      <xdr:colOff>1142640</xdr:colOff>
      <xdr:row>4</xdr:row>
      <xdr:rowOff>190080</xdr:rowOff>
    </xdr:to>
    <xdr:pic>
      <xdr:nvPicPr>
        <xdr:cNvPr id="2" name="Imagem 7">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76200" y="19050"/>
          <a:ext cx="1066165" cy="1047115"/>
        </a:xfrm>
        <a:prstGeom prst="rect">
          <a:avLst/>
        </a:prstGeom>
        <a:ln>
          <a:noFill/>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47520</xdr:colOff>
      <xdr:row>0</xdr:row>
      <xdr:rowOff>38160</xdr:rowOff>
    </xdr:from>
    <xdr:to>
      <xdr:col>2</xdr:col>
      <xdr:colOff>1142640</xdr:colOff>
      <xdr:row>5</xdr:row>
      <xdr:rowOff>47160</xdr:rowOff>
    </xdr:to>
    <xdr:pic>
      <xdr:nvPicPr>
        <xdr:cNvPr id="9" name="Imagem 3">
          <a:extLst>
            <a:ext uri="{FF2B5EF4-FFF2-40B4-BE49-F238E27FC236}">
              <a16:creationId xmlns="" xmlns:a16="http://schemas.microsoft.com/office/drawing/2014/main" id="{00000000-0008-0000-0A00-000009000000}"/>
            </a:ext>
          </a:extLst>
        </xdr:cNvPr>
        <xdr:cNvPicPr/>
      </xdr:nvPicPr>
      <xdr:blipFill>
        <a:blip xmlns:r="http://schemas.openxmlformats.org/officeDocument/2006/relationships" r:embed="rId1" cstate="print"/>
        <a:stretch>
          <a:fillRect/>
        </a:stretch>
      </xdr:blipFill>
      <xdr:spPr>
        <a:xfrm>
          <a:off x="385445" y="38100"/>
          <a:ext cx="1095375" cy="1202690"/>
        </a:xfrm>
        <a:prstGeom prst="rect">
          <a:avLst/>
        </a:prstGeom>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66600</xdr:colOff>
      <xdr:row>0</xdr:row>
      <xdr:rowOff>28440</xdr:rowOff>
    </xdr:from>
    <xdr:to>
      <xdr:col>0</xdr:col>
      <xdr:colOff>1132920</xdr:colOff>
      <xdr:row>4</xdr:row>
      <xdr:rowOff>199800</xdr:rowOff>
    </xdr:to>
    <xdr:pic>
      <xdr:nvPicPr>
        <xdr:cNvPr id="2" name="Imagem 2">
          <a:extLst>
            <a:ext uri="{FF2B5EF4-FFF2-40B4-BE49-F238E27FC236}">
              <a16:creationId xmlns=""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xfrm>
          <a:off x="66040" y="27940"/>
          <a:ext cx="1066800" cy="1123950"/>
        </a:xfrm>
        <a:prstGeom prst="rect">
          <a:avLst/>
        </a:prstGeom>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66600</xdr:colOff>
      <xdr:row>0</xdr:row>
      <xdr:rowOff>19080</xdr:rowOff>
    </xdr:from>
    <xdr:to>
      <xdr:col>0</xdr:col>
      <xdr:colOff>1132920</xdr:colOff>
      <xdr:row>5</xdr:row>
      <xdr:rowOff>3040</xdr:rowOff>
    </xdr:to>
    <xdr:pic>
      <xdr:nvPicPr>
        <xdr:cNvPr id="2" name="Imagem 2">
          <a:extLst>
            <a:ext uri="{FF2B5EF4-FFF2-40B4-BE49-F238E27FC236}">
              <a16:creationId xmlns=""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xfrm>
          <a:off x="66040" y="19050"/>
          <a:ext cx="1066800" cy="1113790"/>
        </a:xfrm>
        <a:prstGeom prst="rect">
          <a:avLst/>
        </a:prstGeom>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57240</xdr:colOff>
      <xdr:row>0</xdr:row>
      <xdr:rowOff>9360</xdr:rowOff>
    </xdr:from>
    <xdr:to>
      <xdr:col>0</xdr:col>
      <xdr:colOff>1123560</xdr:colOff>
      <xdr:row>4</xdr:row>
      <xdr:rowOff>246960</xdr:rowOff>
    </xdr:to>
    <xdr:pic>
      <xdr:nvPicPr>
        <xdr:cNvPr id="3" name="Imagem 2">
          <a:extLst>
            <a:ext uri="{FF2B5EF4-FFF2-40B4-BE49-F238E27FC236}">
              <a16:creationId xmlns="" xmlns:a16="http://schemas.microsoft.com/office/drawing/2014/main" id="{00000000-0008-0000-0400-000003000000}"/>
            </a:ext>
          </a:extLst>
        </xdr:cNvPr>
        <xdr:cNvPicPr/>
      </xdr:nvPicPr>
      <xdr:blipFill>
        <a:blip xmlns:r="http://schemas.openxmlformats.org/officeDocument/2006/relationships" r:embed="rId1" cstate="print"/>
        <a:stretch>
          <a:fillRect/>
        </a:stretch>
      </xdr:blipFill>
      <xdr:spPr>
        <a:xfrm>
          <a:off x="57150" y="8890"/>
          <a:ext cx="1066165" cy="1113790"/>
        </a:xfrm>
        <a:prstGeom prst="rect">
          <a:avLst/>
        </a:prstGeom>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66600</xdr:colOff>
      <xdr:row>0</xdr:row>
      <xdr:rowOff>19080</xdr:rowOff>
    </xdr:from>
    <xdr:to>
      <xdr:col>0</xdr:col>
      <xdr:colOff>1132920</xdr:colOff>
      <xdr:row>5</xdr:row>
      <xdr:rowOff>3040</xdr:rowOff>
    </xdr:to>
    <xdr:pic>
      <xdr:nvPicPr>
        <xdr:cNvPr id="4" name="Imagem 2">
          <a:extLst>
            <a:ext uri="{FF2B5EF4-FFF2-40B4-BE49-F238E27FC236}">
              <a16:creationId xmlns="" xmlns:a16="http://schemas.microsoft.com/office/drawing/2014/main" id="{00000000-0008-0000-0500-000004000000}"/>
            </a:ext>
          </a:extLst>
        </xdr:cNvPr>
        <xdr:cNvPicPr/>
      </xdr:nvPicPr>
      <xdr:blipFill>
        <a:blip xmlns:r="http://schemas.openxmlformats.org/officeDocument/2006/relationships" r:embed="rId1" cstate="print"/>
        <a:stretch>
          <a:fillRect/>
        </a:stretch>
      </xdr:blipFill>
      <xdr:spPr>
        <a:xfrm>
          <a:off x="66040" y="19050"/>
          <a:ext cx="1066800" cy="1113790"/>
        </a:xfrm>
        <a:prstGeom prst="rect">
          <a:avLst/>
        </a:prstGeom>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47520</xdr:colOff>
      <xdr:row>0</xdr:row>
      <xdr:rowOff>19080</xdr:rowOff>
    </xdr:from>
    <xdr:to>
      <xdr:col>0</xdr:col>
      <xdr:colOff>1113840</xdr:colOff>
      <xdr:row>5</xdr:row>
      <xdr:rowOff>3040</xdr:rowOff>
    </xdr:to>
    <xdr:pic>
      <xdr:nvPicPr>
        <xdr:cNvPr id="5" name="Imagem 2">
          <a:extLst>
            <a:ext uri="{FF2B5EF4-FFF2-40B4-BE49-F238E27FC236}">
              <a16:creationId xmlns="" xmlns:a16="http://schemas.microsoft.com/office/drawing/2014/main" id="{00000000-0008-0000-0600-000005000000}"/>
            </a:ext>
          </a:extLst>
        </xdr:cNvPr>
        <xdr:cNvPicPr/>
      </xdr:nvPicPr>
      <xdr:blipFill>
        <a:blip xmlns:r="http://schemas.openxmlformats.org/officeDocument/2006/relationships" r:embed="rId1" cstate="print"/>
        <a:stretch>
          <a:fillRect/>
        </a:stretch>
      </xdr:blipFill>
      <xdr:spPr>
        <a:xfrm>
          <a:off x="46990" y="19050"/>
          <a:ext cx="1066800" cy="1113790"/>
        </a:xfrm>
        <a:prstGeom prst="rect">
          <a:avLst/>
        </a:prstGeom>
        <a:ln>
          <a:noFill/>
        </a:ln>
      </xdr:spPr>
    </xdr:pic>
    <xdr:clientData/>
  </xdr:twoCellAnchor>
  <xdr:twoCellAnchor>
    <xdr:from>
      <xdr:col>0</xdr:col>
      <xdr:colOff>0</xdr:colOff>
      <xdr:row>0</xdr:row>
      <xdr:rowOff>0</xdr:rowOff>
    </xdr:from>
    <xdr:to>
      <xdr:col>9</xdr:col>
      <xdr:colOff>390525</xdr:colOff>
      <xdr:row>55</xdr:row>
      <xdr:rowOff>38100</xdr:rowOff>
    </xdr:to>
    <xdr:sp macro="" textlink="">
      <xdr:nvSpPr>
        <xdr:cNvPr id="6154" name="shapetype_202" hidden="1">
          <a:extLst>
            <a:ext uri="{FF2B5EF4-FFF2-40B4-BE49-F238E27FC236}">
              <a16:creationId xmlns="" xmlns:a16="http://schemas.microsoft.com/office/drawing/2014/main" id="{00000000-0008-0000-0600-00000A180000}"/>
            </a:ext>
          </a:extLst>
        </xdr:cNvPr>
        <xdr:cNvSpPr txBox="1">
          <a:spLocks noSelect="1" noChangeArrowheads="1"/>
        </xdr:cNvSpPr>
      </xdr:nvSpPr>
      <xdr:spPr>
        <a:xfrm>
          <a:off x="0" y="0"/>
          <a:ext cx="9958705" cy="9544050"/>
        </a:xfrm>
        <a:prstGeom prst="rect">
          <a:avLst/>
        </a:prstGeom>
        <a:solidFill>
          <a:srgbClr val="FFFFFF"/>
        </a:solidFill>
        <a:ln w="9525">
          <a:solidFill>
            <a:srgbClr val="000000"/>
          </a:solidFill>
          <a:miter lim="800000"/>
        </a:ln>
      </xdr:spPr>
    </xdr:sp>
    <xdr:clientData/>
  </xdr:twoCellAnchor>
  <xdr:twoCellAnchor>
    <xdr:from>
      <xdr:col>0</xdr:col>
      <xdr:colOff>0</xdr:colOff>
      <xdr:row>0</xdr:row>
      <xdr:rowOff>0</xdr:rowOff>
    </xdr:from>
    <xdr:to>
      <xdr:col>9</xdr:col>
      <xdr:colOff>390525</xdr:colOff>
      <xdr:row>55</xdr:row>
      <xdr:rowOff>38100</xdr:rowOff>
    </xdr:to>
    <xdr:sp macro="" textlink="">
      <xdr:nvSpPr>
        <xdr:cNvPr id="6152" name="shapetype_202" hidden="1">
          <a:extLst>
            <a:ext uri="{FF2B5EF4-FFF2-40B4-BE49-F238E27FC236}">
              <a16:creationId xmlns="" xmlns:a16="http://schemas.microsoft.com/office/drawing/2014/main" id="{00000000-0008-0000-0600-000008180000}"/>
            </a:ext>
          </a:extLst>
        </xdr:cNvPr>
        <xdr:cNvSpPr txBox="1">
          <a:spLocks noSelect="1" noChangeArrowheads="1"/>
        </xdr:cNvSpPr>
      </xdr:nvSpPr>
      <xdr:spPr>
        <a:xfrm>
          <a:off x="0" y="0"/>
          <a:ext cx="9958705" cy="9544050"/>
        </a:xfrm>
        <a:prstGeom prst="rect">
          <a:avLst/>
        </a:prstGeom>
        <a:solidFill>
          <a:srgbClr val="FFFFFF"/>
        </a:solidFill>
        <a:ln w="9525">
          <a:solidFill>
            <a:srgbClr val="000000"/>
          </a:solidFill>
          <a:miter lim="800000"/>
        </a:ln>
      </xdr:spPr>
    </xdr:sp>
    <xdr:clientData/>
  </xdr:twoCellAnchor>
  <xdr:twoCellAnchor>
    <xdr:from>
      <xdr:col>0</xdr:col>
      <xdr:colOff>0</xdr:colOff>
      <xdr:row>0</xdr:row>
      <xdr:rowOff>0</xdr:rowOff>
    </xdr:from>
    <xdr:to>
      <xdr:col>9</xdr:col>
      <xdr:colOff>390525</xdr:colOff>
      <xdr:row>55</xdr:row>
      <xdr:rowOff>38100</xdr:rowOff>
    </xdr:to>
    <xdr:sp macro="" textlink="">
      <xdr:nvSpPr>
        <xdr:cNvPr id="6150" name="shapetype_202" hidden="1">
          <a:extLst>
            <a:ext uri="{FF2B5EF4-FFF2-40B4-BE49-F238E27FC236}">
              <a16:creationId xmlns="" xmlns:a16="http://schemas.microsoft.com/office/drawing/2014/main" id="{00000000-0008-0000-0600-000006180000}"/>
            </a:ext>
          </a:extLst>
        </xdr:cNvPr>
        <xdr:cNvSpPr txBox="1">
          <a:spLocks noSelect="1" noChangeArrowheads="1"/>
        </xdr:cNvSpPr>
      </xdr:nvSpPr>
      <xdr:spPr>
        <a:xfrm>
          <a:off x="0" y="0"/>
          <a:ext cx="9958705" cy="9544050"/>
        </a:xfrm>
        <a:prstGeom prst="rect">
          <a:avLst/>
        </a:prstGeom>
        <a:solidFill>
          <a:srgbClr val="FFFFFF"/>
        </a:solidFill>
        <a:ln w="9525">
          <a:solidFill>
            <a:srgbClr val="000000"/>
          </a:solidFill>
          <a:miter lim="800000"/>
        </a:ln>
      </xdr:spPr>
    </xdr:sp>
    <xdr:clientData/>
  </xdr:twoCellAnchor>
  <xdr:twoCellAnchor>
    <xdr:from>
      <xdr:col>0</xdr:col>
      <xdr:colOff>0</xdr:colOff>
      <xdr:row>0</xdr:row>
      <xdr:rowOff>0</xdr:rowOff>
    </xdr:from>
    <xdr:to>
      <xdr:col>9</xdr:col>
      <xdr:colOff>390525</xdr:colOff>
      <xdr:row>55</xdr:row>
      <xdr:rowOff>38100</xdr:rowOff>
    </xdr:to>
    <xdr:sp macro="" textlink="">
      <xdr:nvSpPr>
        <xdr:cNvPr id="6148" name="shapetype_202" hidden="1">
          <a:extLst>
            <a:ext uri="{FF2B5EF4-FFF2-40B4-BE49-F238E27FC236}">
              <a16:creationId xmlns="" xmlns:a16="http://schemas.microsoft.com/office/drawing/2014/main" id="{00000000-0008-0000-0600-000004180000}"/>
            </a:ext>
          </a:extLst>
        </xdr:cNvPr>
        <xdr:cNvSpPr txBox="1">
          <a:spLocks noSelect="1" noChangeArrowheads="1"/>
        </xdr:cNvSpPr>
      </xdr:nvSpPr>
      <xdr:spPr>
        <a:xfrm>
          <a:off x="0" y="0"/>
          <a:ext cx="9958705" cy="9544050"/>
        </a:xfrm>
        <a:prstGeom prst="rect">
          <a:avLst/>
        </a:prstGeom>
        <a:solidFill>
          <a:srgbClr val="FFFFFF"/>
        </a:solidFill>
        <a:ln w="9525">
          <a:solidFill>
            <a:srgbClr val="000000"/>
          </a:solidFill>
          <a:miter lim="800000"/>
        </a:ln>
      </xdr:spPr>
    </xdr:sp>
    <xdr:clientData/>
  </xdr:twoCellAnchor>
  <xdr:twoCellAnchor>
    <xdr:from>
      <xdr:col>0</xdr:col>
      <xdr:colOff>0</xdr:colOff>
      <xdr:row>0</xdr:row>
      <xdr:rowOff>0</xdr:rowOff>
    </xdr:from>
    <xdr:to>
      <xdr:col>9</xdr:col>
      <xdr:colOff>390525</xdr:colOff>
      <xdr:row>55</xdr:row>
      <xdr:rowOff>38100</xdr:rowOff>
    </xdr:to>
    <xdr:sp macro="" textlink="">
      <xdr:nvSpPr>
        <xdr:cNvPr id="6146" name="shapetype_202" hidden="1">
          <a:extLst>
            <a:ext uri="{FF2B5EF4-FFF2-40B4-BE49-F238E27FC236}">
              <a16:creationId xmlns="" xmlns:a16="http://schemas.microsoft.com/office/drawing/2014/main" id="{00000000-0008-0000-0600-000002180000}"/>
            </a:ext>
          </a:extLst>
        </xdr:cNvPr>
        <xdr:cNvSpPr txBox="1">
          <a:spLocks noSelect="1" noChangeArrowheads="1"/>
        </xdr:cNvSpPr>
      </xdr:nvSpPr>
      <xdr:spPr>
        <a:xfrm>
          <a:off x="0" y="0"/>
          <a:ext cx="9958705" cy="9544050"/>
        </a:xfrm>
        <a:prstGeom prst="rect">
          <a:avLst/>
        </a:prstGeom>
        <a:solidFill>
          <a:srgbClr val="FFFFFF"/>
        </a:solidFill>
        <a:ln w="9525">
          <a:solidFill>
            <a:srgbClr val="000000"/>
          </a:solidFill>
          <a:miter lim="800000"/>
        </a:ln>
      </xdr:spPr>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66600</xdr:colOff>
      <xdr:row>0</xdr:row>
      <xdr:rowOff>19080</xdr:rowOff>
    </xdr:from>
    <xdr:to>
      <xdr:col>0</xdr:col>
      <xdr:colOff>1132920</xdr:colOff>
      <xdr:row>5</xdr:row>
      <xdr:rowOff>3040</xdr:rowOff>
    </xdr:to>
    <xdr:pic>
      <xdr:nvPicPr>
        <xdr:cNvPr id="6" name="Imagem 2">
          <a:extLst>
            <a:ext uri="{FF2B5EF4-FFF2-40B4-BE49-F238E27FC236}">
              <a16:creationId xmlns="" xmlns:a16="http://schemas.microsoft.com/office/drawing/2014/main" id="{00000000-0008-0000-0700-000006000000}"/>
            </a:ext>
          </a:extLst>
        </xdr:cNvPr>
        <xdr:cNvPicPr/>
      </xdr:nvPicPr>
      <xdr:blipFill>
        <a:blip xmlns:r="http://schemas.openxmlformats.org/officeDocument/2006/relationships" r:embed="rId1" cstate="print"/>
        <a:stretch>
          <a:fillRect/>
        </a:stretch>
      </xdr:blipFill>
      <xdr:spPr>
        <a:xfrm>
          <a:off x="66040" y="19050"/>
          <a:ext cx="1066800" cy="1113790"/>
        </a:xfrm>
        <a:prstGeom prst="rect">
          <a:avLst/>
        </a:prstGeom>
        <a:ln>
          <a:noFill/>
        </a:ln>
      </xdr:spPr>
    </xdr:pic>
    <xdr:clientData/>
  </xdr:twoCellAnchor>
  <xdr:twoCellAnchor>
    <xdr:from>
      <xdr:col>0</xdr:col>
      <xdr:colOff>0</xdr:colOff>
      <xdr:row>0</xdr:row>
      <xdr:rowOff>0</xdr:rowOff>
    </xdr:from>
    <xdr:to>
      <xdr:col>9</xdr:col>
      <xdr:colOff>390525</xdr:colOff>
      <xdr:row>55</xdr:row>
      <xdr:rowOff>104775</xdr:rowOff>
    </xdr:to>
    <xdr:sp macro="" textlink="">
      <xdr:nvSpPr>
        <xdr:cNvPr id="7178" name="shapetype_202" hidden="1">
          <a:extLst>
            <a:ext uri="{FF2B5EF4-FFF2-40B4-BE49-F238E27FC236}">
              <a16:creationId xmlns="" xmlns:a16="http://schemas.microsoft.com/office/drawing/2014/main" id="{00000000-0008-0000-0700-00000A1C0000}"/>
            </a:ext>
          </a:extLst>
        </xdr:cNvPr>
        <xdr:cNvSpPr txBox="1">
          <a:spLocks noSelect="1" noChangeArrowheads="1"/>
        </xdr:cNvSpPr>
      </xdr:nvSpPr>
      <xdr:spPr>
        <a:xfrm>
          <a:off x="0" y="0"/>
          <a:ext cx="9958705" cy="9545955"/>
        </a:xfrm>
        <a:prstGeom prst="rect">
          <a:avLst/>
        </a:prstGeom>
        <a:solidFill>
          <a:srgbClr val="FFFFFF"/>
        </a:solidFill>
        <a:ln w="9525">
          <a:solidFill>
            <a:srgbClr val="000000"/>
          </a:solidFill>
          <a:miter lim="800000"/>
        </a:ln>
      </xdr:spPr>
    </xdr:sp>
    <xdr:clientData/>
  </xdr:twoCellAnchor>
  <xdr:twoCellAnchor>
    <xdr:from>
      <xdr:col>0</xdr:col>
      <xdr:colOff>0</xdr:colOff>
      <xdr:row>0</xdr:row>
      <xdr:rowOff>0</xdr:rowOff>
    </xdr:from>
    <xdr:to>
      <xdr:col>9</xdr:col>
      <xdr:colOff>390525</xdr:colOff>
      <xdr:row>55</xdr:row>
      <xdr:rowOff>104775</xdr:rowOff>
    </xdr:to>
    <xdr:sp macro="" textlink="">
      <xdr:nvSpPr>
        <xdr:cNvPr id="7176" name="shapetype_202" hidden="1">
          <a:extLst>
            <a:ext uri="{FF2B5EF4-FFF2-40B4-BE49-F238E27FC236}">
              <a16:creationId xmlns="" xmlns:a16="http://schemas.microsoft.com/office/drawing/2014/main" id="{00000000-0008-0000-0700-0000081C0000}"/>
            </a:ext>
          </a:extLst>
        </xdr:cNvPr>
        <xdr:cNvSpPr txBox="1">
          <a:spLocks noSelect="1" noChangeArrowheads="1"/>
        </xdr:cNvSpPr>
      </xdr:nvSpPr>
      <xdr:spPr>
        <a:xfrm>
          <a:off x="0" y="0"/>
          <a:ext cx="9958705" cy="9545955"/>
        </a:xfrm>
        <a:prstGeom prst="rect">
          <a:avLst/>
        </a:prstGeom>
        <a:solidFill>
          <a:srgbClr val="FFFFFF"/>
        </a:solidFill>
        <a:ln w="9525">
          <a:solidFill>
            <a:srgbClr val="000000"/>
          </a:solidFill>
          <a:miter lim="800000"/>
        </a:ln>
      </xdr:spPr>
    </xdr:sp>
    <xdr:clientData/>
  </xdr:twoCellAnchor>
  <xdr:twoCellAnchor>
    <xdr:from>
      <xdr:col>0</xdr:col>
      <xdr:colOff>0</xdr:colOff>
      <xdr:row>0</xdr:row>
      <xdr:rowOff>0</xdr:rowOff>
    </xdr:from>
    <xdr:to>
      <xdr:col>9</xdr:col>
      <xdr:colOff>390525</xdr:colOff>
      <xdr:row>55</xdr:row>
      <xdr:rowOff>104775</xdr:rowOff>
    </xdr:to>
    <xdr:sp macro="" textlink="">
      <xdr:nvSpPr>
        <xdr:cNvPr id="7174" name="shapetype_202" hidden="1">
          <a:extLst>
            <a:ext uri="{FF2B5EF4-FFF2-40B4-BE49-F238E27FC236}">
              <a16:creationId xmlns="" xmlns:a16="http://schemas.microsoft.com/office/drawing/2014/main" id="{00000000-0008-0000-0700-0000061C0000}"/>
            </a:ext>
          </a:extLst>
        </xdr:cNvPr>
        <xdr:cNvSpPr txBox="1">
          <a:spLocks noSelect="1" noChangeArrowheads="1"/>
        </xdr:cNvSpPr>
      </xdr:nvSpPr>
      <xdr:spPr>
        <a:xfrm>
          <a:off x="0" y="0"/>
          <a:ext cx="9958705" cy="9545955"/>
        </a:xfrm>
        <a:prstGeom prst="rect">
          <a:avLst/>
        </a:prstGeom>
        <a:solidFill>
          <a:srgbClr val="FFFFFF"/>
        </a:solidFill>
        <a:ln w="9525">
          <a:solidFill>
            <a:srgbClr val="000000"/>
          </a:solidFill>
          <a:miter lim="800000"/>
        </a:ln>
      </xdr:spPr>
    </xdr:sp>
    <xdr:clientData/>
  </xdr:twoCellAnchor>
  <xdr:twoCellAnchor>
    <xdr:from>
      <xdr:col>0</xdr:col>
      <xdr:colOff>0</xdr:colOff>
      <xdr:row>0</xdr:row>
      <xdr:rowOff>0</xdr:rowOff>
    </xdr:from>
    <xdr:to>
      <xdr:col>9</xdr:col>
      <xdr:colOff>390525</xdr:colOff>
      <xdr:row>55</xdr:row>
      <xdr:rowOff>104775</xdr:rowOff>
    </xdr:to>
    <xdr:sp macro="" textlink="">
      <xdr:nvSpPr>
        <xdr:cNvPr id="7172" name="shapetype_202" hidden="1">
          <a:extLst>
            <a:ext uri="{FF2B5EF4-FFF2-40B4-BE49-F238E27FC236}">
              <a16:creationId xmlns="" xmlns:a16="http://schemas.microsoft.com/office/drawing/2014/main" id="{00000000-0008-0000-0700-0000041C0000}"/>
            </a:ext>
          </a:extLst>
        </xdr:cNvPr>
        <xdr:cNvSpPr txBox="1">
          <a:spLocks noSelect="1" noChangeArrowheads="1"/>
        </xdr:cNvSpPr>
      </xdr:nvSpPr>
      <xdr:spPr>
        <a:xfrm>
          <a:off x="0" y="0"/>
          <a:ext cx="9958705" cy="9545955"/>
        </a:xfrm>
        <a:prstGeom prst="rect">
          <a:avLst/>
        </a:prstGeom>
        <a:solidFill>
          <a:srgbClr val="FFFFFF"/>
        </a:solidFill>
        <a:ln w="9525">
          <a:solidFill>
            <a:srgbClr val="000000"/>
          </a:solidFill>
          <a:miter lim="800000"/>
        </a:ln>
      </xdr:spPr>
    </xdr:sp>
    <xdr:clientData/>
  </xdr:twoCellAnchor>
  <xdr:twoCellAnchor>
    <xdr:from>
      <xdr:col>0</xdr:col>
      <xdr:colOff>0</xdr:colOff>
      <xdr:row>0</xdr:row>
      <xdr:rowOff>0</xdr:rowOff>
    </xdr:from>
    <xdr:to>
      <xdr:col>9</xdr:col>
      <xdr:colOff>390525</xdr:colOff>
      <xdr:row>55</xdr:row>
      <xdr:rowOff>104775</xdr:rowOff>
    </xdr:to>
    <xdr:sp macro="" textlink="">
      <xdr:nvSpPr>
        <xdr:cNvPr id="7170" name="shapetype_202" hidden="1">
          <a:extLst>
            <a:ext uri="{FF2B5EF4-FFF2-40B4-BE49-F238E27FC236}">
              <a16:creationId xmlns="" xmlns:a16="http://schemas.microsoft.com/office/drawing/2014/main" id="{00000000-0008-0000-0700-0000021C0000}"/>
            </a:ext>
          </a:extLst>
        </xdr:cNvPr>
        <xdr:cNvSpPr txBox="1">
          <a:spLocks noSelect="1" noChangeArrowheads="1"/>
        </xdr:cNvSpPr>
      </xdr:nvSpPr>
      <xdr:spPr>
        <a:xfrm>
          <a:off x="0" y="0"/>
          <a:ext cx="9958705" cy="9545955"/>
        </a:xfrm>
        <a:prstGeom prst="rect">
          <a:avLst/>
        </a:prstGeom>
        <a:solidFill>
          <a:srgbClr val="FFFFFF"/>
        </a:solidFill>
        <a:ln w="9525">
          <a:solidFill>
            <a:srgbClr val="000000"/>
          </a:solidFill>
          <a:miter lim="800000"/>
        </a:ln>
      </xdr:spPr>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57240</xdr:colOff>
      <xdr:row>0</xdr:row>
      <xdr:rowOff>38160</xdr:rowOff>
    </xdr:from>
    <xdr:to>
      <xdr:col>0</xdr:col>
      <xdr:colOff>1143360</xdr:colOff>
      <xdr:row>4</xdr:row>
      <xdr:rowOff>247320</xdr:rowOff>
    </xdr:to>
    <xdr:pic>
      <xdr:nvPicPr>
        <xdr:cNvPr id="7" name="Imagem 2">
          <a:extLst>
            <a:ext uri="{FF2B5EF4-FFF2-40B4-BE49-F238E27FC236}">
              <a16:creationId xmlns="" xmlns:a16="http://schemas.microsoft.com/office/drawing/2014/main" id="{00000000-0008-0000-0800-000007000000}"/>
            </a:ext>
          </a:extLst>
        </xdr:cNvPr>
        <xdr:cNvPicPr/>
      </xdr:nvPicPr>
      <xdr:blipFill>
        <a:blip xmlns:r="http://schemas.openxmlformats.org/officeDocument/2006/relationships" r:embed="rId1" cstate="print"/>
        <a:stretch>
          <a:fillRect/>
        </a:stretch>
      </xdr:blipFill>
      <xdr:spPr>
        <a:xfrm>
          <a:off x="57150" y="38100"/>
          <a:ext cx="1085850" cy="1085215"/>
        </a:xfrm>
        <a:prstGeom prst="rect">
          <a:avLst/>
        </a:prstGeom>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66600</xdr:colOff>
      <xdr:row>0</xdr:row>
      <xdr:rowOff>57240</xdr:rowOff>
    </xdr:from>
    <xdr:to>
      <xdr:col>1</xdr:col>
      <xdr:colOff>37110</xdr:colOff>
      <xdr:row>4</xdr:row>
      <xdr:rowOff>182830</xdr:rowOff>
    </xdr:to>
    <xdr:pic>
      <xdr:nvPicPr>
        <xdr:cNvPr id="8" name="Imagem 1">
          <a:extLst>
            <a:ext uri="{FF2B5EF4-FFF2-40B4-BE49-F238E27FC236}">
              <a16:creationId xmlns="" xmlns:a16="http://schemas.microsoft.com/office/drawing/2014/main" id="{00000000-0008-0000-0900-000008000000}"/>
            </a:ext>
          </a:extLst>
        </xdr:cNvPr>
        <xdr:cNvPicPr/>
      </xdr:nvPicPr>
      <xdr:blipFill>
        <a:blip xmlns:r="http://schemas.openxmlformats.org/officeDocument/2006/relationships" r:embed="rId1" cstate="print"/>
        <a:stretch>
          <a:fillRect/>
        </a:stretch>
      </xdr:blipFill>
      <xdr:spPr>
        <a:xfrm>
          <a:off x="66600" y="57240"/>
          <a:ext cx="1120932" cy="994221"/>
        </a:xfrm>
        <a:prstGeom prst="rect">
          <a:avLst/>
        </a:prstGeom>
        <a:ln>
          <a:noFill/>
        </a:ln>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1.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8:K22"/>
  <sheetViews>
    <sheetView workbookViewId="0">
      <selection activeCell="P24" sqref="P24"/>
    </sheetView>
  </sheetViews>
  <sheetFormatPr defaultRowHeight="12.75"/>
  <cols>
    <col min="8" max="8" width="18.42578125" customWidth="1"/>
    <col min="11" max="11" width="18.85546875" customWidth="1"/>
  </cols>
  <sheetData>
    <row r="8" spans="8:11">
      <c r="H8" t="s">
        <v>684</v>
      </c>
      <c r="K8" t="s">
        <v>684</v>
      </c>
    </row>
    <row r="9" spans="8:11">
      <c r="H9" t="s">
        <v>257</v>
      </c>
    </row>
    <row r="10" spans="8:11">
      <c r="H10" t="s">
        <v>254</v>
      </c>
    </row>
    <row r="11" spans="8:11">
      <c r="H11" t="s">
        <v>243</v>
      </c>
    </row>
    <row r="12" spans="8:11">
      <c r="H12" t="s">
        <v>258</v>
      </c>
    </row>
    <row r="13" spans="8:11">
      <c r="H13" t="s">
        <v>685</v>
      </c>
    </row>
    <row r="14" spans="8:11">
      <c r="H14" t="s">
        <v>245</v>
      </c>
    </row>
    <row r="15" spans="8:11">
      <c r="H15" t="s">
        <v>263</v>
      </c>
    </row>
    <row r="16" spans="8:11">
      <c r="H16" t="s">
        <v>247</v>
      </c>
    </row>
    <row r="17" spans="8:8">
      <c r="H17" t="s">
        <v>249</v>
      </c>
    </row>
    <row r="18" spans="8:8">
      <c r="H18" t="s">
        <v>268</v>
      </c>
    </row>
    <row r="19" spans="8:8">
      <c r="H19" t="s">
        <v>272</v>
      </c>
    </row>
    <row r="20" spans="8:8">
      <c r="H20" t="s">
        <v>686</v>
      </c>
    </row>
    <row r="21" spans="8:8">
      <c r="H21" t="s">
        <v>262</v>
      </c>
    </row>
    <row r="22" spans="8:8">
      <c r="H22" t="s">
        <v>252</v>
      </c>
    </row>
  </sheetData>
  <dataValidations count="1">
    <dataValidation type="list" allowBlank="1" showInputMessage="1" showErrorMessage="1" sqref="K9">
      <formula1>$H$9:$H$22</formula1>
    </dataValidation>
  </dataValidations>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K982"/>
  <sheetViews>
    <sheetView showGridLines="0" topLeftCell="A185" zoomScaleNormal="100" workbookViewId="0">
      <selection activeCell="A189" sqref="A189:I189"/>
    </sheetView>
  </sheetViews>
  <sheetFormatPr defaultColWidth="9" defaultRowHeight="12.75"/>
  <cols>
    <col min="1" max="1" width="17.28515625" style="175" customWidth="1"/>
    <col min="2" max="2" width="8" style="175" customWidth="1"/>
    <col min="3" max="3" width="17.28515625" style="175" customWidth="1"/>
    <col min="4" max="7" width="15.42578125" style="175" customWidth="1"/>
    <col min="8" max="8" width="12.28515625" style="175" customWidth="1"/>
    <col min="9" max="9" width="20.42578125" style="175" customWidth="1"/>
    <col min="10" max="10" width="20.5703125" style="175" customWidth="1"/>
    <col min="11" max="11" width="13.28515625" style="175" customWidth="1"/>
    <col min="12" max="12" width="13.85546875" style="175" customWidth="1"/>
    <col min="13" max="26" width="8" style="175" customWidth="1"/>
    <col min="27" max="1025" width="14.42578125" style="175" customWidth="1"/>
    <col min="1026" max="16384" width="9" style="379"/>
  </cols>
  <sheetData>
    <row r="1" spans="1:26" ht="20.25">
      <c r="A1" s="842" t="s">
        <v>0</v>
      </c>
      <c r="B1" s="843"/>
      <c r="C1" s="843"/>
      <c r="D1" s="843"/>
      <c r="E1" s="843"/>
      <c r="F1" s="843"/>
      <c r="G1" s="843"/>
      <c r="H1" s="843"/>
      <c r="I1" s="843"/>
      <c r="J1" s="844"/>
    </row>
    <row r="2" spans="1:26" ht="18">
      <c r="A2" s="845" t="s">
        <v>1</v>
      </c>
      <c r="B2" s="846"/>
      <c r="C2" s="846"/>
      <c r="D2" s="846"/>
      <c r="E2" s="846"/>
      <c r="F2" s="846"/>
      <c r="G2" s="846"/>
      <c r="H2" s="846"/>
      <c r="I2" s="846"/>
      <c r="J2" s="847"/>
    </row>
    <row r="3" spans="1:26" ht="15.75">
      <c r="A3" s="848" t="s">
        <v>2</v>
      </c>
      <c r="B3" s="849"/>
      <c r="C3" s="849"/>
      <c r="D3" s="849"/>
      <c r="E3" s="849"/>
      <c r="F3" s="849"/>
      <c r="G3" s="849"/>
      <c r="H3" s="849"/>
      <c r="I3" s="849"/>
      <c r="J3" s="850"/>
    </row>
    <row r="4" spans="1:26" ht="15.75">
      <c r="A4" s="851" t="str">
        <f>'1. ABA DE CARREGAMENTO'!A4</f>
        <v>CAMPUS ALEGRETE</v>
      </c>
      <c r="B4" s="852"/>
      <c r="C4" s="852"/>
      <c r="D4" s="852"/>
      <c r="E4" s="852"/>
      <c r="F4" s="852"/>
      <c r="G4" s="852"/>
      <c r="H4" s="852"/>
      <c r="I4" s="852"/>
      <c r="J4" s="853"/>
    </row>
    <row r="5" spans="1:26" ht="20.25" customHeight="1">
      <c r="A5" s="651" t="s">
        <v>321</v>
      </c>
      <c r="B5" s="652"/>
      <c r="C5" s="652"/>
      <c r="D5" s="652"/>
      <c r="E5" s="652"/>
      <c r="F5" s="652"/>
      <c r="G5" s="652"/>
      <c r="H5" s="652"/>
      <c r="I5" s="652"/>
      <c r="J5" s="653"/>
    </row>
    <row r="6" spans="1:26" ht="9.9499999999999993" customHeight="1">
      <c r="A6" s="34"/>
      <c r="B6" s="34"/>
      <c r="C6" s="34"/>
      <c r="D6" s="34"/>
      <c r="E6" s="34"/>
      <c r="F6" s="34"/>
      <c r="G6" s="34"/>
      <c r="H6" s="34"/>
      <c r="I6" s="34"/>
      <c r="J6" s="34"/>
      <c r="K6" s="378"/>
      <c r="L6" s="378"/>
      <c r="M6" s="378"/>
      <c r="N6" s="378"/>
      <c r="O6" s="378"/>
      <c r="P6" s="378"/>
      <c r="Q6" s="378"/>
      <c r="R6" s="378"/>
      <c r="S6" s="378"/>
      <c r="T6" s="378"/>
      <c r="U6" s="378"/>
      <c r="V6" s="378"/>
      <c r="W6" s="378"/>
      <c r="X6" s="378"/>
      <c r="Y6" s="378"/>
      <c r="Z6" s="378"/>
    </row>
    <row r="7" spans="1:26" ht="20.25" customHeight="1">
      <c r="A7" s="792" t="str">
        <f>'7. Planilha área geral'!A7:J7</f>
        <v>IN/MPDG Nº 05/2017 - Anexo VII-D</v>
      </c>
      <c r="B7" s="792"/>
      <c r="C7" s="792"/>
      <c r="D7" s="792"/>
      <c r="E7" s="792"/>
      <c r="F7" s="792"/>
      <c r="G7" s="792"/>
      <c r="H7" s="792"/>
      <c r="I7" s="792"/>
      <c r="J7" s="792"/>
    </row>
    <row r="8" spans="1:26" ht="9.9499999999999993" customHeight="1">
      <c r="A8" s="854"/>
      <c r="B8" s="854"/>
      <c r="C8" s="854"/>
      <c r="D8" s="854"/>
      <c r="E8" s="854"/>
      <c r="F8" s="854"/>
      <c r="G8" s="854"/>
      <c r="H8" s="854"/>
      <c r="I8" s="854"/>
      <c r="J8" s="854"/>
      <c r="K8" s="378"/>
      <c r="L8" s="378"/>
      <c r="M8" s="378"/>
      <c r="N8" s="378"/>
      <c r="O8" s="378"/>
      <c r="P8" s="378"/>
      <c r="Q8" s="378"/>
      <c r="R8" s="378"/>
      <c r="S8" s="378"/>
      <c r="T8" s="378"/>
      <c r="U8" s="378"/>
      <c r="V8" s="378"/>
      <c r="W8" s="378"/>
      <c r="X8" s="378"/>
      <c r="Y8" s="378"/>
      <c r="Z8" s="378"/>
    </row>
    <row r="9" spans="1:26" ht="15" customHeight="1">
      <c r="A9" s="669" t="s">
        <v>608</v>
      </c>
      <c r="B9" s="669"/>
      <c r="C9" s="669"/>
      <c r="D9" s="793" t="s">
        <v>609</v>
      </c>
      <c r="E9" s="793"/>
      <c r="F9" s="793"/>
      <c r="G9" s="793"/>
      <c r="H9" s="793"/>
      <c r="I9" s="855" t="str">
        <f>'1. ABA DE CARREGAMENTO'!A4</f>
        <v>CAMPUS ALEGRETE</v>
      </c>
      <c r="J9" s="855"/>
    </row>
    <row r="10" spans="1:26" ht="15" customHeight="1">
      <c r="A10" s="669"/>
      <c r="B10" s="669"/>
      <c r="C10" s="669"/>
      <c r="D10" s="839" t="s">
        <v>610</v>
      </c>
      <c r="E10" s="839"/>
      <c r="F10" s="839"/>
      <c r="G10" s="376">
        <f>'6. Cálc. mão obra esq. e fach.'!D12</f>
        <v>1728.053733333333</v>
      </c>
      <c r="H10" s="36" t="s">
        <v>325</v>
      </c>
      <c r="I10" s="840" t="s">
        <v>326</v>
      </c>
      <c r="J10" s="840"/>
    </row>
    <row r="11" spans="1:26" ht="25.5">
      <c r="A11" s="37" t="s">
        <v>327</v>
      </c>
      <c r="B11" s="784" t="str">
        <f>'1. ABA DE CARREGAMENTO'!B11</f>
        <v>23243.000810/2021-41</v>
      </c>
      <c r="C11" s="784"/>
      <c r="D11" s="37" t="s">
        <v>328</v>
      </c>
      <c r="E11" s="785" t="str">
        <f>'1. ABA DE CARREGAMENTO'!B12</f>
        <v>33 / 2021</v>
      </c>
      <c r="F11" s="785"/>
      <c r="G11" s="37" t="s">
        <v>13</v>
      </c>
      <c r="H11" s="38">
        <f ca="1">'1. ABA DE CARREGAMENTO'!B13</f>
        <v>44609</v>
      </c>
      <c r="I11" s="54" t="s">
        <v>14</v>
      </c>
      <c r="J11" s="55" t="str">
        <f>'1. ABA DE CARREGAMENTO'!B14</f>
        <v>09h (Horário de Brasília - DF)</v>
      </c>
    </row>
    <row r="12" spans="1:26">
      <c r="A12" s="39" t="s">
        <v>15</v>
      </c>
      <c r="B12" s="786" t="str">
        <f>'1. ABA DE CARREGAMENTO'!B15</f>
        <v>IFFARROUPILHA (Planilha da Administração)</v>
      </c>
      <c r="C12" s="786"/>
      <c r="D12" s="786"/>
      <c r="E12" s="786"/>
      <c r="F12" s="786"/>
      <c r="G12" s="786"/>
      <c r="H12" s="40" t="s">
        <v>329</v>
      </c>
      <c r="I12" s="787" t="str">
        <f>'1. ABA DE CARREGAMENTO'!B16</f>
        <v>10.662.072/0001/58</v>
      </c>
      <c r="J12" s="787"/>
    </row>
    <row r="13" spans="1:26">
      <c r="A13" s="39" t="s">
        <v>330</v>
      </c>
      <c r="B13" s="786">
        <f>'1. ABA DE CARREGAMENTO'!B17</f>
        <v>0</v>
      </c>
      <c r="C13" s="786"/>
      <c r="D13" s="786"/>
      <c r="E13" s="39" t="s">
        <v>331</v>
      </c>
      <c r="F13" s="841">
        <f>'1. ABA DE CARREGAMENTO'!B18</f>
        <v>0</v>
      </c>
      <c r="G13" s="841"/>
      <c r="H13" s="39" t="s">
        <v>332</v>
      </c>
      <c r="I13" s="789">
        <f>'1. ABA DE CARREGAMENTO'!B19</f>
        <v>0</v>
      </c>
      <c r="J13" s="789"/>
    </row>
    <row r="14" spans="1:26">
      <c r="A14" s="790" t="str">
        <f>IF('1. ABA DE CARREGAMENTO'!B15="","PLANILHA CUSTOS E FORMAÇÃO DE PREÇOS DA ADMINISTRAÇÃO DO","")</f>
        <v/>
      </c>
      <c r="B14" s="790"/>
      <c r="C14" s="790"/>
      <c r="D14" s="790"/>
      <c r="E14" s="790"/>
      <c r="F14" s="790"/>
      <c r="G14" s="790"/>
      <c r="H14" s="791" t="str">
        <f>IF('1. ABA DE CARREGAMENTO'!B15="",'1. ABA DE CARREGAMENTO'!A4,"")</f>
        <v/>
      </c>
      <c r="I14" s="791"/>
      <c r="J14" s="791"/>
    </row>
    <row r="15" spans="1:26" ht="12.75" customHeight="1">
      <c r="A15" s="669" t="s">
        <v>722</v>
      </c>
      <c r="B15" s="669"/>
      <c r="C15" s="669"/>
      <c r="D15" s="669"/>
      <c r="E15" s="669"/>
      <c r="F15" s="669"/>
      <c r="G15" s="669"/>
      <c r="H15" s="458">
        <f>'1. ABA DE CARREGAMENTO'!B51</f>
        <v>1</v>
      </c>
      <c r="I15" s="781" t="str">
        <f>IF(H15=1,"LUCRO REAL",IF(H15=2,"LUCRO PRESUMIDO",IF(H15=3,"SIMPLES-Anexo III",IF(H15=4,"SIMPLES-Anexo IV",IF(H15=5,"LUCRO REAL - PIS/COFINS Não Cumulativo","RT Inválido")))))</f>
        <v>LUCRO REAL</v>
      </c>
      <c r="J15" s="781"/>
    </row>
    <row r="16" spans="1:26" ht="9.9499999999999993" customHeight="1">
      <c r="A16" s="43"/>
      <c r="B16" s="43"/>
      <c r="C16" s="43"/>
      <c r="D16" s="43"/>
      <c r="E16" s="43"/>
      <c r="F16" s="43"/>
      <c r="G16" s="43"/>
      <c r="H16" s="43"/>
      <c r="I16" s="43"/>
      <c r="J16" s="43"/>
      <c r="K16" s="378"/>
      <c r="L16" s="378"/>
      <c r="M16" s="378"/>
      <c r="N16" s="378"/>
      <c r="O16" s="378"/>
      <c r="P16" s="378"/>
      <c r="Q16" s="378"/>
      <c r="R16" s="378"/>
      <c r="S16" s="378"/>
      <c r="T16" s="378"/>
      <c r="U16" s="378"/>
      <c r="V16" s="378"/>
      <c r="W16" s="378"/>
      <c r="X16" s="378"/>
      <c r="Y16" s="378"/>
      <c r="Z16" s="378"/>
    </row>
    <row r="17" spans="1:26" ht="15" customHeight="1">
      <c r="A17" s="753" t="s">
        <v>333</v>
      </c>
      <c r="B17" s="753"/>
      <c r="C17" s="753"/>
      <c r="D17" s="753"/>
      <c r="E17" s="753"/>
      <c r="F17" s="753"/>
      <c r="G17" s="753"/>
      <c r="H17" s="753"/>
      <c r="I17" s="753"/>
      <c r="J17" s="753"/>
    </row>
    <row r="18" spans="1:26" ht="12.75" customHeight="1">
      <c r="A18" s="469" t="s">
        <v>334</v>
      </c>
      <c r="B18" s="749" t="s">
        <v>335</v>
      </c>
      <c r="C18" s="749"/>
      <c r="D18" s="749"/>
      <c r="E18" s="749"/>
      <c r="F18" s="749"/>
      <c r="G18" s="749"/>
      <c r="H18" s="783">
        <f ca="1">'1. ABA DE CARREGAMENTO'!B54</f>
        <v>44609</v>
      </c>
      <c r="I18" s="783"/>
      <c r="J18" s="783"/>
    </row>
    <row r="19" spans="1:26" ht="12.75" customHeight="1">
      <c r="A19" s="469" t="s">
        <v>336</v>
      </c>
      <c r="B19" s="749" t="s">
        <v>60</v>
      </c>
      <c r="C19" s="749"/>
      <c r="D19" s="749"/>
      <c r="E19" s="749"/>
      <c r="F19" s="749"/>
      <c r="G19" s="749"/>
      <c r="H19" s="783" t="str">
        <f>'1. ABA DE CARREGAMENTO'!B55</f>
        <v>Alegrete/RS</v>
      </c>
      <c r="I19" s="783"/>
      <c r="J19" s="783"/>
    </row>
    <row r="20" spans="1:26" ht="12.75" customHeight="1">
      <c r="A20" s="469" t="s">
        <v>337</v>
      </c>
      <c r="B20" s="749" t="s">
        <v>338</v>
      </c>
      <c r="C20" s="749"/>
      <c r="D20" s="749"/>
      <c r="E20" s="749"/>
      <c r="F20" s="749"/>
      <c r="G20" s="749"/>
      <c r="H20" s="783" t="str">
        <f>'1. ABA DE CARREGAMENTO'!B56</f>
        <v xml:space="preserve">CCT Sindasseio 2022/2022 - Registro no MTE: RS005021/2022 </v>
      </c>
      <c r="I20" s="783"/>
      <c r="J20" s="783"/>
    </row>
    <row r="21" spans="1:26" ht="12.75" customHeight="1">
      <c r="A21" s="469" t="s">
        <v>339</v>
      </c>
      <c r="B21" s="749" t="s">
        <v>340</v>
      </c>
      <c r="C21" s="749"/>
      <c r="D21" s="749"/>
      <c r="E21" s="749"/>
      <c r="F21" s="749"/>
      <c r="G21" s="749"/>
      <c r="H21" s="779">
        <f>'1. ABA DE CARREGAMENTO'!B57</f>
        <v>20</v>
      </c>
      <c r="I21" s="779"/>
      <c r="J21" s="779"/>
    </row>
    <row r="22" spans="1:26" ht="9.9499999999999993" customHeight="1">
      <c r="A22" s="43"/>
      <c r="B22" s="43"/>
      <c r="C22" s="43"/>
      <c r="D22" s="43"/>
      <c r="E22" s="43"/>
      <c r="F22" s="43"/>
      <c r="G22" s="43"/>
      <c r="H22" s="43"/>
      <c r="I22" s="43"/>
      <c r="J22" s="43"/>
      <c r="K22" s="378"/>
      <c r="L22" s="378"/>
      <c r="M22" s="378"/>
      <c r="N22" s="378"/>
      <c r="O22" s="378"/>
      <c r="P22" s="378"/>
      <c r="Q22" s="378"/>
      <c r="R22" s="378"/>
      <c r="S22" s="378"/>
      <c r="T22" s="378"/>
      <c r="U22" s="378"/>
      <c r="V22" s="378"/>
      <c r="W22" s="378"/>
      <c r="X22" s="378"/>
      <c r="Y22" s="378"/>
      <c r="Z22" s="378"/>
    </row>
    <row r="23" spans="1:26" ht="16.5" customHeight="1">
      <c r="A23" s="753" t="s">
        <v>341</v>
      </c>
      <c r="B23" s="753"/>
      <c r="C23" s="753"/>
      <c r="D23" s="753"/>
      <c r="E23" s="753"/>
      <c r="F23" s="753"/>
      <c r="G23" s="753"/>
      <c r="H23" s="753"/>
      <c r="I23" s="753"/>
      <c r="J23" s="753"/>
    </row>
    <row r="24" spans="1:26" ht="16.5" customHeight="1">
      <c r="A24" s="780" t="s">
        <v>342</v>
      </c>
      <c r="B24" s="780"/>
      <c r="C24" s="780"/>
      <c r="D24" s="780"/>
      <c r="E24" s="780"/>
      <c r="F24" s="780"/>
      <c r="G24" s="780" t="s">
        <v>343</v>
      </c>
      <c r="H24" s="780"/>
      <c r="I24" s="780" t="s">
        <v>344</v>
      </c>
      <c r="J24" s="780"/>
    </row>
    <row r="25" spans="1:26" ht="16.5" customHeight="1">
      <c r="A25" s="705" t="s">
        <v>611</v>
      </c>
      <c r="B25" s="705"/>
      <c r="C25" s="705"/>
      <c r="D25" s="705"/>
      <c r="E25" s="705"/>
      <c r="F25" s="705"/>
      <c r="G25" s="776" t="s">
        <v>346</v>
      </c>
      <c r="H25" s="776"/>
      <c r="I25" s="778">
        <f>'6. Cálc. mão obra esq. e fach.'!$D$8</f>
        <v>3.4474583333333335</v>
      </c>
      <c r="J25" s="778"/>
    </row>
    <row r="26" spans="1:26" ht="16.5" customHeight="1">
      <c r="A26" s="705" t="s">
        <v>612</v>
      </c>
      <c r="B26" s="705"/>
      <c r="C26" s="705"/>
      <c r="D26" s="705"/>
      <c r="E26" s="705"/>
      <c r="F26" s="705"/>
      <c r="G26" s="776" t="s">
        <v>346</v>
      </c>
      <c r="H26" s="776"/>
      <c r="I26" s="778">
        <f>'6. Cálc. mão obra esq. e fach.'!$D$9</f>
        <v>19.076195833333333</v>
      </c>
      <c r="J26" s="778"/>
    </row>
    <row r="27" spans="1:26" ht="16.5" customHeight="1">
      <c r="A27" s="705" t="s">
        <v>613</v>
      </c>
      <c r="B27" s="705"/>
      <c r="C27" s="705"/>
      <c r="D27" s="705"/>
      <c r="E27" s="705"/>
      <c r="F27" s="705"/>
      <c r="G27" s="776" t="s">
        <v>346</v>
      </c>
      <c r="H27" s="776"/>
      <c r="I27" s="778">
        <f>'6. Cálc. mão obra esq. e fach.'!$D$10</f>
        <v>1705.5300791666664</v>
      </c>
      <c r="J27" s="778"/>
    </row>
    <row r="28" spans="1:26" ht="16.5" customHeight="1">
      <c r="A28" s="772" t="s">
        <v>614</v>
      </c>
      <c r="B28" s="772"/>
      <c r="C28" s="772"/>
      <c r="D28" s="772"/>
      <c r="E28" s="772"/>
      <c r="F28" s="772"/>
      <c r="G28" s="772"/>
      <c r="H28" s="772"/>
      <c r="I28" s="771">
        <f>SUM(I25:J27)</f>
        <v>1728.053733333333</v>
      </c>
      <c r="J28" s="771"/>
    </row>
    <row r="29" spans="1:26" ht="16.5" customHeight="1">
      <c r="A29" s="705" t="s">
        <v>615</v>
      </c>
      <c r="B29" s="705"/>
      <c r="C29" s="705"/>
      <c r="D29" s="705"/>
      <c r="E29" s="705"/>
      <c r="F29" s="705"/>
      <c r="G29" s="776" t="s">
        <v>346</v>
      </c>
      <c r="H29" s="776"/>
      <c r="I29" s="777">
        <f>'6. Cálc. mão obra esq. e fach.'!$D$11</f>
        <v>0</v>
      </c>
      <c r="J29" s="777"/>
    </row>
    <row r="30" spans="1:26" ht="16.5" customHeight="1">
      <c r="A30" s="772" t="s">
        <v>616</v>
      </c>
      <c r="B30" s="772"/>
      <c r="C30" s="772"/>
      <c r="D30" s="772"/>
      <c r="E30" s="772"/>
      <c r="F30" s="772"/>
      <c r="G30" s="772"/>
      <c r="H30" s="772"/>
      <c r="I30" s="771">
        <f>I29</f>
        <v>0</v>
      </c>
      <c r="J30" s="771"/>
    </row>
    <row r="31" spans="1:26" ht="16.5" customHeight="1">
      <c r="A31" s="705" t="s">
        <v>367</v>
      </c>
      <c r="B31" s="705"/>
      <c r="C31" s="705"/>
      <c r="D31" s="705"/>
      <c r="E31" s="705"/>
      <c r="F31" s="705"/>
      <c r="G31" s="776" t="s">
        <v>346</v>
      </c>
      <c r="H31" s="776"/>
      <c r="I31" s="769">
        <v>0</v>
      </c>
      <c r="J31" s="769"/>
    </row>
    <row r="32" spans="1:26" ht="16.5" customHeight="1">
      <c r="A32" s="772" t="s">
        <v>368</v>
      </c>
      <c r="B32" s="772"/>
      <c r="C32" s="772"/>
      <c r="D32" s="772"/>
      <c r="E32" s="772"/>
      <c r="F32" s="772"/>
      <c r="G32" s="772"/>
      <c r="H32" s="772"/>
      <c r="I32" s="771">
        <f>I31</f>
        <v>0</v>
      </c>
      <c r="J32" s="771"/>
    </row>
    <row r="33" spans="1:10" ht="16.5" customHeight="1">
      <c r="A33" s="772" t="s">
        <v>617</v>
      </c>
      <c r="B33" s="772"/>
      <c r="C33" s="772"/>
      <c r="D33" s="772"/>
      <c r="E33" s="772"/>
      <c r="F33" s="772"/>
      <c r="G33" s="772"/>
      <c r="H33" s="772"/>
      <c r="I33" s="771">
        <f>I32+I30+I28</f>
        <v>1728.053733333333</v>
      </c>
      <c r="J33" s="771"/>
    </row>
    <row r="34" spans="1:10" ht="9.9499999999999993" customHeight="1">
      <c r="A34" s="865"/>
      <c r="B34" s="865"/>
      <c r="C34" s="865"/>
      <c r="D34" s="865"/>
      <c r="E34" s="865"/>
      <c r="F34" s="865"/>
      <c r="G34" s="865"/>
      <c r="H34" s="865"/>
      <c r="I34" s="865"/>
      <c r="J34" s="865"/>
    </row>
    <row r="35" spans="1:10" ht="19.5" customHeight="1">
      <c r="A35" s="775" t="s">
        <v>370</v>
      </c>
      <c r="B35" s="775"/>
      <c r="C35" s="775"/>
      <c r="D35" s="775"/>
      <c r="E35" s="775"/>
      <c r="F35" s="775"/>
      <c r="G35" s="775"/>
      <c r="H35" s="775"/>
      <c r="I35" s="775"/>
      <c r="J35" s="775"/>
    </row>
    <row r="36" spans="1:10">
      <c r="A36" s="669" t="s">
        <v>371</v>
      </c>
      <c r="B36" s="669"/>
      <c r="C36" s="669"/>
      <c r="D36" s="669"/>
      <c r="E36" s="669"/>
      <c r="F36" s="669"/>
      <c r="G36" s="669"/>
      <c r="H36" s="669"/>
      <c r="I36" s="669"/>
      <c r="J36" s="669"/>
    </row>
    <row r="37" spans="1:10" ht="15" customHeight="1">
      <c r="A37" s="753" t="s">
        <v>372</v>
      </c>
      <c r="B37" s="753"/>
      <c r="C37" s="753"/>
      <c r="D37" s="753"/>
      <c r="E37" s="753"/>
      <c r="F37" s="753"/>
      <c r="G37" s="753"/>
      <c r="H37" s="753"/>
      <c r="I37" s="753"/>
      <c r="J37" s="753"/>
    </row>
    <row r="38" spans="1:10" ht="21.75" customHeight="1">
      <c r="A38" s="45">
        <v>1</v>
      </c>
      <c r="B38" s="760" t="s">
        <v>65</v>
      </c>
      <c r="C38" s="760"/>
      <c r="D38" s="760"/>
      <c r="E38" s="760"/>
      <c r="F38" s="760"/>
      <c r="G38" s="760"/>
      <c r="H38" s="766" t="str">
        <f>'1. ABA DE CARREGAMENTO'!B60</f>
        <v>Limpeza, Asseio e Conservação</v>
      </c>
      <c r="I38" s="766"/>
      <c r="J38" s="766"/>
    </row>
    <row r="39" spans="1:10" ht="21.75" customHeight="1">
      <c r="A39" s="45">
        <v>2</v>
      </c>
      <c r="B39" s="760" t="s">
        <v>67</v>
      </c>
      <c r="C39" s="760"/>
      <c r="D39" s="760"/>
      <c r="E39" s="760"/>
      <c r="F39" s="760"/>
      <c r="G39" s="760"/>
      <c r="H39" s="766">
        <f>'1. ABA DE CARREGAMENTO'!C61</f>
        <v>5143</v>
      </c>
      <c r="I39" s="766"/>
      <c r="J39" s="766"/>
    </row>
    <row r="40" spans="1:10" ht="21.75" customHeight="1">
      <c r="A40" s="45">
        <v>3</v>
      </c>
      <c r="B40" s="760" t="s">
        <v>69</v>
      </c>
      <c r="C40" s="760"/>
      <c r="D40" s="760"/>
      <c r="E40" s="760"/>
      <c r="F40" s="760"/>
      <c r="G40" s="760"/>
      <c r="H40" s="767">
        <f>'1. ABA DE CARREGAMENTO'!C63</f>
        <v>1314.09</v>
      </c>
      <c r="I40" s="767"/>
      <c r="J40" s="767"/>
    </row>
    <row r="41" spans="1:10" ht="21.75" customHeight="1">
      <c r="A41" s="45">
        <v>4</v>
      </c>
      <c r="B41" s="760" t="s">
        <v>70</v>
      </c>
      <c r="C41" s="760"/>
      <c r="D41" s="760"/>
      <c r="E41" s="760"/>
      <c r="F41" s="760"/>
      <c r="G41" s="760"/>
      <c r="H41" s="766" t="str">
        <f>'1. ABA DE CARREGAMENTO'!C64</f>
        <v>Servente de Limpeza</v>
      </c>
      <c r="I41" s="766"/>
      <c r="J41" s="766"/>
    </row>
    <row r="42" spans="1:10" ht="21.75" customHeight="1">
      <c r="A42" s="45">
        <v>5</v>
      </c>
      <c r="B42" s="760" t="s">
        <v>72</v>
      </c>
      <c r="C42" s="760"/>
      <c r="D42" s="760"/>
      <c r="E42" s="760"/>
      <c r="F42" s="760"/>
      <c r="G42" s="760"/>
      <c r="H42" s="761">
        <f>'1. ABA DE CARREGAMENTO'!C65</f>
        <v>44197</v>
      </c>
      <c r="I42" s="761"/>
      <c r="J42" s="761"/>
    </row>
    <row r="43" spans="1:10" ht="12.75" customHeight="1">
      <c r="A43" s="46" t="s">
        <v>373</v>
      </c>
      <c r="B43" s="834" t="s">
        <v>374</v>
      </c>
      <c r="C43" s="834"/>
      <c r="D43" s="834"/>
      <c r="E43" s="834"/>
      <c r="F43" s="834"/>
      <c r="G43" s="834"/>
      <c r="H43" s="834"/>
      <c r="I43" s="834"/>
      <c r="J43" s="834"/>
    </row>
    <row r="44" spans="1:10">
      <c r="A44" s="833"/>
      <c r="B44" s="833"/>
      <c r="C44" s="833"/>
      <c r="D44" s="833"/>
      <c r="E44" s="833"/>
      <c r="F44" s="833"/>
      <c r="G44" s="833"/>
      <c r="H44" s="833"/>
      <c r="I44" s="833"/>
      <c r="J44" s="833"/>
    </row>
    <row r="45" spans="1:10" ht="19.5" customHeight="1">
      <c r="A45" s="753" t="s">
        <v>375</v>
      </c>
      <c r="B45" s="753"/>
      <c r="C45" s="753"/>
      <c r="D45" s="753"/>
      <c r="E45" s="753"/>
      <c r="F45" s="753"/>
      <c r="G45" s="753"/>
      <c r="H45" s="753"/>
      <c r="I45" s="753"/>
      <c r="J45" s="753"/>
    </row>
    <row r="46" spans="1:10" ht="19.5" customHeight="1">
      <c r="A46" s="464">
        <v>1</v>
      </c>
      <c r="B46" s="753" t="s">
        <v>376</v>
      </c>
      <c r="C46" s="753"/>
      <c r="D46" s="753"/>
      <c r="E46" s="753"/>
      <c r="F46" s="753"/>
      <c r="G46" s="753"/>
      <c r="H46" s="753"/>
      <c r="I46" s="56" t="s">
        <v>377</v>
      </c>
      <c r="J46" s="464" t="s">
        <v>378</v>
      </c>
    </row>
    <row r="47" spans="1:10" ht="27" customHeight="1">
      <c r="A47" s="469" t="s">
        <v>334</v>
      </c>
      <c r="B47" s="749" t="s">
        <v>379</v>
      </c>
      <c r="C47" s="749"/>
      <c r="D47" s="749"/>
      <c r="E47" s="326">
        <f>'1. ABA DE CARREGAMENTO'!C68</f>
        <v>44</v>
      </c>
      <c r="F47" s="465" t="s">
        <v>380</v>
      </c>
      <c r="G47" s="763" t="str">
        <f>'1. ABA DE CARREGAMENTO'!B62</f>
        <v>Cláusula Quarta da CCT 2022/2022</v>
      </c>
      <c r="H47" s="763"/>
      <c r="I47" s="763"/>
      <c r="J47" s="380">
        <f>H40/44*'1. ABA DE CARREGAMENTO'!C68</f>
        <v>1314.09</v>
      </c>
    </row>
    <row r="48" spans="1:10" ht="19.5" customHeight="1">
      <c r="A48" s="469" t="s">
        <v>336</v>
      </c>
      <c r="B48" s="764" t="s">
        <v>381</v>
      </c>
      <c r="C48" s="764"/>
      <c r="D48" s="765" t="str">
        <f>'1. ABA DE CARREGAMENTO'!B69</f>
        <v>Cláusula Décima Sétima da CCT 2022/2022</v>
      </c>
      <c r="E48" s="765"/>
      <c r="F48" s="765"/>
      <c r="G48" s="765"/>
      <c r="H48" s="765"/>
      <c r="I48" s="381">
        <f>'1. ABA DE CARREGAMENTO'!C71</f>
        <v>0.2</v>
      </c>
      <c r="J48" s="380">
        <f>ROUND(I48*J47,2)</f>
        <v>262.82</v>
      </c>
    </row>
    <row r="49" spans="1:10" ht="19.5" customHeight="1">
      <c r="A49" s="469" t="s">
        <v>337</v>
      </c>
      <c r="B49" s="749" t="s">
        <v>382</v>
      </c>
      <c r="C49" s="749"/>
      <c r="D49" s="749"/>
      <c r="E49" s="749"/>
      <c r="F49" s="749"/>
      <c r="G49" s="749"/>
      <c r="H49" s="749"/>
      <c r="I49" s="749"/>
      <c r="J49" s="380">
        <v>0</v>
      </c>
    </row>
    <row r="50" spans="1:10" ht="19.5" customHeight="1">
      <c r="A50" s="697" t="s">
        <v>383</v>
      </c>
      <c r="B50" s="697"/>
      <c r="C50" s="697"/>
      <c r="D50" s="697"/>
      <c r="E50" s="697"/>
      <c r="F50" s="697"/>
      <c r="G50" s="697"/>
      <c r="H50" s="697"/>
      <c r="I50" s="697"/>
      <c r="J50" s="84">
        <f>SUM(J47:J49)</f>
        <v>1576.9099999999999</v>
      </c>
    </row>
    <row r="51" spans="1:10" ht="12.75" customHeight="1">
      <c r="A51" s="47" t="s">
        <v>384</v>
      </c>
      <c r="B51" s="755" t="s">
        <v>588</v>
      </c>
      <c r="C51" s="755"/>
      <c r="D51" s="755"/>
      <c r="E51" s="755"/>
      <c r="F51" s="755"/>
      <c r="G51" s="755"/>
      <c r="H51" s="755"/>
      <c r="I51" s="755"/>
      <c r="J51" s="755"/>
    </row>
    <row r="52" spans="1:10" ht="9.9499999999999993" customHeight="1">
      <c r="A52" s="811"/>
      <c r="B52" s="811"/>
      <c r="C52" s="811"/>
      <c r="D52" s="811"/>
      <c r="E52" s="811"/>
      <c r="F52" s="811"/>
      <c r="G52" s="811"/>
      <c r="H52" s="811"/>
      <c r="I52" s="811"/>
      <c r="J52" s="811"/>
    </row>
    <row r="53" spans="1:10" ht="20.25" customHeight="1">
      <c r="A53" s="753" t="s">
        <v>386</v>
      </c>
      <c r="B53" s="753"/>
      <c r="C53" s="753"/>
      <c r="D53" s="753"/>
      <c r="E53" s="753"/>
      <c r="F53" s="753"/>
      <c r="G53" s="753"/>
      <c r="H53" s="753"/>
      <c r="I53" s="753"/>
      <c r="J53" s="753"/>
    </row>
    <row r="54" spans="1:10" ht="20.25" customHeight="1">
      <c r="A54" s="464" t="s">
        <v>387</v>
      </c>
      <c r="B54" s="753" t="s">
        <v>388</v>
      </c>
      <c r="C54" s="753"/>
      <c r="D54" s="753"/>
      <c r="E54" s="753"/>
      <c r="F54" s="753"/>
      <c r="G54" s="753"/>
      <c r="H54" s="753"/>
      <c r="I54" s="753"/>
      <c r="J54" s="464" t="s">
        <v>389</v>
      </c>
    </row>
    <row r="55" spans="1:10" ht="20.25" customHeight="1">
      <c r="A55" s="469" t="s">
        <v>334</v>
      </c>
      <c r="B55" s="749" t="s">
        <v>390</v>
      </c>
      <c r="C55" s="749"/>
      <c r="D55" s="749"/>
      <c r="E55" s="749"/>
      <c r="F55" s="749"/>
      <c r="G55" s="749"/>
      <c r="H55" s="749"/>
      <c r="I55" s="749"/>
      <c r="J55" s="470">
        <f>ROUND(J50/12,2)</f>
        <v>131.41</v>
      </c>
    </row>
    <row r="56" spans="1:10" ht="30.75" customHeight="1">
      <c r="A56" s="469" t="s">
        <v>336</v>
      </c>
      <c r="B56" s="749" t="s">
        <v>725</v>
      </c>
      <c r="C56" s="749"/>
      <c r="D56" s="749"/>
      <c r="E56" s="749"/>
      <c r="F56" s="749"/>
      <c r="G56" s="749"/>
      <c r="H56" s="749"/>
      <c r="I56" s="749"/>
      <c r="J56" s="470">
        <f>ROUND(J50*3.025%,2)</f>
        <v>47.7</v>
      </c>
    </row>
    <row r="57" spans="1:10" ht="20.25" customHeight="1">
      <c r="A57" s="697" t="s">
        <v>391</v>
      </c>
      <c r="B57" s="697"/>
      <c r="C57" s="697"/>
      <c r="D57" s="697"/>
      <c r="E57" s="697"/>
      <c r="F57" s="697"/>
      <c r="G57" s="697"/>
      <c r="H57" s="697"/>
      <c r="I57" s="697"/>
      <c r="J57" s="460">
        <f>SUM(J55:J56)</f>
        <v>179.11</v>
      </c>
    </row>
    <row r="58" spans="1:10" ht="12.75" customHeight="1">
      <c r="A58" s="47" t="s">
        <v>392</v>
      </c>
      <c r="B58" s="832" t="s">
        <v>688</v>
      </c>
      <c r="C58" s="755"/>
      <c r="D58" s="755"/>
      <c r="E58" s="755"/>
      <c r="F58" s="755"/>
      <c r="G58" s="755"/>
      <c r="H58" s="755"/>
      <c r="I58" s="755"/>
      <c r="J58" s="755"/>
    </row>
    <row r="59" spans="1:10" ht="9.9499999999999993" customHeight="1">
      <c r="A59" s="825"/>
      <c r="B59" s="825"/>
      <c r="C59" s="825"/>
      <c r="D59" s="825"/>
      <c r="E59" s="825"/>
      <c r="F59" s="825"/>
      <c r="G59" s="825"/>
      <c r="H59" s="825"/>
      <c r="I59" s="825"/>
      <c r="J59" s="382"/>
    </row>
    <row r="60" spans="1:10" ht="40.5" customHeight="1">
      <c r="A60" s="464" t="s">
        <v>394</v>
      </c>
      <c r="B60" s="753" t="s">
        <v>618</v>
      </c>
      <c r="C60" s="753"/>
      <c r="D60" s="753"/>
      <c r="E60" s="753"/>
      <c r="F60" s="753"/>
      <c r="G60" s="753"/>
      <c r="H60" s="753"/>
      <c r="I60" s="753"/>
      <c r="J60" s="753"/>
    </row>
    <row r="61" spans="1:10" ht="18" customHeight="1">
      <c r="A61" s="464"/>
      <c r="B61" s="753" t="s">
        <v>396</v>
      </c>
      <c r="C61" s="753"/>
      <c r="D61" s="753"/>
      <c r="E61" s="753"/>
      <c r="F61" s="753"/>
      <c r="G61" s="753"/>
      <c r="H61" s="753"/>
      <c r="I61" s="464" t="s">
        <v>377</v>
      </c>
      <c r="J61" s="464" t="s">
        <v>389</v>
      </c>
    </row>
    <row r="62" spans="1:10" ht="18" customHeight="1">
      <c r="A62" s="469" t="s">
        <v>334</v>
      </c>
      <c r="B62" s="749" t="s">
        <v>82</v>
      </c>
      <c r="C62" s="749"/>
      <c r="D62" s="749"/>
      <c r="E62" s="749"/>
      <c r="F62" s="749"/>
      <c r="G62" s="749"/>
      <c r="H62" s="749"/>
      <c r="I62" s="51">
        <f>'1. ABA DE CARREGAMENTO'!C78</f>
        <v>0.2</v>
      </c>
      <c r="J62" s="470">
        <f>ROUND((J50+J57)*I62,2)</f>
        <v>351.2</v>
      </c>
    </row>
    <row r="63" spans="1:10" ht="18" customHeight="1">
      <c r="A63" s="469" t="s">
        <v>336</v>
      </c>
      <c r="B63" s="749" t="s">
        <v>83</v>
      </c>
      <c r="C63" s="749"/>
      <c r="D63" s="749"/>
      <c r="E63" s="749"/>
      <c r="F63" s="749"/>
      <c r="G63" s="749"/>
      <c r="H63" s="749"/>
      <c r="I63" s="51">
        <f>IF($H$15=1,'1. ABA DE CARREGAMENTO'!C79,IF($H$15=2,'1. ABA DE CARREGAMENTO'!C79,0))</f>
        <v>2.5000000000000001E-2</v>
      </c>
      <c r="J63" s="470">
        <f>ROUND((J50+J57)*I63,2)</f>
        <v>43.9</v>
      </c>
    </row>
    <row r="64" spans="1:10" ht="27.75" customHeight="1">
      <c r="A64" s="469" t="s">
        <v>337</v>
      </c>
      <c r="B64" s="830" t="s">
        <v>84</v>
      </c>
      <c r="C64" s="830"/>
      <c r="D64" s="830"/>
      <c r="E64" s="467" t="s">
        <v>397</v>
      </c>
      <c r="F64" s="51">
        <f>'1. ABA DE CARREGAMENTO'!$B$74</f>
        <v>0.03</v>
      </c>
      <c r="G64" s="467" t="s">
        <v>398</v>
      </c>
      <c r="H64" s="52">
        <f>'1. ABA DE CARREGAMENTO'!$B$75</f>
        <v>1</v>
      </c>
      <c r="I64" s="51">
        <f>'1. ABA DE CARREGAMENTO'!C80</f>
        <v>0.03</v>
      </c>
      <c r="J64" s="470">
        <f>ROUND((J50+J57)*I64,2)</f>
        <v>52.68</v>
      </c>
    </row>
    <row r="65" spans="1:10" ht="18" customHeight="1">
      <c r="A65" s="469" t="s">
        <v>339</v>
      </c>
      <c r="B65" s="749" t="s">
        <v>85</v>
      </c>
      <c r="C65" s="749"/>
      <c r="D65" s="749"/>
      <c r="E65" s="749"/>
      <c r="F65" s="749"/>
      <c r="G65" s="749"/>
      <c r="H65" s="749"/>
      <c r="I65" s="51">
        <f>IF($H$15=1,'1. ABA DE CARREGAMENTO'!C81,IF($H$15=2,'1. ABA DE CARREGAMENTO'!C81,0))</f>
        <v>1.4999999999999999E-2</v>
      </c>
      <c r="J65" s="470">
        <f>ROUND((J50+J57)*I65,2)</f>
        <v>26.34</v>
      </c>
    </row>
    <row r="66" spans="1:10" ht="18" customHeight="1">
      <c r="A66" s="469" t="s">
        <v>399</v>
      </c>
      <c r="B66" s="749" t="s">
        <v>86</v>
      </c>
      <c r="C66" s="749"/>
      <c r="D66" s="749"/>
      <c r="E66" s="749"/>
      <c r="F66" s="749"/>
      <c r="G66" s="749"/>
      <c r="H66" s="749"/>
      <c r="I66" s="51">
        <f>IF($H$15=1,'1. ABA DE CARREGAMENTO'!C82,IF($H$15=2,'1. ABA DE CARREGAMENTO'!C82,0))</f>
        <v>0.01</v>
      </c>
      <c r="J66" s="470">
        <f>ROUND((J50+J57)*I66,2)</f>
        <v>17.559999999999999</v>
      </c>
    </row>
    <row r="67" spans="1:10" ht="18" customHeight="1">
      <c r="A67" s="469" t="s">
        <v>400</v>
      </c>
      <c r="B67" s="749" t="s">
        <v>87</v>
      </c>
      <c r="C67" s="749"/>
      <c r="D67" s="749"/>
      <c r="E67" s="749"/>
      <c r="F67" s="749"/>
      <c r="G67" s="749"/>
      <c r="H67" s="749"/>
      <c r="I67" s="51">
        <f>IF($H$15=1,'1. ABA DE CARREGAMENTO'!C83,IF($H$15=2,'1. ABA DE CARREGAMENTO'!C83,0))</f>
        <v>6.0000000000000001E-3</v>
      </c>
      <c r="J67" s="470">
        <f>ROUND((J50+J57)*I67,2)</f>
        <v>10.54</v>
      </c>
    </row>
    <row r="68" spans="1:10" ht="18" customHeight="1">
      <c r="A68" s="469" t="s">
        <v>401</v>
      </c>
      <c r="B68" s="749" t="s">
        <v>88</v>
      </c>
      <c r="C68" s="749"/>
      <c r="D68" s="749"/>
      <c r="E68" s="749"/>
      <c r="F68" s="749"/>
      <c r="G68" s="749"/>
      <c r="H68" s="749"/>
      <c r="I68" s="51">
        <f>IF($H$15=1,'1. ABA DE CARREGAMENTO'!C84,IF($H$15=2,'1. ABA DE CARREGAMENTO'!C84,0))</f>
        <v>2E-3</v>
      </c>
      <c r="J68" s="470">
        <f>ROUND((J50+J57)*I68,2)</f>
        <v>3.51</v>
      </c>
    </row>
    <row r="69" spans="1:10" ht="18" customHeight="1">
      <c r="A69" s="469" t="s">
        <v>402</v>
      </c>
      <c r="B69" s="749" t="s">
        <v>89</v>
      </c>
      <c r="C69" s="749"/>
      <c r="D69" s="749"/>
      <c r="E69" s="749"/>
      <c r="F69" s="749"/>
      <c r="G69" s="749"/>
      <c r="H69" s="749"/>
      <c r="I69" s="51">
        <f>'1. ABA DE CARREGAMENTO'!C85</f>
        <v>0.08</v>
      </c>
      <c r="J69" s="470">
        <f>ROUND((J50+J57)*I69,2)</f>
        <v>140.47999999999999</v>
      </c>
    </row>
    <row r="70" spans="1:10" ht="18" customHeight="1">
      <c r="A70" s="697" t="s">
        <v>403</v>
      </c>
      <c r="B70" s="697"/>
      <c r="C70" s="697"/>
      <c r="D70" s="697"/>
      <c r="E70" s="697"/>
      <c r="F70" s="697"/>
      <c r="G70" s="697"/>
      <c r="H70" s="697"/>
      <c r="I70" s="383">
        <f>SUM(I62:I69)</f>
        <v>0.36800000000000005</v>
      </c>
      <c r="J70" s="460">
        <f>SUM(J62:J69)</f>
        <v>646.20999999999992</v>
      </c>
    </row>
    <row r="71" spans="1:10" ht="12.75" customHeight="1">
      <c r="A71" s="305" t="s">
        <v>393</v>
      </c>
      <c r="B71" s="755" t="s">
        <v>405</v>
      </c>
      <c r="C71" s="755"/>
      <c r="D71" s="755"/>
      <c r="E71" s="755"/>
      <c r="F71" s="755"/>
      <c r="G71" s="755"/>
      <c r="H71" s="755"/>
      <c r="I71" s="755"/>
      <c r="J71" s="755"/>
    </row>
    <row r="72" spans="1:10">
      <c r="A72" s="305" t="s">
        <v>404</v>
      </c>
      <c r="B72" s="755" t="s">
        <v>407</v>
      </c>
      <c r="C72" s="755"/>
      <c r="D72" s="755"/>
      <c r="E72" s="755"/>
      <c r="F72" s="755"/>
      <c r="G72" s="755"/>
      <c r="H72" s="755"/>
      <c r="I72" s="755"/>
      <c r="J72" s="755"/>
    </row>
    <row r="73" spans="1:10" ht="9.9499999999999993" customHeight="1">
      <c r="A73" s="68"/>
      <c r="B73" s="69"/>
      <c r="C73" s="69"/>
      <c r="D73" s="69"/>
      <c r="E73" s="69"/>
      <c r="F73" s="69"/>
      <c r="G73" s="69"/>
      <c r="H73" s="69"/>
      <c r="I73" s="69"/>
      <c r="J73" s="69"/>
    </row>
    <row r="74" spans="1:10" ht="20.25" customHeight="1">
      <c r="A74" s="65" t="s">
        <v>408</v>
      </c>
      <c r="B74" s="753" t="s">
        <v>409</v>
      </c>
      <c r="C74" s="753"/>
      <c r="D74" s="753"/>
      <c r="E74" s="753"/>
      <c r="F74" s="753"/>
      <c r="G74" s="753"/>
      <c r="H74" s="753"/>
      <c r="I74" s="753"/>
      <c r="J74" s="753"/>
    </row>
    <row r="75" spans="1:10" ht="20.25" customHeight="1">
      <c r="A75" s="464"/>
      <c r="B75" s="753" t="s">
        <v>409</v>
      </c>
      <c r="C75" s="753"/>
      <c r="D75" s="753"/>
      <c r="E75" s="753"/>
      <c r="F75" s="753"/>
      <c r="G75" s="753"/>
      <c r="H75" s="753"/>
      <c r="I75" s="753"/>
      <c r="J75" s="464" t="s">
        <v>389</v>
      </c>
    </row>
    <row r="76" spans="1:10" ht="20.25" customHeight="1">
      <c r="A76" s="800" t="s">
        <v>334</v>
      </c>
      <c r="B76" s="749" t="s">
        <v>410</v>
      </c>
      <c r="C76" s="749"/>
      <c r="D76" s="749"/>
      <c r="E76" s="749"/>
      <c r="F76" s="749"/>
      <c r="G76" s="749"/>
      <c r="H76" s="749"/>
      <c r="I76" s="749"/>
      <c r="J76" s="803">
        <f>IF(ROUND((I79*I77*I78)-(J47*0.06),2)&lt;0,0,ROUND((I79*I77*I78)-(J47*0.06),2))*1+(I77*I78*21.726-0.06*J47)*0</f>
        <v>89.15</v>
      </c>
    </row>
    <row r="77" spans="1:10" ht="20.25" customHeight="1">
      <c r="A77" s="800"/>
      <c r="B77" s="756" t="s">
        <v>411</v>
      </c>
      <c r="C77" s="756"/>
      <c r="D77" s="756"/>
      <c r="E77" s="756"/>
      <c r="F77" s="756"/>
      <c r="G77" s="756"/>
      <c r="H77" s="756"/>
      <c r="I77" s="384">
        <f>'1. ABA DE CARREGAMENTO'!$B$88</f>
        <v>3.5</v>
      </c>
      <c r="J77" s="803"/>
    </row>
    <row r="78" spans="1:10" ht="20.25" customHeight="1">
      <c r="A78" s="800"/>
      <c r="B78" s="756" t="s">
        <v>412</v>
      </c>
      <c r="C78" s="756"/>
      <c r="D78" s="756"/>
      <c r="E78" s="756"/>
      <c r="F78" s="756"/>
      <c r="G78" s="756"/>
      <c r="H78" s="756"/>
      <c r="I78" s="385">
        <f>'1. ABA DE CARREGAMENTO'!$B$89</f>
        <v>2</v>
      </c>
      <c r="J78" s="803"/>
    </row>
    <row r="79" spans="1:10" ht="20.25" customHeight="1">
      <c r="A79" s="800"/>
      <c r="B79" s="756" t="s">
        <v>413</v>
      </c>
      <c r="C79" s="756"/>
      <c r="D79" s="756"/>
      <c r="E79" s="756"/>
      <c r="F79" s="756"/>
      <c r="G79" s="756"/>
      <c r="H79" s="756"/>
      <c r="I79" s="385">
        <f>'1. ABA DE CARREGAMENTO'!$B$90</f>
        <v>24</v>
      </c>
      <c r="J79" s="803"/>
    </row>
    <row r="80" spans="1:10" ht="20.25" customHeight="1">
      <c r="A80" s="800"/>
      <c r="B80" s="756" t="s">
        <v>414</v>
      </c>
      <c r="C80" s="756"/>
      <c r="D80" s="756"/>
      <c r="E80" s="756"/>
      <c r="F80" s="756"/>
      <c r="G80" s="756"/>
      <c r="H80" s="756"/>
      <c r="I80" s="386">
        <f>'1. ABA DE CARREGAMENTO'!B91</f>
        <v>0.06</v>
      </c>
      <c r="J80" s="803"/>
    </row>
    <row r="81" spans="1:10" ht="20.25" customHeight="1">
      <c r="A81" s="800" t="s">
        <v>336</v>
      </c>
      <c r="B81" s="827" t="s">
        <v>689</v>
      </c>
      <c r="C81" s="764"/>
      <c r="D81" s="764"/>
      <c r="E81" s="472" t="str">
        <f>'1. ABA DE CARREGAMENTO'!B94</f>
        <v xml:space="preserve">CCT Sindasseio 2022/2022 - Registro no MTE: RS005021/2022 </v>
      </c>
      <c r="F81" s="473"/>
      <c r="G81" s="473"/>
      <c r="H81" s="473"/>
      <c r="I81" s="474"/>
      <c r="J81" s="803">
        <f>ROUND((I82*I83)-((I82*I83)*I84),2)</f>
        <v>392.3</v>
      </c>
    </row>
    <row r="82" spans="1:10" ht="20.25" customHeight="1">
      <c r="A82" s="800"/>
      <c r="B82" s="756" t="s">
        <v>415</v>
      </c>
      <c r="C82" s="756"/>
      <c r="D82" s="756"/>
      <c r="E82" s="756"/>
      <c r="F82" s="756"/>
      <c r="G82" s="756"/>
      <c r="H82" s="756"/>
      <c r="I82" s="387">
        <f>'1. ABA DE CARREGAMENTO'!B95</f>
        <v>20.18</v>
      </c>
      <c r="J82" s="803"/>
    </row>
    <row r="83" spans="1:10" ht="20.25" customHeight="1">
      <c r="A83" s="800"/>
      <c r="B83" s="756" t="s">
        <v>416</v>
      </c>
      <c r="C83" s="756"/>
      <c r="D83" s="756"/>
      <c r="E83" s="756"/>
      <c r="F83" s="756"/>
      <c r="G83" s="756"/>
      <c r="H83" s="756"/>
      <c r="I83" s="385">
        <f>'1. ABA DE CARREGAMENTO'!B97</f>
        <v>24</v>
      </c>
      <c r="J83" s="803"/>
    </row>
    <row r="84" spans="1:10" ht="20.25" customHeight="1">
      <c r="A84" s="800"/>
      <c r="B84" s="756" t="s">
        <v>417</v>
      </c>
      <c r="C84" s="756"/>
      <c r="D84" s="756"/>
      <c r="E84" s="756"/>
      <c r="F84" s="756"/>
      <c r="G84" s="756"/>
      <c r="H84" s="756"/>
      <c r="I84" s="388">
        <f>'1. ABA DE CARREGAMENTO'!B96</f>
        <v>0.19</v>
      </c>
      <c r="J84" s="803"/>
    </row>
    <row r="85" spans="1:10" ht="20.25" customHeight="1">
      <c r="A85" s="469" t="s">
        <v>337</v>
      </c>
      <c r="B85" s="764" t="s">
        <v>418</v>
      </c>
      <c r="C85" s="764"/>
      <c r="D85" s="764"/>
      <c r="E85" s="472" t="str">
        <f>'1. ABA DE CARREGAMENTO'!B100</f>
        <v>Cláusula Vigésima Nona da CCT 2022/2022</v>
      </c>
      <c r="F85" s="473"/>
      <c r="G85" s="473"/>
      <c r="H85" s="473"/>
      <c r="I85" s="474"/>
      <c r="J85" s="389">
        <f>'1. ABA DE CARREGAMENTO'!C100</f>
        <v>17.32</v>
      </c>
    </row>
    <row r="86" spans="1:10" ht="20.25" customHeight="1">
      <c r="A86" s="469" t="s">
        <v>339</v>
      </c>
      <c r="B86" s="749" t="s">
        <v>419</v>
      </c>
      <c r="C86" s="749"/>
      <c r="D86" s="749"/>
      <c r="E86" s="749"/>
      <c r="F86" s="749"/>
      <c r="G86" s="749"/>
      <c r="H86" s="749"/>
      <c r="I86" s="749"/>
      <c r="J86" s="470">
        <v>0</v>
      </c>
    </row>
    <row r="87" spans="1:10" ht="20.25" customHeight="1">
      <c r="A87" s="697" t="s">
        <v>420</v>
      </c>
      <c r="B87" s="697"/>
      <c r="C87" s="697"/>
      <c r="D87" s="697"/>
      <c r="E87" s="697"/>
      <c r="F87" s="697"/>
      <c r="G87" s="697"/>
      <c r="H87" s="697"/>
      <c r="I87" s="697"/>
      <c r="J87" s="460">
        <f>SUM(J76:J85)</f>
        <v>498.77000000000004</v>
      </c>
    </row>
    <row r="88" spans="1:10">
      <c r="A88" s="305" t="s">
        <v>406</v>
      </c>
      <c r="B88" s="755" t="s">
        <v>422</v>
      </c>
      <c r="C88" s="755"/>
      <c r="D88" s="755"/>
      <c r="E88" s="755"/>
      <c r="F88" s="755"/>
      <c r="G88" s="755"/>
      <c r="H88" s="755"/>
      <c r="I88" s="755"/>
      <c r="J88" s="755"/>
    </row>
    <row r="89" spans="1:10" ht="12.75" customHeight="1">
      <c r="A89" s="305" t="s">
        <v>421</v>
      </c>
      <c r="B89" s="755" t="s">
        <v>424</v>
      </c>
      <c r="C89" s="755"/>
      <c r="D89" s="755"/>
      <c r="E89" s="755"/>
      <c r="F89" s="755"/>
      <c r="G89" s="755"/>
      <c r="H89" s="755"/>
      <c r="I89" s="755"/>
      <c r="J89" s="755"/>
    </row>
    <row r="90" spans="1:10" ht="9.9499999999999993" customHeight="1">
      <c r="A90" s="68"/>
      <c r="B90" s="69"/>
      <c r="C90" s="69"/>
      <c r="D90" s="69"/>
      <c r="E90" s="69"/>
      <c r="F90" s="69"/>
      <c r="G90" s="69"/>
      <c r="H90" s="69"/>
      <c r="I90" s="69"/>
      <c r="J90" s="69"/>
    </row>
    <row r="91" spans="1:10" ht="21" customHeight="1">
      <c r="A91" s="753" t="s">
        <v>425</v>
      </c>
      <c r="B91" s="753"/>
      <c r="C91" s="753"/>
      <c r="D91" s="753"/>
      <c r="E91" s="753"/>
      <c r="F91" s="753"/>
      <c r="G91" s="753"/>
      <c r="H91" s="753"/>
      <c r="I91" s="753"/>
      <c r="J91" s="753"/>
    </row>
    <row r="92" spans="1:10" ht="21" customHeight="1">
      <c r="A92" s="464" t="s">
        <v>426</v>
      </c>
      <c r="B92" s="753" t="s">
        <v>427</v>
      </c>
      <c r="C92" s="753"/>
      <c r="D92" s="753"/>
      <c r="E92" s="753"/>
      <c r="F92" s="753"/>
      <c r="G92" s="753"/>
      <c r="H92" s="753"/>
      <c r="I92" s="753"/>
      <c r="J92" s="464" t="s">
        <v>389</v>
      </c>
    </row>
    <row r="93" spans="1:10" ht="21" customHeight="1">
      <c r="A93" s="469" t="s">
        <v>428</v>
      </c>
      <c r="B93" s="756" t="s">
        <v>429</v>
      </c>
      <c r="C93" s="756"/>
      <c r="D93" s="756"/>
      <c r="E93" s="756"/>
      <c r="F93" s="756"/>
      <c r="G93" s="756"/>
      <c r="H93" s="756"/>
      <c r="I93" s="756"/>
      <c r="J93" s="470">
        <f>J57</f>
        <v>179.11</v>
      </c>
    </row>
    <row r="94" spans="1:10" ht="21" customHeight="1">
      <c r="A94" s="469" t="s">
        <v>394</v>
      </c>
      <c r="B94" s="756" t="s">
        <v>430</v>
      </c>
      <c r="C94" s="756"/>
      <c r="D94" s="756"/>
      <c r="E94" s="756"/>
      <c r="F94" s="756"/>
      <c r="G94" s="756"/>
      <c r="H94" s="756"/>
      <c r="I94" s="756"/>
      <c r="J94" s="470">
        <f>J70</f>
        <v>646.20999999999992</v>
      </c>
    </row>
    <row r="95" spans="1:10" ht="21" customHeight="1">
      <c r="A95" s="469" t="s">
        <v>431</v>
      </c>
      <c r="B95" s="756" t="s">
        <v>432</v>
      </c>
      <c r="C95" s="756"/>
      <c r="D95" s="756"/>
      <c r="E95" s="756"/>
      <c r="F95" s="756"/>
      <c r="G95" s="756"/>
      <c r="H95" s="756"/>
      <c r="I95" s="756"/>
      <c r="J95" s="470">
        <f>J87</f>
        <v>498.77000000000004</v>
      </c>
    </row>
    <row r="96" spans="1:10" ht="21" customHeight="1">
      <c r="A96" s="697" t="s">
        <v>433</v>
      </c>
      <c r="B96" s="697"/>
      <c r="C96" s="697"/>
      <c r="D96" s="697"/>
      <c r="E96" s="697"/>
      <c r="F96" s="697"/>
      <c r="G96" s="697"/>
      <c r="H96" s="697"/>
      <c r="I96" s="697"/>
      <c r="J96" s="460">
        <f>SUM(J93+J94+J95)</f>
        <v>1324.09</v>
      </c>
    </row>
    <row r="97" spans="1:10" ht="9.9499999999999993" customHeight="1">
      <c r="A97" s="70"/>
      <c r="B97" s="70"/>
      <c r="C97" s="70"/>
      <c r="D97" s="70"/>
      <c r="E97" s="70"/>
      <c r="F97" s="70"/>
      <c r="G97" s="70"/>
      <c r="H97" s="70"/>
      <c r="I97" s="70"/>
      <c r="J97" s="82"/>
    </row>
    <row r="98" spans="1:10" ht="17.25" customHeight="1">
      <c r="A98" s="753" t="s">
        <v>434</v>
      </c>
      <c r="B98" s="753"/>
      <c r="C98" s="753"/>
      <c r="D98" s="753"/>
      <c r="E98" s="753"/>
      <c r="F98" s="753"/>
      <c r="G98" s="753"/>
      <c r="H98" s="753"/>
      <c r="I98" s="753"/>
      <c r="J98" s="753"/>
    </row>
    <row r="99" spans="1:10" ht="17.25" customHeight="1">
      <c r="A99" s="464"/>
      <c r="B99" s="753" t="s">
        <v>427</v>
      </c>
      <c r="C99" s="753"/>
      <c r="D99" s="753"/>
      <c r="E99" s="753"/>
      <c r="F99" s="753"/>
      <c r="G99" s="753"/>
      <c r="H99" s="753"/>
      <c r="I99" s="753"/>
      <c r="J99" s="464" t="s">
        <v>435</v>
      </c>
    </row>
    <row r="100" spans="1:10" ht="17.25" customHeight="1">
      <c r="A100" s="469" t="s">
        <v>334</v>
      </c>
      <c r="B100" s="749" t="s">
        <v>436</v>
      </c>
      <c r="C100" s="749"/>
      <c r="D100" s="749"/>
      <c r="E100" s="749"/>
      <c r="F100" s="749"/>
      <c r="G100" s="749"/>
      <c r="H100" s="749"/>
      <c r="I100" s="749"/>
      <c r="J100" s="470">
        <f>ROUND((($J$50/12)+($J$55/12)+($J$50/12/12)+($J$56/12))*(30/30)*0.05,2)</f>
        <v>7.86</v>
      </c>
    </row>
    <row r="101" spans="1:10" ht="17.25" customHeight="1">
      <c r="A101" s="469" t="s">
        <v>336</v>
      </c>
      <c r="B101" s="749" t="s">
        <v>437</v>
      </c>
      <c r="C101" s="749"/>
      <c r="D101" s="749"/>
      <c r="E101" s="749"/>
      <c r="F101" s="749"/>
      <c r="G101" s="749"/>
      <c r="H101" s="749"/>
      <c r="I101" s="749"/>
      <c r="J101" s="470">
        <f>ROUND($J$100*I69,2)</f>
        <v>0.63</v>
      </c>
    </row>
    <row r="102" spans="1:10" ht="17.25" customHeight="1">
      <c r="A102" s="469" t="s">
        <v>337</v>
      </c>
      <c r="B102" s="749" t="s">
        <v>438</v>
      </c>
      <c r="C102" s="749"/>
      <c r="D102" s="749"/>
      <c r="E102" s="749"/>
      <c r="F102" s="749"/>
      <c r="G102" s="749"/>
      <c r="H102" s="749"/>
      <c r="I102" s="749"/>
      <c r="J102" s="470">
        <f>ROUND(0.08*0.4*($J$50+$J$55+$J$56)*0.05,2)</f>
        <v>2.81</v>
      </c>
    </row>
    <row r="103" spans="1:10" ht="17.25" customHeight="1">
      <c r="A103" s="469" t="s">
        <v>339</v>
      </c>
      <c r="B103" s="749" t="s">
        <v>439</v>
      </c>
      <c r="C103" s="749"/>
      <c r="D103" s="749"/>
      <c r="E103" s="749"/>
      <c r="F103" s="749"/>
      <c r="G103" s="749"/>
      <c r="H103" s="749"/>
      <c r="I103" s="749"/>
      <c r="J103" s="470">
        <f>ROUND(((($J$50/30)*7)/$H$21)*1,2)</f>
        <v>18.399999999999999</v>
      </c>
    </row>
    <row r="104" spans="1:10" ht="17.25" customHeight="1">
      <c r="A104" s="469" t="s">
        <v>399</v>
      </c>
      <c r="B104" s="749" t="s">
        <v>440</v>
      </c>
      <c r="C104" s="749"/>
      <c r="D104" s="749"/>
      <c r="E104" s="749"/>
      <c r="F104" s="749"/>
      <c r="G104" s="749"/>
      <c r="H104" s="749"/>
      <c r="I104" s="749"/>
      <c r="J104" s="470">
        <f>ROUND($I$70*J103,2)</f>
        <v>6.77</v>
      </c>
    </row>
    <row r="105" spans="1:10" ht="17.25" customHeight="1">
      <c r="A105" s="469" t="s">
        <v>400</v>
      </c>
      <c r="B105" s="749" t="s">
        <v>441</v>
      </c>
      <c r="C105" s="749"/>
      <c r="D105" s="749"/>
      <c r="E105" s="749"/>
      <c r="F105" s="749"/>
      <c r="G105" s="749"/>
      <c r="H105" s="749"/>
      <c r="I105" s="749"/>
      <c r="J105" s="470">
        <f>ROUND(0.08*0.4*($J$50+$J$55+$J$56)*0.9,2)</f>
        <v>50.57</v>
      </c>
    </row>
    <row r="106" spans="1:10" ht="17.25" customHeight="1">
      <c r="A106" s="697" t="s">
        <v>442</v>
      </c>
      <c r="B106" s="697"/>
      <c r="C106" s="697"/>
      <c r="D106" s="697"/>
      <c r="E106" s="697"/>
      <c r="F106" s="697"/>
      <c r="G106" s="697"/>
      <c r="H106" s="697"/>
      <c r="I106" s="697"/>
      <c r="J106" s="460">
        <f>SUM(J100:J105)</f>
        <v>87.039999999999992</v>
      </c>
    </row>
    <row r="107" spans="1:10" ht="9.9499999999999993" customHeight="1">
      <c r="A107" s="70"/>
      <c r="B107" s="70"/>
      <c r="C107" s="70"/>
      <c r="D107" s="70"/>
      <c r="E107" s="70"/>
      <c r="F107" s="70"/>
      <c r="G107" s="70"/>
      <c r="H107" s="70"/>
      <c r="I107" s="70"/>
      <c r="J107" s="82"/>
    </row>
    <row r="108" spans="1:10" ht="17.25" customHeight="1">
      <c r="A108" s="753" t="s">
        <v>443</v>
      </c>
      <c r="B108" s="753"/>
      <c r="C108" s="753"/>
      <c r="D108" s="753"/>
      <c r="E108" s="753"/>
      <c r="F108" s="753"/>
      <c r="G108" s="753"/>
      <c r="H108" s="753"/>
      <c r="I108" s="753"/>
      <c r="J108" s="753"/>
    </row>
    <row r="109" spans="1:10" ht="25.5" customHeight="1">
      <c r="A109" s="753" t="s">
        <v>444</v>
      </c>
      <c r="B109" s="753"/>
      <c r="C109" s="753"/>
      <c r="D109" s="753"/>
      <c r="E109" s="753"/>
      <c r="F109" s="753"/>
      <c r="G109" s="753"/>
      <c r="H109" s="753"/>
      <c r="I109" s="753"/>
      <c r="J109" s="753"/>
    </row>
    <row r="110" spans="1:10" ht="30.75" customHeight="1">
      <c r="A110" s="753" t="s">
        <v>590</v>
      </c>
      <c r="B110" s="753"/>
      <c r="C110" s="71">
        <f>J50</f>
        <v>1576.9099999999999</v>
      </c>
      <c r="D110" s="753" t="s">
        <v>619</v>
      </c>
      <c r="E110" s="753"/>
      <c r="F110" s="71">
        <f>J96-J81-J76</f>
        <v>842.64</v>
      </c>
      <c r="G110" s="753" t="s">
        <v>447</v>
      </c>
      <c r="H110" s="753"/>
      <c r="I110" s="71">
        <f>J106</f>
        <v>87.039999999999992</v>
      </c>
      <c r="J110" s="83">
        <f>ROUND((J50+(J96-J81-J76)+J106),2)</f>
        <v>2506.59</v>
      </c>
    </row>
    <row r="111" spans="1:10" ht="17.25" customHeight="1">
      <c r="A111" s="753" t="s">
        <v>448</v>
      </c>
      <c r="B111" s="753"/>
      <c r="C111" s="753"/>
      <c r="D111" s="753"/>
      <c r="E111" s="753"/>
      <c r="F111" s="753"/>
      <c r="G111" s="753" t="s">
        <v>449</v>
      </c>
      <c r="H111" s="753"/>
      <c r="I111" s="753"/>
      <c r="J111" s="84">
        <f>ROUND(J110/30,2)</f>
        <v>83.55</v>
      </c>
    </row>
    <row r="112" spans="1:10" ht="17.25" customHeight="1">
      <c r="A112" s="475"/>
      <c r="B112" s="475"/>
      <c r="C112" s="475"/>
      <c r="D112" s="475"/>
      <c r="E112" s="475"/>
      <c r="F112" s="475"/>
      <c r="G112" s="475"/>
      <c r="H112" s="475"/>
      <c r="I112" s="475"/>
      <c r="J112" s="476"/>
    </row>
    <row r="113" spans="1:10" ht="17.25" customHeight="1">
      <c r="A113" s="464" t="s">
        <v>450</v>
      </c>
      <c r="B113" s="753" t="s">
        <v>451</v>
      </c>
      <c r="C113" s="753"/>
      <c r="D113" s="753"/>
      <c r="E113" s="753"/>
      <c r="F113" s="753"/>
      <c r="G113" s="753"/>
      <c r="H113" s="753"/>
      <c r="I113" s="753"/>
      <c r="J113" s="464" t="s">
        <v>389</v>
      </c>
    </row>
    <row r="114" spans="1:10" ht="27" customHeight="1">
      <c r="A114" s="469" t="s">
        <v>334</v>
      </c>
      <c r="B114" s="749" t="s">
        <v>726</v>
      </c>
      <c r="C114" s="749"/>
      <c r="D114" s="749"/>
      <c r="E114" s="749"/>
      <c r="F114" s="749"/>
      <c r="G114" s="749"/>
      <c r="H114" s="749"/>
      <c r="I114" s="749"/>
      <c r="J114" s="470">
        <f>ROUND(J50*9.075%,2)</f>
        <v>143.1</v>
      </c>
    </row>
    <row r="115" spans="1:10" ht="17.25" customHeight="1">
      <c r="A115" s="469" t="s">
        <v>336</v>
      </c>
      <c r="B115" s="749" t="s">
        <v>452</v>
      </c>
      <c r="C115" s="749"/>
      <c r="D115" s="749"/>
      <c r="E115" s="749"/>
      <c r="F115" s="749"/>
      <c r="G115" s="749"/>
      <c r="H115" s="749"/>
      <c r="I115" s="749"/>
      <c r="J115" s="380">
        <f>ROUND((($J$110/30)*1)/12,2)</f>
        <v>6.96</v>
      </c>
    </row>
    <row r="116" spans="1:10" ht="17.25" customHeight="1">
      <c r="A116" s="469" t="s">
        <v>337</v>
      </c>
      <c r="B116" s="749" t="s">
        <v>453</v>
      </c>
      <c r="C116" s="749"/>
      <c r="D116" s="749"/>
      <c r="E116" s="749"/>
      <c r="F116" s="749"/>
      <c r="G116" s="749"/>
      <c r="H116" s="749"/>
      <c r="I116" s="749"/>
      <c r="J116" s="380">
        <f>ROUND((($J$110/30)*5)/12*0.015,2)</f>
        <v>0.52</v>
      </c>
    </row>
    <row r="117" spans="1:10" ht="17.25" customHeight="1">
      <c r="A117" s="469" t="s">
        <v>339</v>
      </c>
      <c r="B117" s="749" t="s">
        <v>454</v>
      </c>
      <c r="C117" s="749"/>
      <c r="D117" s="749"/>
      <c r="E117" s="749"/>
      <c r="F117" s="749"/>
      <c r="G117" s="749"/>
      <c r="H117" s="749"/>
      <c r="I117" s="749"/>
      <c r="J117" s="470">
        <f>ROUND(((($J$110/30)*15)/12)*0.0078,2)</f>
        <v>0.81</v>
      </c>
    </row>
    <row r="118" spans="1:10" ht="17.25" customHeight="1">
      <c r="A118" s="469" t="s">
        <v>399</v>
      </c>
      <c r="B118" s="749" t="s">
        <v>455</v>
      </c>
      <c r="C118" s="749"/>
      <c r="D118" s="749"/>
      <c r="E118" s="749"/>
      <c r="F118" s="749"/>
      <c r="G118" s="749"/>
      <c r="H118" s="749"/>
      <c r="I118" s="749"/>
      <c r="J118" s="470">
        <f>ROUND((((J50+J50/3)/12+(J70+J87-J81-J76+J106))*4/12)*0.02,2)</f>
        <v>6.17</v>
      </c>
    </row>
    <row r="119" spans="1:10" ht="17.25" customHeight="1">
      <c r="A119" s="469" t="s">
        <v>400</v>
      </c>
      <c r="B119" s="749" t="s">
        <v>456</v>
      </c>
      <c r="C119" s="749"/>
      <c r="D119" s="749"/>
      <c r="E119" s="749"/>
      <c r="F119" s="749"/>
      <c r="G119" s="749"/>
      <c r="H119" s="749"/>
      <c r="I119" s="749"/>
      <c r="J119" s="470">
        <f>ROUND(((($J$110/30)*5)/12),2)</f>
        <v>34.81</v>
      </c>
    </row>
    <row r="120" spans="1:10" ht="17.25" customHeight="1">
      <c r="A120" s="697" t="s">
        <v>457</v>
      </c>
      <c r="B120" s="697"/>
      <c r="C120" s="697"/>
      <c r="D120" s="697"/>
      <c r="E120" s="697"/>
      <c r="F120" s="697"/>
      <c r="G120" s="697"/>
      <c r="H120" s="697"/>
      <c r="I120" s="697"/>
      <c r="J120" s="460">
        <f>SUM(J114:J119)</f>
        <v>192.37</v>
      </c>
    </row>
    <row r="121" spans="1:10" ht="9.9499999999999993" customHeight="1">
      <c r="A121" s="825"/>
      <c r="B121" s="825"/>
      <c r="C121" s="825"/>
      <c r="D121" s="825"/>
      <c r="E121" s="825"/>
      <c r="F121" s="825"/>
      <c r="G121" s="825"/>
      <c r="H121" s="825"/>
      <c r="I121" s="825"/>
      <c r="J121" s="382"/>
    </row>
    <row r="122" spans="1:10" ht="18.75" customHeight="1">
      <c r="A122" s="464" t="s">
        <v>458</v>
      </c>
      <c r="B122" s="753" t="s">
        <v>459</v>
      </c>
      <c r="C122" s="753"/>
      <c r="D122" s="753"/>
      <c r="E122" s="753"/>
      <c r="F122" s="753"/>
      <c r="G122" s="753"/>
      <c r="H122" s="753"/>
      <c r="I122" s="753"/>
      <c r="J122" s="464" t="s">
        <v>389</v>
      </c>
    </row>
    <row r="123" spans="1:10" ht="18.75" customHeight="1">
      <c r="A123" s="469" t="s">
        <v>334</v>
      </c>
      <c r="B123" s="749" t="s">
        <v>460</v>
      </c>
      <c r="C123" s="749"/>
      <c r="D123" s="749"/>
      <c r="E123" s="749"/>
      <c r="F123" s="749"/>
      <c r="G123" s="749"/>
      <c r="H123" s="749"/>
      <c r="I123" s="749"/>
      <c r="J123" s="470">
        <v>0</v>
      </c>
    </row>
    <row r="124" spans="1:10" ht="18.75" customHeight="1">
      <c r="A124" s="697" t="s">
        <v>461</v>
      </c>
      <c r="B124" s="697"/>
      <c r="C124" s="697"/>
      <c r="D124" s="697"/>
      <c r="E124" s="697"/>
      <c r="F124" s="697"/>
      <c r="G124" s="697"/>
      <c r="H124" s="697"/>
      <c r="I124" s="697"/>
      <c r="J124" s="460">
        <f>SUM(J123)</f>
        <v>0</v>
      </c>
    </row>
    <row r="125" spans="1:10" ht="18.75" customHeight="1">
      <c r="A125" s="825"/>
      <c r="B125" s="825"/>
      <c r="C125" s="825"/>
      <c r="D125" s="825"/>
      <c r="E125" s="825"/>
      <c r="F125" s="825"/>
      <c r="G125" s="825"/>
      <c r="H125" s="825"/>
      <c r="I125" s="825"/>
      <c r="J125" s="382"/>
    </row>
    <row r="126" spans="1:10" ht="18.75" customHeight="1">
      <c r="A126" s="753" t="s">
        <v>462</v>
      </c>
      <c r="B126" s="753"/>
      <c r="C126" s="753"/>
      <c r="D126" s="753"/>
      <c r="E126" s="753"/>
      <c r="F126" s="753"/>
      <c r="G126" s="753"/>
      <c r="H126" s="753"/>
      <c r="I126" s="753"/>
      <c r="J126" s="753"/>
    </row>
    <row r="127" spans="1:10" ht="18.75" customHeight="1">
      <c r="A127" s="464" t="s">
        <v>463</v>
      </c>
      <c r="B127" s="753" t="s">
        <v>427</v>
      </c>
      <c r="C127" s="753"/>
      <c r="D127" s="753"/>
      <c r="E127" s="753"/>
      <c r="F127" s="753"/>
      <c r="G127" s="753"/>
      <c r="H127" s="753"/>
      <c r="I127" s="753"/>
      <c r="J127" s="91" t="s">
        <v>389</v>
      </c>
    </row>
    <row r="128" spans="1:10" ht="18.75" customHeight="1">
      <c r="A128" s="469" t="s">
        <v>450</v>
      </c>
      <c r="B128" s="749" t="s">
        <v>451</v>
      </c>
      <c r="C128" s="749"/>
      <c r="D128" s="749"/>
      <c r="E128" s="749"/>
      <c r="F128" s="749"/>
      <c r="G128" s="749"/>
      <c r="H128" s="749"/>
      <c r="I128" s="749"/>
      <c r="J128" s="470">
        <f>J120</f>
        <v>192.37</v>
      </c>
    </row>
    <row r="129" spans="1:10" ht="18.75" customHeight="1">
      <c r="A129" s="469" t="s">
        <v>464</v>
      </c>
      <c r="B129" s="749" t="s">
        <v>459</v>
      </c>
      <c r="C129" s="749"/>
      <c r="D129" s="749"/>
      <c r="E129" s="749"/>
      <c r="F129" s="749"/>
      <c r="G129" s="749"/>
      <c r="H129" s="749"/>
      <c r="I129" s="749"/>
      <c r="J129" s="470">
        <f>J124</f>
        <v>0</v>
      </c>
    </row>
    <row r="130" spans="1:10" ht="18.75" customHeight="1">
      <c r="A130" s="697" t="s">
        <v>465</v>
      </c>
      <c r="B130" s="697"/>
      <c r="C130" s="697"/>
      <c r="D130" s="697"/>
      <c r="E130" s="697"/>
      <c r="F130" s="697"/>
      <c r="G130" s="697"/>
      <c r="H130" s="697"/>
      <c r="I130" s="697"/>
      <c r="J130" s="460">
        <f>SUM(J128+J129)</f>
        <v>192.37</v>
      </c>
    </row>
    <row r="131" spans="1:10" ht="24" customHeight="1">
      <c r="A131" s="305" t="s">
        <v>423</v>
      </c>
      <c r="B131" s="755" t="s">
        <v>467</v>
      </c>
      <c r="C131" s="755"/>
      <c r="D131" s="755"/>
      <c r="E131" s="755"/>
      <c r="F131" s="755"/>
      <c r="G131" s="755"/>
      <c r="H131" s="755"/>
      <c r="I131" s="755"/>
      <c r="J131" s="755"/>
    </row>
    <row r="132" spans="1:10" ht="9.9499999999999993" customHeight="1">
      <c r="A132" s="68"/>
      <c r="B132" s="69"/>
      <c r="C132" s="69"/>
      <c r="D132" s="69"/>
      <c r="E132" s="69"/>
      <c r="F132" s="69"/>
      <c r="G132" s="69"/>
      <c r="H132" s="69"/>
      <c r="I132" s="69"/>
      <c r="J132" s="69"/>
    </row>
    <row r="133" spans="1:10" ht="19.5" customHeight="1">
      <c r="A133" s="753" t="s">
        <v>468</v>
      </c>
      <c r="B133" s="753"/>
      <c r="C133" s="753"/>
      <c r="D133" s="753"/>
      <c r="E133" s="753"/>
      <c r="F133" s="753"/>
      <c r="G133" s="753"/>
      <c r="H133" s="753"/>
      <c r="I133" s="753"/>
      <c r="J133" s="753"/>
    </row>
    <row r="134" spans="1:10" ht="19.5" customHeight="1">
      <c r="A134" s="464"/>
      <c r="B134" s="753" t="s">
        <v>427</v>
      </c>
      <c r="C134" s="753"/>
      <c r="D134" s="753"/>
      <c r="E134" s="753"/>
      <c r="F134" s="753"/>
      <c r="G134" s="753"/>
      <c r="H134" s="753"/>
      <c r="I134" s="753"/>
      <c r="J134" s="464" t="s">
        <v>389</v>
      </c>
    </row>
    <row r="135" spans="1:10" ht="19.5" customHeight="1">
      <c r="A135" s="469" t="s">
        <v>334</v>
      </c>
      <c r="B135" s="749" t="s">
        <v>469</v>
      </c>
      <c r="C135" s="749"/>
      <c r="D135" s="749"/>
      <c r="E135" s="749"/>
      <c r="F135" s="749"/>
      <c r="G135" s="749"/>
      <c r="H135" s="749"/>
      <c r="I135" s="749"/>
      <c r="J135" s="470">
        <f>'2. INSUMOS'!F91</f>
        <v>69.038333333333341</v>
      </c>
    </row>
    <row r="136" spans="1:10" ht="19.5" customHeight="1">
      <c r="A136" s="469" t="s">
        <v>336</v>
      </c>
      <c r="B136" s="749" t="s">
        <v>470</v>
      </c>
      <c r="C136" s="749"/>
      <c r="D136" s="749"/>
      <c r="E136" s="749"/>
      <c r="F136" s="749"/>
      <c r="G136" s="749"/>
      <c r="H136" s="749"/>
      <c r="I136" s="749"/>
      <c r="J136" s="470">
        <f>'2. INSUMOS'!F87</f>
        <v>413.46755534575993</v>
      </c>
    </row>
    <row r="137" spans="1:10" ht="19.5" customHeight="1">
      <c r="A137" s="469" t="s">
        <v>337</v>
      </c>
      <c r="B137" s="749" t="s">
        <v>471</v>
      </c>
      <c r="C137" s="749"/>
      <c r="D137" s="749"/>
      <c r="E137" s="749"/>
      <c r="F137" s="749"/>
      <c r="G137" s="749"/>
      <c r="H137" s="749"/>
      <c r="I137" s="749"/>
      <c r="J137" s="470">
        <f>'2. INSUMOS'!F89</f>
        <v>0.35860465826950028</v>
      </c>
    </row>
    <row r="138" spans="1:10" ht="19.5" customHeight="1">
      <c r="A138" s="469" t="s">
        <v>339</v>
      </c>
      <c r="B138" s="749" t="s">
        <v>620</v>
      </c>
      <c r="C138" s="749"/>
      <c r="D138" s="749"/>
      <c r="E138" s="749"/>
      <c r="F138" s="749"/>
      <c r="G138" s="749"/>
      <c r="H138" s="749"/>
      <c r="I138" s="749"/>
      <c r="J138" s="470" t="s">
        <v>473</v>
      </c>
    </row>
    <row r="139" spans="1:10" ht="19.5" customHeight="1">
      <c r="A139" s="697" t="s">
        <v>592</v>
      </c>
      <c r="B139" s="697"/>
      <c r="C139" s="697"/>
      <c r="D139" s="697"/>
      <c r="E139" s="697"/>
      <c r="F139" s="697"/>
      <c r="G139" s="697"/>
      <c r="H139" s="697"/>
      <c r="I139" s="697"/>
      <c r="J139" s="460">
        <f>SUM(J135:J138)</f>
        <v>482.86449333736277</v>
      </c>
    </row>
    <row r="140" spans="1:10">
      <c r="A140" s="305" t="s">
        <v>466</v>
      </c>
      <c r="B140" s="755" t="s">
        <v>476</v>
      </c>
      <c r="C140" s="755"/>
      <c r="D140" s="755"/>
      <c r="E140" s="755"/>
      <c r="F140" s="755"/>
      <c r="G140" s="755"/>
      <c r="H140" s="755"/>
      <c r="I140" s="755"/>
      <c r="J140" s="755"/>
    </row>
    <row r="141" spans="1:10" ht="9.9499999999999993" customHeight="1">
      <c r="A141" s="824"/>
      <c r="B141" s="824"/>
      <c r="C141" s="824"/>
      <c r="D141" s="824"/>
      <c r="E141" s="824"/>
      <c r="F141" s="824"/>
      <c r="G141" s="824"/>
      <c r="H141" s="824"/>
      <c r="I141" s="824"/>
      <c r="J141" s="824"/>
    </row>
    <row r="142" spans="1:10" ht="15" customHeight="1">
      <c r="A142" s="753" t="s">
        <v>477</v>
      </c>
      <c r="B142" s="753"/>
      <c r="C142" s="753"/>
      <c r="D142" s="753"/>
      <c r="E142" s="753"/>
      <c r="F142" s="753"/>
      <c r="G142" s="753"/>
      <c r="H142" s="753"/>
      <c r="I142" s="753"/>
      <c r="J142" s="753"/>
    </row>
    <row r="143" spans="1:10" ht="15">
      <c r="A143" s="464"/>
      <c r="B143" s="753" t="s">
        <v>478</v>
      </c>
      <c r="C143" s="753"/>
      <c r="D143" s="753"/>
      <c r="E143" s="753"/>
      <c r="F143" s="753"/>
      <c r="G143" s="753"/>
      <c r="H143" s="753"/>
      <c r="I143" s="464" t="s">
        <v>377</v>
      </c>
      <c r="J143" s="91" t="s">
        <v>389</v>
      </c>
    </row>
    <row r="144" spans="1:10" ht="39.75" customHeight="1">
      <c r="A144" s="749" t="s">
        <v>479</v>
      </c>
      <c r="B144" s="749"/>
      <c r="C144" s="749"/>
      <c r="D144" s="749"/>
      <c r="E144" s="749"/>
      <c r="F144" s="749"/>
      <c r="G144" s="749"/>
      <c r="H144" s="749"/>
      <c r="I144" s="749"/>
      <c r="J144" s="451">
        <f>SUM(J50+J96+J106+J130+J139)</f>
        <v>3663.2744933373624</v>
      </c>
    </row>
    <row r="145" spans="1:12" ht="15.75">
      <c r="A145" s="471" t="s">
        <v>334</v>
      </c>
      <c r="B145" s="822" t="s">
        <v>480</v>
      </c>
      <c r="C145" s="822"/>
      <c r="D145" s="822"/>
      <c r="E145" s="822"/>
      <c r="F145" s="822"/>
      <c r="G145" s="822"/>
      <c r="H145" s="822"/>
      <c r="I145" s="392">
        <f>'1. ABA DE CARREGAMENTO'!$B$103</f>
        <v>0.06</v>
      </c>
      <c r="J145" s="460">
        <f>ROUND(I145*J144,2)</f>
        <v>219.8</v>
      </c>
    </row>
    <row r="146" spans="1:12" ht="38.25" customHeight="1">
      <c r="A146" s="749" t="s">
        <v>481</v>
      </c>
      <c r="B146" s="749"/>
      <c r="C146" s="749"/>
      <c r="D146" s="749"/>
      <c r="E146" s="749"/>
      <c r="F146" s="749"/>
      <c r="G146" s="749"/>
      <c r="H146" s="749"/>
      <c r="I146" s="749"/>
      <c r="J146" s="389">
        <f>SUM(J50+J96+J106+J130+J139+J145)</f>
        <v>3883.0744933373626</v>
      </c>
    </row>
    <row r="147" spans="1:12" ht="15.75">
      <c r="A147" s="471" t="s">
        <v>336</v>
      </c>
      <c r="B147" s="822" t="s">
        <v>102</v>
      </c>
      <c r="C147" s="822"/>
      <c r="D147" s="822"/>
      <c r="E147" s="822"/>
      <c r="F147" s="822"/>
      <c r="G147" s="822"/>
      <c r="H147" s="822"/>
      <c r="I147" s="392">
        <f>'1. ABA DE CARREGAMENTO'!$B$104</f>
        <v>6.7900000000000002E-2</v>
      </c>
      <c r="J147" s="460">
        <f>ROUND(I147*J146,2)</f>
        <v>263.66000000000003</v>
      </c>
    </row>
    <row r="148" spans="1:12" ht="42.75" customHeight="1">
      <c r="A148" s="749" t="s">
        <v>482</v>
      </c>
      <c r="B148" s="749"/>
      <c r="C148" s="749"/>
      <c r="D148" s="749"/>
      <c r="E148" s="749"/>
      <c r="F148" s="749"/>
      <c r="G148" s="749"/>
      <c r="H148" s="749"/>
      <c r="I148" s="749"/>
      <c r="J148" s="389">
        <f>SUM(J50+J96+J106+J130+J139+J145+J147)</f>
        <v>4146.7344933373624</v>
      </c>
    </row>
    <row r="149" spans="1:12" ht="15.75">
      <c r="A149" s="471" t="s">
        <v>337</v>
      </c>
      <c r="B149" s="822" t="s">
        <v>483</v>
      </c>
      <c r="C149" s="822"/>
      <c r="D149" s="822"/>
      <c r="E149" s="822"/>
      <c r="F149" s="822"/>
      <c r="G149" s="822"/>
      <c r="H149" s="822"/>
      <c r="I149" s="392">
        <f>SUM(I150:I153)</f>
        <v>0.1225</v>
      </c>
      <c r="J149" s="460">
        <f>SUM(J150:J153)</f>
        <v>578.89</v>
      </c>
      <c r="K149" s="823"/>
      <c r="L149" s="823"/>
    </row>
    <row r="150" spans="1:12">
      <c r="A150" s="800" t="s">
        <v>484</v>
      </c>
      <c r="B150" s="749" t="s">
        <v>485</v>
      </c>
      <c r="C150" s="749"/>
      <c r="D150" s="749"/>
      <c r="E150" s="749"/>
      <c r="F150" s="749" t="s">
        <v>104</v>
      </c>
      <c r="G150" s="749"/>
      <c r="H150" s="749"/>
      <c r="I150" s="51">
        <f>IF(H15=1,0.0165,IF(H15=2,0.0065,IF(H15=3,'1. ABA DE CARREGAMENTO'!B108,IF(H15=4,'1. ABA DE CARREGAMENTO'!B108,IF(H15=5,'1. ABA DE CARREGAMENTO'!B112,"RT Indefinido")))))</f>
        <v>1.6500000000000001E-2</v>
      </c>
      <c r="J150" s="389">
        <f>ROUND(($J$148/(1-$I$149))*I150,2)</f>
        <v>77.97</v>
      </c>
      <c r="K150" s="393"/>
      <c r="L150" s="394"/>
    </row>
    <row r="151" spans="1:12">
      <c r="A151" s="800"/>
      <c r="B151" s="749"/>
      <c r="C151" s="749"/>
      <c r="D151" s="749"/>
      <c r="E151" s="749"/>
      <c r="F151" s="749" t="s">
        <v>105</v>
      </c>
      <c r="G151" s="749"/>
      <c r="H151" s="749"/>
      <c r="I151" s="51">
        <f>IF(H15=1,0.076,IF(H15=2,0.03,IF(H15=3,'1. ABA DE CARREGAMENTO'!B109,IF(H15=4,'1. ABA DE CARREGAMENTO'!B109,IF(H15=5,'1. ABA DE CARREGAMENTO'!B113,"RT Indefinido")))))</f>
        <v>7.5999999999999998E-2</v>
      </c>
      <c r="J151" s="389">
        <f>ROUND(($J$148/(1-$I$149))*I151,2)</f>
        <v>359.15</v>
      </c>
      <c r="K151" s="393"/>
      <c r="L151" s="394"/>
    </row>
    <row r="152" spans="1:12" ht="15" customHeight="1">
      <c r="A152" s="469" t="s">
        <v>486</v>
      </c>
      <c r="B152" s="749" t="s">
        <v>487</v>
      </c>
      <c r="C152" s="749"/>
      <c r="D152" s="749"/>
      <c r="E152" s="749"/>
      <c r="F152" s="749" t="s">
        <v>488</v>
      </c>
      <c r="G152" s="749"/>
      <c r="H152" s="749"/>
      <c r="I152" s="51">
        <v>0</v>
      </c>
      <c r="J152" s="470">
        <v>0</v>
      </c>
      <c r="K152" s="393"/>
      <c r="L152" s="394"/>
    </row>
    <row r="153" spans="1:12" ht="15" customHeight="1">
      <c r="A153" s="469" t="s">
        <v>489</v>
      </c>
      <c r="B153" s="749" t="s">
        <v>490</v>
      </c>
      <c r="C153" s="749"/>
      <c r="D153" s="749"/>
      <c r="E153" s="749"/>
      <c r="F153" s="749" t="s">
        <v>491</v>
      </c>
      <c r="G153" s="749"/>
      <c r="H153" s="749"/>
      <c r="I153" s="51">
        <f>'1. ABA DE CARREGAMENTO'!$B$105</f>
        <v>0.03</v>
      </c>
      <c r="J153" s="389">
        <f>ROUND(($J$148/(1-$I$149))*I153,2)</f>
        <v>141.77000000000001</v>
      </c>
    </row>
    <row r="154" spans="1:12" ht="15" customHeight="1">
      <c r="A154" s="697" t="s">
        <v>492</v>
      </c>
      <c r="B154" s="697"/>
      <c r="C154" s="697"/>
      <c r="D154" s="697"/>
      <c r="E154" s="697"/>
      <c r="F154" s="697"/>
      <c r="G154" s="697"/>
      <c r="H154" s="697"/>
      <c r="I154" s="697"/>
      <c r="J154" s="460">
        <f>SUM(J145+J147+J149)</f>
        <v>1062.3499999999999</v>
      </c>
    </row>
    <row r="155" spans="1:12">
      <c r="A155" s="477" t="s">
        <v>475</v>
      </c>
      <c r="B155" s="864" t="s">
        <v>494</v>
      </c>
      <c r="C155" s="864"/>
      <c r="D155" s="864"/>
      <c r="E155" s="864"/>
      <c r="F155" s="864"/>
      <c r="G155" s="864"/>
      <c r="H155" s="864"/>
      <c r="I155" s="864"/>
      <c r="J155" s="864"/>
    </row>
    <row r="156" spans="1:12" ht="12.75" customHeight="1">
      <c r="A156" s="857" t="s">
        <v>493</v>
      </c>
      <c r="B156" s="678" t="s">
        <v>495</v>
      </c>
      <c r="C156" s="679"/>
      <c r="D156" s="733" t="s">
        <v>699</v>
      </c>
      <c r="E156" s="734"/>
      <c r="F156" s="734"/>
      <c r="G156" s="813" t="s">
        <v>700</v>
      </c>
      <c r="H156" s="814"/>
      <c r="I156" s="396"/>
      <c r="J156" s="819"/>
    </row>
    <row r="157" spans="1:12" ht="12.75" customHeight="1">
      <c r="A157" s="858"/>
      <c r="B157" s="680"/>
      <c r="C157" s="681"/>
      <c r="D157" s="735"/>
      <c r="E157" s="736"/>
      <c r="F157" s="736"/>
      <c r="G157" s="815"/>
      <c r="H157" s="816"/>
      <c r="I157" s="397"/>
      <c r="J157" s="820"/>
    </row>
    <row r="158" spans="1:12" ht="12.75" customHeight="1">
      <c r="A158" s="858"/>
      <c r="B158" s="682"/>
      <c r="C158" s="683"/>
      <c r="D158" s="737"/>
      <c r="E158" s="738"/>
      <c r="F158" s="738"/>
      <c r="G158" s="817"/>
      <c r="H158" s="818"/>
      <c r="I158" s="398"/>
      <c r="J158" s="821"/>
    </row>
    <row r="159" spans="1:12">
      <c r="A159" s="833"/>
      <c r="B159" s="833"/>
      <c r="C159" s="833"/>
      <c r="D159" s="833"/>
      <c r="E159" s="833"/>
      <c r="F159" s="833"/>
      <c r="G159" s="833"/>
      <c r="H159" s="833"/>
      <c r="I159" s="833"/>
      <c r="J159" s="833"/>
    </row>
    <row r="160" spans="1:12" ht="29.25" customHeight="1">
      <c r="A160" s="812" t="s">
        <v>701</v>
      </c>
      <c r="B160" s="812"/>
      <c r="C160" s="812"/>
      <c r="D160" s="812"/>
      <c r="E160" s="812"/>
      <c r="F160" s="812"/>
      <c r="G160" s="812"/>
      <c r="H160" s="812"/>
      <c r="I160" s="812"/>
      <c r="J160" s="812"/>
    </row>
    <row r="161" spans="1:10">
      <c r="A161" s="728" t="s">
        <v>497</v>
      </c>
      <c r="B161" s="728"/>
      <c r="C161" s="728"/>
      <c r="D161" s="728"/>
      <c r="E161" s="728"/>
      <c r="F161" s="728"/>
      <c r="G161" s="728"/>
      <c r="H161" s="728"/>
      <c r="I161" s="728"/>
      <c r="J161" s="458" t="s">
        <v>389</v>
      </c>
    </row>
    <row r="162" spans="1:10">
      <c r="A162" s="90" t="s">
        <v>334</v>
      </c>
      <c r="B162" s="729" t="s">
        <v>498</v>
      </c>
      <c r="C162" s="729"/>
      <c r="D162" s="729"/>
      <c r="E162" s="729"/>
      <c r="F162" s="729"/>
      <c r="G162" s="729"/>
      <c r="H162" s="729"/>
      <c r="I162" s="729"/>
      <c r="J162" s="466">
        <f>J50</f>
        <v>1576.9099999999999</v>
      </c>
    </row>
    <row r="163" spans="1:10">
      <c r="A163" s="90" t="s">
        <v>336</v>
      </c>
      <c r="B163" s="729" t="s">
        <v>499</v>
      </c>
      <c r="C163" s="729"/>
      <c r="D163" s="729"/>
      <c r="E163" s="729"/>
      <c r="F163" s="729"/>
      <c r="G163" s="729"/>
      <c r="H163" s="729"/>
      <c r="I163" s="729"/>
      <c r="J163" s="466">
        <f>J96</f>
        <v>1324.09</v>
      </c>
    </row>
    <row r="164" spans="1:10">
      <c r="A164" s="90" t="s">
        <v>337</v>
      </c>
      <c r="B164" s="729" t="s">
        <v>500</v>
      </c>
      <c r="C164" s="729"/>
      <c r="D164" s="729"/>
      <c r="E164" s="729"/>
      <c r="F164" s="729"/>
      <c r="G164" s="729"/>
      <c r="H164" s="729"/>
      <c r="I164" s="729"/>
      <c r="J164" s="466">
        <f>J106</f>
        <v>87.039999999999992</v>
      </c>
    </row>
    <row r="165" spans="1:10">
      <c r="A165" s="90" t="s">
        <v>339</v>
      </c>
      <c r="B165" s="729" t="s">
        <v>501</v>
      </c>
      <c r="C165" s="729"/>
      <c r="D165" s="729"/>
      <c r="E165" s="729"/>
      <c r="F165" s="729"/>
      <c r="G165" s="729"/>
      <c r="H165" s="729"/>
      <c r="I165" s="729"/>
      <c r="J165" s="466">
        <f>J130</f>
        <v>192.37</v>
      </c>
    </row>
    <row r="166" spans="1:10">
      <c r="A166" s="90" t="s">
        <v>399</v>
      </c>
      <c r="B166" s="729" t="s">
        <v>502</v>
      </c>
      <c r="C166" s="729"/>
      <c r="D166" s="729"/>
      <c r="E166" s="729"/>
      <c r="F166" s="729"/>
      <c r="G166" s="729"/>
      <c r="H166" s="729"/>
      <c r="I166" s="729"/>
      <c r="J166" s="466">
        <f>J139</f>
        <v>482.86449333736277</v>
      </c>
    </row>
    <row r="167" spans="1:10">
      <c r="A167" s="730" t="s">
        <v>503</v>
      </c>
      <c r="B167" s="730"/>
      <c r="C167" s="730"/>
      <c r="D167" s="730"/>
      <c r="E167" s="730"/>
      <c r="F167" s="730"/>
      <c r="G167" s="730"/>
      <c r="H167" s="730"/>
      <c r="I167" s="730"/>
      <c r="J167" s="98">
        <f>SUM(J162:J166)</f>
        <v>3663.2744933373624</v>
      </c>
    </row>
    <row r="168" spans="1:10" ht="21" customHeight="1">
      <c r="A168" s="90" t="s">
        <v>400</v>
      </c>
      <c r="B168" s="729" t="s">
        <v>504</v>
      </c>
      <c r="C168" s="729"/>
      <c r="D168" s="729"/>
      <c r="E168" s="729"/>
      <c r="F168" s="729"/>
      <c r="G168" s="729"/>
      <c r="H168" s="729"/>
      <c r="I168" s="729"/>
      <c r="J168" s="466">
        <f>J154</f>
        <v>1062.3499999999999</v>
      </c>
    </row>
    <row r="169" spans="1:10" ht="21" customHeight="1">
      <c r="A169" s="725" t="s">
        <v>505</v>
      </c>
      <c r="B169" s="725"/>
      <c r="C169" s="725"/>
      <c r="D169" s="725"/>
      <c r="E169" s="725"/>
      <c r="F169" s="725"/>
      <c r="G169" s="725"/>
      <c r="H169" s="457">
        <f>'1. ABA DE CARREGAMENTO'!C68</f>
        <v>44</v>
      </c>
      <c r="I169" s="95" t="s">
        <v>380</v>
      </c>
      <c r="J169" s="98">
        <f>SUM(J167:J168)</f>
        <v>4725.6244933373619</v>
      </c>
    </row>
    <row r="170" spans="1:10">
      <c r="A170" s="96"/>
      <c r="B170" s="96"/>
      <c r="C170" s="96"/>
      <c r="D170" s="96"/>
      <c r="E170" s="96"/>
      <c r="F170" s="96"/>
      <c r="G170" s="96"/>
      <c r="H170" s="96"/>
      <c r="I170" s="96"/>
      <c r="J170" s="478"/>
    </row>
    <row r="171" spans="1:10" ht="15.75">
      <c r="A171" s="810" t="s">
        <v>506</v>
      </c>
      <c r="B171" s="810"/>
      <c r="C171" s="810"/>
      <c r="D171" s="810"/>
      <c r="E171" s="810"/>
      <c r="F171" s="810"/>
      <c r="G171" s="810"/>
      <c r="H171" s="810"/>
      <c r="I171" s="810"/>
      <c r="J171" s="810"/>
    </row>
    <row r="172" spans="1:10" ht="12.75" customHeight="1">
      <c r="A172" s="726" t="s">
        <v>507</v>
      </c>
      <c r="B172" s="726"/>
      <c r="C172" s="726"/>
      <c r="D172" s="726"/>
      <c r="E172" s="726"/>
      <c r="F172" s="726"/>
      <c r="G172" s="726"/>
      <c r="H172" s="726"/>
      <c r="I172" s="726"/>
      <c r="J172" s="726"/>
    </row>
    <row r="173" spans="1:10" ht="12.75" customHeight="1">
      <c r="A173" s="721" t="s">
        <v>621</v>
      </c>
      <c r="B173" s="721"/>
      <c r="C173" s="721"/>
      <c r="D173" s="721"/>
      <c r="E173" s="721"/>
      <c r="F173" s="721"/>
      <c r="G173" s="721"/>
      <c r="H173" s="721"/>
      <c r="I173" s="721"/>
      <c r="J173" s="721"/>
    </row>
    <row r="174" spans="1:10" ht="51" customHeight="1">
      <c r="A174" s="463" t="s">
        <v>622</v>
      </c>
      <c r="B174" s="722" t="s">
        <v>623</v>
      </c>
      <c r="C174" s="722"/>
      <c r="D174" s="722"/>
      <c r="E174" s="458" t="s">
        <v>624</v>
      </c>
      <c r="F174" s="669" t="s">
        <v>625</v>
      </c>
      <c r="G174" s="669"/>
      <c r="H174" s="458" t="s">
        <v>626</v>
      </c>
      <c r="I174" s="458" t="s">
        <v>627</v>
      </c>
      <c r="J174" s="458" t="s">
        <v>628</v>
      </c>
    </row>
    <row r="175" spans="1:10" ht="51">
      <c r="A175" s="462" t="s">
        <v>629</v>
      </c>
      <c r="B175" s="479" t="s">
        <v>552</v>
      </c>
      <c r="C175" s="480">
        <v>30</v>
      </c>
      <c r="D175" s="481">
        <f>C176</f>
        <v>160</v>
      </c>
      <c r="E175" s="482">
        <v>188.76</v>
      </c>
      <c r="F175" s="483" t="s">
        <v>552</v>
      </c>
      <c r="G175" s="483" t="s">
        <v>630</v>
      </c>
      <c r="H175" s="484">
        <f>ROUND((B175/(C175*D175))*E175*(F175/G175),7)</f>
        <v>2.0829999999999999E-4</v>
      </c>
      <c r="I175" s="461">
        <v>0</v>
      </c>
      <c r="J175" s="461">
        <f>ROUND(H175*I175,2)</f>
        <v>0</v>
      </c>
    </row>
    <row r="176" spans="1:10" ht="51">
      <c r="A176" s="462" t="s">
        <v>631</v>
      </c>
      <c r="B176" s="479">
        <v>1</v>
      </c>
      <c r="C176" s="862">
        <f>'6. Cálc. mão obra esq. e fach.'!$C$8</f>
        <v>160</v>
      </c>
      <c r="D176" s="862"/>
      <c r="E176" s="107">
        <v>188.76</v>
      </c>
      <c r="F176" s="483" t="s">
        <v>552</v>
      </c>
      <c r="G176" s="483" t="s">
        <v>630</v>
      </c>
      <c r="H176" s="484">
        <f>ROUND((B176/C176)*E176*(F176/G176),7)</f>
        <v>6.2500000000000003E-3</v>
      </c>
      <c r="I176" s="461">
        <f>J169</f>
        <v>4725.6244933373619</v>
      </c>
      <c r="J176" s="461">
        <f>ROUND(H176*I176,2)</f>
        <v>29.54</v>
      </c>
    </row>
    <row r="177" spans="1:26" ht="12.75" customHeight="1">
      <c r="A177" s="697" t="s">
        <v>515</v>
      </c>
      <c r="B177" s="697"/>
      <c r="C177" s="697"/>
      <c r="D177" s="697"/>
      <c r="E177" s="697"/>
      <c r="F177" s="697"/>
      <c r="G177" s="697"/>
      <c r="H177" s="697"/>
      <c r="I177" s="697"/>
      <c r="J177" s="459">
        <f>J176+J175</f>
        <v>29.54</v>
      </c>
    </row>
    <row r="178" spans="1:26">
      <c r="A178" s="863"/>
      <c r="B178" s="863"/>
      <c r="C178" s="863"/>
      <c r="D178" s="863"/>
      <c r="E178" s="863"/>
      <c r="F178" s="863"/>
      <c r="G178" s="863"/>
      <c r="H178" s="863"/>
      <c r="I178" s="863"/>
      <c r="J178" s="863"/>
      <c r="K178" s="378"/>
      <c r="L178" s="378"/>
      <c r="M178" s="378"/>
      <c r="N178" s="378"/>
      <c r="O178" s="378"/>
      <c r="P178" s="378"/>
      <c r="Q178" s="378"/>
      <c r="R178" s="378"/>
      <c r="S178" s="378"/>
      <c r="T178" s="378"/>
      <c r="U178" s="378"/>
      <c r="V178" s="378"/>
      <c r="W178" s="378"/>
      <c r="X178" s="378"/>
      <c r="Y178" s="378"/>
      <c r="Z178" s="378"/>
    </row>
    <row r="179" spans="1:26" ht="51">
      <c r="A179" s="462" t="s">
        <v>632</v>
      </c>
      <c r="B179" s="479">
        <v>1</v>
      </c>
      <c r="C179" s="480">
        <v>30</v>
      </c>
      <c r="D179" s="481">
        <f>C180</f>
        <v>380</v>
      </c>
      <c r="E179" s="107">
        <v>188.76</v>
      </c>
      <c r="F179" s="483" t="s">
        <v>552</v>
      </c>
      <c r="G179" s="483" t="s">
        <v>630</v>
      </c>
      <c r="H179" s="484">
        <f>ROUND((B179/(C179*D179))*E179*(F179/G179),7)</f>
        <v>8.7700000000000004E-5</v>
      </c>
      <c r="I179" s="461">
        <v>0</v>
      </c>
      <c r="J179" s="461">
        <f>ROUND(H179*I179,2)</f>
        <v>0</v>
      </c>
    </row>
    <row r="180" spans="1:26" ht="51">
      <c r="A180" s="462" t="s">
        <v>633</v>
      </c>
      <c r="B180" s="479">
        <v>1</v>
      </c>
      <c r="C180" s="861">
        <f>'6. Cálc. mão obra esq. e fach.'!$C$9</f>
        <v>380</v>
      </c>
      <c r="D180" s="861"/>
      <c r="E180" s="107">
        <v>188.76</v>
      </c>
      <c r="F180" s="483" t="s">
        <v>552</v>
      </c>
      <c r="G180" s="483" t="s">
        <v>630</v>
      </c>
      <c r="H180" s="484">
        <f>ROUND((B180/C180)*E180*(F180/G180),7)</f>
        <v>2.6316E-3</v>
      </c>
      <c r="I180" s="461">
        <f>J169</f>
        <v>4725.6244933373619</v>
      </c>
      <c r="J180" s="461">
        <f>ROUND(H180*I180,2)</f>
        <v>12.44</v>
      </c>
    </row>
    <row r="181" spans="1:26" ht="12.75" customHeight="1">
      <c r="A181" s="697" t="s">
        <v>515</v>
      </c>
      <c r="B181" s="697"/>
      <c r="C181" s="697"/>
      <c r="D181" s="697"/>
      <c r="E181" s="697"/>
      <c r="F181" s="697"/>
      <c r="G181" s="697"/>
      <c r="H181" s="697"/>
      <c r="I181" s="697"/>
      <c r="J181" s="459">
        <f>J180+J179</f>
        <v>12.44</v>
      </c>
    </row>
    <row r="182" spans="1:26" ht="25.5">
      <c r="A182" s="462" t="s">
        <v>634</v>
      </c>
      <c r="B182" s="479">
        <v>1</v>
      </c>
      <c r="C182" s="480">
        <v>30</v>
      </c>
      <c r="D182" s="481">
        <f>C183</f>
        <v>380</v>
      </c>
      <c r="E182" s="482">
        <v>188.76</v>
      </c>
      <c r="F182" s="483" t="s">
        <v>552</v>
      </c>
      <c r="G182" s="483" t="s">
        <v>630</v>
      </c>
      <c r="H182" s="484">
        <f>ROUND((B182/(C182*D182))*E182*(F182/G182),7)</f>
        <v>8.7700000000000004E-5</v>
      </c>
      <c r="I182" s="461">
        <v>0</v>
      </c>
      <c r="J182" s="461">
        <f>ROUND(H182*I182,2)</f>
        <v>0</v>
      </c>
    </row>
    <row r="183" spans="1:26" ht="25.5">
      <c r="A183" s="462" t="s">
        <v>635</v>
      </c>
      <c r="B183" s="479">
        <v>1</v>
      </c>
      <c r="C183" s="861">
        <f>'6. Cálc. mão obra esq. e fach.'!$C$10</f>
        <v>380</v>
      </c>
      <c r="D183" s="861"/>
      <c r="E183" s="482">
        <v>188.76</v>
      </c>
      <c r="F183" s="483" t="s">
        <v>552</v>
      </c>
      <c r="G183" s="483" t="s">
        <v>630</v>
      </c>
      <c r="H183" s="484">
        <f>ROUND((B183/C183)*E183*(F183/G183),7)</f>
        <v>2.6316E-3</v>
      </c>
      <c r="I183" s="461">
        <f>J169</f>
        <v>4725.6244933373619</v>
      </c>
      <c r="J183" s="461">
        <f>ROUND(H183*I183,2)</f>
        <v>12.44</v>
      </c>
    </row>
    <row r="184" spans="1:26" ht="12.75" customHeight="1">
      <c r="A184" s="697" t="s">
        <v>636</v>
      </c>
      <c r="B184" s="697"/>
      <c r="C184" s="697"/>
      <c r="D184" s="697"/>
      <c r="E184" s="697"/>
      <c r="F184" s="697"/>
      <c r="G184" s="697"/>
      <c r="H184" s="697"/>
      <c r="I184" s="697"/>
      <c r="J184" s="485">
        <f>SUM(J182:J183)</f>
        <v>12.44</v>
      </c>
    </row>
    <row r="185" spans="1:26" ht="12.75" customHeight="1">
      <c r="A185" s="860" t="s">
        <v>637</v>
      </c>
      <c r="B185" s="860"/>
      <c r="C185" s="860"/>
      <c r="D185" s="860"/>
      <c r="E185" s="860"/>
      <c r="F185" s="860"/>
      <c r="G185" s="860"/>
      <c r="H185" s="860"/>
      <c r="I185" s="860"/>
      <c r="J185" s="860"/>
    </row>
    <row r="186" spans="1:26" ht="51" customHeight="1">
      <c r="A186" s="463" t="s">
        <v>622</v>
      </c>
      <c r="B186" s="722" t="s">
        <v>638</v>
      </c>
      <c r="C186" s="722"/>
      <c r="D186" s="722"/>
      <c r="E186" s="458" t="s">
        <v>639</v>
      </c>
      <c r="F186" s="669" t="s">
        <v>640</v>
      </c>
      <c r="G186" s="669"/>
      <c r="H186" s="458" t="s">
        <v>641</v>
      </c>
      <c r="I186" s="458" t="s">
        <v>642</v>
      </c>
      <c r="J186" s="458" t="s">
        <v>643</v>
      </c>
    </row>
    <row r="187" spans="1:26" ht="18" customHeight="1">
      <c r="A187" s="486" t="s">
        <v>644</v>
      </c>
      <c r="B187" s="479">
        <v>1</v>
      </c>
      <c r="C187" s="480">
        <v>4</v>
      </c>
      <c r="D187" s="481">
        <f>C188</f>
        <v>160</v>
      </c>
      <c r="E187" s="480">
        <v>188.76</v>
      </c>
      <c r="F187" s="107">
        <v>1</v>
      </c>
      <c r="G187" s="487">
        <v>188.76</v>
      </c>
      <c r="H187" s="488">
        <f>ROUND((B187/(C187*D187))*E187*(F187/G187),7)</f>
        <v>1.5625000000000001E-3</v>
      </c>
      <c r="I187" s="489">
        <v>0</v>
      </c>
      <c r="J187" s="461">
        <f>ROUND(H187*I187,2)</f>
        <v>0</v>
      </c>
    </row>
    <row r="188" spans="1:26" ht="18" customHeight="1">
      <c r="A188" s="486" t="s">
        <v>560</v>
      </c>
      <c r="B188" s="479">
        <v>1</v>
      </c>
      <c r="C188" s="861">
        <f>'6. Cálc. mão obra esq. e fach.'!$C$11</f>
        <v>160</v>
      </c>
      <c r="D188" s="861"/>
      <c r="E188" s="480">
        <v>188.76</v>
      </c>
      <c r="F188" s="490">
        <v>1</v>
      </c>
      <c r="G188" s="487">
        <v>188.76</v>
      </c>
      <c r="H188" s="488">
        <f>ROUND((B188/C188)*E188*(F188/G188),7)</f>
        <v>6.2500000000000003E-3</v>
      </c>
      <c r="I188" s="489">
        <f>J169</f>
        <v>4725.6244933373619</v>
      </c>
      <c r="J188" s="461">
        <f>ROUND(H188*I188,2)</f>
        <v>29.54</v>
      </c>
    </row>
    <row r="189" spans="1:26" ht="18" customHeight="1">
      <c r="A189" s="697" t="s">
        <v>645</v>
      </c>
      <c r="B189" s="697"/>
      <c r="C189" s="697"/>
      <c r="D189" s="697"/>
      <c r="E189" s="697"/>
      <c r="F189" s="697"/>
      <c r="G189" s="697"/>
      <c r="H189" s="697"/>
      <c r="I189" s="697"/>
      <c r="J189" s="485">
        <f>SUM(J187:J188)</f>
        <v>29.54</v>
      </c>
    </row>
    <row r="190" spans="1:26" ht="49.5" customHeight="1">
      <c r="A190" s="724" t="s">
        <v>600</v>
      </c>
      <c r="B190" s="724"/>
      <c r="C190" s="724"/>
      <c r="D190" s="724"/>
      <c r="E190" s="724"/>
      <c r="F190" s="724"/>
      <c r="G190" s="724"/>
      <c r="H190" s="724"/>
      <c r="I190" s="724"/>
      <c r="J190" s="724"/>
    </row>
    <row r="191" spans="1:26" ht="15.75">
      <c r="A191" s="810" t="s">
        <v>562</v>
      </c>
      <c r="B191" s="810"/>
      <c r="C191" s="810"/>
      <c r="D191" s="810"/>
      <c r="E191" s="810"/>
      <c r="F191" s="810"/>
      <c r="G191" s="810"/>
      <c r="H191" s="810"/>
      <c r="I191" s="810"/>
      <c r="J191" s="810"/>
    </row>
    <row r="192" spans="1:26" ht="25.5" customHeight="1">
      <c r="A192" s="669" t="s">
        <v>21</v>
      </c>
      <c r="B192" s="669"/>
      <c r="C192" s="669"/>
      <c r="D192" s="669"/>
      <c r="E192" s="669"/>
      <c r="F192" s="669" t="s">
        <v>563</v>
      </c>
      <c r="G192" s="669"/>
      <c r="H192" s="458" t="s">
        <v>564</v>
      </c>
      <c r="I192" s="669" t="s">
        <v>565</v>
      </c>
      <c r="J192" s="669"/>
    </row>
    <row r="193" spans="1:26" ht="18" customHeight="1">
      <c r="A193" s="726" t="s">
        <v>611</v>
      </c>
      <c r="B193" s="726"/>
      <c r="C193" s="726"/>
      <c r="D193" s="726"/>
      <c r="E193" s="726"/>
      <c r="F193" s="859">
        <f>$J$177</f>
        <v>29.54</v>
      </c>
      <c r="G193" s="859"/>
      <c r="H193" s="399">
        <f>$I$25</f>
        <v>3.4474583333333335</v>
      </c>
      <c r="I193" s="690">
        <f>ROUND(F193*H193,2)</f>
        <v>101.84</v>
      </c>
      <c r="J193" s="690"/>
    </row>
    <row r="194" spans="1:26" ht="18" customHeight="1">
      <c r="A194" s="726" t="s">
        <v>612</v>
      </c>
      <c r="B194" s="726"/>
      <c r="C194" s="726"/>
      <c r="D194" s="726"/>
      <c r="E194" s="726"/>
      <c r="F194" s="859">
        <f>$J$181</f>
        <v>12.44</v>
      </c>
      <c r="G194" s="859"/>
      <c r="H194" s="399">
        <f>$I$26</f>
        <v>19.076195833333333</v>
      </c>
      <c r="I194" s="690">
        <f>ROUND(F194*H194,2)</f>
        <v>237.31</v>
      </c>
      <c r="J194" s="690"/>
    </row>
    <row r="195" spans="1:26" ht="18" customHeight="1">
      <c r="A195" s="726" t="s">
        <v>646</v>
      </c>
      <c r="B195" s="726"/>
      <c r="C195" s="726"/>
      <c r="D195" s="726"/>
      <c r="E195" s="726"/>
      <c r="F195" s="859">
        <f>J184</f>
        <v>12.44</v>
      </c>
      <c r="G195" s="859"/>
      <c r="H195" s="399">
        <f>$I$27</f>
        <v>1705.5300791666664</v>
      </c>
      <c r="I195" s="690">
        <f>ROUND(F195*H195,2)</f>
        <v>21216.79</v>
      </c>
      <c r="J195" s="690"/>
    </row>
    <row r="196" spans="1:26" ht="18" customHeight="1">
      <c r="A196" s="697" t="s">
        <v>647</v>
      </c>
      <c r="B196" s="697"/>
      <c r="C196" s="697"/>
      <c r="D196" s="697"/>
      <c r="E196" s="697"/>
      <c r="F196" s="697"/>
      <c r="G196" s="697"/>
      <c r="H196" s="400">
        <f>I28</f>
        <v>1728.053733333333</v>
      </c>
      <c r="I196" s="692">
        <f>SUM(I193:I195)</f>
        <v>21555.940000000002</v>
      </c>
      <c r="J196" s="692"/>
    </row>
    <row r="197" spans="1:26" ht="18" customHeight="1">
      <c r="A197" s="726" t="s">
        <v>615</v>
      </c>
      <c r="B197" s="726"/>
      <c r="C197" s="726"/>
      <c r="D197" s="726"/>
      <c r="E197" s="726"/>
      <c r="F197" s="859">
        <f>J189</f>
        <v>29.54</v>
      </c>
      <c r="G197" s="859"/>
      <c r="H197" s="468">
        <f>$I$30</f>
        <v>0</v>
      </c>
      <c r="I197" s="690">
        <f>ROUND(F197*H197,2)</f>
        <v>0</v>
      </c>
      <c r="J197" s="690"/>
    </row>
    <row r="198" spans="1:26" ht="18" customHeight="1">
      <c r="A198" s="697" t="s">
        <v>648</v>
      </c>
      <c r="B198" s="697"/>
      <c r="C198" s="697"/>
      <c r="D198" s="697"/>
      <c r="E198" s="697"/>
      <c r="F198" s="697"/>
      <c r="G198" s="697"/>
      <c r="H198" s="400">
        <f>I30</f>
        <v>0</v>
      </c>
      <c r="I198" s="692">
        <f>SUM(I197)</f>
        <v>0</v>
      </c>
      <c r="J198" s="692"/>
    </row>
    <row r="199" spans="1:26" ht="18" customHeight="1">
      <c r="A199" s="726" t="s">
        <v>367</v>
      </c>
      <c r="B199" s="726"/>
      <c r="C199" s="726"/>
      <c r="D199" s="726"/>
      <c r="E199" s="726"/>
      <c r="F199" s="859">
        <v>0</v>
      </c>
      <c r="G199" s="859"/>
      <c r="H199" s="399">
        <f>I31</f>
        <v>0</v>
      </c>
      <c r="I199" s="690">
        <v>0</v>
      </c>
      <c r="J199" s="690"/>
    </row>
    <row r="200" spans="1:26" ht="18" customHeight="1">
      <c r="A200" s="697" t="s">
        <v>649</v>
      </c>
      <c r="B200" s="697"/>
      <c r="C200" s="697"/>
      <c r="D200" s="697"/>
      <c r="E200" s="697"/>
      <c r="F200" s="697"/>
      <c r="G200" s="697"/>
      <c r="H200" s="400">
        <f>H199</f>
        <v>0</v>
      </c>
      <c r="I200" s="692">
        <v>0</v>
      </c>
      <c r="J200" s="692"/>
    </row>
    <row r="201" spans="1:26" ht="18" customHeight="1">
      <c r="A201" s="697" t="s">
        <v>650</v>
      </c>
      <c r="B201" s="697"/>
      <c r="C201" s="697"/>
      <c r="D201" s="697"/>
      <c r="E201" s="697"/>
      <c r="F201" s="697"/>
      <c r="G201" s="697"/>
      <c r="H201" s="400">
        <f>H200+H198+H196</f>
        <v>1728.053733333333</v>
      </c>
      <c r="I201" s="692">
        <f>I200+I198+I196</f>
        <v>21555.940000000002</v>
      </c>
      <c r="J201" s="692"/>
    </row>
    <row r="202" spans="1:26" ht="18" customHeight="1">
      <c r="A202" s="667" t="s">
        <v>574</v>
      </c>
      <c r="B202" s="667"/>
      <c r="C202" s="667"/>
      <c r="D202" s="667"/>
      <c r="E202" s="667"/>
      <c r="F202" s="667"/>
      <c r="G202" s="667"/>
      <c r="H202" s="667"/>
      <c r="I202" s="805">
        <f>I201</f>
        <v>21555.940000000002</v>
      </c>
      <c r="J202" s="805"/>
    </row>
    <row r="203" spans="1:26" ht="18" customHeight="1">
      <c r="A203" s="667" t="s">
        <v>575</v>
      </c>
      <c r="B203" s="667"/>
      <c r="C203" s="667"/>
      <c r="D203" s="667"/>
      <c r="E203" s="667"/>
      <c r="F203" s="667"/>
      <c r="G203" s="667"/>
      <c r="H203" s="667"/>
      <c r="I203" s="806">
        <f>H21</f>
        <v>20</v>
      </c>
      <c r="J203" s="806"/>
    </row>
    <row r="204" spans="1:26" ht="18" customHeight="1">
      <c r="A204" s="667" t="s">
        <v>576</v>
      </c>
      <c r="B204" s="667"/>
      <c r="C204" s="667"/>
      <c r="D204" s="667"/>
      <c r="E204" s="667"/>
      <c r="F204" s="667"/>
      <c r="G204" s="667"/>
      <c r="H204" s="667"/>
      <c r="I204" s="805">
        <f>ROUND(I201*I203,2)</f>
        <v>431118.8</v>
      </c>
      <c r="J204" s="805"/>
    </row>
    <row r="205" spans="1:26" ht="18" customHeight="1">
      <c r="A205" s="797"/>
      <c r="B205" s="797"/>
      <c r="C205" s="797"/>
      <c r="D205" s="797"/>
      <c r="E205" s="797"/>
      <c r="F205" s="797"/>
      <c r="G205" s="797"/>
      <c r="H205" s="797"/>
      <c r="I205" s="797"/>
      <c r="J205" s="797"/>
      <c r="K205" s="378"/>
      <c r="L205" s="378"/>
      <c r="M205" s="378"/>
      <c r="N205" s="378"/>
      <c r="O205" s="378"/>
      <c r="P205" s="378"/>
      <c r="Q205" s="378"/>
      <c r="R205" s="378"/>
      <c r="S205" s="378"/>
      <c r="T205" s="378"/>
      <c r="U205" s="378"/>
      <c r="V205" s="378"/>
      <c r="W205" s="378"/>
      <c r="X205" s="378"/>
      <c r="Y205" s="378"/>
      <c r="Z205" s="378"/>
    </row>
    <row r="206" spans="1:26" ht="18" customHeight="1">
      <c r="A206" s="721" t="s">
        <v>577</v>
      </c>
      <c r="B206" s="721"/>
      <c r="C206" s="721"/>
      <c r="D206" s="721"/>
      <c r="E206" s="721"/>
      <c r="F206" s="721"/>
      <c r="G206" s="721"/>
      <c r="H206" s="721"/>
      <c r="I206" s="721"/>
      <c r="J206" s="721"/>
    </row>
    <row r="207" spans="1:26" ht="18" customHeight="1">
      <c r="A207" s="669" t="s">
        <v>578</v>
      </c>
      <c r="B207" s="669"/>
      <c r="C207" s="669"/>
      <c r="D207" s="669"/>
      <c r="E207" s="669"/>
      <c r="F207" s="669"/>
      <c r="G207" s="669" t="s">
        <v>579</v>
      </c>
      <c r="H207" s="669"/>
      <c r="I207" s="669"/>
      <c r="J207" s="669"/>
    </row>
    <row r="208" spans="1:26" ht="18" customHeight="1">
      <c r="A208" s="798" t="s">
        <v>71</v>
      </c>
      <c r="B208" s="798"/>
      <c r="C208" s="798"/>
      <c r="D208" s="798"/>
      <c r="E208" s="798"/>
      <c r="F208" s="798"/>
      <c r="G208" s="799">
        <f>'6. Cálc. mão obra esq. e fach.'!$L$14</f>
        <v>4.5599841803728056</v>
      </c>
      <c r="H208" s="799"/>
      <c r="I208" s="799"/>
      <c r="J208" s="799"/>
      <c r="L208" s="491">
        <f>I202/J169</f>
        <v>4.5615008197099947</v>
      </c>
    </row>
    <row r="209" spans="1:10" ht="25.5" customHeight="1">
      <c r="A209" s="856" t="s">
        <v>651</v>
      </c>
      <c r="B209" s="856"/>
      <c r="C209" s="856"/>
      <c r="D209" s="856"/>
      <c r="E209" s="856"/>
      <c r="F209" s="856"/>
      <c r="G209" s="856"/>
      <c r="H209" s="856"/>
      <c r="I209" s="856"/>
      <c r="J209" s="856"/>
    </row>
    <row r="210" spans="1:10" ht="12.75" customHeight="1"/>
    <row r="211" spans="1:10" ht="12.75" customHeight="1"/>
    <row r="212" spans="1:10" ht="12.75" customHeight="1"/>
    <row r="213" spans="1:10" ht="12.75" customHeight="1"/>
    <row r="214" spans="1:10" ht="12.75" customHeight="1"/>
    <row r="215" spans="1:10" ht="12.75" customHeight="1"/>
    <row r="216" spans="1:10" ht="12.75" customHeight="1"/>
    <row r="217" spans="1:10" ht="12.75" customHeight="1"/>
    <row r="218" spans="1:10" ht="12.75" customHeight="1"/>
    <row r="219" spans="1:10" ht="12.75" customHeight="1"/>
    <row r="220" spans="1:10" ht="12.75" customHeight="1"/>
    <row r="221" spans="1:10" ht="12.75" customHeight="1"/>
    <row r="222" spans="1:10" ht="12.75" customHeight="1"/>
    <row r="223" spans="1:10" ht="12.75" customHeight="1"/>
    <row r="224" spans="1:10"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sheetData>
  <sheetProtection selectLockedCells="1" selectUnlockedCells="1"/>
  <mergeCells count="268">
    <mergeCell ref="A1:J1"/>
    <mergeCell ref="A2:J2"/>
    <mergeCell ref="A3:J3"/>
    <mergeCell ref="A4:J4"/>
    <mergeCell ref="A5:J5"/>
    <mergeCell ref="A7:J7"/>
    <mergeCell ref="A8:J8"/>
    <mergeCell ref="D9:H9"/>
    <mergeCell ref="I9:J9"/>
    <mergeCell ref="D10:F10"/>
    <mergeCell ref="I10:J10"/>
    <mergeCell ref="B11:C11"/>
    <mergeCell ref="E11:F11"/>
    <mergeCell ref="B12:G12"/>
    <mergeCell ref="I12:J12"/>
    <mergeCell ref="B13:D13"/>
    <mergeCell ref="F13:G13"/>
    <mergeCell ref="I13:J13"/>
    <mergeCell ref="A9:C10"/>
    <mergeCell ref="A14:G14"/>
    <mergeCell ref="H14:J14"/>
    <mergeCell ref="A15:G15"/>
    <mergeCell ref="I15:J15"/>
    <mergeCell ref="A17:J17"/>
    <mergeCell ref="B18:G18"/>
    <mergeCell ref="H18:J18"/>
    <mergeCell ref="B19:G19"/>
    <mergeCell ref="H19:J19"/>
    <mergeCell ref="B20:G20"/>
    <mergeCell ref="H20:J20"/>
    <mergeCell ref="B21:G21"/>
    <mergeCell ref="H21:J21"/>
    <mergeCell ref="A23:J23"/>
    <mergeCell ref="A24:F24"/>
    <mergeCell ref="G24:H24"/>
    <mergeCell ref="I24:J24"/>
    <mergeCell ref="A25:F25"/>
    <mergeCell ref="G25:H25"/>
    <mergeCell ref="I25:J25"/>
    <mergeCell ref="A26:F26"/>
    <mergeCell ref="G26:H26"/>
    <mergeCell ref="I26:J26"/>
    <mergeCell ref="A27:F27"/>
    <mergeCell ref="G27:H27"/>
    <mergeCell ref="I27:J27"/>
    <mergeCell ref="A28:H28"/>
    <mergeCell ref="I28:J28"/>
    <mergeCell ref="A29:F29"/>
    <mergeCell ref="G29:H29"/>
    <mergeCell ref="I29:J29"/>
    <mergeCell ref="A30:H30"/>
    <mergeCell ref="I30:J30"/>
    <mergeCell ref="A31:F31"/>
    <mergeCell ref="G31:H31"/>
    <mergeCell ref="I31:J31"/>
    <mergeCell ref="A32:H32"/>
    <mergeCell ref="I32:J32"/>
    <mergeCell ref="A33:H33"/>
    <mergeCell ref="I33:J33"/>
    <mergeCell ref="A34:J34"/>
    <mergeCell ref="A35:J35"/>
    <mergeCell ref="A36:J36"/>
    <mergeCell ref="A37:J37"/>
    <mergeCell ref="B38:G38"/>
    <mergeCell ref="H38:J38"/>
    <mergeCell ref="B39:G39"/>
    <mergeCell ref="H39:J39"/>
    <mergeCell ref="B40:G40"/>
    <mergeCell ref="H40:J40"/>
    <mergeCell ref="B41:G41"/>
    <mergeCell ref="H41:J41"/>
    <mergeCell ref="B42:G42"/>
    <mergeCell ref="H42:J42"/>
    <mergeCell ref="B43:J43"/>
    <mergeCell ref="A44:J44"/>
    <mergeCell ref="A45:J45"/>
    <mergeCell ref="B46:H46"/>
    <mergeCell ref="B47:D47"/>
    <mergeCell ref="G47:I47"/>
    <mergeCell ref="B56:I56"/>
    <mergeCell ref="A57:I57"/>
    <mergeCell ref="B58:J58"/>
    <mergeCell ref="A59:I59"/>
    <mergeCell ref="B60:J60"/>
    <mergeCell ref="B61:H61"/>
    <mergeCell ref="B62:H62"/>
    <mergeCell ref="B63:H63"/>
    <mergeCell ref="B48:C48"/>
    <mergeCell ref="D48:H48"/>
    <mergeCell ref="B49:I49"/>
    <mergeCell ref="A50:I50"/>
    <mergeCell ref="B51:J51"/>
    <mergeCell ref="A52:J52"/>
    <mergeCell ref="A53:J53"/>
    <mergeCell ref="B54:I54"/>
    <mergeCell ref="B55:I55"/>
    <mergeCell ref="B64:D64"/>
    <mergeCell ref="B65:H65"/>
    <mergeCell ref="B66:H66"/>
    <mergeCell ref="B67:H67"/>
    <mergeCell ref="B68:H68"/>
    <mergeCell ref="B69:H69"/>
    <mergeCell ref="A70:H70"/>
    <mergeCell ref="B71:J71"/>
    <mergeCell ref="B72:J72"/>
    <mergeCell ref="B74:J74"/>
    <mergeCell ref="B75:I75"/>
    <mergeCell ref="B76:I76"/>
    <mergeCell ref="B77:H77"/>
    <mergeCell ref="B78:H78"/>
    <mergeCell ref="B79:H79"/>
    <mergeCell ref="B80:H80"/>
    <mergeCell ref="B81:D81"/>
    <mergeCell ref="B82:H82"/>
    <mergeCell ref="B83:H83"/>
    <mergeCell ref="B84:H84"/>
    <mergeCell ref="B85:D85"/>
    <mergeCell ref="B86:I86"/>
    <mergeCell ref="A87:I87"/>
    <mergeCell ref="B88:J88"/>
    <mergeCell ref="B89:J89"/>
    <mergeCell ref="A91:J91"/>
    <mergeCell ref="B92:I92"/>
    <mergeCell ref="B93:I93"/>
    <mergeCell ref="B94:I94"/>
    <mergeCell ref="B95:I95"/>
    <mergeCell ref="A96:I96"/>
    <mergeCell ref="A98:J98"/>
    <mergeCell ref="B99:I99"/>
    <mergeCell ref="B100:I100"/>
    <mergeCell ref="B101:I101"/>
    <mergeCell ref="B102:I102"/>
    <mergeCell ref="B103:I103"/>
    <mergeCell ref="B104:I104"/>
    <mergeCell ref="B105:I105"/>
    <mergeCell ref="A106:I106"/>
    <mergeCell ref="A108:J108"/>
    <mergeCell ref="A109:J109"/>
    <mergeCell ref="A110:B110"/>
    <mergeCell ref="D110:E110"/>
    <mergeCell ref="G110:H110"/>
    <mergeCell ref="A111:F111"/>
    <mergeCell ref="G111:I111"/>
    <mergeCell ref="B113:I113"/>
    <mergeCell ref="B114:I114"/>
    <mergeCell ref="B115:I115"/>
    <mergeCell ref="B116:I116"/>
    <mergeCell ref="B117:I117"/>
    <mergeCell ref="B118:I118"/>
    <mergeCell ref="B119:I119"/>
    <mergeCell ref="A120:I120"/>
    <mergeCell ref="A121:I121"/>
    <mergeCell ref="B122:I122"/>
    <mergeCell ref="B123:I123"/>
    <mergeCell ref="A124:I124"/>
    <mergeCell ref="A125:I125"/>
    <mergeCell ref="A126:J126"/>
    <mergeCell ref="B127:I127"/>
    <mergeCell ref="B128:I128"/>
    <mergeCell ref="B129:I129"/>
    <mergeCell ref="A130:I130"/>
    <mergeCell ref="B131:J131"/>
    <mergeCell ref="A133:J133"/>
    <mergeCell ref="B134:I134"/>
    <mergeCell ref="B135:I135"/>
    <mergeCell ref="B136:I136"/>
    <mergeCell ref="B137:I137"/>
    <mergeCell ref="B138:I138"/>
    <mergeCell ref="A139:I139"/>
    <mergeCell ref="B140:J140"/>
    <mergeCell ref="A141:J141"/>
    <mergeCell ref="A142:J142"/>
    <mergeCell ref="B143:H143"/>
    <mergeCell ref="A144:I144"/>
    <mergeCell ref="B145:H145"/>
    <mergeCell ref="A146:I146"/>
    <mergeCell ref="B147:H147"/>
    <mergeCell ref="A148:I148"/>
    <mergeCell ref="B149:H149"/>
    <mergeCell ref="K149:L149"/>
    <mergeCell ref="F150:H150"/>
    <mergeCell ref="F151:H151"/>
    <mergeCell ref="B152:E152"/>
    <mergeCell ref="F152:H152"/>
    <mergeCell ref="B153:E153"/>
    <mergeCell ref="F153:H153"/>
    <mergeCell ref="A154:I154"/>
    <mergeCell ref="B155:J155"/>
    <mergeCell ref="A159:J159"/>
    <mergeCell ref="A160:J160"/>
    <mergeCell ref="A161:I161"/>
    <mergeCell ref="B162:I162"/>
    <mergeCell ref="D156:F158"/>
    <mergeCell ref="G156:H158"/>
    <mergeCell ref="J156:J158"/>
    <mergeCell ref="B163:I163"/>
    <mergeCell ref="B164:I164"/>
    <mergeCell ref="B165:I165"/>
    <mergeCell ref="B166:I166"/>
    <mergeCell ref="A167:I167"/>
    <mergeCell ref="B168:I168"/>
    <mergeCell ref="A169:G169"/>
    <mergeCell ref="A171:J171"/>
    <mergeCell ref="A172:J172"/>
    <mergeCell ref="A173:J173"/>
    <mergeCell ref="B174:D174"/>
    <mergeCell ref="F174:G174"/>
    <mergeCell ref="C176:D176"/>
    <mergeCell ref="A177:I177"/>
    <mergeCell ref="A178:J178"/>
    <mergeCell ref="C180:D180"/>
    <mergeCell ref="A181:I181"/>
    <mergeCell ref="C183:D183"/>
    <mergeCell ref="A184:I184"/>
    <mergeCell ref="A185:J185"/>
    <mergeCell ref="B186:D186"/>
    <mergeCell ref="F186:G186"/>
    <mergeCell ref="C188:D188"/>
    <mergeCell ref="A189:I189"/>
    <mergeCell ref="A190:J190"/>
    <mergeCell ref="A191:J191"/>
    <mergeCell ref="A192:E192"/>
    <mergeCell ref="F192:G192"/>
    <mergeCell ref="I192:J192"/>
    <mergeCell ref="A193:E193"/>
    <mergeCell ref="F193:G193"/>
    <mergeCell ref="I193:J193"/>
    <mergeCell ref="A194:E194"/>
    <mergeCell ref="F194:G194"/>
    <mergeCell ref="I194:J194"/>
    <mergeCell ref="A195:E195"/>
    <mergeCell ref="F195:G195"/>
    <mergeCell ref="I195:J195"/>
    <mergeCell ref="I204:J204"/>
    <mergeCell ref="A196:G196"/>
    <mergeCell ref="I196:J196"/>
    <mergeCell ref="A197:E197"/>
    <mergeCell ref="F197:G197"/>
    <mergeCell ref="I197:J197"/>
    <mergeCell ref="A198:G198"/>
    <mergeCell ref="I198:J198"/>
    <mergeCell ref="A199:E199"/>
    <mergeCell ref="F199:G199"/>
    <mergeCell ref="I199:J199"/>
    <mergeCell ref="A205:J205"/>
    <mergeCell ref="A206:J206"/>
    <mergeCell ref="A207:F207"/>
    <mergeCell ref="G207:J207"/>
    <mergeCell ref="A208:F208"/>
    <mergeCell ref="G208:J208"/>
    <mergeCell ref="A209:J209"/>
    <mergeCell ref="A76:A80"/>
    <mergeCell ref="A81:A84"/>
    <mergeCell ref="A150:A151"/>
    <mergeCell ref="A156:A158"/>
    <mergeCell ref="J76:J80"/>
    <mergeCell ref="J81:J84"/>
    <mergeCell ref="B150:E151"/>
    <mergeCell ref="B156:C158"/>
    <mergeCell ref="A200:G200"/>
    <mergeCell ref="I200:J200"/>
    <mergeCell ref="A201:G201"/>
    <mergeCell ref="I201:J201"/>
    <mergeCell ref="A202:H202"/>
    <mergeCell ref="I202:J202"/>
    <mergeCell ref="A203:H203"/>
    <mergeCell ref="I203:J203"/>
    <mergeCell ref="A204:H204"/>
  </mergeCells>
  <conditionalFormatting sqref="A14:G14">
    <cfRule type="expression" dxfId="3" priority="2">
      <formula>LEN(TRIM(A14))&gt;0</formula>
    </cfRule>
  </conditionalFormatting>
  <conditionalFormatting sqref="H14:J14">
    <cfRule type="expression" dxfId="2" priority="3">
      <formula>LEN(TRIM(H14))&gt;0</formula>
    </cfRule>
  </conditionalFormatting>
  <printOptions horizontalCentered="1"/>
  <pageMargins left="0" right="0" top="0.39370078740157483" bottom="0" header="0" footer="0.51181102362204722"/>
  <pageSetup paperSize="9" scale="62" orientation="portrait" useFirstPageNumber="1" r:id="rId1"/>
  <headerFooter>
    <oddHeader>&amp;R&amp;P de &amp;N</oddHeader>
    <oddFooter>&amp;L&amp;F - &amp;A&amp;CPágina &amp;P de &amp;N</oddFooter>
  </headerFooter>
  <rowBreaks count="3" manualBreakCount="3">
    <brk id="72" max="9" man="1"/>
    <brk id="131" max="9" man="1"/>
    <brk id="184" max="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993"/>
  <sheetViews>
    <sheetView showGridLines="0" topLeftCell="A41" zoomScaleNormal="100" workbookViewId="0">
      <selection activeCell="B19" sqref="B19:G19"/>
    </sheetView>
  </sheetViews>
  <sheetFormatPr defaultColWidth="9" defaultRowHeight="12.75"/>
  <cols>
    <col min="1" max="1" width="17.28515625" style="432" customWidth="1"/>
    <col min="2" max="2" width="8" style="432" customWidth="1"/>
    <col min="3" max="3" width="17.28515625" style="432" customWidth="1"/>
    <col min="4" max="7" width="15.42578125" style="432" customWidth="1"/>
    <col min="8" max="8" width="12.28515625" style="432" customWidth="1"/>
    <col min="9" max="10" width="20.42578125" style="432" customWidth="1"/>
    <col min="11" max="11" width="11.42578125" style="432" customWidth="1"/>
    <col min="12" max="12" width="11.7109375" style="432" customWidth="1"/>
    <col min="13" max="26" width="8" style="432" customWidth="1"/>
    <col min="27" max="1025" width="14.42578125" style="432" customWidth="1"/>
    <col min="1026" max="16384" width="9" style="432"/>
  </cols>
  <sheetData>
    <row r="1" spans="1:26" ht="20.25">
      <c r="A1" s="906" t="s">
        <v>0</v>
      </c>
      <c r="B1" s="906"/>
      <c r="C1" s="906"/>
      <c r="D1" s="906"/>
      <c r="E1" s="906"/>
      <c r="F1" s="906"/>
      <c r="G1" s="906"/>
      <c r="H1" s="906"/>
      <c r="I1" s="906"/>
      <c r="J1" s="906"/>
    </row>
    <row r="2" spans="1:26" ht="18">
      <c r="A2" s="846" t="s">
        <v>1</v>
      </c>
      <c r="B2" s="846"/>
      <c r="C2" s="846"/>
      <c r="D2" s="846"/>
      <c r="E2" s="846"/>
      <c r="F2" s="846"/>
      <c r="G2" s="846"/>
      <c r="H2" s="846"/>
      <c r="I2" s="846"/>
      <c r="J2" s="846"/>
    </row>
    <row r="3" spans="1:26" ht="15.75">
      <c r="A3" s="849" t="s">
        <v>2</v>
      </c>
      <c r="B3" s="849"/>
      <c r="C3" s="849"/>
      <c r="D3" s="849"/>
      <c r="E3" s="849"/>
      <c r="F3" s="849"/>
      <c r="G3" s="849"/>
      <c r="H3" s="849"/>
      <c r="I3" s="849"/>
      <c r="J3" s="849"/>
    </row>
    <row r="4" spans="1:26" ht="15.75">
      <c r="A4" s="852" t="str">
        <f>'1. ABA DE CARREGAMENTO'!A4</f>
        <v>CAMPUS ALEGRETE</v>
      </c>
      <c r="B4" s="852"/>
      <c r="C4" s="852"/>
      <c r="D4" s="852"/>
      <c r="E4" s="852"/>
      <c r="F4" s="852"/>
      <c r="G4" s="852"/>
      <c r="H4" s="852"/>
      <c r="I4" s="852"/>
      <c r="J4" s="852"/>
    </row>
    <row r="5" spans="1:26" ht="20.25" customHeight="1">
      <c r="A5" s="662" t="s">
        <v>321</v>
      </c>
      <c r="B5" s="662"/>
      <c r="C5" s="662"/>
      <c r="D5" s="662"/>
      <c r="E5" s="662"/>
      <c r="F5" s="662"/>
      <c r="G5" s="662"/>
      <c r="H5" s="662"/>
      <c r="I5" s="662"/>
      <c r="J5" s="662"/>
    </row>
    <row r="6" spans="1:26" ht="9.9499999999999993" customHeight="1">
      <c r="A6" s="433"/>
      <c r="B6" s="433"/>
      <c r="C6" s="433"/>
      <c r="D6" s="433"/>
      <c r="E6" s="433"/>
      <c r="F6" s="433"/>
      <c r="G6" s="433"/>
      <c r="H6" s="433"/>
      <c r="I6" s="433"/>
      <c r="J6" s="433"/>
      <c r="K6" s="434"/>
      <c r="L6" s="434"/>
      <c r="M6" s="434"/>
      <c r="N6" s="434"/>
      <c r="O6" s="434"/>
      <c r="P6" s="434"/>
      <c r="Q6" s="434"/>
      <c r="R6" s="434"/>
      <c r="S6" s="434"/>
      <c r="T6" s="434"/>
      <c r="U6" s="434"/>
      <c r="V6" s="434"/>
      <c r="W6" s="434"/>
      <c r="X6" s="434"/>
      <c r="Y6" s="434"/>
      <c r="Z6" s="434"/>
    </row>
    <row r="7" spans="1:26" ht="20.25" customHeight="1">
      <c r="A7" s="669" t="str">
        <f>'7. Planilha área geral'!A7:J7</f>
        <v>IN/MPDG Nº 05/2017 - Anexo VII-D</v>
      </c>
      <c r="B7" s="669"/>
      <c r="C7" s="669"/>
      <c r="D7" s="669"/>
      <c r="E7" s="669"/>
      <c r="F7" s="669"/>
      <c r="G7" s="669"/>
      <c r="H7" s="669"/>
      <c r="I7" s="669"/>
      <c r="J7" s="669"/>
    </row>
    <row r="8" spans="1:26" ht="9.9499999999999993" customHeight="1">
      <c r="A8" s="907"/>
      <c r="B8" s="907"/>
      <c r="C8" s="907"/>
      <c r="D8" s="907"/>
      <c r="E8" s="907"/>
      <c r="F8" s="907"/>
      <c r="G8" s="907"/>
      <c r="H8" s="907"/>
      <c r="I8" s="907"/>
      <c r="J8" s="907"/>
      <c r="K8" s="434"/>
      <c r="L8" s="434"/>
      <c r="M8" s="434"/>
      <c r="N8" s="434"/>
      <c r="O8" s="434"/>
      <c r="P8" s="434"/>
      <c r="Q8" s="434"/>
      <c r="R8" s="434"/>
      <c r="S8" s="434"/>
      <c r="T8" s="434"/>
      <c r="U8" s="434"/>
      <c r="V8" s="434"/>
      <c r="W8" s="434"/>
      <c r="X8" s="434"/>
      <c r="Y8" s="434"/>
      <c r="Z8" s="434"/>
    </row>
    <row r="9" spans="1:26" ht="19.5" customHeight="1">
      <c r="A9" s="669" t="s">
        <v>652</v>
      </c>
      <c r="B9" s="669"/>
      <c r="C9" s="669"/>
      <c r="D9" s="908" t="s">
        <v>653</v>
      </c>
      <c r="E9" s="908"/>
      <c r="F9" s="908"/>
      <c r="G9" s="908"/>
      <c r="H9" s="908"/>
      <c r="I9" s="909" t="str">
        <f>'1. ABA DE CARREGAMENTO'!A4</f>
        <v>CAMPUS ALEGRETE</v>
      </c>
      <c r="J9" s="909"/>
    </row>
    <row r="10" spans="1:26" ht="22.5" customHeight="1">
      <c r="A10" s="669"/>
      <c r="B10" s="669"/>
      <c r="C10" s="669"/>
      <c r="D10" s="904" t="s">
        <v>654</v>
      </c>
      <c r="E10" s="904"/>
      <c r="F10" s="904"/>
      <c r="G10" s="435">
        <f>'4. Cál. mão obra limpeza geral'!D26+'5. Cálc. mão obra banheiros'!D11+'6. Cálc. mão obra esq. e fach.'!D12</f>
        <v>35233.9175875</v>
      </c>
      <c r="H10" s="436" t="s">
        <v>325</v>
      </c>
      <c r="I10" s="905" t="s">
        <v>326</v>
      </c>
      <c r="J10" s="905"/>
    </row>
    <row r="11" spans="1:26" ht="19.5" customHeight="1">
      <c r="A11" s="37" t="s">
        <v>327</v>
      </c>
      <c r="B11" s="784" t="str">
        <f>'1. ABA DE CARREGAMENTO'!B11</f>
        <v>23243.000810/2021-41</v>
      </c>
      <c r="C11" s="784"/>
      <c r="D11" s="37" t="s">
        <v>328</v>
      </c>
      <c r="E11" s="785" t="str">
        <f>'1. ABA DE CARREGAMENTO'!B12</f>
        <v>33 / 2021</v>
      </c>
      <c r="F11" s="785"/>
      <c r="G11" s="37" t="s">
        <v>13</v>
      </c>
      <c r="H11" s="38">
        <f ca="1">'1. ABA DE CARREGAMENTO'!B13</f>
        <v>44609</v>
      </c>
      <c r="I11" s="54" t="s">
        <v>14</v>
      </c>
      <c r="J11" s="55" t="str">
        <f>'1. ABA DE CARREGAMENTO'!B14</f>
        <v>09h (Horário de Brasília - DF)</v>
      </c>
    </row>
    <row r="12" spans="1:26" ht="22.5" customHeight="1">
      <c r="A12" s="39" t="s">
        <v>15</v>
      </c>
      <c r="B12" s="786" t="str">
        <f>'1. ABA DE CARREGAMENTO'!B15</f>
        <v>IFFARROUPILHA (Planilha da Administração)</v>
      </c>
      <c r="C12" s="786"/>
      <c r="D12" s="786"/>
      <c r="E12" s="786"/>
      <c r="F12" s="786"/>
      <c r="G12" s="786"/>
      <c r="H12" s="40" t="s">
        <v>329</v>
      </c>
      <c r="I12" s="787" t="str">
        <f>'1. ABA DE CARREGAMENTO'!B16</f>
        <v>10.662.072/0001/58</v>
      </c>
      <c r="J12" s="787"/>
    </row>
    <row r="13" spans="1:26" ht="18.75" customHeight="1">
      <c r="A13" s="39" t="s">
        <v>330</v>
      </c>
      <c r="B13" s="786">
        <f>'1. ABA DE CARREGAMENTO'!B17</f>
        <v>0</v>
      </c>
      <c r="C13" s="786"/>
      <c r="D13" s="786"/>
      <c r="E13" s="39" t="s">
        <v>331</v>
      </c>
      <c r="F13" s="841">
        <f>'1. ABA DE CARREGAMENTO'!B18</f>
        <v>0</v>
      </c>
      <c r="G13" s="841"/>
      <c r="H13" s="39" t="s">
        <v>332</v>
      </c>
      <c r="I13" s="789">
        <f>'1. ABA DE CARREGAMENTO'!B19</f>
        <v>0</v>
      </c>
      <c r="J13" s="789"/>
    </row>
    <row r="14" spans="1:26">
      <c r="A14" s="790" t="str">
        <f>IF('1. ABA DE CARREGAMENTO'!B15="","PLANILHA CUSTOS E FORMAÇÃO DE PREÇOS DA ADMINISTRAÇÃO DO","")</f>
        <v/>
      </c>
      <c r="B14" s="790"/>
      <c r="C14" s="790"/>
      <c r="D14" s="790"/>
      <c r="E14" s="790"/>
      <c r="F14" s="790"/>
      <c r="G14" s="790"/>
      <c r="H14" s="791" t="str">
        <f>IF('1. ABA DE CARREGAMENTO'!B15="",'1. ABA DE CARREGAMENTO'!A4,"")</f>
        <v/>
      </c>
      <c r="I14" s="791"/>
      <c r="J14" s="791"/>
    </row>
    <row r="15" spans="1:26">
      <c r="A15" s="669" t="s">
        <v>722</v>
      </c>
      <c r="B15" s="669"/>
      <c r="C15" s="669"/>
      <c r="D15" s="669"/>
      <c r="E15" s="669"/>
      <c r="F15" s="669"/>
      <c r="G15" s="669"/>
      <c r="H15" s="427">
        <f>'1. ABA DE CARREGAMENTO'!B51</f>
        <v>1</v>
      </c>
      <c r="I15" s="781" t="str">
        <f>IF(H15=1,"LUCRO REAL",IF(H15=2,"LUCRO PRESUMIDO",IF(H15=3,"SIMPLES-Anexo III",IF(H15=4,"SIMPLES-Anexo IV",IF(H15=5,"LUCRO REAL - PIS/COFINS Não Cumulativo","RT Inválido")))))</f>
        <v>LUCRO REAL</v>
      </c>
      <c r="J15" s="781"/>
    </row>
    <row r="16" spans="1:26">
      <c r="A16" s="433"/>
      <c r="B16" s="433"/>
      <c r="C16" s="433"/>
      <c r="D16" s="433"/>
      <c r="E16" s="433"/>
      <c r="F16" s="433"/>
      <c r="G16" s="433"/>
      <c r="H16" s="433"/>
      <c r="I16" s="433"/>
      <c r="J16" s="433"/>
      <c r="K16" s="434"/>
      <c r="L16" s="434"/>
      <c r="M16" s="434"/>
      <c r="N16" s="434"/>
      <c r="O16" s="434"/>
      <c r="P16" s="434"/>
      <c r="Q16" s="434"/>
      <c r="R16" s="434"/>
      <c r="S16" s="434"/>
      <c r="T16" s="434"/>
      <c r="U16" s="434"/>
      <c r="V16" s="434"/>
      <c r="W16" s="434"/>
      <c r="X16" s="434"/>
      <c r="Y16" s="434"/>
      <c r="Z16" s="434"/>
    </row>
    <row r="17" spans="1:26" ht="21" customHeight="1">
      <c r="A17" s="669" t="s">
        <v>333</v>
      </c>
      <c r="B17" s="669"/>
      <c r="C17" s="669"/>
      <c r="D17" s="669"/>
      <c r="E17" s="669"/>
      <c r="F17" s="669"/>
      <c r="G17" s="669"/>
      <c r="H17" s="669"/>
      <c r="I17" s="669"/>
      <c r="J17" s="669"/>
    </row>
    <row r="18" spans="1:26" ht="20.25" customHeight="1">
      <c r="A18" s="430" t="s">
        <v>334</v>
      </c>
      <c r="B18" s="749" t="s">
        <v>335</v>
      </c>
      <c r="C18" s="749"/>
      <c r="D18" s="749"/>
      <c r="E18" s="749"/>
      <c r="F18" s="749"/>
      <c r="G18" s="749"/>
      <c r="H18" s="783">
        <f ca="1">'1. ABA DE CARREGAMENTO'!B54</f>
        <v>44609</v>
      </c>
      <c r="I18" s="783"/>
      <c r="J18" s="783"/>
    </row>
    <row r="19" spans="1:26" ht="19.5" customHeight="1">
      <c r="A19" s="430" t="s">
        <v>336</v>
      </c>
      <c r="B19" s="749" t="s">
        <v>60</v>
      </c>
      <c r="C19" s="749"/>
      <c r="D19" s="749"/>
      <c r="E19" s="749"/>
      <c r="F19" s="749"/>
      <c r="G19" s="749"/>
      <c r="H19" s="783" t="str">
        <f>'1. ABA DE CARREGAMENTO'!B55</f>
        <v>Alegrete/RS</v>
      </c>
      <c r="I19" s="783"/>
      <c r="J19" s="783"/>
    </row>
    <row r="20" spans="1:26" ht="31.5" customHeight="1">
      <c r="A20" s="430" t="s">
        <v>337</v>
      </c>
      <c r="B20" s="749" t="s">
        <v>338</v>
      </c>
      <c r="C20" s="749"/>
      <c r="D20" s="749"/>
      <c r="E20" s="749"/>
      <c r="F20" s="749"/>
      <c r="G20" s="749"/>
      <c r="H20" s="783" t="str">
        <f>'1. ABA DE CARREGAMENTO'!B56</f>
        <v xml:space="preserve">CCT Sindasseio 2022/2022 - Registro no MTE: RS005021/2022 </v>
      </c>
      <c r="I20" s="783"/>
      <c r="J20" s="783"/>
    </row>
    <row r="21" spans="1:26" ht="24.75" customHeight="1">
      <c r="A21" s="430" t="s">
        <v>339</v>
      </c>
      <c r="B21" s="749" t="s">
        <v>340</v>
      </c>
      <c r="C21" s="749"/>
      <c r="D21" s="749"/>
      <c r="E21" s="749"/>
      <c r="F21" s="749"/>
      <c r="G21" s="749"/>
      <c r="H21" s="779">
        <f>'1. ABA DE CARREGAMENTO'!B57</f>
        <v>20</v>
      </c>
      <c r="I21" s="779"/>
      <c r="J21" s="779"/>
    </row>
    <row r="22" spans="1:26">
      <c r="A22" s="433"/>
      <c r="B22" s="433"/>
      <c r="C22" s="433"/>
      <c r="D22" s="433"/>
      <c r="E22" s="433"/>
      <c r="F22" s="433"/>
      <c r="G22" s="433"/>
      <c r="H22" s="433"/>
      <c r="I22" s="433"/>
      <c r="J22" s="433"/>
      <c r="K22" s="434"/>
      <c r="L22" s="434"/>
      <c r="M22" s="434"/>
      <c r="N22" s="434"/>
      <c r="O22" s="434"/>
      <c r="P22" s="434"/>
      <c r="Q22" s="434"/>
      <c r="R22" s="434"/>
      <c r="S22" s="434"/>
      <c r="T22" s="434"/>
      <c r="U22" s="434"/>
      <c r="V22" s="434"/>
      <c r="W22" s="434"/>
      <c r="X22" s="434"/>
      <c r="Y22" s="434"/>
      <c r="Z22" s="434"/>
    </row>
    <row r="23" spans="1:26" ht="21" customHeight="1">
      <c r="A23" s="669" t="s">
        <v>341</v>
      </c>
      <c r="B23" s="669"/>
      <c r="C23" s="669"/>
      <c r="D23" s="669"/>
      <c r="E23" s="669"/>
      <c r="F23" s="669"/>
      <c r="G23" s="669"/>
      <c r="H23" s="669"/>
      <c r="I23" s="669"/>
      <c r="J23" s="669"/>
    </row>
    <row r="24" spans="1:26" ht="18" customHeight="1">
      <c r="A24" s="669" t="s">
        <v>342</v>
      </c>
      <c r="B24" s="669"/>
      <c r="C24" s="669"/>
      <c r="D24" s="669"/>
      <c r="E24" s="669"/>
      <c r="F24" s="669"/>
      <c r="G24" s="669" t="s">
        <v>343</v>
      </c>
      <c r="H24" s="669"/>
      <c r="I24" s="669" t="s">
        <v>344</v>
      </c>
      <c r="J24" s="669"/>
    </row>
    <row r="25" spans="1:26" ht="20.25" customHeight="1">
      <c r="A25" s="721" t="s">
        <v>655</v>
      </c>
      <c r="B25" s="721"/>
      <c r="C25" s="721"/>
      <c r="D25" s="721"/>
      <c r="E25" s="721"/>
      <c r="F25" s="721"/>
      <c r="G25" s="669" t="s">
        <v>656</v>
      </c>
      <c r="H25" s="669"/>
      <c r="I25" s="669">
        <v>1</v>
      </c>
      <c r="J25" s="669"/>
    </row>
    <row r="26" spans="1:26">
      <c r="A26" s="900"/>
      <c r="B26" s="900"/>
      <c r="C26" s="900"/>
      <c r="D26" s="900"/>
      <c r="E26" s="900"/>
      <c r="F26" s="900"/>
      <c r="G26" s="900"/>
      <c r="H26" s="900"/>
      <c r="I26" s="900"/>
      <c r="J26" s="900"/>
    </row>
    <row r="27" spans="1:26" ht="19.5" customHeight="1">
      <c r="A27" s="669" t="s">
        <v>370</v>
      </c>
      <c r="B27" s="669"/>
      <c r="C27" s="669"/>
      <c r="D27" s="669"/>
      <c r="E27" s="669"/>
      <c r="F27" s="669"/>
      <c r="G27" s="669"/>
      <c r="H27" s="669"/>
      <c r="I27" s="669"/>
      <c r="J27" s="669"/>
    </row>
    <row r="28" spans="1:26" ht="18.75" customHeight="1">
      <c r="A28" s="669" t="s">
        <v>371</v>
      </c>
      <c r="B28" s="669"/>
      <c r="C28" s="669"/>
      <c r="D28" s="669"/>
      <c r="E28" s="669"/>
      <c r="F28" s="669"/>
      <c r="G28" s="669"/>
      <c r="H28" s="669"/>
      <c r="I28" s="669"/>
      <c r="J28" s="669"/>
    </row>
    <row r="29" spans="1:26" ht="17.25" customHeight="1">
      <c r="A29" s="669" t="s">
        <v>372</v>
      </c>
      <c r="B29" s="669"/>
      <c r="C29" s="669"/>
      <c r="D29" s="669"/>
      <c r="E29" s="669"/>
      <c r="F29" s="669"/>
      <c r="G29" s="669"/>
      <c r="H29" s="669"/>
      <c r="I29" s="669"/>
      <c r="J29" s="669"/>
    </row>
    <row r="30" spans="1:26" ht="21" customHeight="1">
      <c r="A30" s="45">
        <v>1</v>
      </c>
      <c r="B30" s="891" t="s">
        <v>65</v>
      </c>
      <c r="C30" s="892"/>
      <c r="D30" s="892"/>
      <c r="E30" s="892"/>
      <c r="F30" s="892"/>
      <c r="G30" s="893"/>
      <c r="H30" s="894" t="str">
        <f>'1. ABA DE CARREGAMENTO'!B60</f>
        <v>Limpeza, Asseio e Conservação</v>
      </c>
      <c r="I30" s="895"/>
      <c r="J30" s="896"/>
    </row>
    <row r="31" spans="1:26" ht="21" customHeight="1">
      <c r="A31" s="45">
        <v>2</v>
      </c>
      <c r="B31" s="891" t="s">
        <v>67</v>
      </c>
      <c r="C31" s="892"/>
      <c r="D31" s="892"/>
      <c r="E31" s="892"/>
      <c r="F31" s="892"/>
      <c r="G31" s="893"/>
      <c r="H31" s="894">
        <f>'1. ABA DE CARREGAMENTO'!C61</f>
        <v>5143</v>
      </c>
      <c r="I31" s="895"/>
      <c r="J31" s="896"/>
    </row>
    <row r="32" spans="1:26" ht="21" customHeight="1">
      <c r="A32" s="45">
        <v>3</v>
      </c>
      <c r="B32" s="891" t="s">
        <v>69</v>
      </c>
      <c r="C32" s="892"/>
      <c r="D32" s="892"/>
      <c r="E32" s="892"/>
      <c r="F32" s="892"/>
      <c r="G32" s="893"/>
      <c r="H32" s="901">
        <f>'1. ABA DE CARREGAMENTO'!C63</f>
        <v>1314.09</v>
      </c>
      <c r="I32" s="902"/>
      <c r="J32" s="903"/>
    </row>
    <row r="33" spans="1:10" ht="21" customHeight="1">
      <c r="A33" s="45">
        <v>4</v>
      </c>
      <c r="B33" s="891" t="s">
        <v>70</v>
      </c>
      <c r="C33" s="892"/>
      <c r="D33" s="892"/>
      <c r="E33" s="892"/>
      <c r="F33" s="892"/>
      <c r="G33" s="893"/>
      <c r="H33" s="894" t="str">
        <f>'1. ABA DE CARREGAMENTO'!C64</f>
        <v>Servente de Limpeza</v>
      </c>
      <c r="I33" s="895"/>
      <c r="J33" s="896"/>
    </row>
    <row r="34" spans="1:10" ht="21" customHeight="1">
      <c r="A34" s="45">
        <v>5</v>
      </c>
      <c r="B34" s="891" t="s">
        <v>72</v>
      </c>
      <c r="C34" s="892"/>
      <c r="D34" s="892"/>
      <c r="E34" s="892"/>
      <c r="F34" s="892"/>
      <c r="G34" s="893"/>
      <c r="H34" s="897">
        <f>'1. ABA DE CARREGAMENTO'!C65</f>
        <v>44197</v>
      </c>
      <c r="I34" s="898"/>
      <c r="J34" s="899"/>
    </row>
    <row r="35" spans="1:10" ht="12.75" customHeight="1">
      <c r="A35" s="46" t="s">
        <v>373</v>
      </c>
      <c r="B35" s="834" t="s">
        <v>374</v>
      </c>
      <c r="C35" s="834"/>
      <c r="D35" s="834"/>
      <c r="E35" s="834"/>
      <c r="F35" s="834"/>
      <c r="G35" s="834"/>
      <c r="H35" s="834"/>
      <c r="I35" s="834"/>
      <c r="J35" s="834"/>
    </row>
    <row r="36" spans="1:10">
      <c r="A36" s="878"/>
      <c r="B36" s="878"/>
      <c r="C36" s="878"/>
      <c r="D36" s="878"/>
      <c r="E36" s="878"/>
      <c r="F36" s="878"/>
      <c r="G36" s="878"/>
      <c r="H36" s="878"/>
      <c r="I36" s="878"/>
      <c r="J36" s="878"/>
    </row>
    <row r="37" spans="1:10" ht="22.5" customHeight="1">
      <c r="A37" s="669" t="s">
        <v>375</v>
      </c>
      <c r="B37" s="669"/>
      <c r="C37" s="669"/>
      <c r="D37" s="669"/>
      <c r="E37" s="669"/>
      <c r="F37" s="669"/>
      <c r="G37" s="669"/>
      <c r="H37" s="669"/>
      <c r="I37" s="669"/>
      <c r="J37" s="669"/>
    </row>
    <row r="38" spans="1:10" ht="22.5" customHeight="1">
      <c r="A38" s="427">
        <v>1</v>
      </c>
      <c r="B38" s="669" t="s">
        <v>376</v>
      </c>
      <c r="C38" s="669"/>
      <c r="D38" s="669"/>
      <c r="E38" s="669"/>
      <c r="F38" s="669"/>
      <c r="G38" s="669"/>
      <c r="H38" s="669"/>
      <c r="I38" s="437" t="s">
        <v>377</v>
      </c>
      <c r="J38" s="427" t="s">
        <v>378</v>
      </c>
    </row>
    <row r="39" spans="1:10" ht="32.25" customHeight="1">
      <c r="A39" s="430" t="s">
        <v>334</v>
      </c>
      <c r="B39" s="764" t="s">
        <v>705</v>
      </c>
      <c r="C39" s="764"/>
      <c r="D39" s="764"/>
      <c r="E39" s="438">
        <f>'1. ABA DE CARREGAMENTO'!C68</f>
        <v>44</v>
      </c>
      <c r="F39" s="439" t="s">
        <v>380</v>
      </c>
      <c r="G39" s="763" t="str">
        <f>'1. ABA DE CARREGAMENTO'!B62</f>
        <v>Cláusula Quarta da CCT 2022/2022</v>
      </c>
      <c r="H39" s="765"/>
      <c r="I39" s="765"/>
      <c r="J39" s="380">
        <f>H32/44*'1. ABA DE CARREGAMENTO'!C68</f>
        <v>1314.09</v>
      </c>
    </row>
    <row r="40" spans="1:10" ht="22.5" customHeight="1">
      <c r="A40" s="430" t="s">
        <v>336</v>
      </c>
      <c r="B40" s="764" t="s">
        <v>381</v>
      </c>
      <c r="C40" s="764"/>
      <c r="D40" s="765" t="str">
        <f>'1. ABA DE CARREGAMENTO'!B69</f>
        <v>Cláusula Décima Sétima da CCT 2022/2022</v>
      </c>
      <c r="E40" s="765"/>
      <c r="F40" s="765"/>
      <c r="G40" s="765"/>
      <c r="H40" s="765"/>
      <c r="I40" s="381">
        <f>'1. ABA DE CARREGAMENTO'!C71</f>
        <v>0.2</v>
      </c>
      <c r="J40" s="380">
        <f>ROUND(I40*J39,2)</f>
        <v>262.82</v>
      </c>
    </row>
    <row r="41" spans="1:10" ht="22.5" customHeight="1">
      <c r="A41" s="430" t="s">
        <v>337</v>
      </c>
      <c r="B41" s="749" t="s">
        <v>706</v>
      </c>
      <c r="C41" s="749"/>
      <c r="D41" s="749"/>
      <c r="E41" s="749"/>
      <c r="F41" s="749"/>
      <c r="G41" s="749"/>
      <c r="H41" s="749"/>
      <c r="I41" s="749"/>
      <c r="J41" s="380">
        <v>0</v>
      </c>
    </row>
    <row r="42" spans="1:10" ht="21.75" customHeight="1">
      <c r="A42" s="697" t="s">
        <v>383</v>
      </c>
      <c r="B42" s="697"/>
      <c r="C42" s="697"/>
      <c r="D42" s="697"/>
      <c r="E42" s="697"/>
      <c r="F42" s="697"/>
      <c r="G42" s="697"/>
      <c r="H42" s="697"/>
      <c r="I42" s="697"/>
      <c r="J42" s="440">
        <f>SUM(J39:J41)</f>
        <v>1576.9099999999999</v>
      </c>
    </row>
    <row r="43" spans="1:10" ht="12.75" customHeight="1">
      <c r="A43" s="441" t="s">
        <v>384</v>
      </c>
      <c r="B43" s="864" t="s">
        <v>588</v>
      </c>
      <c r="C43" s="864"/>
      <c r="D43" s="864"/>
      <c r="E43" s="864"/>
      <c r="F43" s="864"/>
      <c r="G43" s="864"/>
      <c r="H43" s="864"/>
      <c r="I43" s="864"/>
      <c r="J43" s="864"/>
    </row>
    <row r="44" spans="1:10">
      <c r="A44" s="811"/>
      <c r="B44" s="811"/>
      <c r="C44" s="811"/>
      <c r="D44" s="811"/>
      <c r="E44" s="811"/>
      <c r="F44" s="811"/>
      <c r="G44" s="811"/>
      <c r="H44" s="811"/>
      <c r="I44" s="811"/>
      <c r="J44" s="811"/>
    </row>
    <row r="45" spans="1:10" ht="22.5" customHeight="1">
      <c r="A45" s="669" t="s">
        <v>386</v>
      </c>
      <c r="B45" s="669"/>
      <c r="C45" s="669"/>
      <c r="D45" s="669"/>
      <c r="E45" s="669"/>
      <c r="F45" s="669"/>
      <c r="G45" s="669"/>
      <c r="H45" s="669"/>
      <c r="I45" s="669"/>
      <c r="J45" s="669"/>
    </row>
    <row r="46" spans="1:10" ht="22.5" customHeight="1">
      <c r="A46" s="427" t="s">
        <v>387</v>
      </c>
      <c r="B46" s="669" t="s">
        <v>388</v>
      </c>
      <c r="C46" s="669"/>
      <c r="D46" s="669"/>
      <c r="E46" s="669"/>
      <c r="F46" s="669"/>
      <c r="G46" s="669"/>
      <c r="H46" s="669"/>
      <c r="I46" s="669"/>
      <c r="J46" s="427" t="s">
        <v>389</v>
      </c>
    </row>
    <row r="47" spans="1:10" ht="22.5" customHeight="1">
      <c r="A47" s="430" t="s">
        <v>334</v>
      </c>
      <c r="B47" s="749" t="s">
        <v>707</v>
      </c>
      <c r="C47" s="749"/>
      <c r="D47" s="749"/>
      <c r="E47" s="749"/>
      <c r="F47" s="749"/>
      <c r="G47" s="749"/>
      <c r="H47" s="749"/>
      <c r="I47" s="749"/>
      <c r="J47" s="431">
        <f>ROUND(J42/12,2)</f>
        <v>131.41</v>
      </c>
    </row>
    <row r="48" spans="1:10" ht="22.5" customHeight="1">
      <c r="A48" s="430" t="s">
        <v>336</v>
      </c>
      <c r="B48" s="749" t="s">
        <v>725</v>
      </c>
      <c r="C48" s="749"/>
      <c r="D48" s="749"/>
      <c r="E48" s="749"/>
      <c r="F48" s="749"/>
      <c r="G48" s="749"/>
      <c r="H48" s="749"/>
      <c r="I48" s="749"/>
      <c r="J48" s="431">
        <f>ROUND(J42*3.025%,2)</f>
        <v>47.7</v>
      </c>
    </row>
    <row r="49" spans="1:10" ht="24.75" customHeight="1">
      <c r="A49" s="697" t="s">
        <v>391</v>
      </c>
      <c r="B49" s="697"/>
      <c r="C49" s="697"/>
      <c r="D49" s="697"/>
      <c r="E49" s="697"/>
      <c r="F49" s="697"/>
      <c r="G49" s="697"/>
      <c r="H49" s="697"/>
      <c r="I49" s="697"/>
      <c r="J49" s="429">
        <f>SUM(J47:J48)</f>
        <v>179.11</v>
      </c>
    </row>
    <row r="50" spans="1:10" ht="12.75" customHeight="1">
      <c r="A50" s="441" t="s">
        <v>392</v>
      </c>
      <c r="B50" s="864" t="s">
        <v>688</v>
      </c>
      <c r="C50" s="864"/>
      <c r="D50" s="864"/>
      <c r="E50" s="864"/>
      <c r="F50" s="864"/>
      <c r="G50" s="864"/>
      <c r="H50" s="864"/>
      <c r="I50" s="864"/>
      <c r="J50" s="864"/>
    </row>
    <row r="51" spans="1:10">
      <c r="A51" s="825"/>
      <c r="B51" s="825"/>
      <c r="C51" s="825"/>
      <c r="D51" s="825"/>
      <c r="E51" s="825"/>
      <c r="F51" s="825"/>
      <c r="G51" s="825"/>
      <c r="H51" s="825"/>
      <c r="I51" s="825"/>
      <c r="J51" s="382"/>
    </row>
    <row r="52" spans="1:10" ht="27" customHeight="1">
      <c r="A52" s="427" t="s">
        <v>394</v>
      </c>
      <c r="B52" s="669" t="s">
        <v>727</v>
      </c>
      <c r="C52" s="669"/>
      <c r="D52" s="669"/>
      <c r="E52" s="669"/>
      <c r="F52" s="669"/>
      <c r="G52" s="669"/>
      <c r="H52" s="669"/>
      <c r="I52" s="669"/>
      <c r="J52" s="669"/>
    </row>
    <row r="53" spans="1:10" ht="27" customHeight="1">
      <c r="A53" s="427"/>
      <c r="B53" s="669" t="s">
        <v>396</v>
      </c>
      <c r="C53" s="669"/>
      <c r="D53" s="669"/>
      <c r="E53" s="669"/>
      <c r="F53" s="669"/>
      <c r="G53" s="669"/>
      <c r="H53" s="669"/>
      <c r="I53" s="427" t="s">
        <v>377</v>
      </c>
      <c r="J53" s="427" t="s">
        <v>389</v>
      </c>
    </row>
    <row r="54" spans="1:10" ht="27" customHeight="1">
      <c r="A54" s="430" t="s">
        <v>334</v>
      </c>
      <c r="B54" s="749" t="s">
        <v>82</v>
      </c>
      <c r="C54" s="749"/>
      <c r="D54" s="749"/>
      <c r="E54" s="749"/>
      <c r="F54" s="749"/>
      <c r="G54" s="749"/>
      <c r="H54" s="749"/>
      <c r="I54" s="51">
        <f>'1. ABA DE CARREGAMENTO'!C78</f>
        <v>0.2</v>
      </c>
      <c r="J54" s="431">
        <f>ROUND((J42+J49)*I54,2)</f>
        <v>351.2</v>
      </c>
    </row>
    <row r="55" spans="1:10" ht="27" customHeight="1">
      <c r="A55" s="430" t="s">
        <v>336</v>
      </c>
      <c r="B55" s="749" t="s">
        <v>83</v>
      </c>
      <c r="C55" s="749"/>
      <c r="D55" s="749"/>
      <c r="E55" s="749"/>
      <c r="F55" s="749"/>
      <c r="G55" s="749"/>
      <c r="H55" s="749"/>
      <c r="I55" s="51">
        <f>IF($H$15=1,'1. ABA DE CARREGAMENTO'!C79,IF($H$15=2,'1. ABA DE CARREGAMENTO'!C79,0))</f>
        <v>2.5000000000000001E-2</v>
      </c>
      <c r="J55" s="431">
        <f>ROUND((J42+J49)*I55,2)</f>
        <v>43.9</v>
      </c>
    </row>
    <row r="56" spans="1:10" ht="27" customHeight="1">
      <c r="A56" s="430" t="s">
        <v>337</v>
      </c>
      <c r="B56" s="749" t="s">
        <v>84</v>
      </c>
      <c r="C56" s="749"/>
      <c r="D56" s="749"/>
      <c r="E56" s="428" t="s">
        <v>397</v>
      </c>
      <c r="F56" s="51">
        <f>'1. ABA DE CARREGAMENTO'!$B$74</f>
        <v>0.03</v>
      </c>
      <c r="G56" s="428" t="s">
        <v>398</v>
      </c>
      <c r="H56" s="52">
        <f>'1. ABA DE CARREGAMENTO'!$B$75</f>
        <v>1</v>
      </c>
      <c r="I56" s="51">
        <f>'1. ABA DE CARREGAMENTO'!C80</f>
        <v>0.03</v>
      </c>
      <c r="J56" s="431">
        <f>ROUND((J42+J49)*I56,2)</f>
        <v>52.68</v>
      </c>
    </row>
    <row r="57" spans="1:10" ht="27" customHeight="1">
      <c r="A57" s="430" t="s">
        <v>339</v>
      </c>
      <c r="B57" s="749" t="s">
        <v>85</v>
      </c>
      <c r="C57" s="749"/>
      <c r="D57" s="749"/>
      <c r="E57" s="749"/>
      <c r="F57" s="749"/>
      <c r="G57" s="749"/>
      <c r="H57" s="749"/>
      <c r="I57" s="51">
        <f>IF($H$15=1,'1. ABA DE CARREGAMENTO'!C81,IF($H$15=2,'1. ABA DE CARREGAMENTO'!C81,0))</f>
        <v>1.4999999999999999E-2</v>
      </c>
      <c r="J57" s="431">
        <f>ROUND((J42+J49)*I57,2)</f>
        <v>26.34</v>
      </c>
    </row>
    <row r="58" spans="1:10" ht="27" customHeight="1">
      <c r="A58" s="430" t="s">
        <v>399</v>
      </c>
      <c r="B58" s="749" t="s">
        <v>86</v>
      </c>
      <c r="C58" s="749"/>
      <c r="D58" s="749"/>
      <c r="E58" s="749"/>
      <c r="F58" s="749"/>
      <c r="G58" s="749"/>
      <c r="H58" s="749"/>
      <c r="I58" s="51">
        <f>IF($H$15=1,'1. ABA DE CARREGAMENTO'!C82,IF($H$15=2,'1. ABA DE CARREGAMENTO'!C82,0))</f>
        <v>0.01</v>
      </c>
      <c r="J58" s="431">
        <f>ROUND((J42+J49)*I58,2)</f>
        <v>17.559999999999999</v>
      </c>
    </row>
    <row r="59" spans="1:10" ht="27" customHeight="1">
      <c r="A59" s="430" t="s">
        <v>400</v>
      </c>
      <c r="B59" s="749" t="s">
        <v>87</v>
      </c>
      <c r="C59" s="749"/>
      <c r="D59" s="749"/>
      <c r="E59" s="749"/>
      <c r="F59" s="749"/>
      <c r="G59" s="749"/>
      <c r="H59" s="749"/>
      <c r="I59" s="51">
        <f>IF($H$15=1,'1. ABA DE CARREGAMENTO'!C83,IF($H$15=2,'1. ABA DE CARREGAMENTO'!C83,0))</f>
        <v>6.0000000000000001E-3</v>
      </c>
      <c r="J59" s="431">
        <f>ROUND((J42+J49)*I59,2)</f>
        <v>10.54</v>
      </c>
    </row>
    <row r="60" spans="1:10" ht="27" customHeight="1">
      <c r="A60" s="430" t="s">
        <v>401</v>
      </c>
      <c r="B60" s="749" t="s">
        <v>88</v>
      </c>
      <c r="C60" s="749"/>
      <c r="D60" s="749"/>
      <c r="E60" s="749"/>
      <c r="F60" s="749"/>
      <c r="G60" s="749"/>
      <c r="H60" s="749"/>
      <c r="I60" s="51">
        <f>IF($H$15=1,'1. ABA DE CARREGAMENTO'!C84,IF($H$15=2,'1. ABA DE CARREGAMENTO'!C84,0))</f>
        <v>2E-3</v>
      </c>
      <c r="J60" s="431">
        <f>ROUND((J42+J49)*I60,2)</f>
        <v>3.51</v>
      </c>
    </row>
    <row r="61" spans="1:10" ht="27" customHeight="1">
      <c r="A61" s="430" t="s">
        <v>402</v>
      </c>
      <c r="B61" s="749" t="s">
        <v>89</v>
      </c>
      <c r="C61" s="749"/>
      <c r="D61" s="749"/>
      <c r="E61" s="749"/>
      <c r="F61" s="749"/>
      <c r="G61" s="749"/>
      <c r="H61" s="749"/>
      <c r="I61" s="51">
        <f>'1. ABA DE CARREGAMENTO'!C85</f>
        <v>0.08</v>
      </c>
      <c r="J61" s="431">
        <f>ROUND((J42+J49)*I61,2)</f>
        <v>140.47999999999999</v>
      </c>
    </row>
    <row r="62" spans="1:10" ht="27" customHeight="1">
      <c r="A62" s="697" t="s">
        <v>403</v>
      </c>
      <c r="B62" s="697"/>
      <c r="C62" s="697"/>
      <c r="D62" s="697"/>
      <c r="E62" s="697"/>
      <c r="F62" s="697"/>
      <c r="G62" s="697"/>
      <c r="H62" s="697"/>
      <c r="I62" s="383">
        <f>SUM(I54:I61)</f>
        <v>0.36800000000000005</v>
      </c>
      <c r="J62" s="429">
        <f>SUM(J54:J61)</f>
        <v>646.20999999999992</v>
      </c>
    </row>
    <row r="63" spans="1:10" ht="12.75" customHeight="1">
      <c r="A63" s="441" t="s">
        <v>393</v>
      </c>
      <c r="B63" s="864" t="s">
        <v>405</v>
      </c>
      <c r="C63" s="864"/>
      <c r="D63" s="864"/>
      <c r="E63" s="864"/>
      <c r="F63" s="864"/>
      <c r="G63" s="864"/>
      <c r="H63" s="864"/>
      <c r="I63" s="864"/>
      <c r="J63" s="864"/>
    </row>
    <row r="64" spans="1:10">
      <c r="A64" s="441" t="s">
        <v>404</v>
      </c>
      <c r="B64" s="864" t="s">
        <v>407</v>
      </c>
      <c r="C64" s="864"/>
      <c r="D64" s="864"/>
      <c r="E64" s="864"/>
      <c r="F64" s="864"/>
      <c r="G64" s="864"/>
      <c r="H64" s="864"/>
      <c r="I64" s="864"/>
      <c r="J64" s="864"/>
    </row>
    <row r="65" spans="1:10">
      <c r="A65" s="442"/>
      <c r="B65" s="443"/>
      <c r="C65" s="443"/>
      <c r="D65" s="443"/>
      <c r="E65" s="443"/>
      <c r="F65" s="443"/>
      <c r="G65" s="443"/>
      <c r="H65" s="443"/>
      <c r="I65" s="443"/>
      <c r="J65" s="443"/>
    </row>
    <row r="66" spans="1:10" ht="16.5" customHeight="1">
      <c r="A66" s="444" t="s">
        <v>408</v>
      </c>
      <c r="B66" s="669" t="s">
        <v>409</v>
      </c>
      <c r="C66" s="669"/>
      <c r="D66" s="669"/>
      <c r="E66" s="669"/>
      <c r="F66" s="669"/>
      <c r="G66" s="669"/>
      <c r="H66" s="669"/>
      <c r="I66" s="669"/>
      <c r="J66" s="669"/>
    </row>
    <row r="67" spans="1:10" ht="16.5" customHeight="1">
      <c r="A67" s="427"/>
      <c r="B67" s="669" t="s">
        <v>409</v>
      </c>
      <c r="C67" s="669"/>
      <c r="D67" s="669"/>
      <c r="E67" s="669"/>
      <c r="F67" s="669"/>
      <c r="G67" s="669"/>
      <c r="H67" s="669"/>
      <c r="I67" s="669"/>
      <c r="J67" s="427" t="s">
        <v>389</v>
      </c>
    </row>
    <row r="68" spans="1:10" ht="16.5" customHeight="1">
      <c r="A68" s="800" t="s">
        <v>334</v>
      </c>
      <c r="B68" s="749" t="s">
        <v>708</v>
      </c>
      <c r="C68" s="749"/>
      <c r="D68" s="749"/>
      <c r="E68" s="749"/>
      <c r="F68" s="749"/>
      <c r="G68" s="749"/>
      <c r="H68" s="749"/>
      <c r="I68" s="749"/>
      <c r="J68" s="803">
        <f>IF(ROUND((I71*I69*I70)-(J39*0.06),2)&lt;0,0,ROUND((I71*I69*I70)-(J39*0.06),2))*1+(I69*I70*21.726-0.06*J39)*0</f>
        <v>89.15</v>
      </c>
    </row>
    <row r="69" spans="1:10" ht="16.5" customHeight="1">
      <c r="A69" s="800"/>
      <c r="B69" s="890" t="s">
        <v>411</v>
      </c>
      <c r="C69" s="890"/>
      <c r="D69" s="890"/>
      <c r="E69" s="890"/>
      <c r="F69" s="890"/>
      <c r="G69" s="890"/>
      <c r="H69" s="890"/>
      <c r="I69" s="445">
        <f>'1. ABA DE CARREGAMENTO'!$B$88</f>
        <v>3.5</v>
      </c>
      <c r="J69" s="803"/>
    </row>
    <row r="70" spans="1:10" ht="16.5" customHeight="1">
      <c r="A70" s="800"/>
      <c r="B70" s="890" t="s">
        <v>412</v>
      </c>
      <c r="C70" s="890"/>
      <c r="D70" s="890"/>
      <c r="E70" s="890"/>
      <c r="F70" s="890"/>
      <c r="G70" s="890"/>
      <c r="H70" s="890"/>
      <c r="I70" s="446">
        <f>'1. ABA DE CARREGAMENTO'!$B$89</f>
        <v>2</v>
      </c>
      <c r="J70" s="803"/>
    </row>
    <row r="71" spans="1:10" ht="16.5" customHeight="1">
      <c r="A71" s="800"/>
      <c r="B71" s="890" t="s">
        <v>413</v>
      </c>
      <c r="C71" s="890"/>
      <c r="D71" s="890"/>
      <c r="E71" s="890"/>
      <c r="F71" s="890"/>
      <c r="G71" s="890"/>
      <c r="H71" s="890"/>
      <c r="I71" s="446">
        <f>'1. ABA DE CARREGAMENTO'!$B$90</f>
        <v>24</v>
      </c>
      <c r="J71" s="803"/>
    </row>
    <row r="72" spans="1:10" ht="16.5" customHeight="1">
      <c r="A72" s="800"/>
      <c r="B72" s="890" t="s">
        <v>414</v>
      </c>
      <c r="C72" s="890"/>
      <c r="D72" s="890"/>
      <c r="E72" s="890"/>
      <c r="F72" s="890"/>
      <c r="G72" s="890"/>
      <c r="H72" s="890"/>
      <c r="I72" s="386">
        <f>'1. ABA DE CARREGAMENTO'!B91</f>
        <v>0.06</v>
      </c>
      <c r="J72" s="803"/>
    </row>
    <row r="73" spans="1:10" ht="34.5" customHeight="1">
      <c r="A73" s="800" t="s">
        <v>336</v>
      </c>
      <c r="B73" s="764" t="s">
        <v>689</v>
      </c>
      <c r="C73" s="764"/>
      <c r="D73" s="764"/>
      <c r="E73" s="828" t="str">
        <f>'1. ABA DE CARREGAMENTO'!B94</f>
        <v xml:space="preserve">CCT Sindasseio 2022/2022 - Registro no MTE: RS005021/2022 </v>
      </c>
      <c r="F73" s="828"/>
      <c r="G73" s="828"/>
      <c r="H73" s="828"/>
      <c r="I73" s="829"/>
      <c r="J73" s="803">
        <f>ROUND((I74*I75)-((I74*I75)*I76),2)</f>
        <v>392.3</v>
      </c>
    </row>
    <row r="74" spans="1:10" ht="19.5" customHeight="1">
      <c r="A74" s="800"/>
      <c r="B74" s="890" t="s">
        <v>415</v>
      </c>
      <c r="C74" s="890"/>
      <c r="D74" s="890"/>
      <c r="E74" s="890"/>
      <c r="F74" s="890"/>
      <c r="G74" s="890"/>
      <c r="H74" s="890"/>
      <c r="I74" s="380">
        <f>'1. ABA DE CARREGAMENTO'!B95</f>
        <v>20.18</v>
      </c>
      <c r="J74" s="803"/>
    </row>
    <row r="75" spans="1:10" ht="19.5" customHeight="1">
      <c r="A75" s="800"/>
      <c r="B75" s="890" t="s">
        <v>416</v>
      </c>
      <c r="C75" s="890"/>
      <c r="D75" s="890"/>
      <c r="E75" s="890"/>
      <c r="F75" s="890"/>
      <c r="G75" s="890"/>
      <c r="H75" s="890"/>
      <c r="I75" s="446">
        <f>'1. ABA DE CARREGAMENTO'!B97</f>
        <v>24</v>
      </c>
      <c r="J75" s="803"/>
    </row>
    <row r="76" spans="1:10" ht="19.5" customHeight="1">
      <c r="A76" s="800"/>
      <c r="B76" s="890" t="s">
        <v>417</v>
      </c>
      <c r="C76" s="890"/>
      <c r="D76" s="890"/>
      <c r="E76" s="890"/>
      <c r="F76" s="890"/>
      <c r="G76" s="890"/>
      <c r="H76" s="890"/>
      <c r="I76" s="388">
        <f>'1. ABA DE CARREGAMENTO'!B96</f>
        <v>0.19</v>
      </c>
      <c r="J76" s="803"/>
    </row>
    <row r="77" spans="1:10" ht="19.5" customHeight="1">
      <c r="A77" s="430" t="s">
        <v>337</v>
      </c>
      <c r="B77" s="764" t="s">
        <v>418</v>
      </c>
      <c r="C77" s="764"/>
      <c r="D77" s="764"/>
      <c r="E77" s="828" t="str">
        <f>'1. ABA DE CARREGAMENTO'!B100</f>
        <v>Cláusula Vigésima Nona da CCT 2022/2022</v>
      </c>
      <c r="F77" s="828"/>
      <c r="G77" s="828"/>
      <c r="H77" s="828"/>
      <c r="I77" s="829"/>
      <c r="J77" s="389">
        <f>'1. ABA DE CARREGAMENTO'!C100</f>
        <v>17.32</v>
      </c>
    </row>
    <row r="78" spans="1:10" ht="19.5" customHeight="1">
      <c r="A78" s="430" t="s">
        <v>339</v>
      </c>
      <c r="B78" s="749" t="s">
        <v>709</v>
      </c>
      <c r="C78" s="749"/>
      <c r="D78" s="749"/>
      <c r="E78" s="749"/>
      <c r="F78" s="749"/>
      <c r="G78" s="749"/>
      <c r="H78" s="749"/>
      <c r="I78" s="749"/>
      <c r="J78" s="431">
        <v>0</v>
      </c>
    </row>
    <row r="79" spans="1:10">
      <c r="A79" s="697" t="s">
        <v>420</v>
      </c>
      <c r="B79" s="697"/>
      <c r="C79" s="697"/>
      <c r="D79" s="697"/>
      <c r="E79" s="697"/>
      <c r="F79" s="697"/>
      <c r="G79" s="697"/>
      <c r="H79" s="697"/>
      <c r="I79" s="697"/>
      <c r="J79" s="429">
        <f>SUM(J68:J77)</f>
        <v>498.77000000000004</v>
      </c>
    </row>
    <row r="80" spans="1:10">
      <c r="A80" s="441" t="s">
        <v>406</v>
      </c>
      <c r="B80" s="864" t="s">
        <v>422</v>
      </c>
      <c r="C80" s="864"/>
      <c r="D80" s="864"/>
      <c r="E80" s="864"/>
      <c r="F80" s="864"/>
      <c r="G80" s="864"/>
      <c r="H80" s="864"/>
      <c r="I80" s="864"/>
      <c r="J80" s="864"/>
    </row>
    <row r="81" spans="1:10" ht="12.75" customHeight="1">
      <c r="A81" s="441" t="s">
        <v>421</v>
      </c>
      <c r="B81" s="864" t="s">
        <v>424</v>
      </c>
      <c r="C81" s="864"/>
      <c r="D81" s="864"/>
      <c r="E81" s="864"/>
      <c r="F81" s="864"/>
      <c r="G81" s="864"/>
      <c r="H81" s="864"/>
      <c r="I81" s="864"/>
      <c r="J81" s="864"/>
    </row>
    <row r="82" spans="1:10">
      <c r="A82" s="442"/>
      <c r="B82" s="443"/>
      <c r="C82" s="443"/>
      <c r="D82" s="443"/>
      <c r="E82" s="443"/>
      <c r="F82" s="443"/>
      <c r="G82" s="443"/>
      <c r="H82" s="443"/>
      <c r="I82" s="443"/>
      <c r="J82" s="443"/>
    </row>
    <row r="83" spans="1:10" ht="22.5" customHeight="1">
      <c r="A83" s="669" t="s">
        <v>425</v>
      </c>
      <c r="B83" s="669"/>
      <c r="C83" s="669"/>
      <c r="D83" s="669"/>
      <c r="E83" s="669"/>
      <c r="F83" s="669"/>
      <c r="G83" s="669"/>
      <c r="H83" s="669"/>
      <c r="I83" s="669"/>
      <c r="J83" s="669"/>
    </row>
    <row r="84" spans="1:10" ht="22.5" customHeight="1">
      <c r="A84" s="427" t="s">
        <v>426</v>
      </c>
      <c r="B84" s="669" t="s">
        <v>427</v>
      </c>
      <c r="C84" s="669"/>
      <c r="D84" s="669"/>
      <c r="E84" s="669"/>
      <c r="F84" s="669"/>
      <c r="G84" s="669"/>
      <c r="H84" s="669"/>
      <c r="I84" s="669"/>
      <c r="J84" s="427" t="s">
        <v>389</v>
      </c>
    </row>
    <row r="85" spans="1:10" ht="22.5" customHeight="1">
      <c r="A85" s="430" t="s">
        <v>428</v>
      </c>
      <c r="B85" s="890" t="s">
        <v>429</v>
      </c>
      <c r="C85" s="890"/>
      <c r="D85" s="890"/>
      <c r="E85" s="890"/>
      <c r="F85" s="890"/>
      <c r="G85" s="890"/>
      <c r="H85" s="890"/>
      <c r="I85" s="890"/>
      <c r="J85" s="431">
        <f>J49</f>
        <v>179.11</v>
      </c>
    </row>
    <row r="86" spans="1:10" ht="22.5" customHeight="1">
      <c r="A86" s="430" t="s">
        <v>394</v>
      </c>
      <c r="B86" s="890" t="s">
        <v>430</v>
      </c>
      <c r="C86" s="890"/>
      <c r="D86" s="890"/>
      <c r="E86" s="890"/>
      <c r="F86" s="890"/>
      <c r="G86" s="890"/>
      <c r="H86" s="890"/>
      <c r="I86" s="890"/>
      <c r="J86" s="431">
        <f>J62</f>
        <v>646.20999999999992</v>
      </c>
    </row>
    <row r="87" spans="1:10" ht="22.5" customHeight="1">
      <c r="A87" s="430" t="s">
        <v>431</v>
      </c>
      <c r="B87" s="890" t="s">
        <v>432</v>
      </c>
      <c r="C87" s="890"/>
      <c r="D87" s="890"/>
      <c r="E87" s="890"/>
      <c r="F87" s="890"/>
      <c r="G87" s="890"/>
      <c r="H87" s="890"/>
      <c r="I87" s="890"/>
      <c r="J87" s="431">
        <f>J79</f>
        <v>498.77000000000004</v>
      </c>
    </row>
    <row r="88" spans="1:10" ht="22.5" customHeight="1">
      <c r="A88" s="697" t="s">
        <v>433</v>
      </c>
      <c r="B88" s="697"/>
      <c r="C88" s="697"/>
      <c r="D88" s="697"/>
      <c r="E88" s="697"/>
      <c r="F88" s="697"/>
      <c r="G88" s="697"/>
      <c r="H88" s="697"/>
      <c r="I88" s="697"/>
      <c r="J88" s="429">
        <f>SUM(J85+J86+J87)</f>
        <v>1324.09</v>
      </c>
    </row>
    <row r="89" spans="1:10">
      <c r="A89" s="70"/>
      <c r="B89" s="70"/>
      <c r="C89" s="70"/>
      <c r="D89" s="70"/>
      <c r="E89" s="70"/>
      <c r="F89" s="70"/>
      <c r="G89" s="70"/>
      <c r="H89" s="70"/>
      <c r="I89" s="70"/>
      <c r="J89" s="82"/>
    </row>
    <row r="90" spans="1:10" ht="35.25" customHeight="1">
      <c r="A90" s="669" t="s">
        <v>434</v>
      </c>
      <c r="B90" s="669"/>
      <c r="C90" s="669"/>
      <c r="D90" s="669"/>
      <c r="E90" s="669"/>
      <c r="F90" s="669"/>
      <c r="G90" s="669"/>
      <c r="H90" s="669"/>
      <c r="I90" s="669"/>
      <c r="J90" s="669"/>
    </row>
    <row r="91" spans="1:10" ht="35.25" customHeight="1">
      <c r="A91" s="427"/>
      <c r="B91" s="669" t="s">
        <v>427</v>
      </c>
      <c r="C91" s="669"/>
      <c r="D91" s="669"/>
      <c r="E91" s="669"/>
      <c r="F91" s="669"/>
      <c r="G91" s="669"/>
      <c r="H91" s="669"/>
      <c r="I91" s="669"/>
      <c r="J91" s="427" t="s">
        <v>435</v>
      </c>
    </row>
    <row r="92" spans="1:10" ht="35.25" customHeight="1">
      <c r="A92" s="430" t="s">
        <v>334</v>
      </c>
      <c r="B92" s="749" t="s">
        <v>710</v>
      </c>
      <c r="C92" s="749"/>
      <c r="D92" s="749"/>
      <c r="E92" s="749"/>
      <c r="F92" s="749"/>
      <c r="G92" s="749"/>
      <c r="H92" s="749"/>
      <c r="I92" s="749"/>
      <c r="J92" s="431">
        <f>ROUND((($J$42/12)+($J$47/12)+($J$42/12/12)+($J$48/12))*(30/30)*0.05,2)</f>
        <v>7.86</v>
      </c>
    </row>
    <row r="93" spans="1:10" ht="35.25" customHeight="1">
      <c r="A93" s="430" t="s">
        <v>336</v>
      </c>
      <c r="B93" s="749" t="s">
        <v>437</v>
      </c>
      <c r="C93" s="749"/>
      <c r="D93" s="749"/>
      <c r="E93" s="749"/>
      <c r="F93" s="749"/>
      <c r="G93" s="749"/>
      <c r="H93" s="749"/>
      <c r="I93" s="749"/>
      <c r="J93" s="431">
        <f>ROUND($J$92*I61,2)</f>
        <v>0.63</v>
      </c>
    </row>
    <row r="94" spans="1:10" ht="35.25" customHeight="1">
      <c r="A94" s="430" t="s">
        <v>337</v>
      </c>
      <c r="B94" s="749" t="s">
        <v>711</v>
      </c>
      <c r="C94" s="749"/>
      <c r="D94" s="749"/>
      <c r="E94" s="749"/>
      <c r="F94" s="749"/>
      <c r="G94" s="749"/>
      <c r="H94" s="749"/>
      <c r="I94" s="749"/>
      <c r="J94" s="431">
        <f>ROUND(0.08*0.4*($J$42+$J$47+$J$48)*0.05,2)</f>
        <v>2.81</v>
      </c>
    </row>
    <row r="95" spans="1:10" ht="35.25" customHeight="1">
      <c r="A95" s="430" t="s">
        <v>339</v>
      </c>
      <c r="B95" s="749" t="s">
        <v>712</v>
      </c>
      <c r="C95" s="749"/>
      <c r="D95" s="749"/>
      <c r="E95" s="749"/>
      <c r="F95" s="749"/>
      <c r="G95" s="749"/>
      <c r="H95" s="749"/>
      <c r="I95" s="749"/>
      <c r="J95" s="431">
        <f>ROUND(((($J$42/30)*7)/$H$21)*1,2)</f>
        <v>18.399999999999999</v>
      </c>
    </row>
    <row r="96" spans="1:10" ht="35.25" customHeight="1">
      <c r="A96" s="430" t="s">
        <v>399</v>
      </c>
      <c r="B96" s="749" t="s">
        <v>440</v>
      </c>
      <c r="C96" s="749"/>
      <c r="D96" s="749"/>
      <c r="E96" s="749"/>
      <c r="F96" s="749"/>
      <c r="G96" s="749"/>
      <c r="H96" s="749"/>
      <c r="I96" s="749"/>
      <c r="J96" s="431">
        <f>ROUND($I$62*J95,2)</f>
        <v>6.77</v>
      </c>
    </row>
    <row r="97" spans="1:10" ht="35.25" customHeight="1">
      <c r="A97" s="430" t="s">
        <v>400</v>
      </c>
      <c r="B97" s="749" t="s">
        <v>713</v>
      </c>
      <c r="C97" s="749"/>
      <c r="D97" s="749"/>
      <c r="E97" s="749"/>
      <c r="F97" s="749"/>
      <c r="G97" s="749"/>
      <c r="H97" s="749"/>
      <c r="I97" s="749"/>
      <c r="J97" s="431">
        <f>ROUND(0.08*0.4*($J$42+$J$47+$J$48)*0.9,2)</f>
        <v>50.57</v>
      </c>
    </row>
    <row r="98" spans="1:10" ht="35.25" customHeight="1">
      <c r="A98" s="697" t="s">
        <v>442</v>
      </c>
      <c r="B98" s="697"/>
      <c r="C98" s="697"/>
      <c r="D98" s="697"/>
      <c r="E98" s="697"/>
      <c r="F98" s="697"/>
      <c r="G98" s="697"/>
      <c r="H98" s="697"/>
      <c r="I98" s="697"/>
      <c r="J98" s="429">
        <f>SUM(J92:J97)</f>
        <v>87.039999999999992</v>
      </c>
    </row>
    <row r="99" spans="1:10">
      <c r="A99" s="70"/>
      <c r="B99" s="70"/>
      <c r="C99" s="70"/>
      <c r="D99" s="70"/>
      <c r="E99" s="70"/>
      <c r="F99" s="70"/>
      <c r="G99" s="70"/>
      <c r="H99" s="70"/>
      <c r="I99" s="70"/>
      <c r="J99" s="82"/>
    </row>
    <row r="100" spans="1:10" ht="27.75" customHeight="1">
      <c r="A100" s="669" t="s">
        <v>443</v>
      </c>
      <c r="B100" s="669"/>
      <c r="C100" s="669"/>
      <c r="D100" s="669"/>
      <c r="E100" s="669"/>
      <c r="F100" s="669"/>
      <c r="G100" s="669"/>
      <c r="H100" s="669"/>
      <c r="I100" s="669"/>
      <c r="J100" s="669"/>
    </row>
    <row r="101" spans="1:10" ht="27.75" customHeight="1">
      <c r="A101" s="669" t="s">
        <v>444</v>
      </c>
      <c r="B101" s="669"/>
      <c r="C101" s="669"/>
      <c r="D101" s="669"/>
      <c r="E101" s="669"/>
      <c r="F101" s="669"/>
      <c r="G101" s="669"/>
      <c r="H101" s="669"/>
      <c r="I101" s="669"/>
      <c r="J101" s="669"/>
    </row>
    <row r="102" spans="1:10" ht="27.75" customHeight="1">
      <c r="A102" s="669" t="s">
        <v>445</v>
      </c>
      <c r="B102" s="669"/>
      <c r="C102" s="447">
        <f>J42</f>
        <v>1576.9099999999999</v>
      </c>
      <c r="D102" s="669" t="s">
        <v>657</v>
      </c>
      <c r="E102" s="669"/>
      <c r="F102" s="447">
        <f>J88-J73-J68</f>
        <v>842.64</v>
      </c>
      <c r="G102" s="669" t="s">
        <v>447</v>
      </c>
      <c r="H102" s="669"/>
      <c r="I102" s="447">
        <f>J98</f>
        <v>87.039999999999992</v>
      </c>
      <c r="J102" s="429">
        <f>ROUND((J42+(J88-J73-J68)+J98),2)</f>
        <v>2506.59</v>
      </c>
    </row>
    <row r="103" spans="1:10" ht="27.75" customHeight="1">
      <c r="A103" s="669" t="s">
        <v>448</v>
      </c>
      <c r="B103" s="669"/>
      <c r="C103" s="669"/>
      <c r="D103" s="669"/>
      <c r="E103" s="669"/>
      <c r="F103" s="669"/>
      <c r="G103" s="669" t="s">
        <v>449</v>
      </c>
      <c r="H103" s="669"/>
      <c r="I103" s="669"/>
      <c r="J103" s="440">
        <f>ROUND(J102/30,2)</f>
        <v>83.55</v>
      </c>
    </row>
    <row r="104" spans="1:10">
      <c r="A104" s="448"/>
      <c r="B104" s="448"/>
      <c r="C104" s="448"/>
      <c r="D104" s="448"/>
      <c r="E104" s="448"/>
      <c r="F104" s="448"/>
      <c r="G104" s="448"/>
      <c r="H104" s="448"/>
      <c r="I104" s="448"/>
      <c r="J104" s="449"/>
    </row>
    <row r="105" spans="1:10" ht="24.75" customHeight="1">
      <c r="A105" s="427" t="s">
        <v>450</v>
      </c>
      <c r="B105" s="669" t="s">
        <v>451</v>
      </c>
      <c r="C105" s="669"/>
      <c r="D105" s="669"/>
      <c r="E105" s="669"/>
      <c r="F105" s="669"/>
      <c r="G105" s="669"/>
      <c r="H105" s="669"/>
      <c r="I105" s="669"/>
      <c r="J105" s="427" t="s">
        <v>389</v>
      </c>
    </row>
    <row r="106" spans="1:10" ht="24.75" customHeight="1">
      <c r="A106" s="430" t="s">
        <v>334</v>
      </c>
      <c r="B106" s="749" t="s">
        <v>726</v>
      </c>
      <c r="C106" s="749"/>
      <c r="D106" s="749"/>
      <c r="E106" s="749"/>
      <c r="F106" s="749"/>
      <c r="G106" s="749"/>
      <c r="H106" s="749"/>
      <c r="I106" s="749"/>
      <c r="J106" s="431">
        <f>ROUND(J42*9.075%,2)</f>
        <v>143.1</v>
      </c>
    </row>
    <row r="107" spans="1:10" ht="24.75" customHeight="1">
      <c r="A107" s="430" t="s">
        <v>336</v>
      </c>
      <c r="B107" s="749" t="s">
        <v>714</v>
      </c>
      <c r="C107" s="749"/>
      <c r="D107" s="749"/>
      <c r="E107" s="749"/>
      <c r="F107" s="749"/>
      <c r="G107" s="749"/>
      <c r="H107" s="749"/>
      <c r="I107" s="749"/>
      <c r="J107" s="380">
        <f>ROUND((($J$102/30)*1)/12,2)</f>
        <v>6.96</v>
      </c>
    </row>
    <row r="108" spans="1:10" ht="24.75" customHeight="1">
      <c r="A108" s="430" t="s">
        <v>337</v>
      </c>
      <c r="B108" s="749" t="s">
        <v>715</v>
      </c>
      <c r="C108" s="749"/>
      <c r="D108" s="749"/>
      <c r="E108" s="749"/>
      <c r="F108" s="749"/>
      <c r="G108" s="749"/>
      <c r="H108" s="749"/>
      <c r="I108" s="749"/>
      <c r="J108" s="380">
        <f>ROUND((($J$102/30)*5)/12*0.015,2)</f>
        <v>0.52</v>
      </c>
    </row>
    <row r="109" spans="1:10" ht="24.75" customHeight="1">
      <c r="A109" s="430" t="s">
        <v>339</v>
      </c>
      <c r="B109" s="749" t="s">
        <v>716</v>
      </c>
      <c r="C109" s="749"/>
      <c r="D109" s="749"/>
      <c r="E109" s="749"/>
      <c r="F109" s="749"/>
      <c r="G109" s="749"/>
      <c r="H109" s="749"/>
      <c r="I109" s="749"/>
      <c r="J109" s="431">
        <f>ROUND(((($J$102/30)*15)/12)*0.0078,2)</f>
        <v>0.81</v>
      </c>
    </row>
    <row r="110" spans="1:10" ht="24.75" customHeight="1">
      <c r="A110" s="430" t="s">
        <v>399</v>
      </c>
      <c r="B110" s="749" t="s">
        <v>717</v>
      </c>
      <c r="C110" s="749"/>
      <c r="D110" s="749"/>
      <c r="E110" s="749"/>
      <c r="F110" s="749"/>
      <c r="G110" s="749"/>
      <c r="H110" s="749"/>
      <c r="I110" s="749"/>
      <c r="J110" s="431">
        <f>ROUND((((J42+J42/3)/12+(J62+J79-J73-J68+J98))*4/12)*0.02,2)</f>
        <v>6.17</v>
      </c>
    </row>
    <row r="111" spans="1:10" ht="24.75" customHeight="1">
      <c r="A111" s="430" t="s">
        <v>400</v>
      </c>
      <c r="B111" s="749" t="s">
        <v>718</v>
      </c>
      <c r="C111" s="749"/>
      <c r="D111" s="749"/>
      <c r="E111" s="749"/>
      <c r="F111" s="749"/>
      <c r="G111" s="749"/>
      <c r="H111" s="749"/>
      <c r="I111" s="749"/>
      <c r="J111" s="431">
        <f>ROUND(((($J$102/30)*5)/12),2)</f>
        <v>34.81</v>
      </c>
    </row>
    <row r="112" spans="1:10" ht="24.75" customHeight="1">
      <c r="A112" s="697" t="s">
        <v>457</v>
      </c>
      <c r="B112" s="697"/>
      <c r="C112" s="697"/>
      <c r="D112" s="697"/>
      <c r="E112" s="697"/>
      <c r="F112" s="697"/>
      <c r="G112" s="697"/>
      <c r="H112" s="697"/>
      <c r="I112" s="697"/>
      <c r="J112" s="429">
        <f>SUM(J106:J111)</f>
        <v>192.37</v>
      </c>
    </row>
    <row r="113" spans="1:10">
      <c r="A113" s="825"/>
      <c r="B113" s="825"/>
      <c r="C113" s="825"/>
      <c r="D113" s="825"/>
      <c r="E113" s="825"/>
      <c r="F113" s="825"/>
      <c r="G113" s="825"/>
      <c r="H113" s="825"/>
      <c r="I113" s="825"/>
      <c r="J113" s="382"/>
    </row>
    <row r="114" spans="1:10" ht="18" customHeight="1">
      <c r="A114" s="427" t="s">
        <v>458</v>
      </c>
      <c r="B114" s="669" t="s">
        <v>459</v>
      </c>
      <c r="C114" s="669"/>
      <c r="D114" s="669"/>
      <c r="E114" s="669"/>
      <c r="F114" s="669"/>
      <c r="G114" s="669"/>
      <c r="H114" s="669"/>
      <c r="I114" s="669"/>
      <c r="J114" s="427" t="s">
        <v>389</v>
      </c>
    </row>
    <row r="115" spans="1:10" ht="18" customHeight="1">
      <c r="A115" s="430" t="s">
        <v>334</v>
      </c>
      <c r="B115" s="749" t="s">
        <v>460</v>
      </c>
      <c r="C115" s="749"/>
      <c r="D115" s="749"/>
      <c r="E115" s="749"/>
      <c r="F115" s="749"/>
      <c r="G115" s="749"/>
      <c r="H115" s="749"/>
      <c r="I115" s="749"/>
      <c r="J115" s="431">
        <v>0</v>
      </c>
    </row>
    <row r="116" spans="1:10" ht="18" customHeight="1">
      <c r="A116" s="697" t="s">
        <v>461</v>
      </c>
      <c r="B116" s="697"/>
      <c r="C116" s="697"/>
      <c r="D116" s="697"/>
      <c r="E116" s="697"/>
      <c r="F116" s="697"/>
      <c r="G116" s="697"/>
      <c r="H116" s="697"/>
      <c r="I116" s="697"/>
      <c r="J116" s="429">
        <f>SUM(J115)</f>
        <v>0</v>
      </c>
    </row>
    <row r="117" spans="1:10">
      <c r="A117" s="825"/>
      <c r="B117" s="825"/>
      <c r="C117" s="825"/>
      <c r="D117" s="825"/>
      <c r="E117" s="825"/>
      <c r="F117" s="825"/>
      <c r="G117" s="825"/>
      <c r="H117" s="825"/>
      <c r="I117" s="825"/>
      <c r="J117" s="382"/>
    </row>
    <row r="118" spans="1:10" ht="16.5" customHeight="1">
      <c r="A118" s="669" t="s">
        <v>462</v>
      </c>
      <c r="B118" s="669"/>
      <c r="C118" s="669"/>
      <c r="D118" s="669"/>
      <c r="E118" s="669"/>
      <c r="F118" s="669"/>
      <c r="G118" s="669"/>
      <c r="H118" s="669"/>
      <c r="I118" s="669"/>
      <c r="J118" s="669"/>
    </row>
    <row r="119" spans="1:10" ht="16.5" customHeight="1">
      <c r="A119" s="427" t="s">
        <v>463</v>
      </c>
      <c r="B119" s="669" t="s">
        <v>427</v>
      </c>
      <c r="C119" s="669"/>
      <c r="D119" s="669"/>
      <c r="E119" s="669"/>
      <c r="F119" s="669"/>
      <c r="G119" s="669"/>
      <c r="H119" s="669"/>
      <c r="I119" s="669"/>
      <c r="J119" s="450" t="s">
        <v>389</v>
      </c>
    </row>
    <row r="120" spans="1:10" ht="16.5" customHeight="1">
      <c r="A120" s="430" t="s">
        <v>450</v>
      </c>
      <c r="B120" s="749" t="s">
        <v>451</v>
      </c>
      <c r="C120" s="749"/>
      <c r="D120" s="749"/>
      <c r="E120" s="749"/>
      <c r="F120" s="749"/>
      <c r="G120" s="749"/>
      <c r="H120" s="749"/>
      <c r="I120" s="749"/>
      <c r="J120" s="431">
        <f>J112</f>
        <v>192.37</v>
      </c>
    </row>
    <row r="121" spans="1:10" ht="16.5" customHeight="1">
      <c r="A121" s="430" t="s">
        <v>464</v>
      </c>
      <c r="B121" s="749" t="s">
        <v>459</v>
      </c>
      <c r="C121" s="749"/>
      <c r="D121" s="749"/>
      <c r="E121" s="749"/>
      <c r="F121" s="749"/>
      <c r="G121" s="749"/>
      <c r="H121" s="749"/>
      <c r="I121" s="749"/>
      <c r="J121" s="431">
        <f>J116</f>
        <v>0</v>
      </c>
    </row>
    <row r="122" spans="1:10" ht="16.5" customHeight="1">
      <c r="A122" s="697" t="s">
        <v>465</v>
      </c>
      <c r="B122" s="697"/>
      <c r="C122" s="697"/>
      <c r="D122" s="697"/>
      <c r="E122" s="697"/>
      <c r="F122" s="697"/>
      <c r="G122" s="697"/>
      <c r="H122" s="697"/>
      <c r="I122" s="697"/>
      <c r="J122" s="429">
        <f>SUM(J120+J121)</f>
        <v>192.37</v>
      </c>
    </row>
    <row r="123" spans="1:10" ht="33.75" customHeight="1">
      <c r="A123" s="441" t="s">
        <v>423</v>
      </c>
      <c r="B123" s="864" t="s">
        <v>467</v>
      </c>
      <c r="C123" s="864"/>
      <c r="D123" s="864"/>
      <c r="E123" s="864"/>
      <c r="F123" s="864"/>
      <c r="G123" s="864"/>
      <c r="H123" s="864"/>
      <c r="I123" s="864"/>
      <c r="J123" s="864"/>
    </row>
    <row r="124" spans="1:10">
      <c r="A124" s="442"/>
      <c r="B124" s="443"/>
      <c r="C124" s="443"/>
      <c r="D124" s="443"/>
      <c r="E124" s="443"/>
      <c r="F124" s="443"/>
      <c r="G124" s="443"/>
      <c r="H124" s="443"/>
      <c r="I124" s="443"/>
      <c r="J124" s="443"/>
    </row>
    <row r="125" spans="1:10" ht="24" customHeight="1">
      <c r="A125" s="669" t="s">
        <v>468</v>
      </c>
      <c r="B125" s="669"/>
      <c r="C125" s="669"/>
      <c r="D125" s="669"/>
      <c r="E125" s="669"/>
      <c r="F125" s="669"/>
      <c r="G125" s="669"/>
      <c r="H125" s="669"/>
      <c r="I125" s="669"/>
      <c r="J125" s="669"/>
    </row>
    <row r="126" spans="1:10" ht="24" customHeight="1">
      <c r="A126" s="427"/>
      <c r="B126" s="669" t="s">
        <v>427</v>
      </c>
      <c r="C126" s="669"/>
      <c r="D126" s="669"/>
      <c r="E126" s="669"/>
      <c r="F126" s="669"/>
      <c r="G126" s="669"/>
      <c r="H126" s="669"/>
      <c r="I126" s="669"/>
      <c r="J126" s="427" t="s">
        <v>389</v>
      </c>
    </row>
    <row r="127" spans="1:10" ht="24" customHeight="1">
      <c r="A127" s="430" t="s">
        <v>334</v>
      </c>
      <c r="B127" s="749" t="s">
        <v>469</v>
      </c>
      <c r="C127" s="749"/>
      <c r="D127" s="749"/>
      <c r="E127" s="749"/>
      <c r="F127" s="749"/>
      <c r="G127" s="749"/>
      <c r="H127" s="749"/>
      <c r="I127" s="749"/>
      <c r="J127" s="431">
        <f>'2. INSUMOS'!F91</f>
        <v>69.038333333333341</v>
      </c>
    </row>
    <row r="128" spans="1:10" ht="24" customHeight="1">
      <c r="A128" s="430" t="s">
        <v>336</v>
      </c>
      <c r="B128" s="749" t="s">
        <v>470</v>
      </c>
      <c r="C128" s="749"/>
      <c r="D128" s="749"/>
      <c r="E128" s="749"/>
      <c r="F128" s="749"/>
      <c r="G128" s="749"/>
      <c r="H128" s="749"/>
      <c r="I128" s="749"/>
      <c r="J128" s="431">
        <v>0</v>
      </c>
    </row>
    <row r="129" spans="1:12" ht="24" customHeight="1">
      <c r="A129" s="430" t="s">
        <v>337</v>
      </c>
      <c r="B129" s="749" t="s">
        <v>471</v>
      </c>
      <c r="C129" s="749"/>
      <c r="D129" s="749"/>
      <c r="E129" s="749"/>
      <c r="F129" s="749"/>
      <c r="G129" s="749"/>
      <c r="H129" s="749"/>
      <c r="I129" s="749"/>
      <c r="J129" s="431">
        <v>0</v>
      </c>
    </row>
    <row r="130" spans="1:12" ht="24" customHeight="1">
      <c r="A130" s="430" t="s">
        <v>339</v>
      </c>
      <c r="B130" s="749" t="s">
        <v>620</v>
      </c>
      <c r="C130" s="749"/>
      <c r="D130" s="749"/>
      <c r="E130" s="749"/>
      <c r="F130" s="749"/>
      <c r="G130" s="749"/>
      <c r="H130" s="749"/>
      <c r="I130" s="749"/>
      <c r="J130" s="431" t="s">
        <v>473</v>
      </c>
    </row>
    <row r="131" spans="1:12" ht="24" customHeight="1">
      <c r="A131" s="697" t="s">
        <v>592</v>
      </c>
      <c r="B131" s="697"/>
      <c r="C131" s="697"/>
      <c r="D131" s="697"/>
      <c r="E131" s="697"/>
      <c r="F131" s="697"/>
      <c r="G131" s="697"/>
      <c r="H131" s="697"/>
      <c r="I131" s="697"/>
      <c r="J131" s="429">
        <f>SUM(J127:J130)</f>
        <v>69.038333333333341</v>
      </c>
    </row>
    <row r="132" spans="1:12">
      <c r="A132" s="441" t="s">
        <v>466</v>
      </c>
      <c r="B132" s="864" t="s">
        <v>476</v>
      </c>
      <c r="C132" s="864"/>
      <c r="D132" s="864"/>
      <c r="E132" s="864"/>
      <c r="F132" s="864"/>
      <c r="G132" s="864"/>
      <c r="H132" s="864"/>
      <c r="I132" s="864"/>
      <c r="J132" s="864"/>
    </row>
    <row r="133" spans="1:12">
      <c r="A133" s="878"/>
      <c r="B133" s="878"/>
      <c r="C133" s="878"/>
      <c r="D133" s="878"/>
      <c r="E133" s="878"/>
      <c r="F133" s="878"/>
      <c r="G133" s="878"/>
      <c r="H133" s="878"/>
      <c r="I133" s="878"/>
      <c r="J133" s="878"/>
    </row>
    <row r="134" spans="1:12" ht="30.75" customHeight="1">
      <c r="A134" s="669" t="s">
        <v>477</v>
      </c>
      <c r="B134" s="669"/>
      <c r="C134" s="669"/>
      <c r="D134" s="669"/>
      <c r="E134" s="669"/>
      <c r="F134" s="669"/>
      <c r="G134" s="669"/>
      <c r="H134" s="669"/>
      <c r="I134" s="669"/>
      <c r="J134" s="669"/>
    </row>
    <row r="135" spans="1:12" ht="30.75" customHeight="1">
      <c r="A135" s="427"/>
      <c r="B135" s="669" t="s">
        <v>478</v>
      </c>
      <c r="C135" s="669"/>
      <c r="D135" s="669"/>
      <c r="E135" s="669"/>
      <c r="F135" s="669"/>
      <c r="G135" s="669"/>
      <c r="H135" s="669"/>
      <c r="I135" s="427" t="s">
        <v>377</v>
      </c>
      <c r="J135" s="450" t="s">
        <v>389</v>
      </c>
    </row>
    <row r="136" spans="1:12" ht="58.5" customHeight="1">
      <c r="A136" s="749" t="s">
        <v>719</v>
      </c>
      <c r="B136" s="749"/>
      <c r="C136" s="749"/>
      <c r="D136" s="749"/>
      <c r="E136" s="749"/>
      <c r="F136" s="749"/>
      <c r="G136" s="749"/>
      <c r="H136" s="749"/>
      <c r="I136" s="749"/>
      <c r="J136" s="451">
        <f>SUM(J42+J88+J98+J122+J131)</f>
        <v>3249.4483333333333</v>
      </c>
    </row>
    <row r="137" spans="1:12" ht="30.75" customHeight="1">
      <c r="A137" s="427" t="s">
        <v>334</v>
      </c>
      <c r="B137" s="721" t="s">
        <v>480</v>
      </c>
      <c r="C137" s="721"/>
      <c r="D137" s="721"/>
      <c r="E137" s="721"/>
      <c r="F137" s="721"/>
      <c r="G137" s="721"/>
      <c r="H137" s="721"/>
      <c r="I137" s="392">
        <f>'1. ABA DE CARREGAMENTO'!$B$103</f>
        <v>0.06</v>
      </c>
      <c r="J137" s="429">
        <f>ROUND(I137*J136,2)</f>
        <v>194.97</v>
      </c>
    </row>
    <row r="138" spans="1:12" ht="43.5" customHeight="1">
      <c r="A138" s="749" t="s">
        <v>720</v>
      </c>
      <c r="B138" s="749"/>
      <c r="C138" s="749"/>
      <c r="D138" s="749"/>
      <c r="E138" s="749"/>
      <c r="F138" s="749"/>
      <c r="G138" s="749"/>
      <c r="H138" s="749"/>
      <c r="I138" s="749"/>
      <c r="J138" s="389">
        <f>SUM(J42+J88+J98+J122+J131+J137)</f>
        <v>3444.4183333333331</v>
      </c>
    </row>
    <row r="139" spans="1:12" ht="30.75" customHeight="1">
      <c r="A139" s="427" t="s">
        <v>336</v>
      </c>
      <c r="B139" s="721" t="s">
        <v>102</v>
      </c>
      <c r="C139" s="721"/>
      <c r="D139" s="721"/>
      <c r="E139" s="721"/>
      <c r="F139" s="721"/>
      <c r="G139" s="721"/>
      <c r="H139" s="721"/>
      <c r="I139" s="392">
        <f>'1. ABA DE CARREGAMENTO'!$B$104</f>
        <v>6.7900000000000002E-2</v>
      </c>
      <c r="J139" s="429">
        <f>ROUND(I139*J138,2)</f>
        <v>233.88</v>
      </c>
    </row>
    <row r="140" spans="1:12" ht="45.75" customHeight="1">
      <c r="A140" s="749" t="s">
        <v>721</v>
      </c>
      <c r="B140" s="749"/>
      <c r="C140" s="749"/>
      <c r="D140" s="749"/>
      <c r="E140" s="749"/>
      <c r="F140" s="749"/>
      <c r="G140" s="749"/>
      <c r="H140" s="749"/>
      <c r="I140" s="749"/>
      <c r="J140" s="389">
        <f>SUM(J42+J88+J98+J122+J131+J137+J139)</f>
        <v>3678.2983333333332</v>
      </c>
    </row>
    <row r="141" spans="1:12" ht="30.75" customHeight="1">
      <c r="A141" s="427" t="s">
        <v>337</v>
      </c>
      <c r="B141" s="721" t="s">
        <v>483</v>
      </c>
      <c r="C141" s="721"/>
      <c r="D141" s="721"/>
      <c r="E141" s="721"/>
      <c r="F141" s="721"/>
      <c r="G141" s="721"/>
      <c r="H141" s="721"/>
      <c r="I141" s="392">
        <f>SUM(I142:I145)</f>
        <v>0.1225</v>
      </c>
      <c r="J141" s="429">
        <f>SUM(J142:J145)</f>
        <v>513.49</v>
      </c>
      <c r="K141" s="889"/>
      <c r="L141" s="889"/>
    </row>
    <row r="142" spans="1:12" ht="30.75" customHeight="1">
      <c r="A142" s="800" t="s">
        <v>484</v>
      </c>
      <c r="B142" s="749" t="s">
        <v>485</v>
      </c>
      <c r="C142" s="749"/>
      <c r="D142" s="749"/>
      <c r="E142" s="749"/>
      <c r="F142" s="749" t="s">
        <v>104</v>
      </c>
      <c r="G142" s="749"/>
      <c r="H142" s="749"/>
      <c r="I142" s="51">
        <f>IF(H15=1,0.0165,IF(H15=2,0.0065,IF(H15=3,'1. ABA DE CARREGAMENTO'!B108,IF(H15=4,'1. ABA DE CARREGAMENTO'!B108,IF(H15=5,'1. ABA DE CARREGAMENTO'!B112,"RT Indefinido")))))</f>
        <v>1.6500000000000001E-2</v>
      </c>
      <c r="J142" s="389">
        <f>ROUND(($J$140/(1-$I$141))*I142,2)</f>
        <v>69.16</v>
      </c>
      <c r="K142" s="452"/>
      <c r="L142" s="453"/>
    </row>
    <row r="143" spans="1:12" ht="30.75" customHeight="1">
      <c r="A143" s="800"/>
      <c r="B143" s="749"/>
      <c r="C143" s="749"/>
      <c r="D143" s="749"/>
      <c r="E143" s="749"/>
      <c r="F143" s="749" t="s">
        <v>105</v>
      </c>
      <c r="G143" s="749"/>
      <c r="H143" s="749"/>
      <c r="I143" s="51">
        <f>IF(H15=1,0.076,IF(H15=2,0.03,IF(H15=3,'1. ABA DE CARREGAMENTO'!B109,IF(H15=4,'1. ABA DE CARREGAMENTO'!B109,IF(H15=5,'1. ABA DE CARREGAMENTO'!B113,"RT Indefinido")))))</f>
        <v>7.5999999999999998E-2</v>
      </c>
      <c r="J143" s="389">
        <f>ROUND(($J$140/(1-$I$141))*I143,2)</f>
        <v>318.58</v>
      </c>
      <c r="K143" s="452"/>
      <c r="L143" s="453"/>
    </row>
    <row r="144" spans="1:12" ht="30.75" customHeight="1">
      <c r="A144" s="430" t="s">
        <v>486</v>
      </c>
      <c r="B144" s="749" t="s">
        <v>487</v>
      </c>
      <c r="C144" s="749"/>
      <c r="D144" s="749"/>
      <c r="E144" s="749"/>
      <c r="F144" s="749" t="s">
        <v>488</v>
      </c>
      <c r="G144" s="749"/>
      <c r="H144" s="749"/>
      <c r="I144" s="51">
        <v>0</v>
      </c>
      <c r="J144" s="431">
        <v>0</v>
      </c>
      <c r="K144" s="452"/>
      <c r="L144" s="453"/>
    </row>
    <row r="145" spans="1:10" ht="30.75" customHeight="1">
      <c r="A145" s="430" t="s">
        <v>489</v>
      </c>
      <c r="B145" s="749" t="s">
        <v>490</v>
      </c>
      <c r="C145" s="749"/>
      <c r="D145" s="749"/>
      <c r="E145" s="749"/>
      <c r="F145" s="749" t="s">
        <v>491</v>
      </c>
      <c r="G145" s="749"/>
      <c r="H145" s="749"/>
      <c r="I145" s="51">
        <f>'1. ABA DE CARREGAMENTO'!$B$105</f>
        <v>0.03</v>
      </c>
      <c r="J145" s="389">
        <f>ROUND(($J$140/(1-$I$141))*I145,2)</f>
        <v>125.75</v>
      </c>
    </row>
    <row r="146" spans="1:10" ht="30.75" customHeight="1">
      <c r="A146" s="697" t="s">
        <v>492</v>
      </c>
      <c r="B146" s="697"/>
      <c r="C146" s="697"/>
      <c r="D146" s="697"/>
      <c r="E146" s="697"/>
      <c r="F146" s="697"/>
      <c r="G146" s="697"/>
      <c r="H146" s="697"/>
      <c r="I146" s="697"/>
      <c r="J146" s="429">
        <f>SUM(J137+J139+J141)</f>
        <v>942.34</v>
      </c>
    </row>
    <row r="147" spans="1:10" ht="30.75" customHeight="1">
      <c r="A147" s="441" t="s">
        <v>475</v>
      </c>
      <c r="B147" s="864" t="s">
        <v>494</v>
      </c>
      <c r="C147" s="864"/>
      <c r="D147" s="864"/>
      <c r="E147" s="864"/>
      <c r="F147" s="864"/>
      <c r="G147" s="864"/>
      <c r="H147" s="864"/>
      <c r="I147" s="864"/>
      <c r="J147" s="864"/>
    </row>
    <row r="148" spans="1:10" ht="18.75" customHeight="1">
      <c r="A148" s="858" t="s">
        <v>493</v>
      </c>
      <c r="B148" s="868" t="s">
        <v>495</v>
      </c>
      <c r="C148" s="869"/>
      <c r="D148" s="733" t="s">
        <v>699</v>
      </c>
      <c r="E148" s="734"/>
      <c r="F148" s="734"/>
      <c r="G148" s="880" t="s">
        <v>700</v>
      </c>
      <c r="H148" s="881"/>
      <c r="I148" s="454"/>
      <c r="J148" s="886"/>
    </row>
    <row r="149" spans="1:10" ht="27" customHeight="1">
      <c r="A149" s="858"/>
      <c r="B149" s="870"/>
      <c r="C149" s="871"/>
      <c r="D149" s="735"/>
      <c r="E149" s="736"/>
      <c r="F149" s="736"/>
      <c r="G149" s="882"/>
      <c r="H149" s="883"/>
      <c r="I149" s="455"/>
      <c r="J149" s="887"/>
    </row>
    <row r="150" spans="1:10" ht="18" customHeight="1">
      <c r="A150" s="858"/>
      <c r="B150" s="872"/>
      <c r="C150" s="873"/>
      <c r="D150" s="737"/>
      <c r="E150" s="738"/>
      <c r="F150" s="738"/>
      <c r="G150" s="884"/>
      <c r="H150" s="885"/>
      <c r="I150" s="456"/>
      <c r="J150" s="888"/>
    </row>
    <row r="151" spans="1:10">
      <c r="A151" s="878"/>
      <c r="B151" s="878"/>
      <c r="C151" s="878"/>
      <c r="D151" s="878"/>
      <c r="E151" s="878"/>
      <c r="F151" s="878"/>
      <c r="G151" s="878"/>
      <c r="H151" s="878"/>
      <c r="I151" s="878"/>
      <c r="J151" s="878"/>
    </row>
    <row r="152" spans="1:10" ht="31.5" customHeight="1">
      <c r="A152" s="879" t="s">
        <v>496</v>
      </c>
      <c r="B152" s="879"/>
      <c r="C152" s="879"/>
      <c r="D152" s="879"/>
      <c r="E152" s="879"/>
      <c r="F152" s="879"/>
      <c r="G152" s="879"/>
      <c r="H152" s="879"/>
      <c r="I152" s="879"/>
      <c r="J152" s="879"/>
    </row>
    <row r="153" spans="1:10" ht="31.5" customHeight="1">
      <c r="A153" s="728" t="s">
        <v>497</v>
      </c>
      <c r="B153" s="728"/>
      <c r="C153" s="728"/>
      <c r="D153" s="728"/>
      <c r="E153" s="728"/>
      <c r="F153" s="728"/>
      <c r="G153" s="728"/>
      <c r="H153" s="728"/>
      <c r="I153" s="728"/>
      <c r="J153" s="427" t="s">
        <v>389</v>
      </c>
    </row>
    <row r="154" spans="1:10" ht="31.5" customHeight="1">
      <c r="A154" s="90" t="s">
        <v>334</v>
      </c>
      <c r="B154" s="729" t="s">
        <v>498</v>
      </c>
      <c r="C154" s="729"/>
      <c r="D154" s="729"/>
      <c r="E154" s="729"/>
      <c r="F154" s="729"/>
      <c r="G154" s="729"/>
      <c r="H154" s="729"/>
      <c r="I154" s="729"/>
      <c r="J154" s="431">
        <f>J42</f>
        <v>1576.9099999999999</v>
      </c>
    </row>
    <row r="155" spans="1:10" ht="31.5" customHeight="1">
      <c r="A155" s="90" t="s">
        <v>336</v>
      </c>
      <c r="B155" s="729" t="s">
        <v>499</v>
      </c>
      <c r="C155" s="729"/>
      <c r="D155" s="729"/>
      <c r="E155" s="729"/>
      <c r="F155" s="729"/>
      <c r="G155" s="729"/>
      <c r="H155" s="729"/>
      <c r="I155" s="729"/>
      <c r="J155" s="431">
        <f>J88</f>
        <v>1324.09</v>
      </c>
    </row>
    <row r="156" spans="1:10" ht="31.5" customHeight="1">
      <c r="A156" s="90" t="s">
        <v>337</v>
      </c>
      <c r="B156" s="729" t="s">
        <v>500</v>
      </c>
      <c r="C156" s="729"/>
      <c r="D156" s="729"/>
      <c r="E156" s="729"/>
      <c r="F156" s="729"/>
      <c r="G156" s="729"/>
      <c r="H156" s="729"/>
      <c r="I156" s="729"/>
      <c r="J156" s="431">
        <f>J98</f>
        <v>87.039999999999992</v>
      </c>
    </row>
    <row r="157" spans="1:10" ht="31.5" customHeight="1">
      <c r="A157" s="90" t="s">
        <v>339</v>
      </c>
      <c r="B157" s="729" t="s">
        <v>501</v>
      </c>
      <c r="C157" s="729"/>
      <c r="D157" s="729"/>
      <c r="E157" s="729"/>
      <c r="F157" s="729"/>
      <c r="G157" s="729"/>
      <c r="H157" s="729"/>
      <c r="I157" s="729"/>
      <c r="J157" s="431">
        <f>J122</f>
        <v>192.37</v>
      </c>
    </row>
    <row r="158" spans="1:10" ht="31.5" customHeight="1">
      <c r="A158" s="90" t="s">
        <v>399</v>
      </c>
      <c r="B158" s="729" t="s">
        <v>502</v>
      </c>
      <c r="C158" s="729"/>
      <c r="D158" s="729"/>
      <c r="E158" s="729"/>
      <c r="F158" s="729"/>
      <c r="G158" s="729"/>
      <c r="H158" s="729"/>
      <c r="I158" s="729"/>
      <c r="J158" s="431">
        <f>J131</f>
        <v>69.038333333333341</v>
      </c>
    </row>
    <row r="159" spans="1:10" ht="31.5" customHeight="1">
      <c r="A159" s="730" t="s">
        <v>503</v>
      </c>
      <c r="B159" s="730"/>
      <c r="C159" s="730"/>
      <c r="D159" s="730"/>
      <c r="E159" s="730"/>
      <c r="F159" s="730"/>
      <c r="G159" s="730"/>
      <c r="H159" s="730"/>
      <c r="I159" s="730"/>
      <c r="J159" s="429">
        <f>SUM(J154:J158)</f>
        <v>3249.4483333333333</v>
      </c>
    </row>
    <row r="160" spans="1:10" ht="31.5" customHeight="1">
      <c r="A160" s="90" t="s">
        <v>400</v>
      </c>
      <c r="B160" s="729" t="s">
        <v>504</v>
      </c>
      <c r="C160" s="729"/>
      <c r="D160" s="729"/>
      <c r="E160" s="729"/>
      <c r="F160" s="729"/>
      <c r="G160" s="729"/>
      <c r="H160" s="729"/>
      <c r="I160" s="729"/>
      <c r="J160" s="431">
        <f>J146</f>
        <v>942.34</v>
      </c>
    </row>
    <row r="161" spans="1:26" ht="31.5" customHeight="1">
      <c r="A161" s="725" t="s">
        <v>505</v>
      </c>
      <c r="B161" s="725"/>
      <c r="C161" s="725"/>
      <c r="D161" s="725"/>
      <c r="E161" s="725"/>
      <c r="F161" s="725"/>
      <c r="G161" s="725"/>
      <c r="H161" s="457">
        <f>'1. ABA DE CARREGAMENTO'!C68</f>
        <v>44</v>
      </c>
      <c r="I161" s="95" t="s">
        <v>380</v>
      </c>
      <c r="J161" s="429">
        <f>SUM(J159:J160)</f>
        <v>4191.788333333333</v>
      </c>
    </row>
    <row r="162" spans="1:26">
      <c r="A162" s="877"/>
      <c r="B162" s="877"/>
      <c r="C162" s="877"/>
      <c r="D162" s="877"/>
      <c r="E162" s="877"/>
      <c r="F162" s="877"/>
      <c r="G162" s="877"/>
      <c r="H162" s="877"/>
      <c r="I162" s="877"/>
      <c r="J162" s="877"/>
      <c r="K162" s="434"/>
      <c r="L162" s="434"/>
      <c r="M162" s="434"/>
      <c r="N162" s="434"/>
      <c r="O162" s="434"/>
      <c r="P162" s="434"/>
      <c r="Q162" s="434"/>
      <c r="R162" s="434"/>
      <c r="S162" s="434"/>
      <c r="T162" s="434"/>
      <c r="U162" s="434"/>
      <c r="V162" s="434"/>
      <c r="W162" s="434"/>
      <c r="X162" s="434"/>
      <c r="Y162" s="434"/>
      <c r="Z162" s="434"/>
    </row>
    <row r="163" spans="1:26" ht="31.5" customHeight="1">
      <c r="A163" s="721" t="s">
        <v>574</v>
      </c>
      <c r="B163" s="721"/>
      <c r="C163" s="721"/>
      <c r="D163" s="721"/>
      <c r="E163" s="721"/>
      <c r="F163" s="721"/>
      <c r="G163" s="721"/>
      <c r="H163" s="721"/>
      <c r="I163" s="876">
        <f>J161</f>
        <v>4191.788333333333</v>
      </c>
      <c r="J163" s="876"/>
    </row>
    <row r="164" spans="1:26">
      <c r="A164" s="874"/>
      <c r="B164" s="874"/>
      <c r="C164" s="874"/>
      <c r="D164" s="874"/>
      <c r="E164" s="874"/>
      <c r="F164" s="874"/>
      <c r="G164" s="874"/>
      <c r="H164" s="874"/>
      <c r="I164" s="874"/>
      <c r="J164" s="874"/>
      <c r="K164" s="434"/>
      <c r="L164" s="434"/>
      <c r="M164" s="434"/>
      <c r="N164" s="434"/>
      <c r="O164" s="434"/>
      <c r="P164" s="434"/>
      <c r="Q164" s="434"/>
      <c r="R164" s="434"/>
      <c r="S164" s="434"/>
      <c r="T164" s="434"/>
      <c r="U164" s="434"/>
      <c r="V164" s="434"/>
      <c r="W164" s="434"/>
      <c r="X164" s="434"/>
      <c r="Y164" s="434"/>
      <c r="Z164" s="434"/>
    </row>
    <row r="165" spans="1:26" ht="31.5" customHeight="1">
      <c r="A165" s="721" t="s">
        <v>575</v>
      </c>
      <c r="B165" s="721"/>
      <c r="C165" s="721"/>
      <c r="D165" s="721"/>
      <c r="E165" s="721"/>
      <c r="F165" s="721"/>
      <c r="G165" s="721"/>
      <c r="H165" s="721"/>
      <c r="I165" s="875">
        <f>H21</f>
        <v>20</v>
      </c>
      <c r="J165" s="875"/>
    </row>
    <row r="166" spans="1:26">
      <c r="A166" s="874"/>
      <c r="B166" s="874"/>
      <c r="C166" s="874"/>
      <c r="D166" s="874"/>
      <c r="E166" s="874"/>
      <c r="F166" s="874"/>
      <c r="G166" s="874"/>
      <c r="H166" s="874"/>
      <c r="I166" s="874"/>
      <c r="J166" s="874"/>
      <c r="K166" s="434"/>
      <c r="L166" s="434"/>
      <c r="M166" s="434"/>
      <c r="N166" s="434"/>
      <c r="O166" s="434"/>
      <c r="P166" s="434"/>
      <c r="Q166" s="434"/>
      <c r="R166" s="434"/>
      <c r="S166" s="434"/>
      <c r="T166" s="434"/>
      <c r="U166" s="434"/>
      <c r="V166" s="434"/>
      <c r="W166" s="434"/>
      <c r="X166" s="434"/>
      <c r="Y166" s="434"/>
      <c r="Z166" s="434"/>
    </row>
    <row r="167" spans="1:26" ht="31.5" customHeight="1">
      <c r="A167" s="721" t="s">
        <v>576</v>
      </c>
      <c r="B167" s="721"/>
      <c r="C167" s="721"/>
      <c r="D167" s="721"/>
      <c r="E167" s="721"/>
      <c r="F167" s="721"/>
      <c r="G167" s="721"/>
      <c r="H167" s="721"/>
      <c r="I167" s="876">
        <f>ROUND(I163*I165,2)</f>
        <v>83835.77</v>
      </c>
      <c r="J167" s="876"/>
    </row>
    <row r="168" spans="1:26">
      <c r="A168" s="874"/>
      <c r="B168" s="874"/>
      <c r="C168" s="874"/>
      <c r="D168" s="874"/>
      <c r="E168" s="874"/>
      <c r="F168" s="874"/>
      <c r="G168" s="874"/>
      <c r="H168" s="874"/>
      <c r="I168" s="874"/>
      <c r="J168" s="874"/>
      <c r="K168" s="434"/>
      <c r="L168" s="434"/>
      <c r="M168" s="434"/>
      <c r="N168" s="434"/>
      <c r="O168" s="434"/>
      <c r="P168" s="434"/>
      <c r="Q168" s="434"/>
      <c r="R168" s="434"/>
      <c r="S168" s="434"/>
      <c r="T168" s="434"/>
      <c r="U168" s="434"/>
      <c r="V168" s="434"/>
      <c r="W168" s="434"/>
      <c r="X168" s="434"/>
      <c r="Y168" s="434"/>
      <c r="Z168" s="434"/>
    </row>
    <row r="169" spans="1:26" ht="31.5" customHeight="1">
      <c r="A169" s="721" t="s">
        <v>577</v>
      </c>
      <c r="B169" s="721"/>
      <c r="C169" s="721"/>
      <c r="D169" s="721"/>
      <c r="E169" s="721"/>
      <c r="F169" s="721"/>
      <c r="G169" s="721"/>
      <c r="H169" s="721"/>
      <c r="I169" s="721"/>
      <c r="J169" s="721"/>
    </row>
    <row r="170" spans="1:26" ht="31.5" customHeight="1">
      <c r="A170" s="669" t="s">
        <v>578</v>
      </c>
      <c r="B170" s="669"/>
      <c r="C170" s="669"/>
      <c r="D170" s="669"/>
      <c r="E170" s="669"/>
      <c r="F170" s="669"/>
      <c r="G170" s="669" t="s">
        <v>579</v>
      </c>
      <c r="H170" s="669"/>
      <c r="I170" s="669"/>
      <c r="J170" s="669"/>
    </row>
    <row r="171" spans="1:26" ht="31.5" customHeight="1">
      <c r="A171" s="866" t="s">
        <v>658</v>
      </c>
      <c r="B171" s="866"/>
      <c r="C171" s="866"/>
      <c r="D171" s="866"/>
      <c r="E171" s="866"/>
      <c r="F171" s="866"/>
      <c r="G171" s="867">
        <f>I25</f>
        <v>1</v>
      </c>
      <c r="H171" s="867"/>
      <c r="I171" s="867"/>
      <c r="J171" s="867"/>
    </row>
    <row r="172" spans="1:26" ht="31.5" customHeight="1">
      <c r="A172" s="856" t="s">
        <v>651</v>
      </c>
      <c r="B172" s="856"/>
      <c r="C172" s="856"/>
      <c r="D172" s="856"/>
      <c r="E172" s="856"/>
      <c r="F172" s="856"/>
      <c r="G172" s="856"/>
      <c r="H172" s="856"/>
      <c r="I172" s="856"/>
      <c r="J172" s="856"/>
    </row>
    <row r="173" spans="1:26" ht="12.75" customHeight="1"/>
    <row r="174" spans="1:26" ht="12.75" customHeight="1"/>
    <row r="175" spans="1:26" ht="12.75" customHeight="1"/>
    <row r="176" spans="1:2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sheetData>
  <sheetProtection selectLockedCells="1" selectUnlockedCells="1"/>
  <mergeCells count="208">
    <mergeCell ref="A1:J1"/>
    <mergeCell ref="A2:J2"/>
    <mergeCell ref="A3:J3"/>
    <mergeCell ref="A4:J4"/>
    <mergeCell ref="A5:J5"/>
    <mergeCell ref="A7:J7"/>
    <mergeCell ref="A8:J8"/>
    <mergeCell ref="D9:H9"/>
    <mergeCell ref="I9:J9"/>
    <mergeCell ref="D10:F10"/>
    <mergeCell ref="I10:J10"/>
    <mergeCell ref="B11:C11"/>
    <mergeCell ref="E11:F11"/>
    <mergeCell ref="B12:G12"/>
    <mergeCell ref="I12:J12"/>
    <mergeCell ref="B13:D13"/>
    <mergeCell ref="F13:G13"/>
    <mergeCell ref="I13:J13"/>
    <mergeCell ref="A9:C10"/>
    <mergeCell ref="A14:G14"/>
    <mergeCell ref="H14:J14"/>
    <mergeCell ref="A15:G15"/>
    <mergeCell ref="I15:J15"/>
    <mergeCell ref="A17:J17"/>
    <mergeCell ref="B18:G18"/>
    <mergeCell ref="H18:J18"/>
    <mergeCell ref="B19:G19"/>
    <mergeCell ref="H19:J19"/>
    <mergeCell ref="B20:G20"/>
    <mergeCell ref="H20:J20"/>
    <mergeCell ref="B21:G21"/>
    <mergeCell ref="H21:J21"/>
    <mergeCell ref="A23:J23"/>
    <mergeCell ref="A24:F24"/>
    <mergeCell ref="G24:H24"/>
    <mergeCell ref="I24:J24"/>
    <mergeCell ref="A25:F25"/>
    <mergeCell ref="G25:H25"/>
    <mergeCell ref="I25:J25"/>
    <mergeCell ref="A26:J26"/>
    <mergeCell ref="A27:J27"/>
    <mergeCell ref="A28:J28"/>
    <mergeCell ref="A29:J29"/>
    <mergeCell ref="B30:G30"/>
    <mergeCell ref="H30:J30"/>
    <mergeCell ref="B31:G31"/>
    <mergeCell ref="H31:J31"/>
    <mergeCell ref="B32:G32"/>
    <mergeCell ref="H32:J32"/>
    <mergeCell ref="B33:G33"/>
    <mergeCell ref="H33:J33"/>
    <mergeCell ref="B34:G34"/>
    <mergeCell ref="H34:J34"/>
    <mergeCell ref="B35:J35"/>
    <mergeCell ref="A36:J36"/>
    <mergeCell ref="A37:J37"/>
    <mergeCell ref="B38:H38"/>
    <mergeCell ref="B39:D39"/>
    <mergeCell ref="G39:I39"/>
    <mergeCell ref="B48:I48"/>
    <mergeCell ref="A49:I49"/>
    <mergeCell ref="B50:J50"/>
    <mergeCell ref="A51:I51"/>
    <mergeCell ref="B52:J52"/>
    <mergeCell ref="B53:H53"/>
    <mergeCell ref="B54:H54"/>
    <mergeCell ref="B55:H55"/>
    <mergeCell ref="B40:C40"/>
    <mergeCell ref="D40:H40"/>
    <mergeCell ref="B41:I41"/>
    <mergeCell ref="A42:I42"/>
    <mergeCell ref="B43:J43"/>
    <mergeCell ref="A44:J44"/>
    <mergeCell ref="A45:J45"/>
    <mergeCell ref="B46:I46"/>
    <mergeCell ref="B47:I47"/>
    <mergeCell ref="B56:D56"/>
    <mergeCell ref="B57:H57"/>
    <mergeCell ref="B58:H58"/>
    <mergeCell ref="B59:H59"/>
    <mergeCell ref="B60:H60"/>
    <mergeCell ref="B61:H61"/>
    <mergeCell ref="A62:H62"/>
    <mergeCell ref="B63:J63"/>
    <mergeCell ref="B64:J64"/>
    <mergeCell ref="B66:J66"/>
    <mergeCell ref="B67:I67"/>
    <mergeCell ref="B68:I68"/>
    <mergeCell ref="B69:H69"/>
    <mergeCell ref="B70:H70"/>
    <mergeCell ref="B71:H71"/>
    <mergeCell ref="B72:H72"/>
    <mergeCell ref="B73:D73"/>
    <mergeCell ref="B74:H74"/>
    <mergeCell ref="E73:I73"/>
    <mergeCell ref="B75:H75"/>
    <mergeCell ref="B76:H76"/>
    <mergeCell ref="B77:D77"/>
    <mergeCell ref="B78:I78"/>
    <mergeCell ref="A79:I79"/>
    <mergeCell ref="B80:J80"/>
    <mergeCell ref="B81:J81"/>
    <mergeCell ref="A83:J83"/>
    <mergeCell ref="B84:I84"/>
    <mergeCell ref="E77:I77"/>
    <mergeCell ref="B85:I85"/>
    <mergeCell ref="B86:I86"/>
    <mergeCell ref="B87:I87"/>
    <mergeCell ref="A88:I88"/>
    <mergeCell ref="A90:J90"/>
    <mergeCell ref="B91:I91"/>
    <mergeCell ref="B92:I92"/>
    <mergeCell ref="B93:I93"/>
    <mergeCell ref="B94:I94"/>
    <mergeCell ref="B95:I95"/>
    <mergeCell ref="B96:I96"/>
    <mergeCell ref="B97:I97"/>
    <mergeCell ref="A98:I98"/>
    <mergeCell ref="A100:J100"/>
    <mergeCell ref="A101:J101"/>
    <mergeCell ref="A102:B102"/>
    <mergeCell ref="D102:E102"/>
    <mergeCell ref="G102:H102"/>
    <mergeCell ref="A103:F103"/>
    <mergeCell ref="G103:I103"/>
    <mergeCell ref="B105:I105"/>
    <mergeCell ref="B106:I106"/>
    <mergeCell ref="B107:I107"/>
    <mergeCell ref="B108:I108"/>
    <mergeCell ref="B109:I109"/>
    <mergeCell ref="B110:I110"/>
    <mergeCell ref="B111:I111"/>
    <mergeCell ref="A112:I112"/>
    <mergeCell ref="A113:I113"/>
    <mergeCell ref="B114:I114"/>
    <mergeCell ref="B115:I115"/>
    <mergeCell ref="A116:I116"/>
    <mergeCell ref="A117:I117"/>
    <mergeCell ref="A118:J118"/>
    <mergeCell ref="B119:I119"/>
    <mergeCell ref="B120:I120"/>
    <mergeCell ref="B121:I121"/>
    <mergeCell ref="A122:I122"/>
    <mergeCell ref="B123:J123"/>
    <mergeCell ref="A125:J125"/>
    <mergeCell ref="B126:I126"/>
    <mergeCell ref="B127:I127"/>
    <mergeCell ref="B128:I128"/>
    <mergeCell ref="B129:I129"/>
    <mergeCell ref="B130:I130"/>
    <mergeCell ref="A131:I131"/>
    <mergeCell ref="B132:J132"/>
    <mergeCell ref="A133:J133"/>
    <mergeCell ref="A134:J134"/>
    <mergeCell ref="B135:H135"/>
    <mergeCell ref="A136:I136"/>
    <mergeCell ref="B137:H137"/>
    <mergeCell ref="A138:I138"/>
    <mergeCell ref="B139:H139"/>
    <mergeCell ref="A140:I140"/>
    <mergeCell ref="B141:H141"/>
    <mergeCell ref="K141:L141"/>
    <mergeCell ref="F142:H142"/>
    <mergeCell ref="F143:H143"/>
    <mergeCell ref="B144:E144"/>
    <mergeCell ref="F144:H144"/>
    <mergeCell ref="B145:E145"/>
    <mergeCell ref="F145:H145"/>
    <mergeCell ref="B158:I158"/>
    <mergeCell ref="A159:I159"/>
    <mergeCell ref="B160:I160"/>
    <mergeCell ref="A161:G161"/>
    <mergeCell ref="A162:J162"/>
    <mergeCell ref="A163:H163"/>
    <mergeCell ref="I163:J163"/>
    <mergeCell ref="A146:I146"/>
    <mergeCell ref="B147:J147"/>
    <mergeCell ref="A151:J151"/>
    <mergeCell ref="A152:J152"/>
    <mergeCell ref="A153:I153"/>
    <mergeCell ref="B154:I154"/>
    <mergeCell ref="D148:F150"/>
    <mergeCell ref="G148:H150"/>
    <mergeCell ref="J148:J150"/>
    <mergeCell ref="A171:F171"/>
    <mergeCell ref="G171:J171"/>
    <mergeCell ref="A172:J172"/>
    <mergeCell ref="A68:A72"/>
    <mergeCell ref="A73:A76"/>
    <mergeCell ref="A142:A143"/>
    <mergeCell ref="A148:A150"/>
    <mergeCell ref="J68:J72"/>
    <mergeCell ref="J73:J76"/>
    <mergeCell ref="B142:E143"/>
    <mergeCell ref="B148:C150"/>
    <mergeCell ref="A164:J164"/>
    <mergeCell ref="A165:H165"/>
    <mergeCell ref="I165:J165"/>
    <mergeCell ref="A166:J166"/>
    <mergeCell ref="A167:H167"/>
    <mergeCell ref="I167:J167"/>
    <mergeCell ref="A168:J168"/>
    <mergeCell ref="A169:J169"/>
    <mergeCell ref="A170:F170"/>
    <mergeCell ref="G170:J170"/>
    <mergeCell ref="B155:I155"/>
    <mergeCell ref="B156:I156"/>
    <mergeCell ref="B157:I157"/>
  </mergeCells>
  <conditionalFormatting sqref="A14:G14">
    <cfRule type="expression" dxfId="1" priority="2">
      <formula>LEN(TRIM(A14))&gt;0</formula>
    </cfRule>
  </conditionalFormatting>
  <conditionalFormatting sqref="H14:J14">
    <cfRule type="expression" dxfId="0" priority="3">
      <formula>LEN(TRIM(H14))&gt;0</formula>
    </cfRule>
  </conditionalFormatting>
  <printOptions horizontalCentered="1"/>
  <pageMargins left="0" right="0" top="0.39370078740157483" bottom="0" header="0" footer="0.51181102362204722"/>
  <pageSetup paperSize="9" scale="51" pageOrder="overThenDown" orientation="portrait" useFirstPageNumber="1" r:id="rId1"/>
  <headerFooter>
    <oddHeader>&amp;R&amp;P de &amp;N</oddHeader>
    <oddFooter>&amp;L&amp;F &amp;A&amp;CPágina &amp;P de &amp;N</oddFooter>
  </headerFooter>
  <rowBreaks count="2" manualBreakCount="2">
    <brk id="65" max="9" man="1"/>
    <brk id="124" max="9"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AMK996"/>
  <sheetViews>
    <sheetView showGridLines="0" topLeftCell="A4" zoomScale="86" zoomScaleNormal="86" workbookViewId="0">
      <selection activeCell="F14" sqref="F14"/>
    </sheetView>
  </sheetViews>
  <sheetFormatPr defaultColWidth="9" defaultRowHeight="12.75"/>
  <cols>
    <col min="1" max="1" width="1.140625" style="1" customWidth="1"/>
    <col min="2" max="2" width="3.7109375" style="1" customWidth="1"/>
    <col min="3" max="3" width="45.42578125" style="1" customWidth="1"/>
    <col min="4" max="4" width="23.7109375" style="1" customWidth="1"/>
    <col min="5" max="5" width="13.7109375" style="1" customWidth="1"/>
    <col min="6" max="6" width="15.28515625" style="1" customWidth="1"/>
    <col min="7" max="7" width="24" style="1" customWidth="1"/>
    <col min="8" max="8" width="1.42578125" style="1" customWidth="1"/>
    <col min="9" max="26" width="8" style="1" customWidth="1"/>
    <col min="27" max="1025" width="14.42578125" style="1" customWidth="1"/>
  </cols>
  <sheetData>
    <row r="1" spans="2:8" ht="21">
      <c r="B1" s="2"/>
      <c r="C1" s="924" t="s">
        <v>0</v>
      </c>
      <c r="D1" s="924"/>
      <c r="E1" s="924"/>
      <c r="F1" s="924"/>
      <c r="G1" s="924"/>
      <c r="H1" s="3"/>
    </row>
    <row r="2" spans="2:8" ht="18.75">
      <c r="B2" s="2"/>
      <c r="C2" s="925" t="s">
        <v>1</v>
      </c>
      <c r="D2" s="925"/>
      <c r="E2" s="925"/>
      <c r="F2" s="925"/>
      <c r="G2" s="925"/>
      <c r="H2" s="4"/>
    </row>
    <row r="3" spans="2:8" ht="15.75">
      <c r="B3" s="2"/>
      <c r="C3" s="926" t="s">
        <v>2</v>
      </c>
      <c r="D3" s="926"/>
      <c r="E3" s="926"/>
      <c r="F3" s="926"/>
      <c r="G3" s="926"/>
      <c r="H3" s="5"/>
    </row>
    <row r="4" spans="2:8" ht="15.75">
      <c r="B4" s="2"/>
      <c r="C4" s="927" t="str">
        <f>'1. ABA DE CARREGAMENTO'!A4</f>
        <v>CAMPUS ALEGRETE</v>
      </c>
      <c r="D4" s="927"/>
      <c r="E4" s="927"/>
      <c r="F4" s="927"/>
      <c r="G4" s="927"/>
      <c r="H4" s="6"/>
    </row>
    <row r="5" spans="2:8" ht="23.25">
      <c r="B5" s="2"/>
      <c r="C5" s="928" t="s">
        <v>659</v>
      </c>
      <c r="D5" s="928"/>
      <c r="E5" s="928"/>
      <c r="F5" s="928"/>
      <c r="G5" s="928"/>
      <c r="H5" s="7"/>
    </row>
    <row r="6" spans="2:8" ht="13.5" customHeight="1">
      <c r="B6" s="2"/>
      <c r="C6" s="2"/>
      <c r="D6" s="2"/>
      <c r="E6" s="2"/>
      <c r="F6" s="2"/>
      <c r="G6" s="2"/>
      <c r="H6" s="2"/>
    </row>
    <row r="7" spans="2:8" ht="48" customHeight="1">
      <c r="B7" s="2"/>
      <c r="C7" s="8" t="s">
        <v>660</v>
      </c>
      <c r="D7" s="9" t="s">
        <v>661</v>
      </c>
      <c r="E7" s="920" t="s">
        <v>662</v>
      </c>
      <c r="F7" s="920"/>
      <c r="G7" s="10" t="s">
        <v>663</v>
      </c>
      <c r="H7" s="2"/>
    </row>
    <row r="8" spans="2:8" ht="31.5">
      <c r="B8" s="2"/>
      <c r="C8" s="11" t="str">
        <f>'7. Planilha área geral'!$D$9</f>
        <v xml:space="preserve">Prestação de serviços de limpeza geral (exceto banheiros) para o IFFAR  </v>
      </c>
      <c r="D8" s="12">
        <f>'4. Cál. mão obra limpeza geral'!$L$28</f>
        <v>23.902298279645063</v>
      </c>
      <c r="E8" s="921">
        <f>'7. Planilha área geral'!$I$279</f>
        <v>112987.61</v>
      </c>
      <c r="F8" s="921"/>
      <c r="G8" s="13">
        <f>'7. Planilha área geral'!$I$281</f>
        <v>2259752.2000000002</v>
      </c>
      <c r="H8" s="2"/>
    </row>
    <row r="9" spans="2:8" ht="31.5">
      <c r="B9" s="2"/>
      <c r="C9" s="14" t="str">
        <f>'8. Planilha área Banheiros'!$D$9</f>
        <v xml:space="preserve">Prestação de serviços de limpeza de banheiros para o IFFAR  </v>
      </c>
      <c r="D9" s="15">
        <f>'5. Cálc. mão obra banheiros'!$L$13</f>
        <v>17.495477113425924</v>
      </c>
      <c r="E9" s="922">
        <f>'8. Planilha área Banheiros'!$I$195</f>
        <v>92745.12000000001</v>
      </c>
      <c r="F9" s="922"/>
      <c r="G9" s="16">
        <f>'8. Planilha área Banheiros'!$I$197</f>
        <v>1854902.4</v>
      </c>
      <c r="H9" s="2"/>
    </row>
    <row r="10" spans="2:8" ht="31.5">
      <c r="B10" s="2"/>
      <c r="C10" s="17" t="str">
        <f>'9. Pl. Área Esquad e Fachadas'!$D$9</f>
        <v xml:space="preserve">Serviços de limpeza de esquadrias e fachadas envidraçadas para o IFFAR  </v>
      </c>
      <c r="D10" s="18">
        <f>'6. Cálc. mão obra esq. e fach.'!$L$14</f>
        <v>4.5599841803728056</v>
      </c>
      <c r="E10" s="923">
        <f>'9. Pl. Área Esquad e Fachadas'!$I$202</f>
        <v>21555.940000000002</v>
      </c>
      <c r="F10" s="923"/>
      <c r="G10" s="19">
        <f>'9. Pl. Área Esquad e Fachadas'!$I$204</f>
        <v>431118.8</v>
      </c>
      <c r="H10" s="2"/>
    </row>
    <row r="11" spans="2:8" ht="31.5">
      <c r="B11" s="2"/>
      <c r="C11" s="14" t="str">
        <f>'10. Planilha Encarregado'!$D$9</f>
        <v xml:space="preserve">Prestação de serviços de encarregado da limpeza geral para o IFFAR  </v>
      </c>
      <c r="D11" s="15">
        <f>'10. Planilha Encarregado'!G171</f>
        <v>1</v>
      </c>
      <c r="E11" s="922">
        <f>'10. Planilha Encarregado'!I163</f>
        <v>4191.788333333333</v>
      </c>
      <c r="F11" s="922"/>
      <c r="G11" s="16">
        <f>'10. Planilha Encarregado'!I167</f>
        <v>83835.77</v>
      </c>
      <c r="H11" s="2"/>
    </row>
    <row r="12" spans="2:8" ht="18.75">
      <c r="B12" s="2"/>
      <c r="C12" s="20" t="s">
        <v>664</v>
      </c>
      <c r="D12" s="21">
        <f>SUM(D8:D11)</f>
        <v>46.957759573443795</v>
      </c>
      <c r="E12" s="916">
        <f>SUM(E8:E11)</f>
        <v>231480.45833333334</v>
      </c>
      <c r="F12" s="916"/>
      <c r="G12" s="22">
        <f>SUM(G8:G11)</f>
        <v>4629609.17</v>
      </c>
      <c r="H12" s="2"/>
    </row>
    <row r="13" spans="2:8" ht="15" customHeight="1">
      <c r="B13" s="2"/>
      <c r="C13" s="23"/>
      <c r="D13" s="24"/>
      <c r="E13" s="25"/>
      <c r="F13" s="24"/>
      <c r="G13" s="24"/>
      <c r="H13" s="2"/>
    </row>
    <row r="14" spans="2:8" ht="67.5" customHeight="1">
      <c r="B14" s="2"/>
      <c r="C14" s="919" t="s">
        <v>690</v>
      </c>
      <c r="D14" s="919"/>
      <c r="E14" s="919"/>
      <c r="F14" s="492">
        <f>SUM(D8:D10)</f>
        <v>45.957759573443795</v>
      </c>
      <c r="G14" s="308" t="s">
        <v>691</v>
      </c>
      <c r="H14" s="2"/>
    </row>
    <row r="15" spans="2:8" ht="63.75" customHeight="1">
      <c r="B15" s="2"/>
      <c r="C15" s="917" t="str">
        <f>'2. INSUMOS'!$A$95</f>
        <v>Quantidade de mão de obra alocada na prestação dos serviços (informação oriunda da aba 'Resumo da Proposta' - Quantidade de Postos/Mão de Obra a ser alocados) + posto do encarregado</v>
      </c>
      <c r="D15" s="917"/>
      <c r="E15" s="917"/>
      <c r="F15" s="306">
        <f>D12</f>
        <v>46.957759573443795</v>
      </c>
      <c r="G15" s="307" t="s">
        <v>665</v>
      </c>
      <c r="H15" s="2"/>
    </row>
    <row r="16" spans="2:8" ht="27" customHeight="1" thickBot="1">
      <c r="B16" s="2"/>
      <c r="C16" s="26" t="s">
        <v>666</v>
      </c>
      <c r="D16" s="309">
        <f>'1. ABA DE CARREGAMENTO'!B57</f>
        <v>20</v>
      </c>
      <c r="E16" s="27" t="s">
        <v>667</v>
      </c>
      <c r="F16" s="918">
        <f>G12</f>
        <v>4629609.17</v>
      </c>
      <c r="G16" s="918"/>
      <c r="H16" s="2"/>
    </row>
    <row r="17" spans="2:8" ht="15" customHeight="1">
      <c r="B17" s="2"/>
      <c r="C17" s="23"/>
      <c r="D17" s="24"/>
      <c r="E17" s="25"/>
      <c r="F17" s="24"/>
      <c r="G17" s="24"/>
      <c r="H17" s="2"/>
    </row>
    <row r="18" spans="2:8" ht="15.75" customHeight="1">
      <c r="B18" s="2"/>
      <c r="C18" s="5" t="s">
        <v>668</v>
      </c>
      <c r="D18" s="28"/>
      <c r="E18" s="28"/>
      <c r="F18" s="28"/>
      <c r="G18" s="28"/>
      <c r="H18" s="2"/>
    </row>
    <row r="19" spans="2:8" ht="15" customHeight="1">
      <c r="B19" s="2"/>
      <c r="C19" s="913" t="s">
        <v>669</v>
      </c>
      <c r="D19" s="913"/>
      <c r="E19" s="913"/>
      <c r="F19" s="913"/>
      <c r="G19" s="913"/>
      <c r="H19" s="2"/>
    </row>
    <row r="20" spans="2:8" ht="15" customHeight="1">
      <c r="B20" s="2"/>
      <c r="C20" s="915" t="s">
        <v>670</v>
      </c>
      <c r="D20" s="915"/>
      <c r="E20" s="915"/>
      <c r="F20" s="915"/>
      <c r="G20" s="915"/>
      <c r="H20" s="2"/>
    </row>
    <row r="21" spans="2:8" ht="15" customHeight="1">
      <c r="B21" s="2"/>
      <c r="C21" s="915" t="s">
        <v>671</v>
      </c>
      <c r="D21" s="915"/>
      <c r="E21" s="915"/>
      <c r="F21" s="915"/>
      <c r="G21" s="915"/>
      <c r="H21" s="2"/>
    </row>
    <row r="22" spans="2:8" ht="15" customHeight="1">
      <c r="B22" s="2"/>
      <c r="C22" s="915" t="s">
        <v>672</v>
      </c>
      <c r="D22" s="915"/>
      <c r="E22" s="915"/>
      <c r="F22" s="915"/>
      <c r="G22" s="915"/>
      <c r="H22" s="2"/>
    </row>
    <row r="23" spans="2:8" ht="15" customHeight="1">
      <c r="B23" s="2"/>
      <c r="C23" s="915" t="s">
        <v>673</v>
      </c>
      <c r="D23" s="915"/>
      <c r="E23" s="915"/>
      <c r="F23" s="915"/>
      <c r="G23" s="915"/>
      <c r="H23" s="2"/>
    </row>
    <row r="24" spans="2:8" ht="15" customHeight="1">
      <c r="B24" s="2"/>
      <c r="C24" s="913" t="s">
        <v>674</v>
      </c>
      <c r="D24" s="913"/>
      <c r="E24" s="913"/>
      <c r="F24" s="913"/>
      <c r="G24" s="913"/>
      <c r="H24" s="2"/>
    </row>
    <row r="25" spans="2:8" ht="15" customHeight="1">
      <c r="B25" s="2"/>
      <c r="C25" s="28"/>
      <c r="D25" s="28"/>
      <c r="E25" s="28"/>
      <c r="F25" s="28"/>
      <c r="G25" s="28"/>
      <c r="H25" s="2"/>
    </row>
    <row r="26" spans="2:8" ht="15.75" customHeight="1">
      <c r="B26" s="2"/>
      <c r="C26" s="29" t="s">
        <v>15</v>
      </c>
      <c r="D26" s="913" t="str">
        <f>'1. ABA DE CARREGAMENTO'!$B$15</f>
        <v>IFFARROUPILHA (Planilha da Administração)</v>
      </c>
      <c r="E26" s="913"/>
      <c r="F26" s="913"/>
      <c r="G26" s="913"/>
      <c r="H26" s="2"/>
    </row>
    <row r="27" spans="2:8" ht="15.75" customHeight="1">
      <c r="B27" s="2"/>
      <c r="C27" s="29" t="s">
        <v>16</v>
      </c>
      <c r="D27" s="913" t="str">
        <f>'1. ABA DE CARREGAMENTO'!$B$16</f>
        <v>10.662.072/0001/58</v>
      </c>
      <c r="E27" s="913"/>
      <c r="F27" s="28"/>
      <c r="G27" s="28"/>
      <c r="H27" s="2"/>
    </row>
    <row r="28" spans="2:8" ht="15" customHeight="1">
      <c r="B28" s="2"/>
      <c r="C28" s="28"/>
      <c r="D28" s="28"/>
      <c r="E28" s="28"/>
      <c r="F28" s="28"/>
      <c r="G28" s="30"/>
      <c r="H28" s="2"/>
    </row>
    <row r="29" spans="2:8" ht="15" customHeight="1">
      <c r="B29" s="2"/>
      <c r="C29" s="28"/>
      <c r="D29" s="28"/>
      <c r="E29" s="28"/>
      <c r="F29" s="914" t="s">
        <v>675</v>
      </c>
      <c r="G29" s="914"/>
      <c r="H29" s="2"/>
    </row>
    <row r="30" spans="2:8" ht="15" customHeight="1">
      <c r="B30" s="2"/>
      <c r="C30" s="28"/>
      <c r="D30" s="28"/>
      <c r="E30" s="28"/>
      <c r="H30" s="2"/>
    </row>
    <row r="31" spans="2:8" ht="15" customHeight="1">
      <c r="B31" s="2"/>
      <c r="C31" s="28"/>
      <c r="D31" s="28"/>
      <c r="E31" s="31"/>
      <c r="F31" s="912"/>
      <c r="G31" s="912"/>
      <c r="H31" s="2"/>
    </row>
    <row r="32" spans="2:8" ht="15" customHeight="1">
      <c r="B32" s="2"/>
      <c r="C32" s="2"/>
      <c r="D32" s="28"/>
      <c r="E32" s="31"/>
      <c r="F32" s="912"/>
      <c r="G32" s="912"/>
      <c r="H32" s="2"/>
    </row>
    <row r="33" spans="2:8" ht="15" customHeight="1">
      <c r="B33" s="2"/>
      <c r="C33" s="914" t="s">
        <v>676</v>
      </c>
      <c r="D33" s="914"/>
      <c r="E33" s="914"/>
      <c r="F33" s="912"/>
      <c r="G33" s="912"/>
      <c r="H33" s="2"/>
    </row>
    <row r="34" spans="2:8" ht="15" customHeight="1">
      <c r="B34" s="2"/>
      <c r="C34" s="32" t="s">
        <v>677</v>
      </c>
      <c r="D34" s="910">
        <f>'1. ABA DE CARREGAMENTO'!$B$17</f>
        <v>0</v>
      </c>
      <c r="E34" s="910"/>
      <c r="F34" s="912"/>
      <c r="G34" s="912"/>
      <c r="H34" s="2"/>
    </row>
    <row r="35" spans="2:8" ht="15" customHeight="1">
      <c r="B35" s="2"/>
      <c r="C35" s="32" t="s">
        <v>678</v>
      </c>
      <c r="D35" s="910">
        <f>'1. ABA DE CARREGAMENTO'!$B$18</f>
        <v>0</v>
      </c>
      <c r="E35" s="910"/>
      <c r="F35" s="912"/>
      <c r="G35" s="912"/>
      <c r="H35" s="2"/>
    </row>
    <row r="36" spans="2:8" ht="15" customHeight="1">
      <c r="B36" s="2"/>
      <c r="C36" s="32" t="s">
        <v>679</v>
      </c>
      <c r="D36" s="910">
        <f>'1. ABA DE CARREGAMENTO'!$B$19</f>
        <v>0</v>
      </c>
      <c r="E36" s="910"/>
      <c r="F36" s="912"/>
      <c r="G36" s="912"/>
      <c r="H36" s="2"/>
    </row>
    <row r="37" spans="2:8" ht="15" customHeight="1">
      <c r="B37" s="2"/>
      <c r="C37" s="32" t="s">
        <v>680</v>
      </c>
      <c r="D37" s="910" t="str">
        <f>'1. ABA DE CARREGAMENTO'!B55</f>
        <v>Alegrete/RS</v>
      </c>
      <c r="E37" s="910"/>
      <c r="F37" s="912"/>
      <c r="G37" s="912"/>
      <c r="H37" s="2"/>
    </row>
    <row r="38" spans="2:8" ht="15" customHeight="1">
      <c r="B38" s="2"/>
      <c r="C38" s="32" t="s">
        <v>681</v>
      </c>
      <c r="D38" s="911">
        <f ca="1">NOW()</f>
        <v>44609.60146377315</v>
      </c>
      <c r="E38" s="911"/>
      <c r="F38" s="912"/>
      <c r="G38" s="912"/>
      <c r="H38" s="2"/>
    </row>
    <row r="39" spans="2:8" ht="12.75" customHeight="1"/>
    <row r="40" spans="2:8" ht="12.75" customHeight="1"/>
    <row r="41" spans="2:8" ht="12.75" customHeight="1"/>
    <row r="42" spans="2:8" ht="12.75" customHeight="1"/>
    <row r="43" spans="2:8" ht="12.75" customHeight="1"/>
    <row r="44" spans="2:8" ht="12.75" customHeight="1"/>
    <row r="45" spans="2:8" ht="12.75" customHeight="1"/>
    <row r="46" spans="2:8" ht="12.75" customHeight="1"/>
    <row r="47" spans="2:8" ht="12.75" customHeight="1"/>
    <row r="48" spans="2: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sheetData>
  <sheetProtection selectLockedCells="1" selectUnlockedCells="1"/>
  <mergeCells count="30">
    <mergeCell ref="C1:G1"/>
    <mergeCell ref="C2:G2"/>
    <mergeCell ref="C3:G3"/>
    <mergeCell ref="C4:G4"/>
    <mergeCell ref="C5:G5"/>
    <mergeCell ref="E7:F7"/>
    <mergeCell ref="E8:F8"/>
    <mergeCell ref="E9:F9"/>
    <mergeCell ref="E10:F10"/>
    <mergeCell ref="E11:F11"/>
    <mergeCell ref="E12:F12"/>
    <mergeCell ref="C15:E15"/>
    <mergeCell ref="F16:G16"/>
    <mergeCell ref="C19:G19"/>
    <mergeCell ref="C20:G20"/>
    <mergeCell ref="C14:E14"/>
    <mergeCell ref="C21:G21"/>
    <mergeCell ref="C22:G22"/>
    <mergeCell ref="C23:G23"/>
    <mergeCell ref="C24:G24"/>
    <mergeCell ref="D26:G26"/>
    <mergeCell ref="D36:E36"/>
    <mergeCell ref="D37:E37"/>
    <mergeCell ref="D38:E38"/>
    <mergeCell ref="F31:G38"/>
    <mergeCell ref="D27:E27"/>
    <mergeCell ref="F29:G29"/>
    <mergeCell ref="C33:E33"/>
    <mergeCell ref="D34:E34"/>
    <mergeCell ref="D35:E35"/>
  </mergeCells>
  <printOptions horizontalCentered="1"/>
  <pageMargins left="0.59055118110236227" right="0.39370078740157483" top="0.59055118110236227" bottom="0" header="0.51181102362204722" footer="0.51181102362204722"/>
  <pageSetup paperSize="9" scale="65" fitToWidth="0" fitToHeight="0" orientation="portrait" useFirstPageNumber="1" r:id="rId1"/>
  <headerFooter>
    <oddFooter>&amp;L&amp;F  &amp;A&amp;CPágina Página &amp;P de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X41" sqref="X41"/>
    </sheetView>
  </sheetViews>
  <sheetFormatPr defaultRowHeight="12.75"/>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K1040"/>
  <sheetViews>
    <sheetView showGridLines="0" tabSelected="1" topLeftCell="B49" zoomScaleNormal="100" workbookViewId="0">
      <selection activeCell="C64" sqref="C64"/>
    </sheetView>
  </sheetViews>
  <sheetFormatPr defaultColWidth="9" defaultRowHeight="12.75"/>
  <cols>
    <col min="1" max="1" width="26.7109375" style="401" customWidth="1"/>
    <col min="2" max="2" width="81" style="401" customWidth="1"/>
    <col min="3" max="3" width="20.85546875" style="401" customWidth="1"/>
    <col min="4" max="26" width="8" style="401" customWidth="1"/>
    <col min="27" max="1025" width="14.42578125" style="401" customWidth="1"/>
    <col min="1026" max="16384" width="9" style="379"/>
  </cols>
  <sheetData>
    <row r="1" spans="1:3" ht="20.25">
      <c r="A1" s="521" t="s">
        <v>0</v>
      </c>
      <c r="B1" s="522"/>
      <c r="C1" s="523"/>
    </row>
    <row r="2" spans="1:3" ht="18">
      <c r="A2" s="524" t="s">
        <v>1</v>
      </c>
      <c r="B2" s="525"/>
      <c r="C2" s="526"/>
    </row>
    <row r="3" spans="1:3" ht="15.75">
      <c r="A3" s="527" t="s">
        <v>2</v>
      </c>
      <c r="B3" s="528"/>
      <c r="C3" s="529"/>
    </row>
    <row r="4" spans="1:3" ht="15.75">
      <c r="A4" s="530" t="s">
        <v>3</v>
      </c>
      <c r="B4" s="531"/>
      <c r="C4" s="532"/>
    </row>
    <row r="5" spans="1:3" ht="15.75">
      <c r="A5" s="533" t="s">
        <v>4</v>
      </c>
      <c r="B5" s="534"/>
      <c r="C5" s="535"/>
    </row>
    <row r="6" spans="1:3" ht="12.75" customHeight="1">
      <c r="A6" s="402"/>
      <c r="B6" s="402"/>
    </row>
    <row r="7" spans="1:3" ht="12.75" customHeight="1">
      <c r="A7" s="403" t="s">
        <v>5</v>
      </c>
      <c r="B7" s="503" t="s">
        <v>6</v>
      </c>
      <c r="C7" s="503"/>
    </row>
    <row r="8" spans="1:3" ht="12.75" customHeight="1">
      <c r="A8" s="404" t="s">
        <v>7</v>
      </c>
      <c r="B8" s="503"/>
      <c r="C8" s="503"/>
    </row>
    <row r="9" spans="1:3" ht="12.75" customHeight="1">
      <c r="A9" s="404" t="s">
        <v>8</v>
      </c>
      <c r="B9" s="503"/>
      <c r="C9" s="503"/>
    </row>
    <row r="10" spans="1:3" ht="12.75" customHeight="1">
      <c r="A10" s="405" t="s">
        <v>9</v>
      </c>
      <c r="B10" s="503"/>
      <c r="C10" s="503"/>
    </row>
    <row r="11" spans="1:3" ht="12.75" customHeight="1">
      <c r="A11" s="406" t="s">
        <v>10</v>
      </c>
      <c r="B11" s="499" t="s">
        <v>11</v>
      </c>
      <c r="C11" s="499"/>
    </row>
    <row r="12" spans="1:3" ht="12.75" customHeight="1">
      <c r="A12" s="407" t="s">
        <v>12</v>
      </c>
      <c r="B12" s="500" t="s">
        <v>692</v>
      </c>
      <c r="C12" s="500"/>
    </row>
    <row r="13" spans="1:3" ht="12.75" customHeight="1">
      <c r="A13" s="407" t="s">
        <v>13</v>
      </c>
      <c r="B13" s="501">
        <f ca="1">+TODAY()</f>
        <v>44609</v>
      </c>
      <c r="C13" s="501"/>
    </row>
    <row r="14" spans="1:3" ht="12.75" customHeight="1">
      <c r="A14" s="407" t="s">
        <v>14</v>
      </c>
      <c r="B14" s="502" t="s">
        <v>724</v>
      </c>
      <c r="C14" s="502"/>
    </row>
    <row r="15" spans="1:3" ht="12.75" customHeight="1">
      <c r="A15" s="407" t="s">
        <v>15</v>
      </c>
      <c r="B15" s="502" t="s">
        <v>728</v>
      </c>
      <c r="C15" s="502"/>
    </row>
    <row r="16" spans="1:3" ht="12.75" customHeight="1">
      <c r="A16" s="407" t="s">
        <v>16</v>
      </c>
      <c r="B16" s="502" t="s">
        <v>729</v>
      </c>
      <c r="C16" s="502"/>
    </row>
    <row r="17" spans="1:3" ht="12.75" customHeight="1">
      <c r="A17" s="407" t="s">
        <v>17</v>
      </c>
      <c r="B17" s="502"/>
      <c r="C17" s="502"/>
    </row>
    <row r="18" spans="1:3" ht="12.75" customHeight="1">
      <c r="A18" s="407" t="s">
        <v>18</v>
      </c>
      <c r="B18" s="502"/>
      <c r="C18" s="502"/>
    </row>
    <row r="19" spans="1:3" ht="12.75" customHeight="1">
      <c r="A19" s="407" t="s">
        <v>19</v>
      </c>
      <c r="B19" s="502"/>
      <c r="C19" s="502"/>
    </row>
    <row r="20" spans="1:3" ht="15.75" customHeight="1">
      <c r="A20" s="498" t="s">
        <v>20</v>
      </c>
      <c r="B20" s="498"/>
      <c r="C20" s="498"/>
    </row>
    <row r="21" spans="1:3" ht="51" customHeight="1">
      <c r="A21" s="314" t="s">
        <v>21</v>
      </c>
      <c r="B21" s="408" t="s">
        <v>22</v>
      </c>
      <c r="C21" s="274" t="s">
        <v>23</v>
      </c>
    </row>
    <row r="22" spans="1:3" ht="15" customHeight="1">
      <c r="A22" s="507" t="s">
        <v>24</v>
      </c>
      <c r="B22" s="275" t="s">
        <v>25</v>
      </c>
      <c r="C22" s="409">
        <v>1200</v>
      </c>
    </row>
    <row r="23" spans="1:3" ht="15" customHeight="1">
      <c r="A23" s="507"/>
      <c r="B23" s="275" t="s">
        <v>26</v>
      </c>
      <c r="C23" s="409">
        <v>1200</v>
      </c>
    </row>
    <row r="24" spans="1:3" ht="15" customHeight="1">
      <c r="A24" s="507"/>
      <c r="B24" s="275" t="s">
        <v>27</v>
      </c>
      <c r="C24" s="409">
        <v>450</v>
      </c>
    </row>
    <row r="25" spans="1:3" ht="15" customHeight="1">
      <c r="A25" s="507"/>
      <c r="B25" s="275" t="s">
        <v>28</v>
      </c>
      <c r="C25" s="409">
        <v>2500</v>
      </c>
    </row>
    <row r="26" spans="1:3" ht="15" customHeight="1">
      <c r="A26" s="507"/>
      <c r="B26" s="275" t="s">
        <v>29</v>
      </c>
      <c r="C26" s="409">
        <v>1800</v>
      </c>
    </row>
    <row r="27" spans="1:3" ht="15" customHeight="1">
      <c r="A27" s="507"/>
      <c r="B27" s="275" t="s">
        <v>30</v>
      </c>
      <c r="C27" s="409">
        <v>1500</v>
      </c>
    </row>
    <row r="28" spans="1:3" ht="15" customHeight="1">
      <c r="A28" s="507"/>
      <c r="B28" s="275" t="s">
        <v>31</v>
      </c>
      <c r="C28" s="409">
        <v>1200</v>
      </c>
    </row>
    <row r="29" spans="1:3" ht="15" hidden="1" customHeight="1">
      <c r="A29" s="507"/>
      <c r="B29" s="275" t="s">
        <v>32</v>
      </c>
      <c r="C29" s="410">
        <v>800</v>
      </c>
    </row>
    <row r="30" spans="1:3" ht="15" hidden="1" customHeight="1">
      <c r="A30" s="507"/>
      <c r="B30" s="275" t="s">
        <v>33</v>
      </c>
      <c r="C30" s="411">
        <v>450</v>
      </c>
    </row>
    <row r="31" spans="1:3" ht="15" customHeight="1">
      <c r="A31" s="507" t="s">
        <v>34</v>
      </c>
      <c r="B31" s="275" t="s">
        <v>35</v>
      </c>
      <c r="C31" s="411">
        <v>2700</v>
      </c>
    </row>
    <row r="32" spans="1:3" ht="15" hidden="1" customHeight="1">
      <c r="A32" s="507"/>
      <c r="B32" s="275" t="s">
        <v>36</v>
      </c>
      <c r="C32" s="411">
        <v>800</v>
      </c>
    </row>
    <row r="33" spans="1:3" ht="15" hidden="1" customHeight="1">
      <c r="A33" s="507"/>
      <c r="B33" s="275" t="s">
        <v>37</v>
      </c>
      <c r="C33" s="411">
        <v>450</v>
      </c>
    </row>
    <row r="34" spans="1:3" ht="15" customHeight="1">
      <c r="A34" s="507"/>
      <c r="B34" s="275" t="s">
        <v>38</v>
      </c>
      <c r="C34" s="411">
        <v>9000</v>
      </c>
    </row>
    <row r="35" spans="1:3" ht="15" customHeight="1">
      <c r="A35" s="507"/>
      <c r="B35" s="275" t="s">
        <v>39</v>
      </c>
      <c r="C35" s="411">
        <v>2700</v>
      </c>
    </row>
    <row r="36" spans="1:3" ht="15" customHeight="1">
      <c r="A36" s="507"/>
      <c r="B36" s="275" t="s">
        <v>40</v>
      </c>
      <c r="C36" s="411">
        <v>2700</v>
      </c>
    </row>
    <row r="37" spans="1:3" ht="15" customHeight="1">
      <c r="A37" s="507"/>
      <c r="B37" s="275" t="s">
        <v>41</v>
      </c>
      <c r="C37" s="411">
        <v>2700</v>
      </c>
    </row>
    <row r="38" spans="1:3" ht="15" customHeight="1">
      <c r="A38" s="507"/>
      <c r="B38" s="275" t="s">
        <v>42</v>
      </c>
      <c r="C38" s="411">
        <v>100000</v>
      </c>
    </row>
    <row r="39" spans="1:3" ht="15" customHeight="1">
      <c r="A39" s="508" t="s">
        <v>43</v>
      </c>
      <c r="B39" s="275" t="s">
        <v>44</v>
      </c>
      <c r="C39" s="411">
        <v>300</v>
      </c>
    </row>
    <row r="40" spans="1:3" ht="15" customHeight="1">
      <c r="A40" s="508"/>
      <c r="B40" s="275" t="s">
        <v>45</v>
      </c>
      <c r="C40" s="411">
        <v>800</v>
      </c>
    </row>
    <row r="41" spans="1:3" ht="15" customHeight="1">
      <c r="A41" s="508"/>
      <c r="B41" s="275" t="s">
        <v>46</v>
      </c>
      <c r="C41" s="411">
        <v>450</v>
      </c>
    </row>
    <row r="42" spans="1:3" ht="15" customHeight="1">
      <c r="A42" s="507" t="s">
        <v>47</v>
      </c>
      <c r="B42" s="275" t="s">
        <v>48</v>
      </c>
      <c r="C42" s="411">
        <v>160</v>
      </c>
    </row>
    <row r="43" spans="1:3" ht="15" customHeight="1">
      <c r="A43" s="507"/>
      <c r="B43" s="275" t="s">
        <v>49</v>
      </c>
      <c r="C43" s="409">
        <v>380</v>
      </c>
    </row>
    <row r="44" spans="1:3" ht="15" customHeight="1">
      <c r="A44" s="507"/>
      <c r="B44" s="275" t="s">
        <v>50</v>
      </c>
      <c r="C44" s="409">
        <v>380</v>
      </c>
    </row>
    <row r="45" spans="1:3" ht="25.5" customHeight="1">
      <c r="A45" s="314" t="s">
        <v>51</v>
      </c>
      <c r="B45" s="275" t="s">
        <v>52</v>
      </c>
      <c r="C45" s="412">
        <v>160</v>
      </c>
    </row>
    <row r="46" spans="1:3" ht="25.5" customHeight="1">
      <c r="A46" s="276" t="s">
        <v>53</v>
      </c>
      <c r="B46" s="277" t="s">
        <v>54</v>
      </c>
      <c r="C46" s="278">
        <v>450</v>
      </c>
    </row>
    <row r="47" spans="1:3" ht="53.45" customHeight="1">
      <c r="A47" s="536" t="s">
        <v>55</v>
      </c>
      <c r="B47" s="536"/>
      <c r="C47" s="536"/>
    </row>
    <row r="48" spans="1:3" ht="12.75" customHeight="1"/>
    <row r="49" spans="1:26" ht="15.75">
      <c r="A49" s="505" t="s">
        <v>56</v>
      </c>
      <c r="B49" s="505"/>
      <c r="C49" s="505"/>
      <c r="D49" s="413"/>
      <c r="E49" s="413"/>
      <c r="F49" s="413"/>
      <c r="G49" s="413"/>
      <c r="H49" s="413"/>
      <c r="I49" s="413"/>
      <c r="J49" s="413"/>
      <c r="K49" s="413"/>
      <c r="L49" s="413"/>
      <c r="M49" s="413"/>
      <c r="N49" s="413"/>
      <c r="O49" s="413"/>
      <c r="P49" s="413"/>
      <c r="Q49" s="413"/>
      <c r="R49" s="413"/>
      <c r="S49" s="413"/>
      <c r="T49" s="413"/>
      <c r="U49" s="413"/>
      <c r="V49" s="413"/>
      <c r="W49" s="413"/>
      <c r="X49" s="413"/>
      <c r="Y49" s="413"/>
      <c r="Z49" s="413"/>
    </row>
    <row r="50" spans="1:26">
      <c r="A50" s="537" t="s">
        <v>704</v>
      </c>
      <c r="B50" s="537"/>
      <c r="C50" s="537"/>
      <c r="D50" s="413"/>
      <c r="E50" s="413"/>
      <c r="F50" s="413"/>
      <c r="G50" s="413"/>
      <c r="H50" s="413"/>
      <c r="I50" s="413"/>
      <c r="J50" s="413"/>
      <c r="K50" s="413"/>
      <c r="L50" s="413"/>
      <c r="M50" s="413"/>
      <c r="N50" s="413"/>
      <c r="O50" s="413"/>
      <c r="P50" s="413"/>
      <c r="Q50" s="413"/>
      <c r="R50" s="413"/>
      <c r="S50" s="413"/>
      <c r="T50" s="413"/>
      <c r="U50" s="413"/>
      <c r="V50" s="413"/>
      <c r="W50" s="413"/>
      <c r="X50" s="413"/>
      <c r="Y50" s="413"/>
      <c r="Z50" s="413"/>
    </row>
    <row r="51" spans="1:26">
      <c r="A51" s="414" t="s">
        <v>57</v>
      </c>
      <c r="B51" s="509">
        <v>1</v>
      </c>
      <c r="C51" s="509"/>
      <c r="D51" s="413"/>
      <c r="E51" s="413"/>
      <c r="F51" s="413"/>
      <c r="G51" s="413"/>
      <c r="H51" s="413"/>
      <c r="I51" s="413"/>
      <c r="J51" s="413"/>
      <c r="K51" s="413"/>
      <c r="L51" s="413"/>
      <c r="M51" s="413"/>
      <c r="N51" s="413"/>
      <c r="O51" s="413"/>
      <c r="P51" s="413"/>
      <c r="Q51" s="413"/>
      <c r="R51" s="413"/>
      <c r="S51" s="413"/>
      <c r="T51" s="413"/>
      <c r="U51" s="413"/>
      <c r="V51" s="413"/>
      <c r="W51" s="413"/>
      <c r="X51" s="413"/>
      <c r="Y51" s="413"/>
      <c r="Z51" s="413"/>
    </row>
    <row r="52" spans="1:26" ht="15.75">
      <c r="A52" s="415"/>
      <c r="B52" s="415"/>
      <c r="C52" s="415"/>
      <c r="D52" s="413"/>
      <c r="E52" s="413"/>
      <c r="F52" s="413"/>
      <c r="G52" s="413"/>
      <c r="H52" s="413"/>
      <c r="I52" s="413"/>
      <c r="J52" s="413"/>
      <c r="K52" s="413"/>
      <c r="L52" s="413"/>
      <c r="M52" s="413"/>
      <c r="N52" s="413"/>
      <c r="O52" s="413"/>
      <c r="P52" s="413"/>
      <c r="Q52" s="413"/>
      <c r="R52" s="413"/>
      <c r="S52" s="413"/>
      <c r="T52" s="413"/>
      <c r="U52" s="413"/>
      <c r="V52" s="413"/>
      <c r="W52" s="413"/>
      <c r="X52" s="413"/>
      <c r="Y52" s="413"/>
      <c r="Z52" s="413"/>
    </row>
    <row r="53" spans="1:26" ht="15.75">
      <c r="A53" s="505" t="s">
        <v>58</v>
      </c>
      <c r="B53" s="505"/>
      <c r="C53" s="505"/>
      <c r="D53" s="413"/>
      <c r="E53" s="413"/>
      <c r="F53" s="413"/>
      <c r="G53" s="413"/>
      <c r="H53" s="413"/>
      <c r="I53" s="413"/>
      <c r="J53" s="413"/>
      <c r="K53" s="413"/>
      <c r="L53" s="413"/>
      <c r="M53" s="413"/>
      <c r="N53" s="413"/>
      <c r="O53" s="413"/>
      <c r="P53" s="413"/>
      <c r="Q53" s="413"/>
      <c r="R53" s="413"/>
      <c r="S53" s="413"/>
      <c r="T53" s="413"/>
      <c r="U53" s="413"/>
      <c r="V53" s="413"/>
      <c r="W53" s="413"/>
      <c r="X53" s="413"/>
      <c r="Y53" s="413"/>
      <c r="Z53" s="413"/>
    </row>
    <row r="54" spans="1:26">
      <c r="A54" s="314" t="s">
        <v>59</v>
      </c>
      <c r="B54" s="501">
        <f ca="1">B13</f>
        <v>44609</v>
      </c>
      <c r="C54" s="501"/>
      <c r="D54" s="413"/>
      <c r="E54" s="413"/>
      <c r="F54" s="413"/>
      <c r="G54" s="413"/>
      <c r="H54" s="413"/>
      <c r="I54" s="413"/>
      <c r="J54" s="413"/>
      <c r="K54" s="413"/>
      <c r="L54" s="413"/>
      <c r="M54" s="413"/>
      <c r="N54" s="413"/>
      <c r="O54" s="413"/>
      <c r="P54" s="413"/>
      <c r="Q54" s="413"/>
      <c r="R54" s="413"/>
      <c r="S54" s="413"/>
      <c r="T54" s="413"/>
      <c r="U54" s="413"/>
      <c r="V54" s="413"/>
      <c r="W54" s="413"/>
      <c r="X54" s="413"/>
      <c r="Y54" s="413"/>
      <c r="Z54" s="413"/>
    </row>
    <row r="55" spans="1:26">
      <c r="A55" s="314" t="s">
        <v>60</v>
      </c>
      <c r="B55" s="514" t="s">
        <v>61</v>
      </c>
      <c r="C55" s="514"/>
      <c r="D55" s="413"/>
      <c r="E55" s="413"/>
      <c r="F55" s="413"/>
      <c r="G55" s="413"/>
      <c r="H55" s="413"/>
      <c r="I55" s="413"/>
      <c r="J55" s="413"/>
      <c r="K55" s="413"/>
      <c r="L55" s="413"/>
      <c r="M55" s="413"/>
      <c r="N55" s="413"/>
      <c r="O55" s="413"/>
      <c r="P55" s="413"/>
      <c r="Q55" s="413"/>
      <c r="R55" s="413"/>
      <c r="S55" s="413"/>
      <c r="T55" s="413"/>
      <c r="U55" s="413"/>
      <c r="V55" s="413"/>
      <c r="W55" s="413"/>
      <c r="X55" s="413"/>
      <c r="Y55" s="413"/>
      <c r="Z55" s="413"/>
    </row>
    <row r="56" spans="1:26" ht="20.25" customHeight="1">
      <c r="A56" s="314" t="s">
        <v>62</v>
      </c>
      <c r="B56" s="496" t="s">
        <v>730</v>
      </c>
      <c r="C56" s="497"/>
      <c r="D56" s="413"/>
      <c r="E56" s="413"/>
      <c r="F56" s="413"/>
      <c r="G56" s="413"/>
      <c r="H56" s="413"/>
      <c r="I56" s="413"/>
      <c r="J56" s="413"/>
      <c r="K56" s="413"/>
      <c r="L56" s="413"/>
      <c r="M56" s="413"/>
      <c r="N56" s="413"/>
      <c r="O56" s="413"/>
      <c r="P56" s="413"/>
      <c r="Q56" s="413"/>
      <c r="R56" s="413"/>
      <c r="S56" s="413"/>
      <c r="T56" s="413"/>
      <c r="U56" s="413"/>
      <c r="V56" s="413"/>
      <c r="W56" s="413"/>
      <c r="X56" s="413"/>
      <c r="Y56" s="413"/>
      <c r="Z56" s="413"/>
    </row>
    <row r="57" spans="1:26" ht="13.5" thickBot="1">
      <c r="A57" s="416" t="s">
        <v>63</v>
      </c>
      <c r="B57" s="509">
        <v>20</v>
      </c>
      <c r="C57" s="509"/>
      <c r="D57" s="413"/>
      <c r="E57" s="413"/>
      <c r="F57" s="413"/>
      <c r="G57" s="413"/>
      <c r="H57" s="413"/>
      <c r="I57" s="413"/>
      <c r="J57" s="413"/>
      <c r="K57" s="413"/>
      <c r="L57" s="413"/>
      <c r="M57" s="413"/>
      <c r="N57" s="413"/>
      <c r="O57" s="413"/>
      <c r="P57" s="413"/>
      <c r="Q57" s="413"/>
      <c r="R57" s="413"/>
      <c r="S57" s="413"/>
      <c r="T57" s="413"/>
      <c r="U57" s="413"/>
      <c r="V57" s="413"/>
      <c r="W57" s="413"/>
      <c r="X57" s="413"/>
      <c r="Y57" s="413"/>
      <c r="Z57" s="413"/>
    </row>
    <row r="58" spans="1:26" ht="16.5" thickBot="1">
      <c r="A58" s="415"/>
      <c r="B58" s="415"/>
      <c r="C58" s="415"/>
      <c r="D58" s="413"/>
      <c r="E58" s="413"/>
      <c r="F58" s="413"/>
      <c r="G58" s="413"/>
      <c r="H58" s="413"/>
      <c r="I58" s="413"/>
      <c r="J58" s="413"/>
      <c r="K58" s="413"/>
      <c r="L58" s="413"/>
      <c r="M58" s="413"/>
      <c r="N58" s="413"/>
      <c r="O58" s="413"/>
      <c r="P58" s="413"/>
      <c r="Q58" s="413"/>
      <c r="R58" s="413"/>
      <c r="S58" s="413"/>
      <c r="T58" s="413"/>
      <c r="U58" s="413"/>
      <c r="V58" s="413"/>
      <c r="W58" s="413"/>
      <c r="X58" s="413"/>
      <c r="Y58" s="413"/>
      <c r="Z58" s="413"/>
    </row>
    <row r="59" spans="1:26" ht="15.75" customHeight="1">
      <c r="A59" s="518" t="s">
        <v>64</v>
      </c>
      <c r="B59" s="518"/>
      <c r="C59" s="518"/>
      <c r="D59" s="413"/>
      <c r="E59" s="413"/>
      <c r="F59" s="413"/>
      <c r="G59" s="413"/>
      <c r="H59" s="413"/>
      <c r="I59" s="413"/>
      <c r="J59" s="413"/>
      <c r="K59" s="413"/>
      <c r="L59" s="413"/>
      <c r="M59" s="413"/>
      <c r="N59" s="413"/>
      <c r="O59" s="413"/>
      <c r="P59" s="413"/>
      <c r="Q59" s="413"/>
      <c r="R59" s="413"/>
      <c r="S59" s="413"/>
      <c r="T59" s="413"/>
      <c r="U59" s="413"/>
      <c r="V59" s="413"/>
      <c r="W59" s="413"/>
      <c r="X59" s="413"/>
      <c r="Y59" s="413"/>
      <c r="Z59" s="413"/>
    </row>
    <row r="60" spans="1:26" ht="15" customHeight="1">
      <c r="A60" s="316" t="s">
        <v>65</v>
      </c>
      <c r="B60" s="519" t="s">
        <v>66</v>
      </c>
      <c r="C60" s="519"/>
      <c r="D60" s="279"/>
      <c r="E60" s="279"/>
      <c r="F60" s="279"/>
      <c r="G60" s="279"/>
      <c r="H60" s="280"/>
      <c r="I60" s="280"/>
      <c r="J60" s="280"/>
      <c r="K60" s="413"/>
      <c r="L60" s="413"/>
      <c r="M60" s="413"/>
      <c r="N60" s="413"/>
      <c r="O60" s="413"/>
      <c r="P60" s="413"/>
      <c r="Q60" s="413"/>
      <c r="R60" s="413"/>
      <c r="S60" s="413"/>
      <c r="T60" s="413"/>
      <c r="U60" s="413"/>
      <c r="V60" s="413"/>
      <c r="W60" s="413"/>
      <c r="X60" s="413"/>
      <c r="Y60" s="413"/>
      <c r="Z60" s="413"/>
    </row>
    <row r="61" spans="1:26" ht="12.75" customHeight="1">
      <c r="A61" s="512" t="s">
        <v>67</v>
      </c>
      <c r="B61" s="512"/>
      <c r="C61" s="281">
        <v>5143</v>
      </c>
      <c r="D61" s="279"/>
      <c r="E61" s="279"/>
      <c r="F61" s="279"/>
      <c r="G61" s="279"/>
      <c r="H61" s="413"/>
      <c r="I61" s="413"/>
      <c r="J61" s="413"/>
      <c r="K61" s="413"/>
      <c r="L61" s="413"/>
      <c r="M61" s="413"/>
      <c r="N61" s="413"/>
      <c r="O61" s="413"/>
      <c r="P61" s="413"/>
      <c r="Q61" s="413"/>
      <c r="R61" s="413"/>
      <c r="S61" s="413"/>
      <c r="T61" s="413"/>
      <c r="U61" s="413"/>
      <c r="V61" s="413"/>
      <c r="W61" s="413"/>
      <c r="X61" s="413"/>
      <c r="Y61" s="413"/>
      <c r="Z61" s="413"/>
    </row>
    <row r="62" spans="1:26" ht="12.75" customHeight="1">
      <c r="A62" s="316" t="s">
        <v>68</v>
      </c>
      <c r="B62" s="493" t="s">
        <v>731</v>
      </c>
      <c r="C62" s="377"/>
      <c r="D62" s="279"/>
      <c r="E62" s="279"/>
      <c r="F62" s="279"/>
      <c r="G62" s="279"/>
      <c r="H62" s="413"/>
      <c r="I62" s="413"/>
      <c r="J62" s="413"/>
      <c r="K62" s="413"/>
      <c r="L62" s="413"/>
      <c r="M62" s="413"/>
      <c r="N62" s="413"/>
      <c r="O62" s="413"/>
      <c r="P62" s="413"/>
      <c r="Q62" s="413"/>
      <c r="R62" s="413"/>
      <c r="S62" s="413"/>
      <c r="T62" s="413"/>
      <c r="U62" s="413"/>
      <c r="V62" s="413"/>
      <c r="W62" s="413"/>
      <c r="X62" s="413"/>
      <c r="Y62" s="413"/>
      <c r="Z62" s="413"/>
    </row>
    <row r="63" spans="1:26" ht="12.75" customHeight="1">
      <c r="A63" s="512" t="s">
        <v>69</v>
      </c>
      <c r="B63" s="512"/>
      <c r="C63" s="282">
        <v>1314.09</v>
      </c>
      <c r="D63" s="279"/>
      <c r="E63" s="279"/>
      <c r="F63" s="279"/>
      <c r="G63" s="279"/>
      <c r="H63" s="413"/>
      <c r="I63" s="413"/>
      <c r="J63" s="413"/>
      <c r="K63" s="413"/>
      <c r="L63" s="413"/>
      <c r="M63" s="413"/>
      <c r="N63" s="413"/>
      <c r="O63" s="413"/>
      <c r="P63" s="413"/>
      <c r="Q63" s="413"/>
      <c r="R63" s="413"/>
      <c r="S63" s="413"/>
      <c r="T63" s="413"/>
      <c r="U63" s="413"/>
      <c r="V63" s="413"/>
      <c r="W63" s="413"/>
      <c r="X63" s="413"/>
      <c r="Y63" s="413"/>
      <c r="Z63" s="413"/>
    </row>
    <row r="64" spans="1:26" ht="12.75" customHeight="1">
      <c r="A64" s="512" t="s">
        <v>70</v>
      </c>
      <c r="B64" s="512"/>
      <c r="C64" s="315" t="s">
        <v>71</v>
      </c>
      <c r="D64" s="279"/>
      <c r="E64" s="279"/>
      <c r="F64" s="279"/>
      <c r="G64" s="279"/>
      <c r="H64" s="413"/>
      <c r="I64" s="413"/>
      <c r="J64" s="413"/>
      <c r="K64" s="413"/>
      <c r="L64" s="413"/>
      <c r="M64" s="413"/>
      <c r="N64" s="413"/>
      <c r="O64" s="413"/>
      <c r="P64" s="413"/>
      <c r="Q64" s="413"/>
      <c r="R64" s="413"/>
      <c r="S64" s="413"/>
      <c r="T64" s="413"/>
      <c r="U64" s="413"/>
      <c r="V64" s="413"/>
      <c r="W64" s="413"/>
      <c r="X64" s="413"/>
      <c r="Y64" s="413"/>
      <c r="Z64" s="413"/>
    </row>
    <row r="65" spans="1:26" ht="13.5" customHeight="1">
      <c r="A65" s="513" t="s">
        <v>72</v>
      </c>
      <c r="B65" s="513"/>
      <c r="C65" s="325">
        <v>44197</v>
      </c>
      <c r="D65" s="279"/>
      <c r="E65" s="279"/>
      <c r="F65" s="279"/>
      <c r="G65" s="279"/>
      <c r="H65" s="413"/>
      <c r="I65" s="413"/>
      <c r="J65" s="413"/>
      <c r="K65" s="413"/>
      <c r="L65" s="413"/>
      <c r="M65" s="413"/>
      <c r="N65" s="413"/>
      <c r="O65" s="413"/>
      <c r="P65" s="413"/>
      <c r="Q65" s="413"/>
      <c r="R65" s="413"/>
      <c r="S65" s="413"/>
      <c r="T65" s="413"/>
      <c r="U65" s="413"/>
      <c r="V65" s="413"/>
      <c r="W65" s="413"/>
      <c r="X65" s="413"/>
      <c r="Y65" s="413"/>
      <c r="Z65" s="413"/>
    </row>
    <row r="66" spans="1:26" ht="15.75">
      <c r="A66" s="415"/>
      <c r="B66" s="415"/>
      <c r="C66" s="415"/>
      <c r="D66" s="413"/>
      <c r="E66" s="413"/>
      <c r="F66" s="413"/>
      <c r="G66" s="413"/>
      <c r="H66" s="413"/>
      <c r="I66" s="413"/>
      <c r="J66" s="413"/>
      <c r="K66" s="413"/>
      <c r="L66" s="413"/>
      <c r="M66" s="413"/>
      <c r="N66" s="413"/>
      <c r="O66" s="413"/>
      <c r="P66" s="413"/>
      <c r="Q66" s="413"/>
      <c r="R66" s="413"/>
      <c r="S66" s="413"/>
      <c r="T66" s="413"/>
      <c r="U66" s="413"/>
      <c r="V66" s="413"/>
      <c r="W66" s="413"/>
      <c r="X66" s="413"/>
      <c r="Y66" s="413"/>
      <c r="Z66" s="413"/>
    </row>
    <row r="67" spans="1:26" ht="15.75">
      <c r="A67" s="505" t="s">
        <v>73</v>
      </c>
      <c r="B67" s="505"/>
      <c r="C67" s="505"/>
      <c r="D67" s="413"/>
      <c r="E67" s="413"/>
      <c r="F67" s="413"/>
      <c r="G67" s="413"/>
      <c r="H67" s="413"/>
      <c r="I67" s="413"/>
      <c r="J67" s="413"/>
      <c r="K67" s="413"/>
      <c r="L67" s="413"/>
      <c r="M67" s="413"/>
      <c r="N67" s="413"/>
      <c r="O67" s="413"/>
      <c r="P67" s="413"/>
      <c r="Q67" s="413"/>
      <c r="R67" s="413"/>
      <c r="S67" s="413"/>
      <c r="T67" s="413"/>
      <c r="U67" s="413"/>
      <c r="V67" s="413"/>
      <c r="W67" s="413"/>
      <c r="X67" s="413"/>
      <c r="Y67" s="413"/>
      <c r="Z67" s="413"/>
    </row>
    <row r="68" spans="1:26">
      <c r="A68" s="507" t="s">
        <v>74</v>
      </c>
      <c r="B68" s="507"/>
      <c r="C68" s="417">
        <v>44</v>
      </c>
      <c r="D68" s="413"/>
      <c r="E68" s="413"/>
      <c r="F68" s="413"/>
      <c r="G68" s="413"/>
      <c r="H68" s="413"/>
      <c r="I68" s="413"/>
      <c r="J68" s="413"/>
      <c r="K68" s="413"/>
      <c r="L68" s="413"/>
      <c r="M68" s="413"/>
      <c r="N68" s="413"/>
      <c r="O68" s="413"/>
      <c r="P68" s="413"/>
      <c r="Q68" s="413"/>
      <c r="R68" s="413"/>
      <c r="S68" s="413"/>
      <c r="T68" s="413"/>
      <c r="U68" s="413"/>
      <c r="V68" s="413"/>
      <c r="W68" s="413"/>
      <c r="X68" s="413"/>
      <c r="Y68" s="413"/>
      <c r="Z68" s="413"/>
    </row>
    <row r="69" spans="1:26">
      <c r="A69" s="314" t="s">
        <v>75</v>
      </c>
      <c r="B69" s="494" t="s">
        <v>732</v>
      </c>
      <c r="C69" s="418"/>
      <c r="D69" s="413"/>
      <c r="E69" s="413"/>
      <c r="F69" s="413"/>
      <c r="G69" s="413"/>
      <c r="H69" s="413"/>
      <c r="I69" s="413"/>
      <c r="J69" s="413"/>
      <c r="K69" s="413"/>
      <c r="L69" s="413"/>
      <c r="M69" s="413"/>
      <c r="N69" s="413"/>
      <c r="O69" s="413"/>
      <c r="P69" s="413"/>
      <c r="Q69" s="413"/>
      <c r="R69" s="413"/>
      <c r="S69" s="413"/>
      <c r="T69" s="413"/>
      <c r="U69" s="413"/>
      <c r="V69" s="413"/>
      <c r="W69" s="413"/>
      <c r="X69" s="413"/>
      <c r="Y69" s="413"/>
      <c r="Z69" s="413"/>
    </row>
    <row r="70" spans="1:26">
      <c r="A70" s="507" t="s">
        <v>76</v>
      </c>
      <c r="B70" s="507"/>
      <c r="C70" s="419">
        <v>0.4</v>
      </c>
      <c r="D70" s="413"/>
      <c r="E70" s="413"/>
      <c r="F70" s="413"/>
      <c r="G70" s="413"/>
      <c r="H70" s="413"/>
      <c r="I70" s="413"/>
      <c r="J70" s="413"/>
      <c r="K70" s="413"/>
      <c r="L70" s="413"/>
      <c r="M70" s="413"/>
      <c r="N70" s="413"/>
      <c r="O70" s="413"/>
      <c r="P70" s="413"/>
      <c r="Q70" s="413"/>
      <c r="R70" s="413"/>
      <c r="S70" s="413"/>
      <c r="T70" s="413"/>
      <c r="U70" s="413"/>
      <c r="V70" s="413"/>
      <c r="W70" s="413"/>
      <c r="X70" s="413"/>
      <c r="Y70" s="413"/>
      <c r="Z70" s="413"/>
    </row>
    <row r="71" spans="1:26" ht="13.5" thickBot="1">
      <c r="A71" s="516" t="s">
        <v>77</v>
      </c>
      <c r="B71" s="516"/>
      <c r="C71" s="420">
        <v>0.2</v>
      </c>
      <c r="D71" s="413"/>
      <c r="E71" s="413"/>
      <c r="F71" s="413"/>
      <c r="G71" s="413"/>
      <c r="H71" s="413"/>
      <c r="I71" s="413"/>
      <c r="J71" s="413"/>
      <c r="K71" s="413"/>
      <c r="L71" s="413"/>
      <c r="M71" s="413"/>
      <c r="N71" s="413"/>
      <c r="O71" s="413"/>
      <c r="P71" s="413"/>
      <c r="Q71" s="413"/>
      <c r="R71" s="413"/>
      <c r="S71" s="413"/>
      <c r="T71" s="413"/>
      <c r="U71" s="413"/>
      <c r="V71" s="413"/>
      <c r="W71" s="413"/>
      <c r="X71" s="413"/>
      <c r="Y71" s="413"/>
      <c r="Z71" s="413"/>
    </row>
    <row r="72" spans="1:26" ht="15.75">
      <c r="A72" s="415"/>
      <c r="B72" s="415"/>
      <c r="C72" s="415"/>
      <c r="D72" s="413"/>
      <c r="E72" s="413"/>
      <c r="F72" s="413"/>
      <c r="G72" s="413"/>
      <c r="H72" s="413"/>
      <c r="I72" s="413"/>
      <c r="J72" s="413"/>
      <c r="K72" s="413"/>
      <c r="L72" s="413"/>
      <c r="M72" s="413"/>
      <c r="N72" s="413"/>
      <c r="O72" s="413"/>
      <c r="P72" s="413"/>
      <c r="Q72" s="413"/>
      <c r="R72" s="413"/>
      <c r="S72" s="413"/>
      <c r="T72" s="413"/>
      <c r="U72" s="413"/>
      <c r="V72" s="413"/>
      <c r="W72" s="413"/>
      <c r="X72" s="413"/>
      <c r="Y72" s="413"/>
      <c r="Z72" s="413"/>
    </row>
    <row r="73" spans="1:26" ht="15.75">
      <c r="A73" s="505" t="s">
        <v>78</v>
      </c>
      <c r="B73" s="505"/>
      <c r="C73" s="505"/>
      <c r="D73" s="280"/>
      <c r="E73" s="280"/>
      <c r="F73" s="280"/>
      <c r="G73" s="280"/>
      <c r="H73" s="280"/>
      <c r="I73" s="280"/>
      <c r="J73" s="413"/>
      <c r="K73" s="413"/>
      <c r="L73" s="413"/>
      <c r="M73" s="413"/>
      <c r="N73" s="413"/>
      <c r="O73" s="413"/>
      <c r="P73" s="413"/>
      <c r="Q73" s="413"/>
      <c r="R73" s="413"/>
      <c r="S73" s="413"/>
      <c r="T73" s="413"/>
      <c r="U73" s="413"/>
      <c r="V73" s="413"/>
      <c r="W73" s="413"/>
      <c r="X73" s="413"/>
      <c r="Y73" s="413"/>
      <c r="Z73" s="413"/>
    </row>
    <row r="74" spans="1:26">
      <c r="A74" s="314" t="s">
        <v>79</v>
      </c>
      <c r="B74" s="506">
        <v>0.03</v>
      </c>
      <c r="C74" s="506"/>
      <c r="D74" s="413"/>
      <c r="E74" s="413"/>
      <c r="F74" s="413"/>
      <c r="G74" s="413"/>
      <c r="H74" s="413"/>
      <c r="I74" s="413"/>
      <c r="J74" s="413"/>
      <c r="K74" s="413"/>
      <c r="L74" s="413"/>
      <c r="M74" s="413"/>
      <c r="N74" s="413"/>
      <c r="O74" s="413"/>
      <c r="P74" s="413"/>
      <c r="Q74" s="413"/>
      <c r="R74" s="413"/>
      <c r="S74" s="413"/>
      <c r="T74" s="413"/>
      <c r="U74" s="413"/>
      <c r="V74" s="413"/>
      <c r="W74" s="413"/>
      <c r="X74" s="413"/>
      <c r="Y74" s="413"/>
      <c r="Z74" s="413"/>
    </row>
    <row r="75" spans="1:26">
      <c r="A75" s="416" t="s">
        <v>80</v>
      </c>
      <c r="B75" s="509">
        <v>1</v>
      </c>
      <c r="C75" s="509"/>
      <c r="D75" s="413"/>
      <c r="E75" s="413"/>
      <c r="F75" s="413"/>
      <c r="G75" s="413"/>
      <c r="H75" s="413"/>
      <c r="I75" s="413"/>
      <c r="J75" s="413"/>
      <c r="K75" s="413"/>
      <c r="L75" s="413"/>
      <c r="M75" s="413"/>
      <c r="N75" s="413"/>
      <c r="O75" s="413"/>
      <c r="P75" s="413"/>
      <c r="Q75" s="413"/>
      <c r="R75" s="413"/>
      <c r="S75" s="413"/>
      <c r="T75" s="413"/>
      <c r="U75" s="413"/>
      <c r="V75" s="413"/>
      <c r="W75" s="413"/>
      <c r="X75" s="413"/>
      <c r="Y75" s="413"/>
      <c r="Z75" s="413"/>
    </row>
    <row r="76" spans="1:26" ht="15.75">
      <c r="A76" s="415"/>
      <c r="B76" s="415"/>
      <c r="C76" s="415"/>
      <c r="D76" s="413"/>
      <c r="E76" s="413"/>
      <c r="F76" s="413"/>
      <c r="G76" s="413"/>
      <c r="H76" s="413"/>
      <c r="I76" s="413"/>
      <c r="J76" s="413"/>
      <c r="K76" s="413"/>
      <c r="L76" s="413"/>
      <c r="M76" s="413"/>
      <c r="N76" s="413"/>
      <c r="O76" s="413"/>
      <c r="P76" s="413"/>
      <c r="Q76" s="413"/>
      <c r="R76" s="413"/>
      <c r="S76" s="413"/>
      <c r="T76" s="413"/>
      <c r="U76" s="413"/>
      <c r="V76" s="413"/>
      <c r="W76" s="413"/>
      <c r="X76" s="413"/>
      <c r="Y76" s="413"/>
      <c r="Z76" s="413"/>
    </row>
    <row r="77" spans="1:26" ht="15" customHeight="1">
      <c r="A77" s="517" t="s">
        <v>81</v>
      </c>
      <c r="B77" s="517"/>
      <c r="C77" s="517"/>
      <c r="D77" s="413"/>
      <c r="E77" s="413"/>
      <c r="F77" s="413"/>
      <c r="G77" s="413"/>
      <c r="H77" s="413"/>
      <c r="I77" s="413"/>
      <c r="J77" s="413"/>
      <c r="K77" s="413"/>
      <c r="L77" s="413"/>
      <c r="M77" s="413"/>
      <c r="N77" s="413"/>
      <c r="O77" s="413"/>
      <c r="P77" s="413"/>
      <c r="Q77" s="413"/>
      <c r="R77" s="413"/>
      <c r="S77" s="413"/>
      <c r="T77" s="413"/>
      <c r="U77" s="413"/>
      <c r="V77" s="413"/>
      <c r="W77" s="413"/>
      <c r="X77" s="413"/>
      <c r="Y77" s="413"/>
      <c r="Z77" s="413"/>
    </row>
    <row r="78" spans="1:26">
      <c r="A78" s="512" t="s">
        <v>82</v>
      </c>
      <c r="B78" s="512"/>
      <c r="C78" s="421">
        <v>0.2</v>
      </c>
      <c r="D78" s="279"/>
      <c r="E78" s="279"/>
      <c r="F78" s="279"/>
      <c r="G78" s="279"/>
      <c r="H78" s="413"/>
      <c r="I78" s="413"/>
      <c r="J78" s="413"/>
      <c r="K78" s="413"/>
      <c r="L78" s="413"/>
      <c r="M78" s="413"/>
      <c r="N78" s="413"/>
      <c r="O78" s="413"/>
      <c r="P78" s="413"/>
      <c r="Q78" s="413"/>
      <c r="R78" s="413"/>
      <c r="S78" s="413"/>
      <c r="T78" s="413"/>
      <c r="U78" s="413"/>
      <c r="V78" s="413"/>
      <c r="W78" s="413"/>
      <c r="X78" s="413"/>
      <c r="Y78" s="413"/>
      <c r="Z78" s="413"/>
    </row>
    <row r="79" spans="1:26">
      <c r="A79" s="512" t="s">
        <v>83</v>
      </c>
      <c r="B79" s="512"/>
      <c r="C79" s="421">
        <v>2.5000000000000001E-2</v>
      </c>
      <c r="D79" s="279"/>
      <c r="E79" s="279"/>
      <c r="F79" s="279"/>
      <c r="G79" s="279"/>
      <c r="H79" s="413"/>
      <c r="I79" s="413"/>
      <c r="J79" s="413"/>
      <c r="K79" s="413"/>
      <c r="L79" s="413"/>
      <c r="M79" s="413"/>
      <c r="N79" s="413"/>
      <c r="O79" s="413"/>
      <c r="P79" s="413"/>
      <c r="Q79" s="413"/>
      <c r="R79" s="413"/>
      <c r="S79" s="413"/>
      <c r="T79" s="413"/>
      <c r="U79" s="413"/>
      <c r="V79" s="413"/>
      <c r="W79" s="413"/>
      <c r="X79" s="413"/>
      <c r="Y79" s="413"/>
      <c r="Z79" s="413"/>
    </row>
    <row r="80" spans="1:26">
      <c r="A80" s="515" t="s">
        <v>84</v>
      </c>
      <c r="B80" s="515"/>
      <c r="C80" s="422">
        <f>B74*B75</f>
        <v>0.03</v>
      </c>
      <c r="D80" s="283"/>
      <c r="E80" s="284"/>
      <c r="F80" s="283"/>
      <c r="G80" s="285"/>
      <c r="H80" s="413"/>
      <c r="I80" s="413"/>
      <c r="J80" s="413"/>
      <c r="K80" s="413"/>
      <c r="L80" s="413"/>
      <c r="M80" s="413"/>
      <c r="N80" s="413"/>
      <c r="O80" s="413"/>
      <c r="P80" s="413"/>
      <c r="Q80" s="413"/>
      <c r="R80" s="413"/>
      <c r="S80" s="413"/>
      <c r="T80" s="413"/>
      <c r="U80" s="413"/>
      <c r="V80" s="413"/>
      <c r="W80" s="413"/>
      <c r="X80" s="413"/>
      <c r="Y80" s="413"/>
      <c r="Z80" s="413"/>
    </row>
    <row r="81" spans="1:26">
      <c r="A81" s="512" t="s">
        <v>85</v>
      </c>
      <c r="B81" s="512"/>
      <c r="C81" s="421">
        <v>1.4999999999999999E-2</v>
      </c>
      <c r="D81" s="279"/>
      <c r="E81" s="279"/>
      <c r="F81" s="279"/>
      <c r="G81" s="279"/>
      <c r="H81" s="413"/>
      <c r="I81" s="413"/>
      <c r="J81" s="413"/>
      <c r="K81" s="413"/>
      <c r="L81" s="413"/>
      <c r="M81" s="413"/>
      <c r="N81" s="413"/>
      <c r="O81" s="413"/>
      <c r="P81" s="413"/>
      <c r="Q81" s="413"/>
      <c r="R81" s="413"/>
      <c r="S81" s="413"/>
      <c r="T81" s="413"/>
      <c r="U81" s="413"/>
      <c r="V81" s="413"/>
      <c r="W81" s="413"/>
      <c r="X81" s="413"/>
      <c r="Y81" s="413"/>
      <c r="Z81" s="413"/>
    </row>
    <row r="82" spans="1:26">
      <c r="A82" s="512" t="s">
        <v>86</v>
      </c>
      <c r="B82" s="512"/>
      <c r="C82" s="421">
        <v>0.01</v>
      </c>
      <c r="D82" s="279"/>
      <c r="E82" s="279"/>
      <c r="F82" s="279"/>
      <c r="G82" s="279"/>
      <c r="H82" s="413"/>
      <c r="I82" s="413"/>
      <c r="J82" s="413"/>
      <c r="K82" s="413"/>
      <c r="L82" s="413"/>
      <c r="M82" s="413"/>
      <c r="N82" s="413"/>
      <c r="O82" s="413"/>
      <c r="P82" s="413"/>
      <c r="Q82" s="413"/>
      <c r="R82" s="413"/>
      <c r="S82" s="413"/>
      <c r="T82" s="413"/>
      <c r="U82" s="413"/>
      <c r="V82" s="413"/>
      <c r="W82" s="413"/>
      <c r="X82" s="413"/>
      <c r="Y82" s="413"/>
      <c r="Z82" s="413"/>
    </row>
    <row r="83" spans="1:26">
      <c r="A83" s="512" t="s">
        <v>87</v>
      </c>
      <c r="B83" s="512"/>
      <c r="C83" s="421">
        <v>6.0000000000000001E-3</v>
      </c>
      <c r="D83" s="279"/>
      <c r="E83" s="279"/>
      <c r="F83" s="279"/>
      <c r="G83" s="279"/>
      <c r="H83" s="413"/>
      <c r="I83" s="413"/>
      <c r="J83" s="413"/>
      <c r="K83" s="413"/>
      <c r="L83" s="413"/>
      <c r="M83" s="413"/>
      <c r="N83" s="413"/>
      <c r="O83" s="413"/>
      <c r="P83" s="413"/>
      <c r="Q83" s="413"/>
      <c r="R83" s="413"/>
      <c r="S83" s="413"/>
      <c r="T83" s="413"/>
      <c r="U83" s="413"/>
      <c r="V83" s="413"/>
      <c r="W83" s="413"/>
      <c r="X83" s="413"/>
      <c r="Y83" s="413"/>
      <c r="Z83" s="413"/>
    </row>
    <row r="84" spans="1:26">
      <c r="A84" s="512" t="s">
        <v>88</v>
      </c>
      <c r="B84" s="512"/>
      <c r="C84" s="421">
        <v>2E-3</v>
      </c>
      <c r="D84" s="279"/>
      <c r="E84" s="279"/>
      <c r="F84" s="279"/>
      <c r="G84" s="279"/>
      <c r="H84" s="413"/>
      <c r="I84" s="413"/>
      <c r="J84" s="413"/>
      <c r="K84" s="413"/>
      <c r="L84" s="413"/>
      <c r="M84" s="413"/>
      <c r="N84" s="413"/>
      <c r="O84" s="413"/>
      <c r="P84" s="413"/>
      <c r="Q84" s="413"/>
      <c r="R84" s="413"/>
      <c r="S84" s="413"/>
      <c r="T84" s="413"/>
      <c r="U84" s="413"/>
      <c r="V84" s="413"/>
      <c r="W84" s="413"/>
      <c r="X84" s="413"/>
      <c r="Y84" s="413"/>
      <c r="Z84" s="413"/>
    </row>
    <row r="85" spans="1:26">
      <c r="A85" s="513" t="s">
        <v>89</v>
      </c>
      <c r="B85" s="513"/>
      <c r="C85" s="423">
        <v>0.08</v>
      </c>
      <c r="D85" s="279"/>
      <c r="E85" s="279"/>
      <c r="F85" s="279"/>
      <c r="G85" s="279"/>
    </row>
    <row r="86" spans="1:26" ht="12.75" customHeight="1"/>
    <row r="87" spans="1:26" ht="12.75" customHeight="1">
      <c r="A87" s="505" t="s">
        <v>90</v>
      </c>
      <c r="B87" s="505"/>
      <c r="C87" s="505"/>
    </row>
    <row r="88" spans="1:26" ht="12.75" customHeight="1">
      <c r="A88" s="314" t="s">
        <v>91</v>
      </c>
      <c r="B88" s="511">
        <v>3.5</v>
      </c>
      <c r="C88" s="511"/>
    </row>
    <row r="89" spans="1:26" ht="12.75" customHeight="1">
      <c r="A89" s="314" t="s">
        <v>92</v>
      </c>
      <c r="B89" s="514">
        <v>2</v>
      </c>
      <c r="C89" s="514"/>
    </row>
    <row r="90" spans="1:26" ht="12.75" customHeight="1">
      <c r="A90" s="314" t="s">
        <v>93</v>
      </c>
      <c r="B90" s="514">
        <v>24</v>
      </c>
      <c r="C90" s="514"/>
    </row>
    <row r="91" spans="1:26" ht="12.75" customHeight="1">
      <c r="A91" s="416" t="s">
        <v>94</v>
      </c>
      <c r="B91" s="510">
        <v>0.06</v>
      </c>
      <c r="C91" s="510"/>
    </row>
    <row r="92" spans="1:26" ht="12.75" customHeight="1"/>
    <row r="93" spans="1:26" ht="12.75" customHeight="1">
      <c r="A93" s="505" t="s">
        <v>95</v>
      </c>
      <c r="B93" s="505"/>
      <c r="C93" s="505"/>
    </row>
    <row r="94" spans="1:26" ht="12.75" customHeight="1">
      <c r="A94" s="314" t="s">
        <v>96</v>
      </c>
      <c r="B94" s="511" t="str">
        <f>B56</f>
        <v xml:space="preserve">CCT Sindasseio 2022/2022 - Registro no MTE: RS005021/2022 </v>
      </c>
      <c r="C94" s="511"/>
    </row>
    <row r="95" spans="1:26" ht="12.75" customHeight="1">
      <c r="A95" s="314" t="s">
        <v>97</v>
      </c>
      <c r="B95" s="511">
        <v>20.18</v>
      </c>
      <c r="C95" s="511"/>
    </row>
    <row r="96" spans="1:26" ht="12.75" customHeight="1">
      <c r="A96" s="314" t="s">
        <v>98</v>
      </c>
      <c r="B96" s="506">
        <v>0.19</v>
      </c>
      <c r="C96" s="506"/>
    </row>
    <row r="97" spans="1:3" ht="12.75" customHeight="1">
      <c r="A97" s="416" t="s">
        <v>93</v>
      </c>
      <c r="B97" s="509">
        <v>24</v>
      </c>
      <c r="C97" s="509"/>
    </row>
    <row r="98" spans="1:3" ht="12.75" customHeight="1"/>
    <row r="99" spans="1:3" ht="12.75" customHeight="1">
      <c r="A99" s="505" t="s">
        <v>99</v>
      </c>
      <c r="B99" s="505"/>
      <c r="C99" s="505"/>
    </row>
    <row r="100" spans="1:3" ht="12.75" customHeight="1" thickBot="1">
      <c r="A100" s="416" t="s">
        <v>96</v>
      </c>
      <c r="B100" s="495" t="s">
        <v>733</v>
      </c>
      <c r="C100" s="424">
        <v>17.32</v>
      </c>
    </row>
    <row r="101" spans="1:3" ht="12.75" customHeight="1" thickBot="1"/>
    <row r="102" spans="1:3" ht="15.75">
      <c r="A102" s="505" t="s">
        <v>100</v>
      </c>
      <c r="B102" s="505"/>
      <c r="C102" s="505"/>
    </row>
    <row r="103" spans="1:3">
      <c r="A103" s="314" t="s">
        <v>101</v>
      </c>
      <c r="B103" s="506">
        <v>0.06</v>
      </c>
      <c r="C103" s="506"/>
    </row>
    <row r="104" spans="1:3">
      <c r="A104" s="314" t="s">
        <v>102</v>
      </c>
      <c r="B104" s="506">
        <v>6.7900000000000002E-2</v>
      </c>
      <c r="C104" s="506"/>
    </row>
    <row r="105" spans="1:3">
      <c r="A105" s="416" t="s">
        <v>103</v>
      </c>
      <c r="B105" s="504">
        <v>0.03</v>
      </c>
      <c r="C105" s="504"/>
    </row>
    <row r="106" spans="1:3" ht="12.75" customHeight="1"/>
    <row r="107" spans="1:3" ht="15.75">
      <c r="A107" s="505" t="s">
        <v>702</v>
      </c>
      <c r="B107" s="505"/>
      <c r="C107" s="505"/>
    </row>
    <row r="108" spans="1:3">
      <c r="A108" s="314" t="s">
        <v>104</v>
      </c>
      <c r="B108" s="506">
        <v>0.02</v>
      </c>
      <c r="C108" s="506"/>
    </row>
    <row r="109" spans="1:3">
      <c r="A109" s="416" t="s">
        <v>105</v>
      </c>
      <c r="B109" s="504">
        <v>0.03</v>
      </c>
      <c r="C109" s="504"/>
    </row>
    <row r="110" spans="1:3" ht="12.75" customHeight="1" thickBot="1"/>
    <row r="111" spans="1:3" ht="12.75" customHeight="1">
      <c r="A111" s="520" t="s">
        <v>703</v>
      </c>
      <c r="B111" s="520"/>
      <c r="C111" s="520"/>
    </row>
    <row r="112" spans="1:3" ht="12.75" customHeight="1">
      <c r="A112" s="425" t="s">
        <v>104</v>
      </c>
      <c r="B112" s="506">
        <v>0</v>
      </c>
      <c r="C112" s="506"/>
    </row>
    <row r="113" spans="1:3" ht="12.75" customHeight="1" thickBot="1">
      <c r="A113" s="426" t="s">
        <v>105</v>
      </c>
      <c r="B113" s="504">
        <v>0</v>
      </c>
      <c r="C113" s="504"/>
    </row>
    <row r="114" spans="1:3" ht="12.75" customHeight="1"/>
    <row r="115" spans="1:3" ht="12.75" customHeight="1"/>
    <row r="116" spans="1:3" ht="12.75" customHeight="1"/>
    <row r="117" spans="1:3" ht="12.75" customHeight="1"/>
    <row r="118" spans="1:3" ht="12.75" customHeight="1"/>
    <row r="119" spans="1:3" ht="12.75" customHeight="1"/>
    <row r="120" spans="1:3" ht="12.75" customHeight="1"/>
    <row r="121" spans="1:3" ht="12.75" customHeight="1"/>
    <row r="122" spans="1:3" ht="12.75" customHeight="1"/>
    <row r="123" spans="1:3" ht="12.75" customHeight="1"/>
    <row r="124" spans="1:3" ht="12.75" customHeight="1"/>
    <row r="125" spans="1:3" ht="12.75" customHeight="1"/>
    <row r="126" spans="1:3" ht="12.75" customHeight="1"/>
    <row r="127" spans="1:3" ht="12.75" customHeight="1"/>
    <row r="128" spans="1:3"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row r="1009" ht="12.75" customHeight="1"/>
    <row r="1010" ht="12.75" customHeight="1"/>
    <row r="1011" ht="12.75" customHeight="1"/>
    <row r="1012" ht="12.75" customHeight="1"/>
    <row r="1013" ht="12.75" customHeight="1"/>
    <row r="1014" ht="12.75" customHeight="1"/>
    <row r="1015" ht="12.75" customHeight="1"/>
    <row r="1016" ht="12.75" customHeight="1"/>
    <row r="1017" ht="12.75" customHeight="1"/>
    <row r="1018" ht="12.75" customHeight="1"/>
    <row r="1019" ht="12.75" customHeight="1"/>
    <row r="1020" ht="12.75" customHeight="1"/>
    <row r="1021" ht="12.75" customHeight="1"/>
    <row r="1022" ht="12.75" customHeight="1"/>
    <row r="1023" ht="12.75" customHeight="1"/>
    <row r="1024" ht="12.75" customHeight="1"/>
    <row r="1025" ht="12.75" customHeight="1"/>
    <row r="1026" ht="12.75" customHeight="1"/>
    <row r="1027" ht="12.75" customHeight="1"/>
    <row r="1028" ht="12.75" customHeight="1"/>
    <row r="1029" ht="12.75" customHeight="1"/>
    <row r="1030" ht="12.75" customHeight="1"/>
    <row r="1031" ht="12.75" customHeight="1"/>
    <row r="1032" ht="12.75" customHeight="1"/>
    <row r="1033" ht="12.75" customHeight="1"/>
    <row r="1034" ht="12.75" customHeight="1"/>
    <row r="1035" ht="12.75" customHeight="1"/>
    <row r="1036" ht="12.75" customHeight="1"/>
    <row r="1037" ht="12.75" customHeight="1"/>
    <row r="1038" ht="12.75" customHeight="1"/>
    <row r="1039" ht="12.75" customHeight="1"/>
    <row r="1040" ht="12.75" customHeight="1"/>
  </sheetData>
  <sheetProtection selectLockedCells="1"/>
  <mergeCells count="72">
    <mergeCell ref="A111:C111"/>
    <mergeCell ref="B112:C112"/>
    <mergeCell ref="B113:C113"/>
    <mergeCell ref="A1:C1"/>
    <mergeCell ref="A2:C2"/>
    <mergeCell ref="A3:C3"/>
    <mergeCell ref="A4:C4"/>
    <mergeCell ref="A5:C5"/>
    <mergeCell ref="A47:C47"/>
    <mergeCell ref="A49:C49"/>
    <mergeCell ref="A50:C50"/>
    <mergeCell ref="B51:C51"/>
    <mergeCell ref="A53:C53"/>
    <mergeCell ref="B54:C54"/>
    <mergeCell ref="B55:C55"/>
    <mergeCell ref="B57:C57"/>
    <mergeCell ref="A59:C59"/>
    <mergeCell ref="B60:C60"/>
    <mergeCell ref="A61:B61"/>
    <mergeCell ref="A63:B63"/>
    <mergeCell ref="A64:B64"/>
    <mergeCell ref="A65:B65"/>
    <mergeCell ref="A67:C67"/>
    <mergeCell ref="A68:B68"/>
    <mergeCell ref="A70:B70"/>
    <mergeCell ref="A71:B71"/>
    <mergeCell ref="A73:C73"/>
    <mergeCell ref="B74:C74"/>
    <mergeCell ref="B75:C75"/>
    <mergeCell ref="A77:C77"/>
    <mergeCell ref="A78:B78"/>
    <mergeCell ref="A79:B79"/>
    <mergeCell ref="A80:B80"/>
    <mergeCell ref="A81:B81"/>
    <mergeCell ref="A82:B82"/>
    <mergeCell ref="A83:B83"/>
    <mergeCell ref="A84:B84"/>
    <mergeCell ref="B95:C95"/>
    <mergeCell ref="B96:C96"/>
    <mergeCell ref="A85:B85"/>
    <mergeCell ref="A87:C87"/>
    <mergeCell ref="B88:C88"/>
    <mergeCell ref="B89:C89"/>
    <mergeCell ref="B90:C90"/>
    <mergeCell ref="B105:C105"/>
    <mergeCell ref="A107:C107"/>
    <mergeCell ref="B108:C108"/>
    <mergeCell ref="B109:C109"/>
    <mergeCell ref="A22:A30"/>
    <mergeCell ref="A31:A38"/>
    <mergeCell ref="A39:A41"/>
    <mergeCell ref="A42:A44"/>
    <mergeCell ref="B97:C97"/>
    <mergeCell ref="A99:C99"/>
    <mergeCell ref="A102:C102"/>
    <mergeCell ref="B103:C103"/>
    <mergeCell ref="B104:C104"/>
    <mergeCell ref="B91:C91"/>
    <mergeCell ref="A93:C93"/>
    <mergeCell ref="B94:C94"/>
    <mergeCell ref="B7:C10"/>
    <mergeCell ref="B16:C16"/>
    <mergeCell ref="B17:C17"/>
    <mergeCell ref="B18:C18"/>
    <mergeCell ref="B19:C19"/>
    <mergeCell ref="B56:C56"/>
    <mergeCell ref="A20:C20"/>
    <mergeCell ref="B11:C11"/>
    <mergeCell ref="B12:C12"/>
    <mergeCell ref="B13:C13"/>
    <mergeCell ref="B14:C14"/>
    <mergeCell ref="B15:C15"/>
  </mergeCells>
  <printOptions horizontalCentered="1"/>
  <pageMargins left="0" right="0" top="0.39370078740157483" bottom="0" header="0" footer="0.51181102362204722"/>
  <pageSetup paperSize="9" scale="65" pageOrder="overThenDown" orientation="portrait" useFirstPageNumber="1" horizontalDpi="300" verticalDpi="300" r:id="rId1"/>
  <headerFooter>
    <oddHeader>&amp;R&amp;P de &amp;N</oddHeader>
    <oddFooter>&amp;L&amp;F - &amp;A&amp;CPágina &amp;P de &amp;N</oddFooter>
  </headerFooter>
  <rowBreaks count="1" manualBreakCount="1">
    <brk id="75"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AMK995"/>
  <sheetViews>
    <sheetView showGridLines="0" topLeftCell="A48" zoomScaleNormal="100" workbookViewId="0">
      <selection activeCell="B19" sqref="B19:C19"/>
    </sheetView>
  </sheetViews>
  <sheetFormatPr defaultColWidth="9" defaultRowHeight="14.25"/>
  <cols>
    <col min="1" max="1" width="49.42578125" style="330" customWidth="1"/>
    <col min="2" max="2" width="10.140625" style="328" customWidth="1"/>
    <col min="3" max="3" width="13.5703125" style="328" customWidth="1"/>
    <col min="4" max="4" width="12.42578125" style="328" customWidth="1"/>
    <col min="5" max="5" width="14.7109375" style="328" customWidth="1"/>
    <col min="6" max="6" width="14.140625" style="328" customWidth="1"/>
    <col min="7" max="7" width="14" style="328" customWidth="1"/>
    <col min="8" max="8" width="13.42578125" style="328" customWidth="1"/>
    <col min="9" max="11" width="9" style="328" customWidth="1"/>
    <col min="12" max="26" width="8" style="328" customWidth="1"/>
    <col min="27" max="1025" width="14.42578125" style="328" customWidth="1"/>
    <col min="1026" max="16384" width="9" style="329"/>
  </cols>
  <sheetData>
    <row r="1" spans="1:26" ht="18.75" customHeight="1">
      <c r="A1" s="554" t="s">
        <v>0</v>
      </c>
      <c r="B1" s="555"/>
      <c r="C1" s="555"/>
      <c r="D1" s="555"/>
      <c r="E1" s="555"/>
      <c r="F1" s="555"/>
      <c r="G1" s="555"/>
      <c r="H1" s="556"/>
      <c r="I1" s="327"/>
      <c r="J1" s="327"/>
      <c r="K1" s="327"/>
      <c r="L1" s="327"/>
      <c r="M1" s="327"/>
      <c r="N1" s="327"/>
      <c r="O1" s="327"/>
      <c r="P1" s="327"/>
      <c r="Q1" s="327"/>
      <c r="R1" s="327"/>
      <c r="S1" s="327"/>
      <c r="T1" s="327"/>
      <c r="U1" s="327"/>
      <c r="V1" s="327"/>
      <c r="W1" s="327"/>
      <c r="X1" s="327"/>
      <c r="Y1" s="327"/>
      <c r="Z1" s="327"/>
    </row>
    <row r="2" spans="1:26" ht="18.75" customHeight="1">
      <c r="A2" s="557" t="s">
        <v>1</v>
      </c>
      <c r="B2" s="558"/>
      <c r="C2" s="558"/>
      <c r="D2" s="558"/>
      <c r="E2" s="558"/>
      <c r="F2" s="558"/>
      <c r="G2" s="558"/>
      <c r="H2" s="559"/>
      <c r="I2" s="327"/>
      <c r="J2" s="327"/>
      <c r="K2" s="327"/>
      <c r="L2" s="327"/>
      <c r="M2" s="327"/>
      <c r="N2" s="327"/>
      <c r="O2" s="327"/>
      <c r="P2" s="327"/>
      <c r="Q2" s="327"/>
      <c r="R2" s="327"/>
      <c r="S2" s="327"/>
      <c r="T2" s="327"/>
      <c r="U2" s="327"/>
      <c r="V2" s="327"/>
      <c r="W2" s="327"/>
      <c r="X2" s="327"/>
      <c r="Y2" s="327"/>
      <c r="Z2" s="327"/>
    </row>
    <row r="3" spans="1:26" ht="18.75" customHeight="1">
      <c r="A3" s="557" t="s">
        <v>2</v>
      </c>
      <c r="B3" s="558"/>
      <c r="C3" s="558"/>
      <c r="D3" s="558"/>
      <c r="E3" s="558"/>
      <c r="F3" s="558"/>
      <c r="G3" s="558"/>
      <c r="H3" s="559"/>
      <c r="I3" s="327"/>
      <c r="J3" s="327"/>
      <c r="K3" s="327"/>
      <c r="L3" s="327"/>
      <c r="M3" s="327"/>
      <c r="N3" s="327"/>
      <c r="O3" s="327"/>
      <c r="P3" s="327"/>
      <c r="Q3" s="327"/>
      <c r="R3" s="327"/>
      <c r="S3" s="327"/>
      <c r="T3" s="327"/>
      <c r="U3" s="327"/>
      <c r="V3" s="327"/>
      <c r="W3" s="327"/>
      <c r="X3" s="327"/>
      <c r="Y3" s="327"/>
      <c r="Z3" s="327"/>
    </row>
    <row r="4" spans="1:26" ht="18.75" customHeight="1">
      <c r="A4" s="560" t="str">
        <f>'1. ABA DE CARREGAMENTO'!A4</f>
        <v>CAMPUS ALEGRETE</v>
      </c>
      <c r="B4" s="561"/>
      <c r="C4" s="561"/>
      <c r="D4" s="561"/>
      <c r="E4" s="561"/>
      <c r="F4" s="561"/>
      <c r="G4" s="561"/>
      <c r="H4" s="562"/>
      <c r="I4" s="327"/>
      <c r="J4" s="327"/>
      <c r="K4" s="327"/>
      <c r="L4" s="327"/>
      <c r="M4" s="327"/>
      <c r="N4" s="327"/>
      <c r="O4" s="327"/>
      <c r="P4" s="327"/>
      <c r="Q4" s="327"/>
      <c r="R4" s="327"/>
      <c r="S4" s="327"/>
      <c r="T4" s="327"/>
      <c r="U4" s="327"/>
      <c r="V4" s="327"/>
      <c r="W4" s="327"/>
      <c r="X4" s="327"/>
      <c r="Y4" s="327"/>
      <c r="Z4" s="327"/>
    </row>
    <row r="5" spans="1:26" ht="18.75" customHeight="1">
      <c r="A5" s="563" t="s">
        <v>106</v>
      </c>
      <c r="B5" s="564"/>
      <c r="C5" s="564"/>
      <c r="D5" s="564"/>
      <c r="E5" s="564"/>
      <c r="F5" s="564"/>
      <c r="G5" s="564"/>
      <c r="H5" s="565"/>
      <c r="I5" s="327"/>
      <c r="J5" s="327"/>
      <c r="K5" s="327"/>
      <c r="L5" s="327"/>
      <c r="M5" s="327"/>
      <c r="N5" s="327"/>
      <c r="O5" s="327"/>
      <c r="P5" s="327"/>
      <c r="Q5" s="327"/>
      <c r="R5" s="327"/>
      <c r="S5" s="327"/>
      <c r="T5" s="327"/>
      <c r="U5" s="327"/>
      <c r="V5" s="327"/>
      <c r="W5" s="327"/>
      <c r="X5" s="327"/>
      <c r="Y5" s="327"/>
      <c r="Z5" s="327"/>
    </row>
    <row r="6" spans="1:26" ht="14.25" customHeight="1">
      <c r="G6" s="327"/>
      <c r="H6" s="327"/>
      <c r="I6" s="327"/>
      <c r="J6" s="327"/>
      <c r="K6" s="327"/>
      <c r="L6" s="327"/>
      <c r="M6" s="327"/>
      <c r="N6" s="327"/>
      <c r="O6" s="327"/>
      <c r="P6" s="327"/>
      <c r="Q6" s="327"/>
      <c r="R6" s="327"/>
      <c r="S6" s="327"/>
      <c r="T6" s="327"/>
      <c r="U6" s="327"/>
      <c r="V6" s="327"/>
      <c r="W6" s="327"/>
      <c r="X6" s="327"/>
      <c r="Y6" s="327"/>
      <c r="Z6" s="327"/>
    </row>
    <row r="7" spans="1:26" ht="25.5" customHeight="1">
      <c r="A7" s="331" t="s">
        <v>107</v>
      </c>
      <c r="B7" s="332" t="s">
        <v>108</v>
      </c>
      <c r="C7" s="332" t="s">
        <v>109</v>
      </c>
      <c r="D7" s="332" t="s">
        <v>110</v>
      </c>
      <c r="E7" s="333" t="s">
        <v>111</v>
      </c>
      <c r="F7" s="333" t="s">
        <v>112</v>
      </c>
      <c r="G7" s="327"/>
      <c r="H7" s="327"/>
      <c r="I7" s="327"/>
      <c r="J7" s="327"/>
      <c r="K7" s="327"/>
      <c r="L7" s="327"/>
      <c r="M7" s="327"/>
      <c r="N7" s="327"/>
      <c r="O7" s="327"/>
      <c r="P7" s="327"/>
      <c r="Q7" s="327"/>
      <c r="R7" s="327"/>
      <c r="S7" s="327"/>
      <c r="T7" s="327"/>
      <c r="U7" s="327"/>
      <c r="V7" s="327"/>
      <c r="W7" s="327"/>
      <c r="X7" s="327"/>
      <c r="Y7" s="327"/>
      <c r="Z7" s="327"/>
    </row>
    <row r="8" spans="1:26" s="338" customFormat="1" ht="28.5">
      <c r="A8" s="334" t="s">
        <v>113</v>
      </c>
      <c r="B8" s="286" t="s">
        <v>114</v>
      </c>
      <c r="C8" s="335">
        <v>40</v>
      </c>
      <c r="D8" s="335">
        <f t="shared" ref="D8:D24" si="0">C8*12</f>
        <v>480</v>
      </c>
      <c r="E8" s="312">
        <v>20.94</v>
      </c>
      <c r="F8" s="336">
        <f t="shared" ref="F8:F24" si="1">D8*E8</f>
        <v>10051.200000000001</v>
      </c>
      <c r="G8" s="337"/>
      <c r="H8" s="337"/>
      <c r="I8" s="337"/>
      <c r="J8" s="337"/>
      <c r="K8" s="337"/>
      <c r="L8" s="337"/>
      <c r="M8" s="337"/>
      <c r="N8" s="337"/>
      <c r="O8" s="337"/>
      <c r="P8" s="337"/>
      <c r="Q8" s="337"/>
      <c r="R8" s="337"/>
      <c r="S8" s="337"/>
      <c r="T8" s="337"/>
      <c r="U8" s="337"/>
      <c r="V8" s="337"/>
      <c r="W8" s="337"/>
      <c r="X8" s="337"/>
      <c r="Y8" s="337"/>
      <c r="Z8" s="337"/>
    </row>
    <row r="9" spans="1:26" s="338" customFormat="1" ht="114">
      <c r="A9" s="334" t="s">
        <v>115</v>
      </c>
      <c r="B9" s="286" t="s">
        <v>114</v>
      </c>
      <c r="C9" s="339">
        <v>20</v>
      </c>
      <c r="D9" s="335">
        <f t="shared" si="0"/>
        <v>240</v>
      </c>
      <c r="E9" s="312">
        <v>9.07</v>
      </c>
      <c r="F9" s="336">
        <f t="shared" si="1"/>
        <v>2176.8000000000002</v>
      </c>
      <c r="G9" s="340"/>
      <c r="H9" s="337"/>
      <c r="I9" s="337"/>
      <c r="J9" s="337"/>
      <c r="K9" s="337"/>
      <c r="L9" s="337"/>
      <c r="M9" s="337"/>
      <c r="N9" s="337"/>
      <c r="O9" s="337"/>
      <c r="P9" s="337"/>
      <c r="Q9" s="337"/>
      <c r="R9" s="337"/>
      <c r="S9" s="337"/>
      <c r="T9" s="337"/>
      <c r="U9" s="337"/>
      <c r="V9" s="337"/>
      <c r="W9" s="337"/>
      <c r="X9" s="337"/>
      <c r="Y9" s="337"/>
      <c r="Z9" s="337"/>
    </row>
    <row r="10" spans="1:26" s="338" customFormat="1" ht="71.25">
      <c r="A10" s="334" t="s">
        <v>116</v>
      </c>
      <c r="B10" s="286" t="s">
        <v>114</v>
      </c>
      <c r="C10" s="339">
        <v>30</v>
      </c>
      <c r="D10" s="335">
        <f t="shared" si="0"/>
        <v>360</v>
      </c>
      <c r="E10" s="312">
        <v>12.84</v>
      </c>
      <c r="F10" s="336">
        <f t="shared" si="1"/>
        <v>4622.3999999999996</v>
      </c>
      <c r="G10" s="340"/>
      <c r="H10" s="337"/>
      <c r="I10" s="337"/>
      <c r="J10" s="337"/>
      <c r="K10" s="337"/>
      <c r="L10" s="337"/>
      <c r="M10" s="337"/>
      <c r="N10" s="337"/>
      <c r="O10" s="337"/>
      <c r="P10" s="337"/>
      <c r="Q10" s="337"/>
      <c r="R10" s="337"/>
      <c r="S10" s="337"/>
      <c r="T10" s="337"/>
      <c r="U10" s="337"/>
      <c r="V10" s="337"/>
      <c r="W10" s="337"/>
      <c r="X10" s="337"/>
      <c r="Y10" s="337"/>
      <c r="Z10" s="337"/>
    </row>
    <row r="11" spans="1:26" s="338" customFormat="1" ht="85.5">
      <c r="A11" s="334" t="s">
        <v>117</v>
      </c>
      <c r="B11" s="286" t="s">
        <v>114</v>
      </c>
      <c r="C11" s="339">
        <v>10</v>
      </c>
      <c r="D11" s="335">
        <f t="shared" si="0"/>
        <v>120</v>
      </c>
      <c r="E11" s="312">
        <v>13.09</v>
      </c>
      <c r="F11" s="336">
        <f t="shared" si="1"/>
        <v>1570.8</v>
      </c>
      <c r="G11" s="340"/>
      <c r="H11" s="337"/>
      <c r="I11" s="337"/>
      <c r="J11" s="337"/>
      <c r="K11" s="337"/>
      <c r="L11" s="337"/>
      <c r="M11" s="337"/>
      <c r="N11" s="337"/>
      <c r="O11" s="337"/>
      <c r="P11" s="337"/>
      <c r="Q11" s="337"/>
      <c r="R11" s="337"/>
      <c r="S11" s="337"/>
      <c r="T11" s="337"/>
      <c r="U11" s="337"/>
      <c r="V11" s="337"/>
      <c r="W11" s="337"/>
      <c r="X11" s="337"/>
      <c r="Y11" s="337"/>
      <c r="Z11" s="337"/>
    </row>
    <row r="12" spans="1:26" s="338" customFormat="1" ht="71.25">
      <c r="A12" s="334" t="s">
        <v>118</v>
      </c>
      <c r="B12" s="286" t="s">
        <v>119</v>
      </c>
      <c r="C12" s="335">
        <v>30</v>
      </c>
      <c r="D12" s="335">
        <f t="shared" si="0"/>
        <v>360</v>
      </c>
      <c r="E12" s="312">
        <v>6.8</v>
      </c>
      <c r="F12" s="336">
        <f t="shared" si="1"/>
        <v>2448</v>
      </c>
      <c r="G12" s="340"/>
      <c r="H12" s="341"/>
      <c r="I12" s="337"/>
      <c r="J12" s="337"/>
      <c r="K12" s="337"/>
      <c r="L12" s="337"/>
      <c r="M12" s="337"/>
      <c r="N12" s="337"/>
      <c r="O12" s="337"/>
      <c r="P12" s="337"/>
      <c r="Q12" s="337"/>
      <c r="R12" s="337"/>
      <c r="S12" s="337"/>
      <c r="T12" s="337"/>
      <c r="U12" s="337"/>
      <c r="V12" s="337"/>
      <c r="W12" s="337"/>
      <c r="X12" s="337"/>
      <c r="Y12" s="337"/>
      <c r="Z12" s="337"/>
    </row>
    <row r="13" spans="1:26" s="338" customFormat="1" ht="71.25">
      <c r="A13" s="334" t="s">
        <v>120</v>
      </c>
      <c r="B13" s="286" t="s">
        <v>119</v>
      </c>
      <c r="C13" s="335">
        <v>20</v>
      </c>
      <c r="D13" s="335">
        <f t="shared" si="0"/>
        <v>240</v>
      </c>
      <c r="E13" s="312">
        <v>13.76</v>
      </c>
      <c r="F13" s="336">
        <f t="shared" si="1"/>
        <v>3302.4</v>
      </c>
      <c r="G13" s="340"/>
      <c r="H13" s="341"/>
      <c r="I13" s="337"/>
      <c r="J13" s="337"/>
      <c r="K13" s="337"/>
      <c r="L13" s="337"/>
      <c r="M13" s="337"/>
      <c r="N13" s="337"/>
      <c r="O13" s="337"/>
      <c r="P13" s="337"/>
      <c r="Q13" s="337"/>
      <c r="R13" s="337"/>
      <c r="S13" s="337"/>
      <c r="T13" s="337"/>
      <c r="U13" s="337"/>
      <c r="V13" s="337"/>
      <c r="W13" s="337"/>
      <c r="X13" s="337"/>
      <c r="Y13" s="337"/>
      <c r="Z13" s="337"/>
    </row>
    <row r="14" spans="1:26" s="338" customFormat="1" ht="117" customHeight="1">
      <c r="A14" s="334" t="s">
        <v>121</v>
      </c>
      <c r="B14" s="286" t="s">
        <v>122</v>
      </c>
      <c r="C14" s="335">
        <v>30</v>
      </c>
      <c r="D14" s="335">
        <f t="shared" si="0"/>
        <v>360</v>
      </c>
      <c r="E14" s="312">
        <v>6.03</v>
      </c>
      <c r="F14" s="336">
        <f t="shared" si="1"/>
        <v>2170.8000000000002</v>
      </c>
      <c r="G14" s="340"/>
      <c r="H14" s="341"/>
      <c r="I14" s="337"/>
      <c r="J14" s="337"/>
      <c r="K14" s="337"/>
      <c r="L14" s="337"/>
      <c r="M14" s="337"/>
      <c r="N14" s="337"/>
      <c r="O14" s="337"/>
      <c r="P14" s="337"/>
      <c r="Q14" s="337"/>
      <c r="R14" s="337"/>
      <c r="S14" s="337"/>
      <c r="T14" s="337"/>
      <c r="U14" s="337"/>
      <c r="V14" s="337"/>
      <c r="W14" s="337"/>
      <c r="X14" s="337"/>
      <c r="Y14" s="337"/>
      <c r="Z14" s="337"/>
    </row>
    <row r="15" spans="1:26" s="338" customFormat="1" ht="63.75" customHeight="1">
      <c r="A15" s="334" t="s">
        <v>123</v>
      </c>
      <c r="B15" s="286" t="s">
        <v>124</v>
      </c>
      <c r="C15" s="335">
        <v>15</v>
      </c>
      <c r="D15" s="335">
        <f t="shared" si="0"/>
        <v>180</v>
      </c>
      <c r="E15" s="312">
        <v>12.62</v>
      </c>
      <c r="F15" s="336">
        <f t="shared" si="1"/>
        <v>2271.6</v>
      </c>
      <c r="G15" s="340"/>
      <c r="H15" s="341"/>
      <c r="I15" s="337"/>
      <c r="J15" s="337"/>
      <c r="K15" s="337"/>
      <c r="L15" s="337"/>
      <c r="M15" s="337"/>
      <c r="N15" s="337"/>
      <c r="O15" s="337"/>
      <c r="P15" s="337"/>
      <c r="Q15" s="337"/>
      <c r="R15" s="337"/>
      <c r="S15" s="337"/>
      <c r="T15" s="337"/>
      <c r="U15" s="337"/>
      <c r="V15" s="337"/>
      <c r="W15" s="337"/>
      <c r="X15" s="337"/>
      <c r="Y15" s="337"/>
      <c r="Z15" s="337"/>
    </row>
    <row r="16" spans="1:26" s="338" customFormat="1" ht="57">
      <c r="A16" s="334" t="s">
        <v>125</v>
      </c>
      <c r="B16" s="286" t="s">
        <v>119</v>
      </c>
      <c r="C16" s="335">
        <v>40</v>
      </c>
      <c r="D16" s="335">
        <f t="shared" si="0"/>
        <v>480</v>
      </c>
      <c r="E16" s="312">
        <v>2.63</v>
      </c>
      <c r="F16" s="336">
        <f t="shared" si="1"/>
        <v>1262.3999999999999</v>
      </c>
      <c r="G16" s="340"/>
      <c r="H16" s="341"/>
      <c r="I16" s="337"/>
      <c r="J16" s="337"/>
      <c r="K16" s="337"/>
      <c r="L16" s="337"/>
      <c r="M16" s="337"/>
      <c r="N16" s="337"/>
      <c r="O16" s="337"/>
      <c r="P16" s="337"/>
      <c r="Q16" s="337"/>
      <c r="R16" s="337"/>
      <c r="S16" s="337"/>
      <c r="T16" s="337"/>
      <c r="U16" s="337"/>
      <c r="V16" s="337"/>
      <c r="W16" s="337"/>
      <c r="X16" s="337"/>
      <c r="Y16" s="337"/>
      <c r="Z16" s="337"/>
    </row>
    <row r="17" spans="1:26" s="338" customFormat="1" ht="99.75">
      <c r="A17" s="334" t="s">
        <v>126</v>
      </c>
      <c r="B17" s="286" t="s">
        <v>119</v>
      </c>
      <c r="C17" s="335">
        <v>48</v>
      </c>
      <c r="D17" s="335">
        <f t="shared" si="0"/>
        <v>576</v>
      </c>
      <c r="E17" s="312">
        <v>7.56</v>
      </c>
      <c r="F17" s="336">
        <f t="shared" si="1"/>
        <v>4354.5599999999995</v>
      </c>
      <c r="G17" s="340"/>
      <c r="H17" s="341"/>
      <c r="I17" s="337"/>
      <c r="J17" s="337"/>
      <c r="K17" s="337"/>
      <c r="L17" s="337"/>
      <c r="M17" s="337"/>
      <c r="N17" s="337"/>
      <c r="O17" s="337"/>
      <c r="P17" s="337"/>
      <c r="Q17" s="337"/>
      <c r="R17" s="337"/>
      <c r="S17" s="337"/>
      <c r="T17" s="337"/>
      <c r="U17" s="337"/>
      <c r="V17" s="337"/>
      <c r="W17" s="337"/>
      <c r="X17" s="337"/>
      <c r="Y17" s="337"/>
      <c r="Z17" s="337"/>
    </row>
    <row r="18" spans="1:26" s="338" customFormat="1" ht="42.75">
      <c r="A18" s="334" t="s">
        <v>127</v>
      </c>
      <c r="B18" s="286" t="s">
        <v>128</v>
      </c>
      <c r="C18" s="335">
        <v>96</v>
      </c>
      <c r="D18" s="335">
        <f t="shared" si="0"/>
        <v>1152</v>
      </c>
      <c r="E18" s="312">
        <v>51.47</v>
      </c>
      <c r="F18" s="336">
        <f t="shared" si="1"/>
        <v>59293.440000000002</v>
      </c>
      <c r="G18" s="340"/>
      <c r="H18" s="341"/>
      <c r="I18" s="337"/>
      <c r="J18" s="337"/>
      <c r="K18" s="337"/>
      <c r="L18" s="337"/>
      <c r="M18" s="337"/>
      <c r="N18" s="337"/>
      <c r="O18" s="337"/>
      <c r="P18" s="337"/>
      <c r="Q18" s="337"/>
      <c r="R18" s="337"/>
      <c r="S18" s="337"/>
      <c r="T18" s="337"/>
      <c r="U18" s="337"/>
      <c r="V18" s="337"/>
      <c r="W18" s="337"/>
      <c r="X18" s="337"/>
      <c r="Y18" s="337"/>
      <c r="Z18" s="337"/>
    </row>
    <row r="19" spans="1:26" s="338" customFormat="1" ht="57">
      <c r="A19" s="334" t="s">
        <v>129</v>
      </c>
      <c r="B19" s="286" t="s">
        <v>128</v>
      </c>
      <c r="C19" s="335">
        <v>2</v>
      </c>
      <c r="D19" s="335">
        <f t="shared" si="0"/>
        <v>24</v>
      </c>
      <c r="E19" s="312">
        <v>105</v>
      </c>
      <c r="F19" s="336">
        <f t="shared" si="1"/>
        <v>2520</v>
      </c>
      <c r="G19" s="340"/>
      <c r="H19" s="341"/>
      <c r="I19" s="337"/>
      <c r="J19" s="337"/>
      <c r="K19" s="337"/>
      <c r="L19" s="337"/>
      <c r="M19" s="337"/>
      <c r="N19" s="337"/>
      <c r="O19" s="337"/>
      <c r="P19" s="337"/>
      <c r="Q19" s="337"/>
      <c r="R19" s="337"/>
      <c r="S19" s="337"/>
      <c r="T19" s="337"/>
      <c r="U19" s="337"/>
      <c r="V19" s="337"/>
      <c r="W19" s="337"/>
      <c r="X19" s="337"/>
      <c r="Y19" s="337"/>
      <c r="Z19" s="337"/>
    </row>
    <row r="20" spans="1:26" s="338" customFormat="1" ht="71.25">
      <c r="A20" s="334" t="s">
        <v>130</v>
      </c>
      <c r="B20" s="286" t="s">
        <v>131</v>
      </c>
      <c r="C20" s="335">
        <v>600</v>
      </c>
      <c r="D20" s="335">
        <f t="shared" si="0"/>
        <v>7200</v>
      </c>
      <c r="E20" s="312">
        <v>8.84</v>
      </c>
      <c r="F20" s="336">
        <f t="shared" si="1"/>
        <v>63648</v>
      </c>
      <c r="G20" s="340"/>
      <c r="H20" s="341"/>
      <c r="I20" s="337"/>
      <c r="J20" s="337"/>
      <c r="K20" s="337"/>
      <c r="L20" s="337"/>
      <c r="M20" s="337"/>
      <c r="N20" s="337"/>
      <c r="O20" s="337"/>
      <c r="P20" s="337"/>
      <c r="Q20" s="337"/>
      <c r="R20" s="337"/>
      <c r="S20" s="337"/>
      <c r="T20" s="337"/>
      <c r="U20" s="337"/>
      <c r="V20" s="337"/>
      <c r="W20" s="337"/>
      <c r="X20" s="337"/>
      <c r="Y20" s="337"/>
      <c r="Z20" s="337"/>
    </row>
    <row r="21" spans="1:26" s="338" customFormat="1" ht="43.5">
      <c r="A21" s="334" t="s">
        <v>693</v>
      </c>
      <c r="B21" s="286" t="s">
        <v>128</v>
      </c>
      <c r="C21" s="335">
        <v>50</v>
      </c>
      <c r="D21" s="335">
        <f t="shared" si="0"/>
        <v>600</v>
      </c>
      <c r="E21" s="312">
        <v>11.35</v>
      </c>
      <c r="F21" s="336">
        <f t="shared" si="1"/>
        <v>6810</v>
      </c>
      <c r="G21" s="340"/>
      <c r="H21" s="341"/>
      <c r="I21" s="337"/>
      <c r="J21" s="337"/>
      <c r="K21" s="337"/>
      <c r="L21" s="337"/>
      <c r="M21" s="337"/>
      <c r="N21" s="337"/>
      <c r="O21" s="337"/>
      <c r="P21" s="337"/>
      <c r="Q21" s="337"/>
      <c r="R21" s="337"/>
      <c r="S21" s="337"/>
      <c r="T21" s="337"/>
      <c r="U21" s="337"/>
      <c r="V21" s="337"/>
      <c r="W21" s="337"/>
      <c r="X21" s="337"/>
      <c r="Y21" s="337"/>
      <c r="Z21" s="337"/>
    </row>
    <row r="22" spans="1:26" s="338" customFormat="1" ht="57">
      <c r="A22" s="334" t="s">
        <v>132</v>
      </c>
      <c r="B22" s="286" t="s">
        <v>133</v>
      </c>
      <c r="C22" s="335">
        <v>40</v>
      </c>
      <c r="D22" s="335">
        <f t="shared" si="0"/>
        <v>480</v>
      </c>
      <c r="E22" s="342">
        <v>2.99</v>
      </c>
      <c r="F22" s="336">
        <f t="shared" si="1"/>
        <v>1435.2</v>
      </c>
      <c r="G22" s="340"/>
      <c r="H22" s="341"/>
      <c r="I22" s="337"/>
      <c r="J22" s="337"/>
      <c r="K22" s="337"/>
      <c r="L22" s="337"/>
      <c r="M22" s="337"/>
      <c r="N22" s="337"/>
      <c r="O22" s="337"/>
      <c r="P22" s="337"/>
      <c r="Q22" s="337"/>
      <c r="R22" s="337"/>
      <c r="S22" s="337"/>
      <c r="T22" s="337"/>
      <c r="U22" s="337"/>
      <c r="V22" s="337"/>
      <c r="W22" s="337"/>
      <c r="X22" s="337"/>
      <c r="Y22" s="337"/>
      <c r="Z22" s="337"/>
    </row>
    <row r="23" spans="1:26" s="338" customFormat="1" ht="85.5">
      <c r="A23" s="334" t="s">
        <v>134</v>
      </c>
      <c r="B23" s="286" t="s">
        <v>135</v>
      </c>
      <c r="C23" s="335">
        <v>20</v>
      </c>
      <c r="D23" s="335">
        <f t="shared" si="0"/>
        <v>240</v>
      </c>
      <c r="E23" s="342">
        <v>1.33</v>
      </c>
      <c r="F23" s="336">
        <f t="shared" si="1"/>
        <v>319.20000000000005</v>
      </c>
      <c r="G23" s="340"/>
      <c r="H23" s="341"/>
      <c r="I23" s="337"/>
      <c r="J23" s="337"/>
      <c r="K23" s="337"/>
      <c r="L23" s="337"/>
      <c r="M23" s="337"/>
      <c r="N23" s="337"/>
      <c r="O23" s="337"/>
      <c r="P23" s="337"/>
      <c r="Q23" s="337"/>
      <c r="R23" s="337"/>
      <c r="S23" s="337"/>
      <c r="T23" s="337"/>
      <c r="U23" s="337"/>
      <c r="V23" s="337"/>
      <c r="W23" s="337"/>
      <c r="X23" s="337"/>
      <c r="Y23" s="337"/>
      <c r="Z23" s="337"/>
    </row>
    <row r="24" spans="1:26" s="338" customFormat="1" ht="58.5">
      <c r="A24" s="343" t="s">
        <v>694</v>
      </c>
      <c r="B24" s="344" t="s">
        <v>136</v>
      </c>
      <c r="C24" s="335">
        <v>30</v>
      </c>
      <c r="D24" s="335">
        <f t="shared" si="0"/>
        <v>360</v>
      </c>
      <c r="E24" s="342">
        <v>7.26</v>
      </c>
      <c r="F24" s="336">
        <f t="shared" si="1"/>
        <v>2613.6</v>
      </c>
      <c r="G24" s="340"/>
      <c r="H24" s="341"/>
      <c r="I24" s="337"/>
      <c r="J24" s="337"/>
      <c r="K24" s="337"/>
      <c r="L24" s="337"/>
      <c r="M24" s="337"/>
      <c r="N24" s="337"/>
      <c r="O24" s="337"/>
      <c r="P24" s="337"/>
      <c r="Q24" s="337"/>
      <c r="R24" s="337"/>
      <c r="S24" s="337"/>
      <c r="T24" s="337"/>
      <c r="U24" s="337"/>
      <c r="V24" s="337"/>
      <c r="W24" s="337"/>
      <c r="X24" s="337"/>
      <c r="Y24" s="337"/>
      <c r="Z24" s="337"/>
    </row>
    <row r="25" spans="1:26" ht="14.25" customHeight="1">
      <c r="A25" s="552" t="s">
        <v>682</v>
      </c>
      <c r="B25" s="552"/>
      <c r="C25" s="552"/>
      <c r="D25" s="552"/>
      <c r="E25" s="552"/>
      <c r="F25" s="345">
        <f>SUM(F8:F24)</f>
        <v>170870.40000000002</v>
      </c>
      <c r="G25" s="327"/>
      <c r="H25" s="327"/>
      <c r="I25" s="327"/>
      <c r="J25" s="327"/>
      <c r="K25" s="327"/>
      <c r="L25" s="327"/>
      <c r="M25" s="327"/>
      <c r="N25" s="327"/>
      <c r="O25" s="327"/>
      <c r="P25" s="327"/>
      <c r="Q25" s="327"/>
      <c r="R25" s="327"/>
      <c r="S25" s="327"/>
      <c r="T25" s="327"/>
      <c r="U25" s="327"/>
      <c r="V25" s="327"/>
      <c r="W25" s="327"/>
      <c r="X25" s="327"/>
      <c r="Y25" s="327"/>
      <c r="Z25" s="327"/>
    </row>
    <row r="26" spans="1:26" ht="14.25" customHeight="1">
      <c r="A26" s="553" t="s">
        <v>137</v>
      </c>
      <c r="B26" s="553"/>
      <c r="C26" s="553"/>
      <c r="D26" s="553"/>
      <c r="E26" s="553"/>
      <c r="F26" s="346">
        <f>F25/12</f>
        <v>14239.200000000003</v>
      </c>
      <c r="G26" s="327"/>
      <c r="H26" s="327"/>
      <c r="I26" s="327"/>
      <c r="J26" s="327"/>
      <c r="K26" s="327"/>
      <c r="L26" s="327"/>
      <c r="M26" s="327"/>
      <c r="N26" s="327"/>
      <c r="O26" s="327"/>
      <c r="P26" s="327"/>
      <c r="Q26" s="327"/>
      <c r="R26" s="327"/>
      <c r="S26" s="327"/>
      <c r="T26" s="327"/>
      <c r="U26" s="327"/>
      <c r="V26" s="327"/>
      <c r="W26" s="327"/>
      <c r="X26" s="327"/>
      <c r="Y26" s="327"/>
      <c r="Z26" s="327"/>
    </row>
    <row r="27" spans="1:26" ht="12.75" customHeight="1">
      <c r="A27" s="347"/>
      <c r="B27" s="348"/>
      <c r="C27" s="348"/>
      <c r="D27" s="348"/>
      <c r="E27" s="349"/>
      <c r="F27" s="327"/>
      <c r="G27" s="327"/>
      <c r="H27" s="327"/>
      <c r="I27" s="327"/>
      <c r="J27" s="327"/>
      <c r="K27" s="327"/>
      <c r="L27" s="327"/>
      <c r="M27" s="327"/>
      <c r="N27" s="327"/>
      <c r="O27" s="327"/>
      <c r="P27" s="327"/>
      <c r="Q27" s="327"/>
      <c r="R27" s="327"/>
      <c r="S27" s="327"/>
      <c r="T27" s="327"/>
      <c r="U27" s="327"/>
      <c r="V27" s="327"/>
      <c r="W27" s="327"/>
      <c r="X27" s="327"/>
      <c r="Y27" s="327"/>
      <c r="Z27" s="327"/>
    </row>
    <row r="28" spans="1:26" ht="32.25" customHeight="1">
      <c r="A28" s="331" t="s">
        <v>197</v>
      </c>
      <c r="B28" s="332" t="s">
        <v>108</v>
      </c>
      <c r="C28" s="332" t="s">
        <v>109</v>
      </c>
      <c r="D28" s="332" t="s">
        <v>110</v>
      </c>
      <c r="E28" s="333" t="s">
        <v>111</v>
      </c>
      <c r="F28" s="333" t="s">
        <v>112</v>
      </c>
      <c r="G28" s="327"/>
      <c r="H28" s="327"/>
      <c r="I28" s="327"/>
      <c r="J28" s="327"/>
      <c r="K28" s="327"/>
      <c r="L28" s="327"/>
      <c r="M28" s="327"/>
      <c r="N28" s="327"/>
      <c r="O28" s="327"/>
      <c r="P28" s="327"/>
      <c r="Q28" s="327"/>
      <c r="R28" s="327"/>
      <c r="S28" s="327"/>
      <c r="T28" s="327"/>
      <c r="U28" s="327"/>
      <c r="V28" s="327"/>
      <c r="W28" s="327"/>
      <c r="X28" s="327"/>
      <c r="Y28" s="327"/>
      <c r="Z28" s="327"/>
    </row>
    <row r="29" spans="1:26" ht="71.25">
      <c r="A29" s="270" t="s">
        <v>138</v>
      </c>
      <c r="B29" s="350" t="s">
        <v>139</v>
      </c>
      <c r="C29" s="351">
        <v>200</v>
      </c>
      <c r="D29" s="351">
        <f t="shared" ref="D29:D34" si="2">C29*12</f>
        <v>2400</v>
      </c>
      <c r="E29" s="310">
        <v>10.19</v>
      </c>
      <c r="F29" s="352">
        <f t="shared" ref="F29:F34" si="3">D29*E29</f>
        <v>24456</v>
      </c>
      <c r="G29" s="327"/>
      <c r="H29" s="327"/>
      <c r="I29" s="327"/>
      <c r="J29" s="327"/>
      <c r="K29" s="327"/>
      <c r="L29" s="327"/>
      <c r="M29" s="327"/>
      <c r="N29" s="327"/>
      <c r="O29" s="327"/>
      <c r="P29" s="327"/>
      <c r="Q29" s="327"/>
      <c r="R29" s="327"/>
      <c r="S29" s="327"/>
      <c r="T29" s="327"/>
      <c r="U29" s="327"/>
      <c r="V29" s="327"/>
      <c r="W29" s="327"/>
      <c r="X29" s="327"/>
      <c r="Y29" s="327"/>
      <c r="Z29" s="327"/>
    </row>
    <row r="30" spans="1:26" ht="85.5">
      <c r="A30" s="353" t="s">
        <v>140</v>
      </c>
      <c r="B30" s="350" t="s">
        <v>141</v>
      </c>
      <c r="C30" s="351">
        <v>200</v>
      </c>
      <c r="D30" s="351">
        <f t="shared" si="2"/>
        <v>2400</v>
      </c>
      <c r="E30" s="310">
        <v>3.65</v>
      </c>
      <c r="F30" s="352">
        <f t="shared" si="3"/>
        <v>8760</v>
      </c>
      <c r="G30" s="327"/>
      <c r="H30" s="327"/>
      <c r="I30" s="327"/>
      <c r="J30" s="327"/>
      <c r="K30" s="327"/>
      <c r="L30" s="327"/>
      <c r="M30" s="327"/>
      <c r="N30" s="327"/>
      <c r="O30" s="327"/>
      <c r="P30" s="327"/>
      <c r="Q30" s="327"/>
      <c r="R30" s="327"/>
      <c r="S30" s="327"/>
      <c r="T30" s="327"/>
      <c r="U30" s="327"/>
      <c r="V30" s="327"/>
      <c r="W30" s="327"/>
      <c r="X30" s="327"/>
      <c r="Y30" s="327"/>
      <c r="Z30" s="327"/>
    </row>
    <row r="31" spans="1:26" ht="71.25">
      <c r="A31" s="270" t="s">
        <v>142</v>
      </c>
      <c r="B31" s="350" t="s">
        <v>141</v>
      </c>
      <c r="C31" s="351">
        <v>6</v>
      </c>
      <c r="D31" s="351">
        <f t="shared" si="2"/>
        <v>72</v>
      </c>
      <c r="E31" s="354">
        <v>8.5500000000000007</v>
      </c>
      <c r="F31" s="352">
        <f t="shared" si="3"/>
        <v>615.6</v>
      </c>
      <c r="G31" s="327"/>
      <c r="H31" s="327"/>
      <c r="I31" s="327"/>
      <c r="J31" s="327"/>
      <c r="K31" s="327"/>
      <c r="L31" s="327"/>
      <c r="M31" s="327"/>
      <c r="N31" s="327"/>
      <c r="O31" s="327"/>
      <c r="P31" s="327"/>
      <c r="Q31" s="327"/>
      <c r="R31" s="327"/>
      <c r="S31" s="327"/>
      <c r="T31" s="327"/>
      <c r="U31" s="327"/>
      <c r="V31" s="327"/>
      <c r="W31" s="327"/>
      <c r="X31" s="327"/>
      <c r="Y31" s="327"/>
      <c r="Z31" s="327"/>
    </row>
    <row r="32" spans="1:26" ht="71.25">
      <c r="A32" s="270" t="s">
        <v>143</v>
      </c>
      <c r="B32" s="350" t="s">
        <v>141</v>
      </c>
      <c r="C32" s="351">
        <v>6</v>
      </c>
      <c r="D32" s="351">
        <f t="shared" si="2"/>
        <v>72</v>
      </c>
      <c r="E32" s="310">
        <v>23.06</v>
      </c>
      <c r="F32" s="352">
        <f t="shared" si="3"/>
        <v>1660.32</v>
      </c>
      <c r="G32" s="327"/>
      <c r="H32" s="327"/>
      <c r="I32" s="327"/>
      <c r="J32" s="327"/>
      <c r="K32" s="327"/>
      <c r="L32" s="327"/>
      <c r="M32" s="327"/>
      <c r="N32" s="327"/>
      <c r="O32" s="327"/>
      <c r="P32" s="327"/>
      <c r="Q32" s="327"/>
      <c r="R32" s="327"/>
      <c r="S32" s="327"/>
      <c r="T32" s="327"/>
      <c r="U32" s="327"/>
      <c r="V32" s="327"/>
      <c r="W32" s="327"/>
      <c r="X32" s="327"/>
      <c r="Y32" s="327"/>
      <c r="Z32" s="327"/>
    </row>
    <row r="33" spans="1:26" ht="57">
      <c r="A33" s="270" t="s">
        <v>144</v>
      </c>
      <c r="B33" s="350" t="s">
        <v>145</v>
      </c>
      <c r="C33" s="351">
        <v>5</v>
      </c>
      <c r="D33" s="351">
        <f t="shared" si="2"/>
        <v>60</v>
      </c>
      <c r="E33" s="310">
        <v>6.83</v>
      </c>
      <c r="F33" s="352">
        <f t="shared" si="3"/>
        <v>409.8</v>
      </c>
      <c r="G33" s="327"/>
      <c r="H33" s="327"/>
      <c r="I33" s="327"/>
      <c r="J33" s="327"/>
      <c r="K33" s="327"/>
      <c r="L33" s="327"/>
      <c r="M33" s="327"/>
      <c r="N33" s="327"/>
      <c r="O33" s="327"/>
      <c r="P33" s="327"/>
      <c r="Q33" s="327"/>
      <c r="R33" s="327"/>
      <c r="S33" s="327"/>
      <c r="T33" s="327"/>
      <c r="U33" s="327"/>
      <c r="V33" s="327"/>
      <c r="W33" s="327"/>
      <c r="X33" s="327"/>
      <c r="Y33" s="327"/>
      <c r="Z33" s="327"/>
    </row>
    <row r="34" spans="1:26" ht="72">
      <c r="A34" s="270" t="s">
        <v>695</v>
      </c>
      <c r="B34" s="350" t="s">
        <v>141</v>
      </c>
      <c r="C34" s="351">
        <v>6</v>
      </c>
      <c r="D34" s="351">
        <f t="shared" si="2"/>
        <v>72</v>
      </c>
      <c r="E34" s="310">
        <v>33.71</v>
      </c>
      <c r="F34" s="352">
        <f t="shared" si="3"/>
        <v>2427.12</v>
      </c>
      <c r="G34" s="327"/>
      <c r="H34" s="327"/>
      <c r="I34" s="327"/>
      <c r="J34" s="327"/>
      <c r="K34" s="327"/>
      <c r="L34" s="327"/>
      <c r="M34" s="327"/>
      <c r="N34" s="327"/>
      <c r="O34" s="327"/>
      <c r="P34" s="327"/>
      <c r="Q34" s="327"/>
      <c r="R34" s="327"/>
      <c r="S34" s="327"/>
      <c r="T34" s="327"/>
      <c r="U34" s="327"/>
      <c r="V34" s="327"/>
      <c r="W34" s="327"/>
      <c r="X34" s="327"/>
      <c r="Y34" s="327"/>
      <c r="Z34" s="327"/>
    </row>
    <row r="35" spans="1:26" ht="14.25" customHeight="1">
      <c r="A35" s="552" t="s">
        <v>146</v>
      </c>
      <c r="B35" s="552"/>
      <c r="C35" s="552"/>
      <c r="D35" s="552"/>
      <c r="E35" s="552"/>
      <c r="F35" s="355">
        <f>SUM(F29:F34)</f>
        <v>38328.840000000004</v>
      </c>
      <c r="G35" s="327"/>
      <c r="H35" s="327"/>
      <c r="I35" s="327"/>
      <c r="J35" s="327"/>
      <c r="K35" s="327"/>
      <c r="L35" s="327"/>
      <c r="M35" s="327"/>
      <c r="N35" s="327"/>
      <c r="O35" s="327"/>
      <c r="P35" s="327"/>
      <c r="Q35" s="327"/>
      <c r="R35" s="327"/>
      <c r="S35" s="327"/>
      <c r="T35" s="327"/>
      <c r="U35" s="327"/>
      <c r="V35" s="327"/>
      <c r="W35" s="327"/>
      <c r="X35" s="327"/>
      <c r="Y35" s="327"/>
      <c r="Z35" s="327"/>
    </row>
    <row r="36" spans="1:26" ht="14.25" customHeight="1">
      <c r="A36" s="553" t="s">
        <v>147</v>
      </c>
      <c r="B36" s="553"/>
      <c r="C36" s="553"/>
      <c r="D36" s="553"/>
      <c r="E36" s="553"/>
      <c r="F36" s="356">
        <f>F35/12</f>
        <v>3194.07</v>
      </c>
      <c r="G36" s="327"/>
      <c r="H36" s="327"/>
      <c r="I36" s="327"/>
      <c r="J36" s="327"/>
      <c r="K36" s="327"/>
      <c r="L36" s="327"/>
      <c r="M36" s="327"/>
      <c r="N36" s="327"/>
      <c r="O36" s="327"/>
      <c r="P36" s="327"/>
      <c r="Q36" s="327"/>
      <c r="R36" s="327"/>
      <c r="S36" s="327"/>
      <c r="T36" s="327"/>
      <c r="U36" s="327"/>
      <c r="V36" s="327"/>
      <c r="W36" s="327"/>
      <c r="X36" s="327"/>
      <c r="Y36" s="327"/>
      <c r="Z36" s="327"/>
    </row>
    <row r="37" spans="1:26" ht="12.75" customHeight="1">
      <c r="A37" s="357"/>
      <c r="B37" s="358"/>
      <c r="C37" s="358"/>
      <c r="D37" s="358"/>
      <c r="E37" s="359"/>
      <c r="F37" s="359"/>
      <c r="G37" s="327"/>
      <c r="H37" s="327"/>
      <c r="I37" s="327"/>
      <c r="J37" s="327"/>
      <c r="K37" s="327"/>
      <c r="L37" s="327"/>
      <c r="M37" s="327"/>
      <c r="N37" s="327"/>
      <c r="O37" s="327"/>
      <c r="P37" s="327"/>
      <c r="Q37" s="327"/>
      <c r="R37" s="327"/>
      <c r="S37" s="327"/>
      <c r="T37" s="327"/>
      <c r="U37" s="327"/>
      <c r="V37" s="327"/>
      <c r="W37" s="327"/>
      <c r="X37" s="327"/>
      <c r="Y37" s="327"/>
      <c r="Z37" s="327"/>
    </row>
    <row r="38" spans="1:26" ht="27" customHeight="1">
      <c r="A38" s="331" t="s">
        <v>148</v>
      </c>
      <c r="B38" s="332" t="s">
        <v>108</v>
      </c>
      <c r="C38" s="332" t="s">
        <v>149</v>
      </c>
      <c r="D38" s="332" t="s">
        <v>150</v>
      </c>
      <c r="E38" s="332" t="s">
        <v>110</v>
      </c>
      <c r="F38" s="333" t="s">
        <v>111</v>
      </c>
      <c r="G38" s="333" t="s">
        <v>112</v>
      </c>
      <c r="H38" s="327"/>
      <c r="I38" s="327"/>
      <c r="J38" s="327"/>
      <c r="K38" s="327"/>
      <c r="L38" s="327"/>
      <c r="M38" s="327"/>
      <c r="N38" s="327"/>
      <c r="O38" s="327"/>
      <c r="P38" s="327"/>
      <c r="Q38" s="327"/>
      <c r="R38" s="327"/>
      <c r="S38" s="327"/>
      <c r="T38" s="327"/>
      <c r="U38" s="327"/>
      <c r="V38" s="327"/>
      <c r="W38" s="327"/>
      <c r="X38" s="327"/>
      <c r="Y38" s="327"/>
      <c r="Z38" s="327"/>
    </row>
    <row r="39" spans="1:26" ht="104.25" customHeight="1">
      <c r="A39" s="353" t="s">
        <v>151</v>
      </c>
      <c r="B39" s="350" t="s">
        <v>145</v>
      </c>
      <c r="C39" s="360">
        <v>20</v>
      </c>
      <c r="D39" s="351">
        <v>1</v>
      </c>
      <c r="E39" s="361">
        <f t="shared" ref="E39:E57" si="4">12/D39*C39</f>
        <v>240</v>
      </c>
      <c r="F39" s="310">
        <v>3.34</v>
      </c>
      <c r="G39" s="352">
        <f t="shared" ref="G39:G57" si="5">E39*F39</f>
        <v>801.59999999999991</v>
      </c>
      <c r="H39" s="327"/>
      <c r="I39" s="327"/>
      <c r="J39" s="327"/>
      <c r="K39" s="327"/>
      <c r="L39" s="327"/>
      <c r="M39" s="327"/>
      <c r="N39" s="327"/>
      <c r="O39" s="327"/>
      <c r="P39" s="327"/>
      <c r="Q39" s="327"/>
      <c r="R39" s="327"/>
      <c r="S39" s="327"/>
      <c r="T39" s="327"/>
      <c r="U39" s="327"/>
      <c r="V39" s="327"/>
      <c r="W39" s="327"/>
      <c r="X39" s="327"/>
      <c r="Y39" s="327"/>
      <c r="Z39" s="327"/>
    </row>
    <row r="40" spans="1:26" ht="112.5" customHeight="1">
      <c r="A40" s="270" t="s">
        <v>152</v>
      </c>
      <c r="B40" s="350" t="s">
        <v>141</v>
      </c>
      <c r="C40" s="360">
        <v>10</v>
      </c>
      <c r="D40" s="351">
        <v>1</v>
      </c>
      <c r="E40" s="361">
        <f t="shared" si="4"/>
        <v>120</v>
      </c>
      <c r="F40" s="310">
        <v>1.32</v>
      </c>
      <c r="G40" s="352">
        <f t="shared" si="5"/>
        <v>158.4</v>
      </c>
      <c r="H40" s="327"/>
      <c r="I40" s="327"/>
      <c r="J40" s="327"/>
      <c r="K40" s="327"/>
      <c r="L40" s="327"/>
      <c r="M40" s="327"/>
      <c r="N40" s="327"/>
      <c r="O40" s="327"/>
      <c r="P40" s="327"/>
      <c r="Q40" s="327"/>
      <c r="R40" s="327"/>
      <c r="S40" s="327"/>
      <c r="T40" s="327"/>
      <c r="U40" s="327"/>
      <c r="V40" s="327"/>
      <c r="W40" s="327"/>
      <c r="X40" s="327"/>
      <c r="Y40" s="327"/>
      <c r="Z40" s="327"/>
    </row>
    <row r="41" spans="1:26" ht="37.5" customHeight="1">
      <c r="A41" s="270" t="s">
        <v>153</v>
      </c>
      <c r="B41" s="350" t="s">
        <v>141</v>
      </c>
      <c r="C41" s="360">
        <v>10</v>
      </c>
      <c r="D41" s="351">
        <v>1</v>
      </c>
      <c r="E41" s="361">
        <f t="shared" si="4"/>
        <v>120</v>
      </c>
      <c r="F41" s="310">
        <v>2.58</v>
      </c>
      <c r="G41" s="352">
        <f t="shared" si="5"/>
        <v>309.60000000000002</v>
      </c>
      <c r="H41" s="327"/>
      <c r="I41" s="327"/>
      <c r="J41" s="327"/>
      <c r="K41" s="327"/>
      <c r="L41" s="327"/>
      <c r="M41" s="327"/>
      <c r="N41" s="327"/>
      <c r="O41" s="327"/>
      <c r="P41" s="327"/>
      <c r="Q41" s="327"/>
      <c r="R41" s="327"/>
      <c r="S41" s="327"/>
      <c r="T41" s="327"/>
      <c r="U41" s="327"/>
      <c r="V41" s="327"/>
      <c r="W41" s="327"/>
      <c r="X41" s="327"/>
      <c r="Y41" s="327"/>
      <c r="Z41" s="327"/>
    </row>
    <row r="42" spans="1:26" ht="98.25" customHeight="1">
      <c r="A42" s="270" t="s">
        <v>154</v>
      </c>
      <c r="B42" s="350" t="s">
        <v>145</v>
      </c>
      <c r="C42" s="360">
        <v>20</v>
      </c>
      <c r="D42" s="351">
        <v>1</v>
      </c>
      <c r="E42" s="361">
        <f t="shared" si="4"/>
        <v>240</v>
      </c>
      <c r="F42" s="310">
        <v>6.12</v>
      </c>
      <c r="G42" s="352">
        <f t="shared" si="5"/>
        <v>1468.8</v>
      </c>
      <c r="H42" s="327"/>
      <c r="I42" s="327"/>
      <c r="J42" s="327"/>
      <c r="K42" s="327"/>
      <c r="L42" s="327"/>
      <c r="M42" s="327"/>
      <c r="N42" s="327"/>
      <c r="O42" s="327"/>
      <c r="P42" s="327"/>
      <c r="Q42" s="327"/>
      <c r="R42" s="327"/>
      <c r="S42" s="327"/>
      <c r="T42" s="327"/>
      <c r="U42" s="327"/>
      <c r="V42" s="327"/>
      <c r="W42" s="327"/>
      <c r="X42" s="327"/>
      <c r="Y42" s="327"/>
      <c r="Z42" s="327"/>
    </row>
    <row r="43" spans="1:26" ht="57.75" customHeight="1">
      <c r="A43" s="270" t="s">
        <v>156</v>
      </c>
      <c r="B43" s="350" t="s">
        <v>145</v>
      </c>
      <c r="C43" s="360">
        <v>20</v>
      </c>
      <c r="D43" s="351">
        <v>3</v>
      </c>
      <c r="E43" s="361">
        <f t="shared" si="4"/>
        <v>80</v>
      </c>
      <c r="F43" s="310">
        <v>3.75</v>
      </c>
      <c r="G43" s="352">
        <f t="shared" si="5"/>
        <v>300</v>
      </c>
      <c r="H43" s="327"/>
      <c r="I43" s="327"/>
      <c r="J43" s="327"/>
      <c r="K43" s="327"/>
      <c r="L43" s="327"/>
      <c r="M43" s="327"/>
      <c r="N43" s="327"/>
      <c r="O43" s="327"/>
      <c r="P43" s="327"/>
      <c r="Q43" s="327"/>
      <c r="R43" s="327"/>
      <c r="S43" s="327"/>
      <c r="T43" s="327"/>
      <c r="U43" s="327"/>
      <c r="V43" s="327"/>
      <c r="W43" s="327"/>
      <c r="X43" s="327"/>
      <c r="Y43" s="327"/>
      <c r="Z43" s="327"/>
    </row>
    <row r="44" spans="1:26" ht="110.25" customHeight="1">
      <c r="A44" s="270" t="s">
        <v>157</v>
      </c>
      <c r="B44" s="350" t="s">
        <v>145</v>
      </c>
      <c r="C44" s="360">
        <v>10</v>
      </c>
      <c r="D44" s="351">
        <v>6</v>
      </c>
      <c r="E44" s="361">
        <f t="shared" si="4"/>
        <v>20</v>
      </c>
      <c r="F44" s="310">
        <v>5.75</v>
      </c>
      <c r="G44" s="352">
        <f t="shared" si="5"/>
        <v>115</v>
      </c>
      <c r="H44" s="327"/>
      <c r="I44" s="327"/>
      <c r="J44" s="327"/>
      <c r="K44" s="327"/>
      <c r="L44" s="327"/>
      <c r="M44" s="327"/>
      <c r="N44" s="327"/>
      <c r="O44" s="327"/>
      <c r="P44" s="327"/>
      <c r="Q44" s="327"/>
      <c r="R44" s="327"/>
      <c r="S44" s="327"/>
      <c r="T44" s="327"/>
      <c r="U44" s="327"/>
      <c r="V44" s="327"/>
      <c r="W44" s="327"/>
      <c r="X44" s="327"/>
      <c r="Y44" s="327"/>
      <c r="Z44" s="327"/>
    </row>
    <row r="45" spans="1:26" ht="99" customHeight="1">
      <c r="A45" s="270" t="s">
        <v>158</v>
      </c>
      <c r="B45" s="350" t="s">
        <v>145</v>
      </c>
      <c r="C45" s="360">
        <v>8</v>
      </c>
      <c r="D45" s="351">
        <v>2</v>
      </c>
      <c r="E45" s="361">
        <f t="shared" si="4"/>
        <v>48</v>
      </c>
      <c r="F45" s="310">
        <v>2.74</v>
      </c>
      <c r="G45" s="352">
        <f t="shared" si="5"/>
        <v>131.52000000000001</v>
      </c>
      <c r="H45" s="327"/>
      <c r="I45" s="327"/>
      <c r="J45" s="327"/>
      <c r="K45" s="327"/>
      <c r="L45" s="327"/>
      <c r="M45" s="327"/>
      <c r="N45" s="327"/>
      <c r="O45" s="327"/>
      <c r="P45" s="327"/>
      <c r="Q45" s="327"/>
      <c r="R45" s="327"/>
      <c r="S45" s="327"/>
      <c r="T45" s="327"/>
      <c r="U45" s="327"/>
      <c r="V45" s="327"/>
      <c r="W45" s="327"/>
      <c r="X45" s="327"/>
      <c r="Y45" s="327"/>
      <c r="Z45" s="327"/>
    </row>
    <row r="46" spans="1:26" ht="72" customHeight="1">
      <c r="A46" s="270" t="s">
        <v>159</v>
      </c>
      <c r="B46" s="350" t="s">
        <v>145</v>
      </c>
      <c r="C46" s="360">
        <v>5</v>
      </c>
      <c r="D46" s="351">
        <v>12</v>
      </c>
      <c r="E46" s="361">
        <f t="shared" si="4"/>
        <v>5</v>
      </c>
      <c r="F46" s="310">
        <v>31.15</v>
      </c>
      <c r="G46" s="352">
        <f t="shared" si="5"/>
        <v>155.75</v>
      </c>
      <c r="H46" s="327"/>
      <c r="I46" s="327"/>
      <c r="J46" s="327"/>
      <c r="K46" s="327"/>
      <c r="L46" s="327"/>
      <c r="M46" s="327"/>
      <c r="N46" s="327"/>
      <c r="O46" s="327"/>
      <c r="P46" s="327"/>
      <c r="Q46" s="327"/>
      <c r="R46" s="327"/>
      <c r="S46" s="327"/>
      <c r="T46" s="327"/>
      <c r="U46" s="327"/>
      <c r="V46" s="327"/>
      <c r="W46" s="327"/>
      <c r="X46" s="327"/>
      <c r="Y46" s="327"/>
      <c r="Z46" s="327"/>
    </row>
    <row r="47" spans="1:26" ht="42.75">
      <c r="A47" s="270" t="s">
        <v>160</v>
      </c>
      <c r="B47" s="350" t="s">
        <v>155</v>
      </c>
      <c r="C47" s="360">
        <v>50</v>
      </c>
      <c r="D47" s="351">
        <v>1</v>
      </c>
      <c r="E47" s="361">
        <f t="shared" si="4"/>
        <v>600</v>
      </c>
      <c r="F47" s="310">
        <v>1.23</v>
      </c>
      <c r="G47" s="352">
        <f t="shared" si="5"/>
        <v>738</v>
      </c>
      <c r="H47" s="327"/>
      <c r="I47" s="327"/>
      <c r="J47" s="327"/>
      <c r="K47" s="327"/>
      <c r="L47" s="327"/>
      <c r="M47" s="327"/>
      <c r="N47" s="327"/>
      <c r="O47" s="327"/>
      <c r="P47" s="327"/>
      <c r="Q47" s="327"/>
      <c r="R47" s="327"/>
      <c r="S47" s="327"/>
      <c r="T47" s="327"/>
      <c r="U47" s="327"/>
      <c r="V47" s="327"/>
      <c r="W47" s="327"/>
      <c r="X47" s="327"/>
      <c r="Y47" s="327"/>
      <c r="Z47" s="327"/>
    </row>
    <row r="48" spans="1:26" ht="71.25">
      <c r="A48" s="270" t="s">
        <v>161</v>
      </c>
      <c r="B48" s="350" t="s">
        <v>162</v>
      </c>
      <c r="C48" s="351">
        <v>6</v>
      </c>
      <c r="D48" s="351">
        <v>1</v>
      </c>
      <c r="E48" s="361">
        <f t="shared" si="4"/>
        <v>72</v>
      </c>
      <c r="F48" s="310">
        <v>133.5</v>
      </c>
      <c r="G48" s="352">
        <f t="shared" si="5"/>
        <v>9612</v>
      </c>
      <c r="H48" s="327"/>
      <c r="I48" s="327"/>
      <c r="J48" s="327"/>
      <c r="K48" s="327"/>
      <c r="L48" s="327"/>
      <c r="M48" s="327"/>
      <c r="N48" s="327"/>
      <c r="O48" s="327"/>
      <c r="P48" s="327"/>
      <c r="Q48" s="327"/>
      <c r="R48" s="327"/>
      <c r="S48" s="327"/>
      <c r="T48" s="327"/>
      <c r="U48" s="327"/>
      <c r="V48" s="327"/>
      <c r="W48" s="327"/>
      <c r="X48" s="327"/>
      <c r="Y48" s="327"/>
      <c r="Z48" s="327"/>
    </row>
    <row r="49" spans="1:26" ht="57">
      <c r="A49" s="270" t="s">
        <v>163</v>
      </c>
      <c r="B49" s="350" t="s">
        <v>155</v>
      </c>
      <c r="C49" s="360">
        <v>5</v>
      </c>
      <c r="D49" s="351">
        <v>1</v>
      </c>
      <c r="E49" s="361">
        <f t="shared" si="4"/>
        <v>60</v>
      </c>
      <c r="F49" s="310">
        <v>3.78</v>
      </c>
      <c r="G49" s="352">
        <f t="shared" si="5"/>
        <v>226.79999999999998</v>
      </c>
      <c r="H49" s="327"/>
      <c r="I49" s="327"/>
      <c r="J49" s="327"/>
      <c r="K49" s="327"/>
      <c r="L49" s="327"/>
      <c r="M49" s="327"/>
      <c r="N49" s="327"/>
      <c r="O49" s="327"/>
      <c r="P49" s="327"/>
      <c r="Q49" s="327"/>
      <c r="R49" s="327"/>
      <c r="S49" s="327"/>
      <c r="T49" s="327"/>
      <c r="U49" s="327"/>
      <c r="V49" s="327"/>
      <c r="W49" s="327"/>
      <c r="X49" s="327"/>
      <c r="Y49" s="327"/>
      <c r="Z49" s="327"/>
    </row>
    <row r="50" spans="1:26" ht="71.25">
      <c r="A50" s="270" t="s">
        <v>164</v>
      </c>
      <c r="B50" s="350" t="s">
        <v>155</v>
      </c>
      <c r="C50" s="360">
        <v>10</v>
      </c>
      <c r="D50" s="351">
        <v>3</v>
      </c>
      <c r="E50" s="361">
        <f t="shared" si="4"/>
        <v>40</v>
      </c>
      <c r="F50" s="310">
        <v>11.43</v>
      </c>
      <c r="G50" s="352">
        <f t="shared" si="5"/>
        <v>457.2</v>
      </c>
      <c r="H50" s="327"/>
      <c r="I50" s="327"/>
      <c r="J50" s="327"/>
      <c r="K50" s="327"/>
      <c r="L50" s="327"/>
      <c r="M50" s="327"/>
      <c r="N50" s="327"/>
      <c r="O50" s="327"/>
      <c r="P50" s="327"/>
      <c r="Q50" s="327"/>
      <c r="R50" s="327"/>
      <c r="S50" s="327"/>
      <c r="T50" s="327"/>
      <c r="U50" s="327"/>
      <c r="V50" s="327"/>
      <c r="W50" s="327"/>
      <c r="X50" s="327"/>
      <c r="Y50" s="327"/>
      <c r="Z50" s="327"/>
    </row>
    <row r="51" spans="1:26" ht="42.75">
      <c r="A51" s="271" t="s">
        <v>165</v>
      </c>
      <c r="B51" s="272" t="s">
        <v>155</v>
      </c>
      <c r="C51" s="360">
        <v>5</v>
      </c>
      <c r="D51" s="351">
        <v>6</v>
      </c>
      <c r="E51" s="361">
        <f t="shared" si="4"/>
        <v>10</v>
      </c>
      <c r="F51" s="311">
        <v>2.75</v>
      </c>
      <c r="G51" s="352">
        <f t="shared" si="5"/>
        <v>27.5</v>
      </c>
      <c r="H51" s="327"/>
      <c r="I51" s="327"/>
      <c r="J51" s="327"/>
      <c r="K51" s="327"/>
      <c r="L51" s="327"/>
      <c r="M51" s="327"/>
      <c r="N51" s="327"/>
      <c r="O51" s="327"/>
      <c r="P51" s="327"/>
      <c r="Q51" s="327"/>
      <c r="R51" s="327"/>
      <c r="S51" s="327"/>
      <c r="T51" s="327"/>
      <c r="U51" s="327"/>
      <c r="V51" s="327"/>
      <c r="W51" s="327"/>
      <c r="X51" s="327"/>
      <c r="Y51" s="327"/>
      <c r="Z51" s="327"/>
    </row>
    <row r="52" spans="1:26" ht="57">
      <c r="A52" s="271" t="s">
        <v>166</v>
      </c>
      <c r="B52" s="272" t="s">
        <v>155</v>
      </c>
      <c r="C52" s="360">
        <v>5</v>
      </c>
      <c r="D52" s="351">
        <v>6</v>
      </c>
      <c r="E52" s="361">
        <f t="shared" si="4"/>
        <v>10</v>
      </c>
      <c r="F52" s="311">
        <v>23.48</v>
      </c>
      <c r="G52" s="352">
        <f t="shared" si="5"/>
        <v>234.8</v>
      </c>
      <c r="H52" s="327"/>
      <c r="I52" s="327"/>
      <c r="J52" s="327"/>
      <c r="K52" s="327"/>
      <c r="L52" s="327"/>
      <c r="M52" s="327"/>
      <c r="N52" s="327"/>
      <c r="O52" s="327"/>
      <c r="P52" s="327"/>
      <c r="Q52" s="327"/>
      <c r="R52" s="327"/>
      <c r="S52" s="327"/>
      <c r="T52" s="327"/>
      <c r="U52" s="327"/>
      <c r="V52" s="327"/>
      <c r="W52" s="327"/>
      <c r="X52" s="327"/>
      <c r="Y52" s="327"/>
      <c r="Z52" s="327"/>
    </row>
    <row r="53" spans="1:26" ht="57.75">
      <c r="A53" s="271" t="s">
        <v>696</v>
      </c>
      <c r="B53" s="272" t="s">
        <v>155</v>
      </c>
      <c r="C53" s="360">
        <v>30</v>
      </c>
      <c r="D53" s="351">
        <v>1</v>
      </c>
      <c r="E53" s="361">
        <f t="shared" si="4"/>
        <v>360</v>
      </c>
      <c r="F53" s="311">
        <v>2.84</v>
      </c>
      <c r="G53" s="352">
        <f t="shared" si="5"/>
        <v>1022.4</v>
      </c>
      <c r="H53" s="327"/>
      <c r="I53" s="327"/>
      <c r="J53" s="327"/>
      <c r="K53" s="327"/>
      <c r="L53" s="327"/>
      <c r="M53" s="327"/>
      <c r="N53" s="327"/>
      <c r="O53" s="327"/>
      <c r="P53" s="327"/>
      <c r="Q53" s="327"/>
      <c r="R53" s="327"/>
      <c r="S53" s="327"/>
      <c r="T53" s="327"/>
      <c r="U53" s="327"/>
      <c r="V53" s="327"/>
      <c r="W53" s="327"/>
      <c r="X53" s="327"/>
      <c r="Y53" s="327"/>
      <c r="Z53" s="327"/>
    </row>
    <row r="54" spans="1:26" ht="72">
      <c r="A54" s="271" t="s">
        <v>697</v>
      </c>
      <c r="B54" s="272" t="s">
        <v>155</v>
      </c>
      <c r="C54" s="360">
        <v>4</v>
      </c>
      <c r="D54" s="351">
        <v>12</v>
      </c>
      <c r="E54" s="361">
        <f t="shared" si="4"/>
        <v>4</v>
      </c>
      <c r="F54" s="311">
        <v>276.97000000000003</v>
      </c>
      <c r="G54" s="352">
        <f t="shared" si="5"/>
        <v>1107.8800000000001</v>
      </c>
      <c r="H54" s="327"/>
      <c r="I54" s="327"/>
      <c r="J54" s="327"/>
      <c r="K54" s="327"/>
      <c r="L54" s="327"/>
      <c r="M54" s="327"/>
      <c r="N54" s="327"/>
      <c r="O54" s="327"/>
      <c r="P54" s="327"/>
      <c r="Q54" s="327"/>
      <c r="R54" s="327"/>
      <c r="S54" s="327"/>
      <c r="T54" s="327"/>
      <c r="U54" s="327"/>
      <c r="V54" s="327"/>
      <c r="W54" s="327"/>
      <c r="X54" s="327"/>
      <c r="Y54" s="327"/>
      <c r="Z54" s="327"/>
    </row>
    <row r="55" spans="1:26" ht="15">
      <c r="A55" s="270" t="s">
        <v>167</v>
      </c>
      <c r="B55" s="350" t="s">
        <v>145</v>
      </c>
      <c r="C55" s="360">
        <v>1</v>
      </c>
      <c r="D55" s="351">
        <v>12</v>
      </c>
      <c r="E55" s="361">
        <f t="shared" si="4"/>
        <v>1</v>
      </c>
      <c r="F55" s="310">
        <v>114.42</v>
      </c>
      <c r="G55" s="352">
        <f t="shared" si="5"/>
        <v>114.42</v>
      </c>
      <c r="H55" s="327"/>
      <c r="I55" s="327"/>
      <c r="J55" s="327"/>
      <c r="K55" s="327"/>
      <c r="L55" s="327"/>
      <c r="M55" s="327"/>
      <c r="N55" s="327"/>
      <c r="O55" s="327"/>
      <c r="P55" s="327"/>
      <c r="Q55" s="327"/>
      <c r="R55" s="327"/>
      <c r="S55" s="327"/>
      <c r="T55" s="327"/>
      <c r="U55" s="327"/>
      <c r="V55" s="327"/>
      <c r="W55" s="327"/>
      <c r="X55" s="327"/>
      <c r="Y55" s="327"/>
      <c r="Z55" s="327"/>
    </row>
    <row r="56" spans="1:26" ht="87">
      <c r="A56" s="270" t="s">
        <v>698</v>
      </c>
      <c r="B56" s="350" t="s">
        <v>145</v>
      </c>
      <c r="C56" s="360">
        <v>20</v>
      </c>
      <c r="D56" s="351">
        <v>6</v>
      </c>
      <c r="E56" s="361">
        <f t="shared" si="4"/>
        <v>40</v>
      </c>
      <c r="F56" s="310">
        <v>13.87</v>
      </c>
      <c r="G56" s="352">
        <f t="shared" si="5"/>
        <v>554.79999999999995</v>
      </c>
      <c r="H56" s="327"/>
      <c r="I56" s="327"/>
      <c r="J56" s="327"/>
      <c r="K56" s="327"/>
      <c r="L56" s="327"/>
      <c r="M56" s="327"/>
      <c r="N56" s="327"/>
      <c r="O56" s="327"/>
      <c r="P56" s="327"/>
      <c r="Q56" s="327"/>
      <c r="R56" s="327"/>
      <c r="S56" s="327"/>
      <c r="T56" s="327"/>
      <c r="U56" s="327"/>
      <c r="V56" s="327"/>
      <c r="W56" s="327"/>
      <c r="X56" s="327"/>
      <c r="Y56" s="327"/>
      <c r="Z56" s="327"/>
    </row>
    <row r="57" spans="1:26" ht="71.25">
      <c r="A57" s="270" t="s">
        <v>168</v>
      </c>
      <c r="B57" s="350" t="s">
        <v>145</v>
      </c>
      <c r="C57" s="360">
        <v>20</v>
      </c>
      <c r="D57" s="351">
        <v>3</v>
      </c>
      <c r="E57" s="361">
        <f t="shared" si="4"/>
        <v>80</v>
      </c>
      <c r="F57" s="310">
        <v>16.11</v>
      </c>
      <c r="G57" s="352">
        <f t="shared" si="5"/>
        <v>1288.8</v>
      </c>
      <c r="H57" s="327"/>
      <c r="I57" s="327"/>
      <c r="J57" s="327"/>
      <c r="K57" s="327"/>
      <c r="L57" s="327"/>
      <c r="M57" s="327"/>
      <c r="N57" s="327"/>
      <c r="O57" s="327"/>
      <c r="P57" s="327"/>
      <c r="Q57" s="327"/>
      <c r="R57" s="327"/>
      <c r="S57" s="327"/>
      <c r="T57" s="327"/>
      <c r="U57" s="327"/>
      <c r="V57" s="327"/>
      <c r="W57" s="327"/>
      <c r="X57" s="327"/>
      <c r="Y57" s="327"/>
      <c r="Z57" s="327"/>
    </row>
    <row r="58" spans="1:26" ht="14.25" customHeight="1">
      <c r="A58" s="550" t="s">
        <v>169</v>
      </c>
      <c r="B58" s="550"/>
      <c r="C58" s="550"/>
      <c r="D58" s="550"/>
      <c r="E58" s="550"/>
      <c r="F58" s="550"/>
      <c r="G58" s="345">
        <f>SUM(G39:G57)</f>
        <v>18825.269999999997</v>
      </c>
      <c r="H58" s="327"/>
      <c r="I58" s="327"/>
      <c r="J58" s="327"/>
      <c r="K58" s="327"/>
      <c r="L58" s="327"/>
      <c r="M58" s="327"/>
      <c r="N58" s="327"/>
      <c r="O58" s="327"/>
      <c r="P58" s="327"/>
      <c r="Q58" s="327"/>
      <c r="R58" s="327"/>
      <c r="S58" s="327"/>
      <c r="T58" s="327"/>
      <c r="U58" s="327"/>
      <c r="V58" s="327"/>
      <c r="W58" s="327"/>
      <c r="X58" s="327"/>
      <c r="Y58" s="327"/>
      <c r="Z58" s="327"/>
    </row>
    <row r="59" spans="1:26" ht="14.25" customHeight="1">
      <c r="A59" s="546" t="s">
        <v>170</v>
      </c>
      <c r="B59" s="546"/>
      <c r="C59" s="546"/>
      <c r="D59" s="546"/>
      <c r="E59" s="546"/>
      <c r="F59" s="546"/>
      <c r="G59" s="346">
        <f>G58/12</f>
        <v>1568.7724999999998</v>
      </c>
      <c r="H59" s="327"/>
      <c r="I59" s="327"/>
      <c r="J59" s="327"/>
      <c r="K59" s="327"/>
      <c r="L59" s="327"/>
      <c r="M59" s="327"/>
      <c r="N59" s="327"/>
      <c r="O59" s="327"/>
      <c r="P59" s="327"/>
      <c r="Q59" s="327"/>
      <c r="R59" s="327"/>
      <c r="S59" s="327"/>
      <c r="T59" s="327"/>
      <c r="U59" s="327"/>
      <c r="V59" s="327"/>
      <c r="W59" s="327"/>
      <c r="X59" s="327"/>
      <c r="Y59" s="327"/>
      <c r="Z59" s="327"/>
    </row>
    <row r="60" spans="1:26" ht="12.75" customHeight="1">
      <c r="A60" s="357"/>
      <c r="B60" s="358"/>
      <c r="C60" s="358"/>
      <c r="D60" s="358"/>
      <c r="E60" s="359"/>
      <c r="F60" s="359"/>
      <c r="G60" s="327"/>
      <c r="H60" s="327"/>
      <c r="I60" s="327"/>
      <c r="J60" s="327"/>
      <c r="K60" s="327"/>
      <c r="L60" s="327"/>
      <c r="M60" s="327"/>
      <c r="N60" s="327"/>
      <c r="O60" s="327"/>
      <c r="P60" s="327"/>
      <c r="Q60" s="327"/>
      <c r="R60" s="327"/>
      <c r="S60" s="327"/>
      <c r="T60" s="327"/>
      <c r="U60" s="327"/>
      <c r="V60" s="327"/>
      <c r="W60" s="327"/>
      <c r="X60" s="327"/>
      <c r="Y60" s="327"/>
      <c r="Z60" s="327"/>
    </row>
    <row r="61" spans="1:26" ht="25.5" customHeight="1">
      <c r="A61" s="331" t="s">
        <v>171</v>
      </c>
      <c r="B61" s="332" t="s">
        <v>108</v>
      </c>
      <c r="C61" s="332" t="s">
        <v>149</v>
      </c>
      <c r="D61" s="332" t="s">
        <v>172</v>
      </c>
      <c r="E61" s="332" t="s">
        <v>110</v>
      </c>
      <c r="F61" s="333" t="s">
        <v>111</v>
      </c>
      <c r="G61" s="333" t="s">
        <v>112</v>
      </c>
      <c r="H61" s="327"/>
      <c r="I61" s="327"/>
      <c r="J61" s="327"/>
      <c r="K61" s="327"/>
      <c r="L61" s="327"/>
      <c r="M61" s="327"/>
      <c r="N61" s="327"/>
      <c r="O61" s="327"/>
      <c r="P61" s="327"/>
      <c r="Q61" s="327"/>
      <c r="R61" s="327"/>
      <c r="S61" s="327"/>
      <c r="T61" s="327"/>
      <c r="U61" s="327"/>
      <c r="V61" s="327"/>
      <c r="W61" s="327"/>
      <c r="X61" s="327"/>
      <c r="Y61" s="327"/>
      <c r="Z61" s="327"/>
    </row>
    <row r="62" spans="1:26" ht="15">
      <c r="A62" s="270" t="s">
        <v>173</v>
      </c>
      <c r="B62" s="350" t="s">
        <v>145</v>
      </c>
      <c r="C62" s="351">
        <v>1</v>
      </c>
      <c r="D62" s="286">
        <v>60</v>
      </c>
      <c r="E62" s="362">
        <f t="shared" ref="E62:E64" si="6">12/D62*C62</f>
        <v>0.2</v>
      </c>
      <c r="F62" s="312">
        <v>411.89</v>
      </c>
      <c r="G62" s="352">
        <f t="shared" ref="G62:G64" si="7">E62*F62</f>
        <v>82.378</v>
      </c>
      <c r="H62" s="327"/>
      <c r="I62" s="327"/>
      <c r="J62" s="327"/>
      <c r="K62" s="327"/>
      <c r="L62" s="327"/>
      <c r="M62" s="327"/>
      <c r="N62" s="327"/>
      <c r="O62" s="327"/>
      <c r="P62" s="327"/>
      <c r="Q62" s="327"/>
      <c r="R62" s="327"/>
      <c r="S62" s="327"/>
      <c r="T62" s="327"/>
      <c r="U62" s="327"/>
      <c r="V62" s="327"/>
      <c r="W62" s="327"/>
      <c r="X62" s="327"/>
      <c r="Y62" s="327"/>
      <c r="Z62" s="327"/>
    </row>
    <row r="63" spans="1:26" ht="57">
      <c r="A63" s="270" t="s">
        <v>174</v>
      </c>
      <c r="B63" s="350" t="s">
        <v>145</v>
      </c>
      <c r="C63" s="351">
        <v>1</v>
      </c>
      <c r="D63" s="286">
        <v>60</v>
      </c>
      <c r="E63" s="362">
        <f t="shared" si="6"/>
        <v>0.2</v>
      </c>
      <c r="F63" s="312">
        <v>410.75</v>
      </c>
      <c r="G63" s="352">
        <f t="shared" si="7"/>
        <v>82.15</v>
      </c>
      <c r="H63" s="327"/>
      <c r="I63" s="327"/>
      <c r="J63" s="327"/>
      <c r="K63" s="327"/>
      <c r="L63" s="327"/>
      <c r="M63" s="327"/>
      <c r="N63" s="327"/>
      <c r="O63" s="327"/>
      <c r="P63" s="327"/>
      <c r="Q63" s="327"/>
      <c r="R63" s="327"/>
      <c r="S63" s="327"/>
      <c r="T63" s="327"/>
      <c r="U63" s="327"/>
      <c r="V63" s="327"/>
      <c r="W63" s="327"/>
      <c r="X63" s="327"/>
      <c r="Y63" s="327"/>
      <c r="Z63" s="327"/>
    </row>
    <row r="64" spans="1:26" ht="71.25">
      <c r="A64" s="270" t="s">
        <v>175</v>
      </c>
      <c r="B64" s="350" t="s">
        <v>145</v>
      </c>
      <c r="C64" s="351">
        <v>1</v>
      </c>
      <c r="D64" s="286">
        <v>60</v>
      </c>
      <c r="E64" s="362">
        <f t="shared" si="6"/>
        <v>0.2</v>
      </c>
      <c r="F64" s="312">
        <v>166.2</v>
      </c>
      <c r="G64" s="352">
        <f t="shared" si="7"/>
        <v>33.24</v>
      </c>
      <c r="H64" s="327"/>
      <c r="I64" s="327"/>
      <c r="J64" s="327"/>
      <c r="K64" s="327"/>
      <c r="L64" s="327"/>
      <c r="M64" s="327"/>
      <c r="N64" s="327"/>
      <c r="O64" s="327"/>
      <c r="P64" s="327"/>
      <c r="Q64" s="327"/>
      <c r="R64" s="327"/>
      <c r="S64" s="327"/>
      <c r="T64" s="327"/>
      <c r="U64" s="327"/>
      <c r="V64" s="327"/>
      <c r="W64" s="327"/>
      <c r="X64" s="327"/>
      <c r="Y64" s="327"/>
      <c r="Z64" s="327"/>
    </row>
    <row r="65" spans="1:26" ht="12.75" customHeight="1">
      <c r="A65" s="550" t="s">
        <v>176</v>
      </c>
      <c r="B65" s="550"/>
      <c r="C65" s="550"/>
      <c r="D65" s="550"/>
      <c r="E65" s="550"/>
      <c r="F65" s="550"/>
      <c r="G65" s="363">
        <f>SUM(G62:G64)</f>
        <v>197.76800000000003</v>
      </c>
      <c r="H65" s="327"/>
      <c r="I65" s="327"/>
      <c r="J65" s="327"/>
      <c r="K65" s="327"/>
      <c r="L65" s="327"/>
      <c r="M65" s="327"/>
      <c r="N65" s="327"/>
      <c r="O65" s="327"/>
      <c r="P65" s="327"/>
      <c r="Q65" s="327"/>
      <c r="R65" s="327"/>
      <c r="S65" s="327"/>
      <c r="T65" s="327"/>
      <c r="U65" s="327"/>
      <c r="V65" s="327"/>
      <c r="W65" s="327"/>
      <c r="X65" s="327"/>
      <c r="Y65" s="327"/>
      <c r="Z65" s="327"/>
    </row>
    <row r="66" spans="1:26" ht="12.75" customHeight="1">
      <c r="A66" s="546" t="s">
        <v>177</v>
      </c>
      <c r="B66" s="546"/>
      <c r="C66" s="546"/>
      <c r="D66" s="546"/>
      <c r="E66" s="546"/>
      <c r="F66" s="546"/>
      <c r="G66" s="356">
        <f>G65/12</f>
        <v>16.480666666666668</v>
      </c>
      <c r="H66" s="327"/>
      <c r="I66" s="327"/>
      <c r="J66" s="327"/>
      <c r="K66" s="327"/>
      <c r="L66" s="327"/>
      <c r="M66" s="327"/>
      <c r="N66" s="327"/>
      <c r="O66" s="327"/>
      <c r="P66" s="327"/>
      <c r="Q66" s="327"/>
      <c r="R66" s="327"/>
      <c r="S66" s="327"/>
      <c r="T66" s="327"/>
      <c r="U66" s="327"/>
      <c r="V66" s="327"/>
      <c r="W66" s="327"/>
      <c r="X66" s="327"/>
      <c r="Y66" s="327"/>
      <c r="Z66" s="327"/>
    </row>
    <row r="67" spans="1:26" ht="12.75" customHeight="1">
      <c r="A67" s="357"/>
      <c r="B67" s="358"/>
      <c r="C67" s="358"/>
      <c r="D67" s="358"/>
      <c r="E67" s="359"/>
      <c r="F67" s="359"/>
      <c r="G67" s="327"/>
      <c r="H67" s="327"/>
      <c r="I67" s="327"/>
      <c r="J67" s="327"/>
      <c r="K67" s="327"/>
      <c r="L67" s="327"/>
      <c r="M67" s="327"/>
      <c r="N67" s="327"/>
      <c r="O67" s="327"/>
      <c r="P67" s="327"/>
      <c r="Q67" s="327"/>
      <c r="R67" s="327"/>
      <c r="S67" s="327"/>
      <c r="T67" s="327"/>
      <c r="U67" s="327"/>
      <c r="V67" s="327"/>
      <c r="W67" s="327"/>
      <c r="X67" s="327"/>
      <c r="Y67" s="327"/>
      <c r="Z67" s="327"/>
    </row>
    <row r="68" spans="1:26" ht="25.5" customHeight="1">
      <c r="A68" s="331" t="s">
        <v>178</v>
      </c>
      <c r="B68" s="332" t="s">
        <v>108</v>
      </c>
      <c r="C68" s="332" t="s">
        <v>110</v>
      </c>
      <c r="D68" s="333" t="s">
        <v>111</v>
      </c>
      <c r="E68" s="333" t="s">
        <v>112</v>
      </c>
      <c r="F68" s="551"/>
      <c r="G68" s="551"/>
      <c r="H68" s="364"/>
      <c r="I68" s="327"/>
      <c r="J68" s="327"/>
      <c r="K68" s="327"/>
      <c r="L68" s="327"/>
      <c r="M68" s="327"/>
      <c r="N68" s="327"/>
      <c r="O68" s="327"/>
      <c r="P68" s="327"/>
      <c r="Q68" s="327"/>
      <c r="R68" s="327"/>
      <c r="S68" s="327"/>
      <c r="T68" s="327"/>
      <c r="U68" s="327"/>
      <c r="V68" s="327"/>
      <c r="W68" s="327"/>
      <c r="X68" s="327"/>
      <c r="Y68" s="327"/>
      <c r="Z68" s="327"/>
    </row>
    <row r="69" spans="1:26" ht="86.25" customHeight="1">
      <c r="A69" s="353" t="s">
        <v>179</v>
      </c>
      <c r="B69" s="350" t="s">
        <v>180</v>
      </c>
      <c r="C69" s="361">
        <v>2</v>
      </c>
      <c r="D69" s="312">
        <v>59.95</v>
      </c>
      <c r="E69" s="352">
        <f t="shared" ref="E69:E79" si="8">C69*D69</f>
        <v>119.9</v>
      </c>
      <c r="F69" s="549"/>
      <c r="G69" s="549"/>
      <c r="H69" s="327"/>
      <c r="I69" s="327"/>
      <c r="J69" s="327"/>
      <c r="K69" s="327"/>
      <c r="L69" s="327"/>
      <c r="M69" s="327"/>
      <c r="N69" s="327"/>
      <c r="O69" s="327"/>
      <c r="P69" s="327"/>
      <c r="Q69" s="327"/>
      <c r="R69" s="327"/>
      <c r="S69" s="327"/>
      <c r="T69" s="327"/>
      <c r="U69" s="327"/>
      <c r="V69" s="327"/>
      <c r="W69" s="327"/>
      <c r="X69" s="327"/>
      <c r="Y69" s="327"/>
      <c r="Z69" s="327"/>
    </row>
    <row r="70" spans="1:26" ht="28.5">
      <c r="A70" s="270" t="s">
        <v>181</v>
      </c>
      <c r="B70" s="350" t="s">
        <v>145</v>
      </c>
      <c r="C70" s="361">
        <v>4</v>
      </c>
      <c r="D70" s="312">
        <v>15.77</v>
      </c>
      <c r="E70" s="352">
        <f t="shared" si="8"/>
        <v>63.08</v>
      </c>
      <c r="F70" s="549"/>
      <c r="G70" s="549"/>
      <c r="H70" s="327"/>
      <c r="I70" s="327"/>
      <c r="J70" s="327"/>
      <c r="K70" s="327"/>
      <c r="L70" s="327"/>
      <c r="M70" s="327"/>
      <c r="N70" s="327"/>
      <c r="O70" s="327"/>
      <c r="P70" s="327"/>
      <c r="Q70" s="327"/>
      <c r="R70" s="327"/>
      <c r="S70" s="327"/>
      <c r="T70" s="327"/>
      <c r="U70" s="327"/>
      <c r="V70" s="327"/>
      <c r="W70" s="327"/>
      <c r="X70" s="327"/>
      <c r="Y70" s="327"/>
      <c r="Z70" s="327"/>
    </row>
    <row r="71" spans="1:26" ht="28.5">
      <c r="A71" s="270" t="s">
        <v>182</v>
      </c>
      <c r="B71" s="350" t="s">
        <v>145</v>
      </c>
      <c r="C71" s="361">
        <v>6</v>
      </c>
      <c r="D71" s="312">
        <v>11.06</v>
      </c>
      <c r="E71" s="352">
        <f t="shared" si="8"/>
        <v>66.36</v>
      </c>
      <c r="F71" s="549"/>
      <c r="G71" s="549"/>
      <c r="H71" s="327"/>
      <c r="I71" s="327"/>
      <c r="J71" s="327"/>
      <c r="K71" s="327"/>
      <c r="L71" s="327"/>
      <c r="M71" s="327"/>
      <c r="N71" s="327"/>
      <c r="O71" s="327"/>
      <c r="P71" s="327"/>
      <c r="Q71" s="327"/>
      <c r="R71" s="327"/>
      <c r="S71" s="327"/>
      <c r="T71" s="327"/>
      <c r="U71" s="327"/>
      <c r="V71" s="327"/>
      <c r="W71" s="327"/>
      <c r="X71" s="327"/>
      <c r="Y71" s="327"/>
      <c r="Z71" s="327"/>
    </row>
    <row r="72" spans="1:26" ht="28.5">
      <c r="A72" s="270" t="s">
        <v>183</v>
      </c>
      <c r="B72" s="350" t="s">
        <v>145</v>
      </c>
      <c r="C72" s="361">
        <v>4</v>
      </c>
      <c r="D72" s="312">
        <v>33.75</v>
      </c>
      <c r="E72" s="352">
        <f t="shared" si="8"/>
        <v>135</v>
      </c>
      <c r="F72" s="549"/>
      <c r="G72" s="549"/>
      <c r="H72" s="327"/>
      <c r="I72" s="327"/>
      <c r="J72" s="327"/>
      <c r="K72" s="327"/>
      <c r="L72" s="327"/>
      <c r="M72" s="327"/>
      <c r="N72" s="327"/>
      <c r="O72" s="327"/>
      <c r="P72" s="327"/>
      <c r="Q72" s="327"/>
      <c r="R72" s="327"/>
      <c r="S72" s="327"/>
      <c r="T72" s="327"/>
      <c r="U72" s="327"/>
      <c r="V72" s="327"/>
      <c r="W72" s="327"/>
      <c r="X72" s="327"/>
      <c r="Y72" s="327"/>
      <c r="Z72" s="327"/>
    </row>
    <row r="73" spans="1:26" ht="101.25" customHeight="1">
      <c r="A73" s="270" t="s">
        <v>184</v>
      </c>
      <c r="B73" s="350" t="s">
        <v>145</v>
      </c>
      <c r="C73" s="361">
        <v>1</v>
      </c>
      <c r="D73" s="312">
        <v>151.35</v>
      </c>
      <c r="E73" s="352">
        <f t="shared" si="8"/>
        <v>151.35</v>
      </c>
      <c r="F73" s="549"/>
      <c r="G73" s="549"/>
      <c r="H73" s="327"/>
      <c r="I73" s="327"/>
      <c r="J73" s="327"/>
      <c r="K73" s="327"/>
      <c r="L73" s="327"/>
      <c r="M73" s="327"/>
      <c r="N73" s="327"/>
      <c r="O73" s="327"/>
      <c r="P73" s="327"/>
      <c r="Q73" s="327"/>
      <c r="R73" s="327"/>
      <c r="S73" s="327"/>
      <c r="T73" s="327"/>
      <c r="U73" s="327"/>
      <c r="V73" s="327"/>
      <c r="W73" s="327"/>
      <c r="X73" s="327"/>
      <c r="Y73" s="327"/>
      <c r="Z73" s="327"/>
    </row>
    <row r="74" spans="1:26" ht="15">
      <c r="A74" s="270" t="s">
        <v>185</v>
      </c>
      <c r="B74" s="350" t="s">
        <v>180</v>
      </c>
      <c r="C74" s="361">
        <v>6</v>
      </c>
      <c r="D74" s="312">
        <v>6.47</v>
      </c>
      <c r="E74" s="352">
        <f t="shared" si="8"/>
        <v>38.82</v>
      </c>
      <c r="F74" s="549"/>
      <c r="G74" s="549"/>
      <c r="H74" s="327"/>
      <c r="I74" s="327"/>
      <c r="J74" s="327"/>
      <c r="K74" s="327"/>
      <c r="L74" s="327"/>
      <c r="M74" s="327"/>
      <c r="N74" s="327"/>
      <c r="O74" s="327"/>
      <c r="P74" s="327"/>
      <c r="Q74" s="327"/>
      <c r="R74" s="327"/>
      <c r="S74" s="327"/>
      <c r="T74" s="327"/>
      <c r="U74" s="327"/>
      <c r="V74" s="327"/>
      <c r="W74" s="327"/>
      <c r="X74" s="327"/>
      <c r="Y74" s="327"/>
      <c r="Z74" s="327"/>
    </row>
    <row r="75" spans="1:26" ht="192" customHeight="1">
      <c r="A75" s="270" t="s">
        <v>186</v>
      </c>
      <c r="B75" s="350" t="s">
        <v>145</v>
      </c>
      <c r="C75" s="361">
        <v>1152</v>
      </c>
      <c r="D75" s="312">
        <v>7.0000000000000007E-2</v>
      </c>
      <c r="E75" s="352">
        <f t="shared" si="8"/>
        <v>80.640000000000015</v>
      </c>
      <c r="F75" s="549"/>
      <c r="G75" s="549"/>
      <c r="H75" s="327"/>
      <c r="I75" s="327"/>
      <c r="J75" s="327"/>
      <c r="K75" s="327"/>
      <c r="L75" s="327"/>
      <c r="M75" s="327"/>
      <c r="N75" s="327"/>
      <c r="O75" s="327"/>
      <c r="P75" s="327"/>
      <c r="Q75" s="327"/>
      <c r="R75" s="327"/>
      <c r="S75" s="327"/>
      <c r="T75" s="327"/>
      <c r="U75" s="327"/>
      <c r="V75" s="327"/>
      <c r="W75" s="327"/>
      <c r="X75" s="327"/>
      <c r="Y75" s="327"/>
      <c r="Z75" s="327"/>
    </row>
    <row r="76" spans="1:26" ht="102" customHeight="1">
      <c r="A76" s="270" t="s">
        <v>187</v>
      </c>
      <c r="B76" s="350" t="s">
        <v>145</v>
      </c>
      <c r="C76" s="351">
        <v>2</v>
      </c>
      <c r="D76" s="312">
        <v>6.25</v>
      </c>
      <c r="E76" s="352">
        <f t="shared" si="8"/>
        <v>12.5</v>
      </c>
      <c r="F76" s="549"/>
      <c r="G76" s="549"/>
      <c r="H76" s="327"/>
      <c r="I76" s="327"/>
      <c r="J76" s="327"/>
      <c r="K76" s="327"/>
      <c r="L76" s="327"/>
      <c r="M76" s="327"/>
      <c r="N76" s="327"/>
      <c r="O76" s="327"/>
      <c r="P76" s="327"/>
      <c r="Q76" s="327"/>
      <c r="R76" s="327"/>
      <c r="S76" s="327"/>
      <c r="T76" s="327"/>
      <c r="U76" s="327"/>
      <c r="V76" s="327"/>
      <c r="W76" s="327"/>
      <c r="X76" s="327"/>
      <c r="Y76" s="327"/>
      <c r="Z76" s="327"/>
    </row>
    <row r="77" spans="1:26" ht="61.5" customHeight="1">
      <c r="A77" s="270" t="s">
        <v>188</v>
      </c>
      <c r="B77" s="350" t="s">
        <v>180</v>
      </c>
      <c r="C77" s="361">
        <v>2</v>
      </c>
      <c r="D77" s="312">
        <v>4.38</v>
      </c>
      <c r="E77" s="352">
        <f t="shared" si="8"/>
        <v>8.76</v>
      </c>
      <c r="F77" s="549"/>
      <c r="G77" s="549"/>
      <c r="H77" s="327"/>
      <c r="I77" s="327"/>
      <c r="J77" s="327"/>
      <c r="K77" s="327"/>
      <c r="L77" s="327"/>
      <c r="M77" s="327"/>
      <c r="N77" s="327"/>
      <c r="O77" s="327"/>
      <c r="P77" s="327"/>
      <c r="Q77" s="327"/>
      <c r="R77" s="327"/>
      <c r="S77" s="327"/>
      <c r="T77" s="327"/>
      <c r="U77" s="327"/>
      <c r="V77" s="327"/>
      <c r="W77" s="327"/>
      <c r="X77" s="327"/>
      <c r="Y77" s="327"/>
      <c r="Z77" s="327"/>
    </row>
    <row r="78" spans="1:26" ht="161.25" customHeight="1">
      <c r="A78" s="270" t="s">
        <v>683</v>
      </c>
      <c r="B78" s="350" t="s">
        <v>145</v>
      </c>
      <c r="C78" s="361">
        <v>52</v>
      </c>
      <c r="D78" s="312">
        <v>2.19</v>
      </c>
      <c r="E78" s="352">
        <f t="shared" si="8"/>
        <v>113.88</v>
      </c>
      <c r="F78" s="549"/>
      <c r="G78" s="549"/>
      <c r="H78" s="327"/>
      <c r="I78" s="327"/>
      <c r="J78" s="327"/>
      <c r="K78" s="327"/>
      <c r="L78" s="327"/>
      <c r="M78" s="327"/>
      <c r="N78" s="327"/>
      <c r="O78" s="327"/>
      <c r="P78" s="327"/>
      <c r="Q78" s="327"/>
      <c r="R78" s="327"/>
      <c r="S78" s="327"/>
      <c r="T78" s="327"/>
      <c r="U78" s="327"/>
      <c r="V78" s="327"/>
      <c r="W78" s="327"/>
      <c r="X78" s="327"/>
      <c r="Y78" s="327"/>
      <c r="Z78" s="327"/>
    </row>
    <row r="79" spans="1:26" ht="42.75">
      <c r="A79" s="270" t="s">
        <v>189</v>
      </c>
      <c r="B79" s="273" t="s">
        <v>180</v>
      </c>
      <c r="C79" s="361">
        <v>1</v>
      </c>
      <c r="D79" s="312">
        <v>38.17</v>
      </c>
      <c r="E79" s="352">
        <f t="shared" si="8"/>
        <v>38.17</v>
      </c>
      <c r="F79" s="549"/>
      <c r="G79" s="549"/>
      <c r="H79" s="327"/>
      <c r="I79" s="327"/>
      <c r="J79" s="327"/>
      <c r="K79" s="327"/>
      <c r="L79" s="327"/>
      <c r="M79" s="327"/>
      <c r="N79" s="327"/>
      <c r="O79" s="327"/>
      <c r="P79" s="327"/>
      <c r="Q79" s="327"/>
      <c r="R79" s="327"/>
      <c r="S79" s="327"/>
      <c r="T79" s="327"/>
      <c r="U79" s="327"/>
      <c r="V79" s="327"/>
      <c r="W79" s="327"/>
      <c r="X79" s="327"/>
      <c r="Y79" s="327"/>
      <c r="Z79" s="327"/>
    </row>
    <row r="80" spans="1:26" ht="12.75" customHeight="1">
      <c r="A80" s="545" t="s">
        <v>190</v>
      </c>
      <c r="B80" s="545"/>
      <c r="C80" s="545"/>
      <c r="D80" s="545"/>
      <c r="E80" s="365">
        <f>SUM(E69:E79)</f>
        <v>828.46</v>
      </c>
      <c r="F80" s="327"/>
      <c r="G80" s="327"/>
      <c r="H80" s="327"/>
      <c r="I80" s="327"/>
      <c r="J80" s="327"/>
      <c r="K80" s="327"/>
      <c r="L80" s="327"/>
      <c r="M80" s="327"/>
      <c r="N80" s="327"/>
      <c r="O80" s="327"/>
      <c r="P80" s="327"/>
      <c r="Q80" s="327"/>
      <c r="R80" s="327"/>
      <c r="S80" s="327"/>
      <c r="T80" s="327"/>
      <c r="U80" s="327"/>
      <c r="V80" s="327"/>
      <c r="W80" s="327"/>
      <c r="X80" s="327"/>
      <c r="Y80" s="327"/>
      <c r="Z80" s="327"/>
    </row>
    <row r="81" spans="1:26" ht="12.75" customHeight="1">
      <c r="A81" s="546" t="s">
        <v>191</v>
      </c>
      <c r="B81" s="546"/>
      <c r="C81" s="546"/>
      <c r="D81" s="546"/>
      <c r="E81" s="346">
        <f>E80/12</f>
        <v>69.038333333333341</v>
      </c>
      <c r="F81" s="359"/>
      <c r="G81" s="327"/>
      <c r="H81" s="327"/>
      <c r="I81" s="327"/>
      <c r="J81" s="327"/>
      <c r="K81" s="327"/>
      <c r="L81" s="327"/>
      <c r="M81" s="327"/>
      <c r="N81" s="327"/>
      <c r="O81" s="327"/>
      <c r="P81" s="327"/>
      <c r="Q81" s="327"/>
      <c r="R81" s="327"/>
      <c r="S81" s="327"/>
      <c r="T81" s="327"/>
      <c r="U81" s="327"/>
      <c r="V81" s="327"/>
      <c r="W81" s="327"/>
      <c r="X81" s="327"/>
      <c r="Y81" s="327"/>
      <c r="Z81" s="327"/>
    </row>
    <row r="82" spans="1:26" ht="12.75" customHeight="1">
      <c r="A82" s="357"/>
      <c r="B82" s="358"/>
      <c r="C82" s="358"/>
      <c r="D82" s="358"/>
      <c r="E82" s="359"/>
      <c r="F82" s="359"/>
      <c r="G82" s="327"/>
      <c r="H82" s="327"/>
      <c r="I82" s="327"/>
      <c r="J82" s="327"/>
      <c r="K82" s="327"/>
      <c r="L82" s="327"/>
      <c r="M82" s="327"/>
      <c r="N82" s="327"/>
      <c r="O82" s="327"/>
      <c r="P82" s="327"/>
      <c r="Q82" s="327"/>
      <c r="R82" s="327"/>
      <c r="S82" s="327"/>
      <c r="T82" s="327"/>
      <c r="U82" s="327"/>
      <c r="V82" s="327"/>
      <c r="W82" s="327"/>
      <c r="X82" s="327"/>
      <c r="Y82" s="327"/>
      <c r="Z82" s="327"/>
    </row>
    <row r="83" spans="1:26" ht="38.25" customHeight="1">
      <c r="A83" s="366" t="s">
        <v>192</v>
      </c>
      <c r="B83" s="547" t="s">
        <v>193</v>
      </c>
      <c r="C83" s="547"/>
      <c r="D83" s="547" t="s">
        <v>194</v>
      </c>
      <c r="E83" s="547"/>
      <c r="F83" s="548" t="s">
        <v>195</v>
      </c>
      <c r="G83" s="548"/>
      <c r="H83" s="548"/>
      <c r="I83" s="327"/>
      <c r="J83" s="327"/>
      <c r="K83" s="327"/>
      <c r="L83" s="327"/>
      <c r="M83" s="327"/>
      <c r="N83" s="327"/>
      <c r="O83" s="327"/>
      <c r="P83" s="327"/>
      <c r="Q83" s="327"/>
      <c r="R83" s="327"/>
      <c r="S83" s="327"/>
      <c r="T83" s="327"/>
      <c r="U83" s="327"/>
      <c r="V83" s="327"/>
      <c r="W83" s="327"/>
      <c r="X83" s="327"/>
      <c r="Y83" s="327"/>
      <c r="Z83" s="327"/>
    </row>
    <row r="84" spans="1:26" ht="35.25" customHeight="1">
      <c r="A84" s="367" t="s">
        <v>196</v>
      </c>
      <c r="B84" s="544">
        <f>F25</f>
        <v>170870.40000000002</v>
      </c>
      <c r="C84" s="544"/>
      <c r="D84" s="544">
        <f>B84/12</f>
        <v>14239.200000000003</v>
      </c>
      <c r="E84" s="544"/>
      <c r="F84" s="544">
        <f>D84/'11. Resumo da Proposta'!F14</f>
        <v>309.83233587017531</v>
      </c>
      <c r="G84" s="544"/>
      <c r="H84" s="544"/>
      <c r="I84" s="327"/>
      <c r="J84" s="327"/>
      <c r="K84" s="327"/>
      <c r="L84" s="327"/>
      <c r="M84" s="327"/>
      <c r="N84" s="327"/>
      <c r="O84" s="327"/>
      <c r="P84" s="327"/>
      <c r="Q84" s="327"/>
      <c r="R84" s="327"/>
      <c r="S84" s="327"/>
      <c r="T84" s="327"/>
      <c r="U84" s="327"/>
      <c r="V84" s="327"/>
      <c r="W84" s="327"/>
      <c r="X84" s="327"/>
      <c r="Y84" s="327"/>
      <c r="Z84" s="327"/>
    </row>
    <row r="85" spans="1:26" ht="35.25" customHeight="1">
      <c r="A85" s="367" t="s">
        <v>197</v>
      </c>
      <c r="B85" s="544">
        <f>F35</f>
        <v>38328.840000000004</v>
      </c>
      <c r="C85" s="544"/>
      <c r="D85" s="544">
        <f>B85/12</f>
        <v>3194.07</v>
      </c>
      <c r="E85" s="544"/>
      <c r="F85" s="544">
        <f>D85/'11. Resumo da Proposta'!F14</f>
        <v>69.500124236814614</v>
      </c>
      <c r="G85" s="544"/>
      <c r="H85" s="544"/>
      <c r="I85" s="327"/>
      <c r="J85" s="327"/>
      <c r="K85" s="327"/>
      <c r="L85" s="327"/>
      <c r="M85" s="327"/>
      <c r="N85" s="327"/>
      <c r="O85" s="327"/>
      <c r="P85" s="327"/>
      <c r="Q85" s="327"/>
      <c r="R85" s="327"/>
      <c r="S85" s="327"/>
      <c r="T85" s="327"/>
      <c r="U85" s="327"/>
      <c r="V85" s="327"/>
      <c r="W85" s="327"/>
      <c r="X85" s="327"/>
      <c r="Y85" s="327"/>
      <c r="Z85" s="327"/>
    </row>
    <row r="86" spans="1:26" ht="35.25" customHeight="1">
      <c r="A86" s="367" t="s">
        <v>198</v>
      </c>
      <c r="B86" s="544">
        <f>G58</f>
        <v>18825.269999999997</v>
      </c>
      <c r="C86" s="544"/>
      <c r="D86" s="544">
        <f>B86/12</f>
        <v>1568.7724999999998</v>
      </c>
      <c r="E86" s="544"/>
      <c r="F86" s="544">
        <f>D86/'11. Resumo da Proposta'!F14</f>
        <v>34.135095238770049</v>
      </c>
      <c r="G86" s="544"/>
      <c r="H86" s="544"/>
      <c r="I86" s="327"/>
      <c r="J86" s="327"/>
      <c r="K86" s="327"/>
      <c r="L86" s="327"/>
      <c r="M86" s="327"/>
      <c r="N86" s="327"/>
      <c r="O86" s="327"/>
      <c r="P86" s="327"/>
      <c r="Q86" s="327"/>
      <c r="R86" s="327"/>
      <c r="S86" s="327"/>
      <c r="T86" s="327"/>
      <c r="U86" s="327"/>
      <c r="V86" s="327"/>
      <c r="W86" s="327"/>
      <c r="X86" s="327"/>
      <c r="Y86" s="327"/>
      <c r="Z86" s="327"/>
    </row>
    <row r="87" spans="1:26" ht="35.25" customHeight="1">
      <c r="A87" s="368" t="s">
        <v>199</v>
      </c>
      <c r="B87" s="542">
        <f>SUM(B84:B86)</f>
        <v>228024.51</v>
      </c>
      <c r="C87" s="542"/>
      <c r="D87" s="542">
        <f>B87/12</f>
        <v>19002.0425</v>
      </c>
      <c r="E87" s="542"/>
      <c r="F87" s="542">
        <f>F84+F85+F86</f>
        <v>413.46755534575993</v>
      </c>
      <c r="G87" s="542"/>
      <c r="H87" s="542"/>
      <c r="I87" s="369"/>
      <c r="J87" s="327"/>
      <c r="K87" s="327"/>
      <c r="L87" s="327"/>
      <c r="M87" s="327"/>
      <c r="N87" s="327"/>
      <c r="O87" s="327"/>
      <c r="P87" s="327"/>
      <c r="Q87" s="327"/>
      <c r="R87" s="327"/>
      <c r="S87" s="327"/>
      <c r="T87" s="327"/>
      <c r="U87" s="327"/>
      <c r="V87" s="327"/>
      <c r="W87" s="327"/>
      <c r="X87" s="327"/>
      <c r="Y87" s="327"/>
      <c r="Z87" s="327"/>
    </row>
    <row r="88" spans="1:26" ht="12.75" customHeight="1">
      <c r="A88" s="543"/>
      <c r="B88" s="543"/>
      <c r="C88" s="543"/>
      <c r="D88" s="543"/>
      <c r="E88" s="543"/>
      <c r="F88" s="541"/>
      <c r="G88" s="541"/>
      <c r="H88" s="541"/>
      <c r="I88" s="369"/>
      <c r="J88" s="327"/>
      <c r="K88" s="327"/>
      <c r="L88" s="327"/>
      <c r="M88" s="327"/>
      <c r="N88" s="327"/>
      <c r="O88" s="327"/>
      <c r="P88" s="327"/>
      <c r="Q88" s="327"/>
      <c r="R88" s="327"/>
      <c r="S88" s="327"/>
      <c r="T88" s="327"/>
      <c r="U88" s="327"/>
      <c r="V88" s="327"/>
      <c r="W88" s="327"/>
      <c r="X88" s="327"/>
      <c r="Y88" s="327"/>
      <c r="Z88" s="327"/>
    </row>
    <row r="89" spans="1:26" ht="12.75" customHeight="1">
      <c r="A89" s="368" t="s">
        <v>171</v>
      </c>
      <c r="B89" s="542">
        <f>G65</f>
        <v>197.76800000000003</v>
      </c>
      <c r="C89" s="542"/>
      <c r="D89" s="542">
        <f>B89/12</f>
        <v>16.480666666666668</v>
      </c>
      <c r="E89" s="542"/>
      <c r="F89" s="542">
        <f>D89/'11. Resumo da Proposta'!F14</f>
        <v>0.35860465826950028</v>
      </c>
      <c r="G89" s="542"/>
      <c r="H89" s="542"/>
      <c r="I89" s="369"/>
      <c r="J89" s="327"/>
      <c r="K89" s="327"/>
      <c r="L89" s="327"/>
      <c r="M89" s="327"/>
      <c r="N89" s="327"/>
      <c r="O89" s="327"/>
      <c r="P89" s="327"/>
      <c r="Q89" s="327"/>
      <c r="R89" s="327"/>
      <c r="S89" s="327"/>
      <c r="T89" s="327"/>
      <c r="U89" s="327"/>
      <c r="V89" s="327"/>
      <c r="W89" s="327"/>
      <c r="X89" s="327"/>
      <c r="Y89" s="327"/>
      <c r="Z89" s="327"/>
    </row>
    <row r="90" spans="1:26" ht="12.75" customHeight="1">
      <c r="A90" s="540"/>
      <c r="B90" s="540"/>
      <c r="C90" s="540"/>
      <c r="D90" s="540"/>
      <c r="E90" s="540"/>
      <c r="F90" s="541"/>
      <c r="G90" s="541"/>
      <c r="H90" s="541"/>
      <c r="I90" s="369"/>
      <c r="J90" s="327"/>
      <c r="K90" s="327"/>
      <c r="L90" s="327"/>
      <c r="M90" s="327"/>
      <c r="N90" s="327"/>
      <c r="O90" s="327"/>
      <c r="P90" s="327"/>
      <c r="Q90" s="327"/>
      <c r="R90" s="327"/>
      <c r="S90" s="327"/>
      <c r="T90" s="327"/>
      <c r="U90" s="327"/>
      <c r="V90" s="327"/>
      <c r="W90" s="327"/>
      <c r="X90" s="327"/>
      <c r="Y90" s="327"/>
      <c r="Z90" s="327"/>
    </row>
    <row r="91" spans="1:26" ht="12.75" customHeight="1">
      <c r="A91" s="368" t="s">
        <v>178</v>
      </c>
      <c r="B91" s="542">
        <f>E80</f>
        <v>828.46</v>
      </c>
      <c r="C91" s="542"/>
      <c r="D91" s="542">
        <f>B91/12</f>
        <v>69.038333333333341</v>
      </c>
      <c r="E91" s="542"/>
      <c r="F91" s="542">
        <f>D91</f>
        <v>69.038333333333341</v>
      </c>
      <c r="G91" s="542"/>
      <c r="H91" s="542"/>
      <c r="I91" s="369"/>
      <c r="J91" s="327"/>
      <c r="K91" s="327"/>
      <c r="L91" s="327"/>
      <c r="M91" s="327"/>
      <c r="N91" s="327"/>
      <c r="O91" s="327"/>
      <c r="P91" s="327"/>
      <c r="Q91" s="327"/>
      <c r="R91" s="327"/>
      <c r="S91" s="327"/>
      <c r="T91" s="327"/>
      <c r="U91" s="327"/>
      <c r="V91" s="327"/>
      <c r="W91" s="327"/>
      <c r="X91" s="327"/>
      <c r="Y91" s="327"/>
      <c r="Z91" s="327"/>
    </row>
    <row r="92" spans="1:26" ht="12.75" customHeight="1">
      <c r="A92" s="540"/>
      <c r="B92" s="540"/>
      <c r="C92" s="540"/>
      <c r="D92" s="540"/>
      <c r="E92" s="540"/>
      <c r="F92" s="541"/>
      <c r="G92" s="541"/>
      <c r="H92" s="541"/>
      <c r="I92" s="369"/>
      <c r="J92" s="327"/>
      <c r="K92" s="327"/>
      <c r="L92" s="327"/>
      <c r="M92" s="327"/>
      <c r="N92" s="327"/>
      <c r="O92" s="327"/>
      <c r="P92" s="327"/>
      <c r="Q92" s="327"/>
      <c r="R92" s="327"/>
      <c r="S92" s="327"/>
      <c r="T92" s="327"/>
      <c r="U92" s="327"/>
      <c r="V92" s="327"/>
      <c r="W92" s="327"/>
      <c r="X92" s="327"/>
      <c r="Y92" s="327"/>
      <c r="Z92" s="327"/>
    </row>
    <row r="93" spans="1:26" ht="12.75" customHeight="1">
      <c r="A93" s="368" t="s">
        <v>200</v>
      </c>
      <c r="B93" s="542">
        <f>B87+B89+B91</f>
        <v>229050.73800000001</v>
      </c>
      <c r="C93" s="542"/>
      <c r="D93" s="542">
        <f>B93/12</f>
        <v>19087.5615</v>
      </c>
      <c r="E93" s="542"/>
      <c r="F93" s="542">
        <f>F87+F89+F91</f>
        <v>482.86449333736277</v>
      </c>
      <c r="G93" s="542"/>
      <c r="H93" s="542"/>
      <c r="I93" s="369"/>
      <c r="J93" s="327"/>
      <c r="K93" s="327"/>
      <c r="L93" s="327"/>
      <c r="M93" s="327"/>
      <c r="N93" s="327"/>
      <c r="O93" s="327"/>
      <c r="P93" s="327"/>
      <c r="Q93" s="327"/>
      <c r="R93" s="327"/>
      <c r="S93" s="327"/>
      <c r="T93" s="327"/>
      <c r="U93" s="327"/>
      <c r="V93" s="327"/>
      <c r="W93" s="327"/>
      <c r="X93" s="327"/>
      <c r="Y93" s="327"/>
      <c r="Z93" s="327"/>
    </row>
    <row r="94" spans="1:26" ht="12.75" customHeight="1">
      <c r="A94" s="370"/>
      <c r="B94" s="371"/>
      <c r="C94" s="371"/>
      <c r="D94" s="371"/>
      <c r="E94" s="371"/>
      <c r="F94" s="359"/>
      <c r="G94" s="327"/>
      <c r="H94" s="327"/>
      <c r="I94" s="327"/>
      <c r="J94" s="327"/>
      <c r="K94" s="327"/>
      <c r="L94" s="327"/>
      <c r="M94" s="327"/>
      <c r="N94" s="327"/>
      <c r="O94" s="327"/>
      <c r="P94" s="327"/>
      <c r="Q94" s="327"/>
      <c r="R94" s="327"/>
      <c r="S94" s="327"/>
      <c r="T94" s="327"/>
      <c r="U94" s="327"/>
      <c r="V94" s="327"/>
      <c r="W94" s="327"/>
      <c r="X94" s="327"/>
      <c r="Y94" s="327"/>
      <c r="Z94" s="327"/>
    </row>
    <row r="95" spans="1:26" ht="30.75" customHeight="1">
      <c r="A95" s="538" t="s">
        <v>201</v>
      </c>
      <c r="B95" s="538"/>
      <c r="C95" s="538"/>
      <c r="D95" s="538"/>
      <c r="E95" s="538"/>
      <c r="F95" s="538"/>
      <c r="G95" s="538"/>
      <c r="H95" s="372">
        <f>'11. Resumo da Proposta'!$D$12</f>
        <v>46.957759573443795</v>
      </c>
      <c r="I95" s="327"/>
      <c r="J95" s="327"/>
      <c r="K95" s="327"/>
      <c r="L95" s="327"/>
      <c r="M95" s="327"/>
      <c r="N95" s="327"/>
      <c r="O95" s="327"/>
      <c r="P95" s="327"/>
      <c r="Q95" s="327"/>
      <c r="R95" s="327"/>
      <c r="S95" s="327"/>
      <c r="T95" s="327"/>
      <c r="U95" s="327"/>
      <c r="V95" s="327"/>
      <c r="W95" s="327"/>
      <c r="X95" s="327"/>
      <c r="Y95" s="327"/>
      <c r="Z95" s="327"/>
    </row>
    <row r="96" spans="1:26" ht="12.75" customHeight="1">
      <c r="A96" s="357"/>
      <c r="B96" s="358"/>
      <c r="C96" s="358"/>
      <c r="D96" s="358"/>
      <c r="E96" s="359"/>
      <c r="F96" s="359"/>
      <c r="G96" s="327"/>
      <c r="H96" s="327"/>
      <c r="I96" s="327"/>
      <c r="J96" s="327"/>
      <c r="K96" s="327"/>
      <c r="L96" s="327"/>
      <c r="M96" s="327"/>
      <c r="N96" s="327"/>
      <c r="O96" s="327"/>
      <c r="P96" s="327"/>
      <c r="Q96" s="327"/>
      <c r="R96" s="327"/>
      <c r="S96" s="327"/>
      <c r="T96" s="327"/>
      <c r="U96" s="327"/>
      <c r="V96" s="327"/>
      <c r="W96" s="327"/>
      <c r="X96" s="327"/>
      <c r="Y96" s="327"/>
      <c r="Z96" s="327"/>
    </row>
    <row r="97" spans="1:26" ht="29.25" customHeight="1">
      <c r="A97" s="539" t="s">
        <v>202</v>
      </c>
      <c r="B97" s="539"/>
      <c r="C97" s="539"/>
      <c r="D97" s="539"/>
      <c r="E97" s="539"/>
      <c r="F97" s="539"/>
      <c r="G97" s="539"/>
      <c r="H97" s="539"/>
      <c r="I97" s="327"/>
      <c r="J97" s="327"/>
      <c r="K97" s="327"/>
      <c r="L97" s="327"/>
      <c r="M97" s="327"/>
      <c r="N97" s="327"/>
      <c r="O97" s="327"/>
      <c r="P97" s="327"/>
      <c r="Q97" s="327"/>
      <c r="R97" s="327"/>
      <c r="S97" s="327"/>
      <c r="T97" s="327"/>
      <c r="U97" s="327"/>
      <c r="V97" s="327"/>
      <c r="W97" s="327"/>
      <c r="X97" s="327"/>
      <c r="Y97" s="327"/>
      <c r="Z97" s="327"/>
    </row>
    <row r="98" spans="1:26" ht="29.25" customHeight="1">
      <c r="A98" s="539" t="s">
        <v>203</v>
      </c>
      <c r="B98" s="539"/>
      <c r="C98" s="539"/>
      <c r="D98" s="539"/>
      <c r="E98" s="539"/>
      <c r="F98" s="539"/>
      <c r="G98" s="539"/>
      <c r="H98" s="539"/>
      <c r="I98" s="327"/>
      <c r="J98" s="327"/>
      <c r="K98" s="327"/>
      <c r="L98" s="327"/>
      <c r="M98" s="327"/>
      <c r="N98" s="327"/>
      <c r="O98" s="327"/>
      <c r="P98" s="327"/>
      <c r="Q98" s="327"/>
      <c r="R98" s="327"/>
      <c r="S98" s="327"/>
      <c r="T98" s="327"/>
      <c r="U98" s="327"/>
      <c r="V98" s="327"/>
      <c r="W98" s="327"/>
      <c r="X98" s="327"/>
      <c r="Y98" s="327"/>
      <c r="Z98" s="327"/>
    </row>
    <row r="99" spans="1:26" ht="29.25" customHeight="1">
      <c r="A99" s="539" t="s">
        <v>204</v>
      </c>
      <c r="B99" s="539"/>
      <c r="C99" s="539"/>
      <c r="D99" s="539"/>
      <c r="E99" s="539"/>
      <c r="F99" s="539"/>
      <c r="G99" s="539"/>
      <c r="H99" s="539"/>
      <c r="I99" s="327"/>
      <c r="J99" s="327"/>
      <c r="K99" s="327" t="s">
        <v>205</v>
      </c>
      <c r="L99" s="327"/>
      <c r="M99" s="327"/>
      <c r="N99" s="327"/>
      <c r="O99" s="327"/>
      <c r="P99" s="327"/>
      <c r="Q99" s="327"/>
      <c r="R99" s="327"/>
      <c r="S99" s="327"/>
      <c r="T99" s="327"/>
      <c r="U99" s="327"/>
      <c r="V99" s="327"/>
      <c r="W99" s="327"/>
      <c r="X99" s="327"/>
      <c r="Y99" s="327"/>
      <c r="Z99" s="327"/>
    </row>
    <row r="100" spans="1:26" ht="12.75" customHeight="1"/>
    <row r="101" spans="1:26" ht="12.75" customHeight="1"/>
    <row r="102" spans="1:26" ht="12.75" customHeight="1"/>
    <row r="103" spans="1:26" ht="12.75" customHeight="1"/>
    <row r="104" spans="1:26" ht="12.75" customHeight="1"/>
    <row r="105" spans="1:26" ht="12.75" customHeight="1"/>
    <row r="106" spans="1:26" ht="12.75" customHeight="1"/>
    <row r="107" spans="1:26" ht="12.75" customHeight="1"/>
    <row r="108" spans="1:26" ht="12.75" customHeight="1"/>
    <row r="109" spans="1:26" ht="12.75" customHeight="1"/>
    <row r="110" spans="1:26" ht="12.75" customHeight="1"/>
    <row r="111" spans="1:26" ht="12.75" customHeight="1"/>
    <row r="112" spans="1:26"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sheetData>
  <sheetProtection password="CC0D" sheet="1" objects="1" scenarios="1"/>
  <mergeCells count="61">
    <mergeCell ref="A1:H1"/>
    <mergeCell ref="A2:H2"/>
    <mergeCell ref="A3:H3"/>
    <mergeCell ref="A4:H4"/>
    <mergeCell ref="A5:H5"/>
    <mergeCell ref="A25:E25"/>
    <mergeCell ref="A26:E26"/>
    <mergeCell ref="A35:E35"/>
    <mergeCell ref="A36:E36"/>
    <mergeCell ref="A58:F58"/>
    <mergeCell ref="A59:F59"/>
    <mergeCell ref="A65:F65"/>
    <mergeCell ref="A66:F66"/>
    <mergeCell ref="F68:G68"/>
    <mergeCell ref="F69:G69"/>
    <mergeCell ref="F70:G70"/>
    <mergeCell ref="F71:G71"/>
    <mergeCell ref="F72:G72"/>
    <mergeCell ref="F73:G73"/>
    <mergeCell ref="F74:G74"/>
    <mergeCell ref="F75:G75"/>
    <mergeCell ref="F76:G76"/>
    <mergeCell ref="F77:G77"/>
    <mergeCell ref="F78:G78"/>
    <mergeCell ref="F79:G79"/>
    <mergeCell ref="A80:D80"/>
    <mergeCell ref="A81:D81"/>
    <mergeCell ref="B83:C83"/>
    <mergeCell ref="D83:E83"/>
    <mergeCell ref="F83:H83"/>
    <mergeCell ref="B84:C84"/>
    <mergeCell ref="D84:E84"/>
    <mergeCell ref="F84:H84"/>
    <mergeCell ref="B85:C85"/>
    <mergeCell ref="D85:E85"/>
    <mergeCell ref="F85:H85"/>
    <mergeCell ref="B86:C86"/>
    <mergeCell ref="D86:E86"/>
    <mergeCell ref="F86:H86"/>
    <mergeCell ref="B87:C87"/>
    <mergeCell ref="D87:E87"/>
    <mergeCell ref="F87:H87"/>
    <mergeCell ref="A88:E88"/>
    <mergeCell ref="F88:H88"/>
    <mergeCell ref="B89:C89"/>
    <mergeCell ref="D89:E89"/>
    <mergeCell ref="F89:H89"/>
    <mergeCell ref="A90:E90"/>
    <mergeCell ref="F90:H90"/>
    <mergeCell ref="B91:C91"/>
    <mergeCell ref="D91:E91"/>
    <mergeCell ref="F91:H91"/>
    <mergeCell ref="A95:G95"/>
    <mergeCell ref="A97:H97"/>
    <mergeCell ref="A98:H98"/>
    <mergeCell ref="A99:H99"/>
    <mergeCell ref="A92:E92"/>
    <mergeCell ref="F92:H92"/>
    <mergeCell ref="B93:C93"/>
    <mergeCell ref="D93:E93"/>
    <mergeCell ref="F93:H93"/>
  </mergeCells>
  <printOptions horizontalCentered="1"/>
  <pageMargins left="0" right="0" top="0.39370078740157483" bottom="0" header="0" footer="0.51181102362204722"/>
  <pageSetup paperSize="9" scale="65" pageOrder="overThenDown" orientation="portrait" useFirstPageNumber="1" r:id="rId1"/>
  <headerFooter>
    <oddHeader>&amp;R&amp;P de &amp;N</oddHeader>
    <oddFooter>&amp;L&amp;F - &amp;A&amp;CPágina &amp;P de &amp;N</oddFooter>
  </headerFooter>
  <rowBreaks count="4" manualBreakCount="4">
    <brk id="22" max="7" man="1"/>
    <brk id="43" max="7" man="1"/>
    <brk id="60" max="7" man="1"/>
    <brk id="82" max="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BL84"/>
  <sheetViews>
    <sheetView view="pageBreakPreview" zoomScaleNormal="100" zoomScaleSheetLayoutView="100" workbookViewId="0">
      <pane xSplit="3" ySplit="4" topLeftCell="U55" activePane="bottomRight" state="frozen"/>
      <selection activeCell="B19" sqref="B19:C19"/>
      <selection pane="topRight" activeCell="B19" sqref="B19:C19"/>
      <selection pane="bottomLeft" activeCell="B19" sqref="B19:C19"/>
      <selection pane="bottomRight" activeCell="W82" sqref="W82"/>
    </sheetView>
  </sheetViews>
  <sheetFormatPr defaultRowHeight="12.75"/>
  <cols>
    <col min="2" max="2" width="14.140625" customWidth="1"/>
    <col min="3" max="3" width="18.28515625" customWidth="1"/>
    <col min="4" max="4" width="20.85546875" customWidth="1"/>
    <col min="5" max="5" width="17.140625" customWidth="1"/>
    <col min="6" max="6" width="15.140625" customWidth="1"/>
    <col min="7" max="7" width="13.5703125" customWidth="1"/>
    <col min="8" max="8" width="13.140625" customWidth="1"/>
    <col min="9" max="9" width="13" customWidth="1"/>
    <col min="10" max="10" width="11.5703125" hidden="1" customWidth="1"/>
    <col min="11" max="11" width="12" hidden="1" customWidth="1"/>
    <col min="12" max="12" width="15.28515625" customWidth="1"/>
    <col min="13" max="13" width="14.42578125" customWidth="1"/>
    <col min="14" max="14" width="11.42578125" hidden="1" customWidth="1"/>
    <col min="15" max="15" width="0" hidden="1" customWidth="1"/>
    <col min="16" max="16" width="13.5703125" customWidth="1"/>
    <col min="17" max="17" width="14.140625" customWidth="1"/>
    <col min="18" max="18" width="14.28515625" customWidth="1"/>
    <col min="19" max="19" width="12.85546875" customWidth="1"/>
    <col min="20" max="20" width="13.140625" customWidth="1"/>
    <col min="21" max="21" width="12.85546875" customWidth="1"/>
    <col min="22" max="22" width="13.42578125" customWidth="1"/>
    <col min="23" max="23" width="12.7109375" customWidth="1"/>
    <col min="24" max="24" width="13" customWidth="1"/>
    <col min="25" max="25" width="14" customWidth="1"/>
    <col min="26" max="26" width="13.42578125" customWidth="1"/>
    <col min="27" max="27" width="13" customWidth="1"/>
    <col min="28" max="28" width="11.7109375" customWidth="1"/>
    <col min="29" max="29" width="16.42578125" customWidth="1"/>
    <col min="30" max="30" width="15.140625" customWidth="1"/>
    <col min="31" max="31" width="13.5703125" customWidth="1"/>
    <col min="32" max="32" width="14.42578125" customWidth="1"/>
    <col min="33" max="33" width="15.7109375" customWidth="1"/>
    <col min="34" max="34" width="12.42578125" customWidth="1"/>
    <col min="35" max="35" width="13" customWidth="1"/>
    <col min="36" max="36" width="12.85546875" customWidth="1"/>
    <col min="37" max="37" width="12" customWidth="1"/>
    <col min="38" max="39" width="0" hidden="1" customWidth="1"/>
    <col min="40" max="40" width="15.42578125" customWidth="1"/>
    <col min="41" max="41" width="13" customWidth="1"/>
    <col min="42" max="42" width="13.42578125" hidden="1" customWidth="1"/>
    <col min="43" max="43" width="11.7109375" hidden="1" customWidth="1"/>
    <col min="44" max="44" width="13.42578125" customWidth="1"/>
    <col min="45" max="45" width="13.28515625" customWidth="1"/>
    <col min="46" max="47" width="12.42578125" customWidth="1"/>
    <col min="48" max="48" width="12.5703125" customWidth="1"/>
    <col min="49" max="49" width="11.85546875" customWidth="1"/>
    <col min="50" max="50" width="13" customWidth="1"/>
    <col min="51" max="51" width="11.7109375" customWidth="1"/>
    <col min="52" max="52" width="13.85546875" customWidth="1"/>
    <col min="53" max="53" width="13.5703125" customWidth="1"/>
    <col min="54" max="54" width="13.140625" customWidth="1"/>
    <col min="55" max="55" width="12.28515625" customWidth="1"/>
    <col min="56" max="56" width="13.140625" customWidth="1"/>
  </cols>
  <sheetData>
    <row r="1" spans="1:64" ht="24" customHeight="1">
      <c r="A1" s="581"/>
      <c r="B1" s="582"/>
      <c r="C1" s="582"/>
      <c r="D1" s="583"/>
      <c r="E1" s="572" t="s">
        <v>206</v>
      </c>
      <c r="F1" s="573"/>
      <c r="G1" s="573"/>
      <c r="H1" s="573"/>
      <c r="I1" s="573"/>
      <c r="J1" s="573"/>
      <c r="K1" s="573"/>
      <c r="L1" s="573"/>
      <c r="M1" s="573"/>
      <c r="N1" s="573"/>
      <c r="O1" s="573"/>
      <c r="P1" s="573"/>
      <c r="Q1" s="573"/>
      <c r="R1" s="573"/>
      <c r="S1" s="574"/>
      <c r="T1" s="572" t="str">
        <f>'1. ABA DE CARREGAMENTO'!A4</f>
        <v>CAMPUS ALEGRETE</v>
      </c>
      <c r="U1" s="573"/>
      <c r="V1" s="573"/>
      <c r="W1" s="573"/>
      <c r="X1" s="573"/>
      <c r="Y1" s="573"/>
      <c r="Z1" s="573"/>
      <c r="AA1" s="573"/>
      <c r="AB1" s="574"/>
      <c r="AC1" s="590" t="s">
        <v>207</v>
      </c>
      <c r="AD1" s="591"/>
      <c r="AE1" s="591"/>
      <c r="AF1" s="591"/>
      <c r="AG1" s="591"/>
      <c r="AH1" s="591"/>
      <c r="AI1" s="591"/>
      <c r="AJ1" s="592"/>
      <c r="AK1" s="593" t="str">
        <f>'1. ABA DE CARREGAMENTO'!A4</f>
        <v>CAMPUS ALEGRETE</v>
      </c>
      <c r="AL1" s="594"/>
      <c r="AM1" s="594"/>
      <c r="AN1" s="594"/>
      <c r="AO1" s="594"/>
      <c r="AP1" s="594"/>
      <c r="AQ1" s="594"/>
      <c r="AR1" s="594"/>
      <c r="AS1" s="594"/>
      <c r="AT1" s="594"/>
      <c r="AU1" s="594"/>
      <c r="AV1" s="594"/>
      <c r="AW1" s="594"/>
      <c r="AX1" s="594"/>
      <c r="AY1" s="594"/>
      <c r="AZ1" s="594"/>
      <c r="BA1" s="594"/>
      <c r="BB1" s="594"/>
      <c r="BC1" s="594"/>
      <c r="BD1" s="595"/>
    </row>
    <row r="2" spans="1:64" ht="17.25" customHeight="1">
      <c r="A2" s="584" t="s">
        <v>208</v>
      </c>
      <c r="B2" s="587" t="s">
        <v>209</v>
      </c>
      <c r="C2" s="587" t="s">
        <v>210</v>
      </c>
      <c r="D2" s="587" t="s">
        <v>211</v>
      </c>
      <c r="E2" s="569" t="s">
        <v>212</v>
      </c>
      <c r="F2" s="570"/>
      <c r="G2" s="570"/>
      <c r="H2" s="570"/>
      <c r="I2" s="570"/>
      <c r="J2" s="570"/>
      <c r="K2" s="570"/>
      <c r="L2" s="570"/>
      <c r="M2" s="570"/>
      <c r="N2" s="570"/>
      <c r="O2" s="570"/>
      <c r="P2" s="570"/>
      <c r="Q2" s="570"/>
      <c r="R2" s="570"/>
      <c r="S2" s="570"/>
      <c r="T2" s="570"/>
      <c r="U2" s="570"/>
      <c r="V2" s="570"/>
      <c r="W2" s="570"/>
      <c r="X2" s="570"/>
      <c r="Y2" s="570"/>
      <c r="Z2" s="570"/>
      <c r="AA2" s="570"/>
      <c r="AB2" s="571"/>
      <c r="AC2" s="587" t="s">
        <v>213</v>
      </c>
      <c r="AD2" s="584" t="s">
        <v>214</v>
      </c>
      <c r="AE2" s="584" t="s">
        <v>215</v>
      </c>
      <c r="AF2" s="569" t="s">
        <v>216</v>
      </c>
      <c r="AG2" s="570"/>
      <c r="AH2" s="570"/>
      <c r="AI2" s="570"/>
      <c r="AJ2" s="570"/>
      <c r="AK2" s="570"/>
      <c r="AL2" s="570"/>
      <c r="AM2" s="570"/>
      <c r="AN2" s="570"/>
      <c r="AO2" s="570"/>
      <c r="AP2" s="570"/>
      <c r="AQ2" s="570"/>
      <c r="AR2" s="570"/>
      <c r="AS2" s="570"/>
      <c r="AT2" s="570"/>
      <c r="AU2" s="570"/>
      <c r="AV2" s="570"/>
      <c r="AW2" s="570"/>
      <c r="AX2" s="570"/>
      <c r="AY2" s="570"/>
      <c r="AZ2" s="570"/>
      <c r="BA2" s="570"/>
      <c r="BB2" s="570"/>
      <c r="BC2" s="570"/>
      <c r="BD2" s="571"/>
      <c r="BE2" s="266"/>
      <c r="BF2" s="266"/>
      <c r="BG2" s="266"/>
      <c r="BH2" s="266"/>
      <c r="BI2" s="266"/>
      <c r="BJ2" s="266"/>
      <c r="BK2" s="266"/>
      <c r="BL2" s="266"/>
    </row>
    <row r="3" spans="1:64" ht="24" customHeight="1">
      <c r="A3" s="585"/>
      <c r="B3" s="588"/>
      <c r="C3" s="588"/>
      <c r="D3" s="588"/>
      <c r="E3" s="566" t="s">
        <v>217</v>
      </c>
      <c r="F3" s="567"/>
      <c r="G3" s="567"/>
      <c r="H3" s="567"/>
      <c r="I3" s="567"/>
      <c r="J3" s="567"/>
      <c r="K3" s="567"/>
      <c r="L3" s="568"/>
      <c r="M3" s="566" t="s">
        <v>218</v>
      </c>
      <c r="N3" s="567"/>
      <c r="O3" s="567"/>
      <c r="P3" s="567"/>
      <c r="Q3" s="567"/>
      <c r="R3" s="567"/>
      <c r="S3" s="567"/>
      <c r="T3" s="568"/>
      <c r="U3" s="566" t="s">
        <v>219</v>
      </c>
      <c r="V3" s="567"/>
      <c r="W3" s="568"/>
      <c r="X3" s="259" t="s">
        <v>220</v>
      </c>
      <c r="Y3" s="259" t="s">
        <v>221</v>
      </c>
      <c r="Z3" s="566" t="s">
        <v>222</v>
      </c>
      <c r="AA3" s="567"/>
      <c r="AB3" s="568"/>
      <c r="AC3" s="588"/>
      <c r="AD3" s="585"/>
      <c r="AE3" s="585"/>
      <c r="AF3" s="245"/>
      <c r="AG3" s="566" t="s">
        <v>217</v>
      </c>
      <c r="AH3" s="567"/>
      <c r="AI3" s="567"/>
      <c r="AJ3" s="567"/>
      <c r="AK3" s="567"/>
      <c r="AL3" s="567"/>
      <c r="AM3" s="567"/>
      <c r="AN3" s="568"/>
      <c r="AO3" s="566" t="s">
        <v>218</v>
      </c>
      <c r="AP3" s="567"/>
      <c r="AQ3" s="567"/>
      <c r="AR3" s="567"/>
      <c r="AS3" s="567"/>
      <c r="AT3" s="567"/>
      <c r="AU3" s="567"/>
      <c r="AV3" s="568"/>
      <c r="AW3" s="566" t="s">
        <v>219</v>
      </c>
      <c r="AX3" s="567"/>
      <c r="AY3" s="568"/>
      <c r="AZ3" s="259" t="s">
        <v>220</v>
      </c>
      <c r="BA3" s="259" t="s">
        <v>221</v>
      </c>
      <c r="BB3" s="566" t="s">
        <v>222</v>
      </c>
      <c r="BC3" s="567"/>
      <c r="BD3" s="568"/>
      <c r="BE3" s="266"/>
      <c r="BF3" s="266"/>
      <c r="BG3" s="266"/>
      <c r="BH3" s="266"/>
      <c r="BI3" s="266"/>
      <c r="BJ3" s="266"/>
      <c r="BK3" s="266"/>
      <c r="BL3" s="266"/>
    </row>
    <row r="4" spans="1:64" ht="49.5" customHeight="1">
      <c r="A4" s="586"/>
      <c r="B4" s="589"/>
      <c r="C4" s="589"/>
      <c r="D4" s="589"/>
      <c r="E4" s="246" t="s">
        <v>223</v>
      </c>
      <c r="F4" s="246" t="s">
        <v>224</v>
      </c>
      <c r="G4" s="246" t="s">
        <v>27</v>
      </c>
      <c r="H4" s="246" t="s">
        <v>225</v>
      </c>
      <c r="I4" s="246" t="s">
        <v>29</v>
      </c>
      <c r="J4" s="246" t="s">
        <v>226</v>
      </c>
      <c r="K4" s="246" t="s">
        <v>33</v>
      </c>
      <c r="L4" s="246" t="s">
        <v>227</v>
      </c>
      <c r="M4" s="246" t="s">
        <v>228</v>
      </c>
      <c r="N4" s="246" t="s">
        <v>229</v>
      </c>
      <c r="O4" s="246" t="s">
        <v>230</v>
      </c>
      <c r="P4" s="246" t="s">
        <v>231</v>
      </c>
      <c r="Q4" s="246" t="s">
        <v>232</v>
      </c>
      <c r="R4" s="246" t="s">
        <v>233</v>
      </c>
      <c r="S4" s="246" t="s">
        <v>234</v>
      </c>
      <c r="T4" s="246" t="s">
        <v>235</v>
      </c>
      <c r="U4" s="246" t="s">
        <v>236</v>
      </c>
      <c r="V4" s="246" t="s">
        <v>237</v>
      </c>
      <c r="W4" s="246" t="s">
        <v>238</v>
      </c>
      <c r="X4" s="246" t="s">
        <v>220</v>
      </c>
      <c r="Y4" s="246" t="s">
        <v>221</v>
      </c>
      <c r="Z4" s="246" t="s">
        <v>239</v>
      </c>
      <c r="AA4" s="246" t="s">
        <v>45</v>
      </c>
      <c r="AB4" s="246" t="s">
        <v>46</v>
      </c>
      <c r="AC4" s="589"/>
      <c r="AD4" s="586"/>
      <c r="AE4" s="586"/>
      <c r="AF4" s="245"/>
      <c r="AG4" s="246" t="s">
        <v>240</v>
      </c>
      <c r="AH4" s="246" t="s">
        <v>224</v>
      </c>
      <c r="AI4" s="246" t="s">
        <v>27</v>
      </c>
      <c r="AJ4" s="246" t="s">
        <v>225</v>
      </c>
      <c r="AK4" s="246" t="s">
        <v>29</v>
      </c>
      <c r="AL4" s="246" t="s">
        <v>226</v>
      </c>
      <c r="AM4" s="246" t="s">
        <v>33</v>
      </c>
      <c r="AN4" s="246" t="s">
        <v>227</v>
      </c>
      <c r="AO4" s="246" t="s">
        <v>228</v>
      </c>
      <c r="AP4" s="246" t="s">
        <v>229</v>
      </c>
      <c r="AQ4" s="246" t="s">
        <v>230</v>
      </c>
      <c r="AR4" s="246" t="s">
        <v>231</v>
      </c>
      <c r="AS4" s="246" t="s">
        <v>232</v>
      </c>
      <c r="AT4" s="246" t="s">
        <v>233</v>
      </c>
      <c r="AU4" s="246" t="s">
        <v>234</v>
      </c>
      <c r="AV4" s="246" t="s">
        <v>235</v>
      </c>
      <c r="AW4" s="246" t="s">
        <v>236</v>
      </c>
      <c r="AX4" s="246" t="s">
        <v>237</v>
      </c>
      <c r="AY4" s="246" t="s">
        <v>238</v>
      </c>
      <c r="AZ4" s="246" t="s">
        <v>220</v>
      </c>
      <c r="BA4" s="246" t="s">
        <v>221</v>
      </c>
      <c r="BB4" s="246" t="s">
        <v>239</v>
      </c>
      <c r="BC4" s="246" t="s">
        <v>45</v>
      </c>
      <c r="BD4" s="246" t="s">
        <v>46</v>
      </c>
      <c r="BE4" s="267"/>
      <c r="BF4" s="267"/>
      <c r="BG4" s="267"/>
      <c r="BH4" s="267"/>
      <c r="BI4" s="267"/>
      <c r="BJ4" s="267"/>
      <c r="BK4" s="267"/>
      <c r="BL4" s="267"/>
    </row>
    <row r="5" spans="1:64" ht="25.5">
      <c r="A5" s="575">
        <v>1</v>
      </c>
      <c r="B5" s="578" t="s">
        <v>241</v>
      </c>
      <c r="C5" s="247" t="s">
        <v>242</v>
      </c>
      <c r="D5" s="608">
        <f>SUM(E5:AB14)</f>
        <v>7683.33</v>
      </c>
      <c r="E5" s="247">
        <v>757.19</v>
      </c>
      <c r="F5" s="249">
        <v>749.55</v>
      </c>
      <c r="G5" s="247"/>
      <c r="H5" s="247"/>
      <c r="I5" s="247"/>
      <c r="J5" s="247"/>
      <c r="K5" s="247"/>
      <c r="L5" s="247">
        <v>490.8</v>
      </c>
      <c r="M5" s="247"/>
      <c r="N5" s="247"/>
      <c r="O5" s="247"/>
      <c r="P5" s="247"/>
      <c r="Q5" s="247"/>
      <c r="R5" s="247"/>
      <c r="S5" s="247"/>
      <c r="T5" s="247"/>
      <c r="U5" s="247"/>
      <c r="V5" s="247"/>
      <c r="W5" s="247"/>
      <c r="X5" s="247"/>
      <c r="Y5" s="247"/>
      <c r="Z5" s="247"/>
      <c r="AA5" s="247"/>
      <c r="AB5" s="247"/>
      <c r="AC5" s="247" t="s">
        <v>257</v>
      </c>
      <c r="AD5" s="287">
        <f>IF(AC5="DIÁRIA",AE5,IF(AC5="2xDIA",(AE5*2),IF(AC5="3xDIA",(AE5*3),IF(AC5="4xDIA",(AE5*4),IF(AC5="5xDIA",(AE5*5),IF(AC5="6xDIA",(AE5*6),IF(AC5="SEMANAL",4.33,IF(AC5="2xSEMANA",8,IF(AC5="3xSEMANA",12,IF(AC5="QUINZENAL",2,IF(AC5="MENSAL",1,IF(AC5="BIMESTRAL",0.5,IF(AC5="TRIMESTRAL",0.33,IF(AC5="SEMESTRAL",0.17,0))))))))))))))</f>
        <v>24</v>
      </c>
      <c r="AE5" s="260">
        <f>'1. ABA DE CARREGAMENTO'!$B$90</f>
        <v>24</v>
      </c>
      <c r="AF5" s="608">
        <f>SUM(AG5:BD14)</f>
        <v>7043.4355833333329</v>
      </c>
      <c r="AG5" s="248">
        <f>(E5*AD5)/AE5</f>
        <v>757.19</v>
      </c>
      <c r="AH5" s="248">
        <f>(F5*AD5)/AE5</f>
        <v>749.54999999999984</v>
      </c>
      <c r="AI5" s="248">
        <f>(G5*AD5)/AE5</f>
        <v>0</v>
      </c>
      <c r="AJ5" s="248">
        <f>(H5*AD5)/AE5</f>
        <v>0</v>
      </c>
      <c r="AK5" s="248">
        <f>(I5*AD5)/AE5</f>
        <v>0</v>
      </c>
      <c r="AL5" s="248">
        <f>(J5*AD5)/AE5</f>
        <v>0</v>
      </c>
      <c r="AM5" s="248">
        <f>(K5*AD5)/AE5</f>
        <v>0</v>
      </c>
      <c r="AN5" s="248">
        <f>(L5*AD5)/AE5</f>
        <v>490.8</v>
      </c>
      <c r="AO5" s="248">
        <f>(M5*AD5)/AE5</f>
        <v>0</v>
      </c>
      <c r="AP5" s="248">
        <f>(N5*AD5)/AE5</f>
        <v>0</v>
      </c>
      <c r="AQ5" s="248">
        <f>(O5*AD5)/AE5</f>
        <v>0</v>
      </c>
      <c r="AR5" s="248">
        <f>(P5*AD5)/AE5</f>
        <v>0</v>
      </c>
      <c r="AS5" s="248">
        <f>(Q5*AD5)/AE5</f>
        <v>0</v>
      </c>
      <c r="AT5" s="248">
        <f>(R5*AD5)/AE5</f>
        <v>0</v>
      </c>
      <c r="AU5" s="248">
        <f>(S5*AD5)/AE5</f>
        <v>0</v>
      </c>
      <c r="AV5" s="248">
        <f>(T5*AD5)/AE5</f>
        <v>0</v>
      </c>
      <c r="AW5" s="248">
        <f>(U5*AD5)/AE5</f>
        <v>0</v>
      </c>
      <c r="AX5" s="248">
        <f>(V5*AD5)/AE5</f>
        <v>0</v>
      </c>
      <c r="AY5" s="248">
        <f>(W5*AD5)/AE5</f>
        <v>0</v>
      </c>
      <c r="AZ5" s="248">
        <f>(X5*AD5)/AE5</f>
        <v>0</v>
      </c>
      <c r="BA5" s="248">
        <f>(Y5*AD5)/AE5</f>
        <v>0</v>
      </c>
      <c r="BB5" s="248">
        <f>(Z5*AD5)/AE5</f>
        <v>0</v>
      </c>
      <c r="BC5" s="248">
        <f>(AA5*AD5)/AE5</f>
        <v>0</v>
      </c>
      <c r="BD5" s="248">
        <f>(AB5*AD5)/AE5</f>
        <v>0</v>
      </c>
      <c r="BE5" s="267"/>
      <c r="BF5" s="267"/>
      <c r="BG5" s="267"/>
      <c r="BH5" s="267"/>
      <c r="BI5" s="267"/>
      <c r="BJ5" s="267"/>
      <c r="BK5" s="267"/>
      <c r="BL5" s="267"/>
    </row>
    <row r="6" spans="1:64" ht="25.5">
      <c r="A6" s="576"/>
      <c r="B6" s="579"/>
      <c r="C6" s="247" t="s">
        <v>244</v>
      </c>
      <c r="D6" s="609"/>
      <c r="E6" s="247"/>
      <c r="F6" s="249"/>
      <c r="G6" s="247"/>
      <c r="H6" s="247"/>
      <c r="I6" s="247"/>
      <c r="J6" s="247"/>
      <c r="K6" s="247"/>
      <c r="L6" s="247"/>
      <c r="M6" s="247"/>
      <c r="N6" s="247"/>
      <c r="O6" s="247"/>
      <c r="P6" s="247"/>
      <c r="Q6" s="247"/>
      <c r="R6" s="247"/>
      <c r="S6" s="247"/>
      <c r="T6" s="247"/>
      <c r="U6" s="247"/>
      <c r="V6" s="247"/>
      <c r="W6" s="247"/>
      <c r="X6" s="247"/>
      <c r="Y6" s="247">
        <v>122.84</v>
      </c>
      <c r="Z6" s="247"/>
      <c r="AA6" s="247"/>
      <c r="AB6" s="247"/>
      <c r="AC6" s="247" t="s">
        <v>245</v>
      </c>
      <c r="AD6" s="287">
        <f t="shared" ref="AD6:AD48" si="0">IF(AC6="DIÁRIA",AE6,IF(AC6="2xDIA",(AE6*2),IF(AC6="3xDIA",(AE6*3),IF(AC6="4xDIA",(AE6*4),IF(AC6="5xDIA",(AE6*5),IF(AC6="6xDIA",(AE6*6),IF(AC6="SEMANAL",4.33,IF(AC6="2xSEMANA",8,IF(AC6="3xSEMANA",12,IF(AC6="QUINZENAL",2,IF(AC6="MENSAL",1,IF(AC6="BIMESTRAL",0.5,IF(AC6="TRIMESTRAL",0.33,IF(AC6="SEMESTRAL",0.17,0))))))))))))))</f>
        <v>144</v>
      </c>
      <c r="AE6" s="260">
        <f>'1. ABA DE CARREGAMENTO'!$B$90</f>
        <v>24</v>
      </c>
      <c r="AF6" s="609"/>
      <c r="AG6" s="248">
        <f>(E6*AD6)/AE6</f>
        <v>0</v>
      </c>
      <c r="AH6" s="248">
        <f>(F6*AD6)/AE6</f>
        <v>0</v>
      </c>
      <c r="AI6" s="248">
        <f>(G6*AD6)/AE6</f>
        <v>0</v>
      </c>
      <c r="AJ6" s="248">
        <f>(H6*AD6)/AE6</f>
        <v>0</v>
      </c>
      <c r="AK6" s="248">
        <f>(I6*AD6)/AE6</f>
        <v>0</v>
      </c>
      <c r="AL6" s="248">
        <f>(J6*AD6)/AE6</f>
        <v>0</v>
      </c>
      <c r="AM6" s="248">
        <f>(K6*AD6)/AE6</f>
        <v>0</v>
      </c>
      <c r="AN6" s="248">
        <f>(L6*AD6)/AE6</f>
        <v>0</v>
      </c>
      <c r="AO6" s="248">
        <f>(M6*AD6)/AE6</f>
        <v>0</v>
      </c>
      <c r="AP6" s="248">
        <f>(N6*AD6)/AE6</f>
        <v>0</v>
      </c>
      <c r="AQ6" s="248">
        <f>(O6*AD6)/AE6</f>
        <v>0</v>
      </c>
      <c r="AR6" s="248">
        <f>(P6*AD6)/AE6</f>
        <v>0</v>
      </c>
      <c r="AS6" s="248">
        <f>(Q6*AD6)/AE6</f>
        <v>0</v>
      </c>
      <c r="AT6" s="248">
        <f>(R6*AD6)/AE6</f>
        <v>0</v>
      </c>
      <c r="AU6" s="248">
        <f>(S6*AD6)/AE6</f>
        <v>0</v>
      </c>
      <c r="AV6" s="248">
        <f>(T6*AD6)/AE6</f>
        <v>0</v>
      </c>
      <c r="AW6" s="248">
        <f>(U6*AD6)/AE6</f>
        <v>0</v>
      </c>
      <c r="AX6" s="248">
        <f>(V6*AD6)/AE6</f>
        <v>0</v>
      </c>
      <c r="AY6" s="248">
        <f>(W6*AD6)/AE6</f>
        <v>0</v>
      </c>
      <c r="AZ6" s="248">
        <f>(X6*AD6)/AE6</f>
        <v>0</v>
      </c>
      <c r="BA6" s="248">
        <f>(Y6*AD6)/AE6</f>
        <v>737.04</v>
      </c>
      <c r="BB6" s="248">
        <f>(Z6*AD6)/AE6</f>
        <v>0</v>
      </c>
      <c r="BC6" s="248">
        <f>(AA6*AD6)/AE6</f>
        <v>0</v>
      </c>
      <c r="BD6" s="248">
        <f>(AB6*AD6)/AE6</f>
        <v>0</v>
      </c>
      <c r="BE6" s="267"/>
      <c r="BF6" s="267"/>
      <c r="BG6" s="267"/>
      <c r="BH6" s="267"/>
      <c r="BI6" s="267"/>
      <c r="BJ6" s="267"/>
      <c r="BK6" s="267"/>
      <c r="BL6" s="267"/>
    </row>
    <row r="7" spans="1:64" ht="25.5">
      <c r="A7" s="576"/>
      <c r="B7" s="579"/>
      <c r="C7" s="247" t="s">
        <v>246</v>
      </c>
      <c r="D7" s="609"/>
      <c r="E7" s="247">
        <v>527.09</v>
      </c>
      <c r="F7" s="247">
        <v>268.12</v>
      </c>
      <c r="G7" s="247"/>
      <c r="H7" s="250"/>
      <c r="I7" s="247"/>
      <c r="J7" s="247"/>
      <c r="K7" s="247"/>
      <c r="L7" s="247"/>
      <c r="M7" s="247"/>
      <c r="N7" s="247"/>
      <c r="O7" s="247"/>
      <c r="P7" s="247"/>
      <c r="Q7" s="247"/>
      <c r="R7" s="247"/>
      <c r="S7" s="247"/>
      <c r="T7" s="247"/>
      <c r="U7" s="247"/>
      <c r="V7" s="247"/>
      <c r="W7" s="247"/>
      <c r="X7" s="247"/>
      <c r="Y7" s="247"/>
      <c r="Z7" s="247"/>
      <c r="AA7" s="247"/>
      <c r="AB7" s="247"/>
      <c r="AC7" s="247" t="s">
        <v>257</v>
      </c>
      <c r="AD7" s="287">
        <f t="shared" si="0"/>
        <v>24</v>
      </c>
      <c r="AE7" s="260">
        <f>'1. ABA DE CARREGAMENTO'!$B$90</f>
        <v>24</v>
      </c>
      <c r="AF7" s="609"/>
      <c r="AG7" s="248">
        <f t="shared" ref="AG7:AG28" si="1">(E7*AD7)/AE7</f>
        <v>527.09</v>
      </c>
      <c r="AH7" s="248">
        <f t="shared" ref="AH7:AH28" si="2">(F7*AD7)/AE7</f>
        <v>268.12</v>
      </c>
      <c r="AI7" s="248">
        <f t="shared" ref="AI7:AI28" si="3">(G7*AD7)/AE7</f>
        <v>0</v>
      </c>
      <c r="AJ7" s="248">
        <f t="shared" ref="AJ7:AJ28" si="4">(H7*AD7)/AE7</f>
        <v>0</v>
      </c>
      <c r="AK7" s="248">
        <f t="shared" ref="AK7:AK28" si="5">(I7*AD7)/AE7</f>
        <v>0</v>
      </c>
      <c r="AL7" s="248">
        <f t="shared" ref="AL7:AL32" si="6">(J7*AD7)/AE7</f>
        <v>0</v>
      </c>
      <c r="AM7" s="248">
        <f t="shared" ref="AM7:AM32" si="7">(K7*AD7)/AE7</f>
        <v>0</v>
      </c>
      <c r="AN7" s="248">
        <f t="shared" ref="AN7:AN28" si="8">(L7*AD7)/AE7</f>
        <v>0</v>
      </c>
      <c r="AO7" s="248">
        <f t="shared" ref="AO7:AO28" si="9">(M7*AD7)/AE7</f>
        <v>0</v>
      </c>
      <c r="AP7" s="248">
        <f t="shared" ref="AP7:AP32" si="10">(N7*AD7)/AE7</f>
        <v>0</v>
      </c>
      <c r="AQ7" s="248">
        <f t="shared" ref="AQ7:AQ32" si="11">(O7*AD7)/AE7</f>
        <v>0</v>
      </c>
      <c r="AR7" s="248">
        <f t="shared" ref="AR7:AR28" si="12">(P7*AD7)/AE7</f>
        <v>0</v>
      </c>
      <c r="AS7" s="248">
        <f t="shared" ref="AS7:AS28" si="13">(Q7*AD7)/AE7</f>
        <v>0</v>
      </c>
      <c r="AT7" s="248">
        <f t="shared" ref="AT7:AT28" si="14">(R7*AD7)/AE7</f>
        <v>0</v>
      </c>
      <c r="AU7" s="248">
        <f t="shared" ref="AU7:AU28" si="15">(S7*AD7)/AE7</f>
        <v>0</v>
      </c>
      <c r="AV7" s="248">
        <f t="shared" ref="AV7:AV28" si="16">(T7*AD7)/AE7</f>
        <v>0</v>
      </c>
      <c r="AW7" s="248">
        <f t="shared" ref="AW7:AW28" si="17">(U7*AD7)/AE7</f>
        <v>0</v>
      </c>
      <c r="AX7" s="248">
        <f t="shared" ref="AX7:AX28" si="18">(V7*AD7)/AE7</f>
        <v>0</v>
      </c>
      <c r="AY7" s="248">
        <f t="shared" ref="AY7:AY28" si="19">(W7*AD7)/AE7</f>
        <v>0</v>
      </c>
      <c r="AZ7" s="248">
        <f t="shared" ref="AZ7:AZ28" si="20">(X7*AD7)/AE7</f>
        <v>0</v>
      </c>
      <c r="BA7" s="248">
        <f t="shared" ref="BA7:BA28" si="21">(Y7*AD7)/AE7</f>
        <v>0</v>
      </c>
      <c r="BB7" s="248">
        <f t="shared" ref="BB7:BB32" si="22">(Z7*AD7)/AE7</f>
        <v>0</v>
      </c>
      <c r="BC7" s="248">
        <f t="shared" ref="BC7:BC32" si="23">(AA7*AD7)/AE7</f>
        <v>0</v>
      </c>
      <c r="BD7" s="248">
        <f t="shared" ref="BD7:BD16" si="24">(AB7*AD7)/AE7</f>
        <v>0</v>
      </c>
      <c r="BE7" s="267"/>
      <c r="BF7" s="267"/>
      <c r="BG7" s="267"/>
      <c r="BH7" s="267"/>
      <c r="BI7" s="267"/>
      <c r="BJ7" s="267"/>
      <c r="BK7" s="267"/>
      <c r="BL7" s="267"/>
    </row>
    <row r="8" spans="1:64">
      <c r="A8" s="576"/>
      <c r="B8" s="579"/>
      <c r="C8" s="247" t="s">
        <v>248</v>
      </c>
      <c r="D8" s="609"/>
      <c r="E8" s="247"/>
      <c r="F8" s="250"/>
      <c r="G8" s="247"/>
      <c r="H8" s="250"/>
      <c r="I8" s="247"/>
      <c r="J8" s="247"/>
      <c r="K8" s="247"/>
      <c r="L8" s="249">
        <v>390.2</v>
      </c>
      <c r="M8" s="247"/>
      <c r="N8" s="247"/>
      <c r="O8" s="247"/>
      <c r="P8" s="247"/>
      <c r="Q8" s="247"/>
      <c r="R8" s="247"/>
      <c r="S8" s="247"/>
      <c r="T8" s="247"/>
      <c r="U8" s="247"/>
      <c r="V8" s="247"/>
      <c r="W8" s="247"/>
      <c r="X8" s="247"/>
      <c r="Y8" s="247"/>
      <c r="Z8" s="247"/>
      <c r="AA8" s="247"/>
      <c r="AB8" s="247"/>
      <c r="AC8" s="247" t="s">
        <v>243</v>
      </c>
      <c r="AD8" s="287">
        <f t="shared" si="0"/>
        <v>72</v>
      </c>
      <c r="AE8" s="260">
        <f>'1. ABA DE CARREGAMENTO'!$B$90</f>
        <v>24</v>
      </c>
      <c r="AF8" s="609"/>
      <c r="AG8" s="248">
        <f t="shared" si="1"/>
        <v>0</v>
      </c>
      <c r="AH8" s="248">
        <f t="shared" si="2"/>
        <v>0</v>
      </c>
      <c r="AI8" s="248">
        <f t="shared" si="3"/>
        <v>0</v>
      </c>
      <c r="AJ8" s="248">
        <f t="shared" si="4"/>
        <v>0</v>
      </c>
      <c r="AK8" s="248">
        <f t="shared" si="5"/>
        <v>0</v>
      </c>
      <c r="AL8" s="248">
        <f t="shared" si="6"/>
        <v>0</v>
      </c>
      <c r="AM8" s="248">
        <f t="shared" si="7"/>
        <v>0</v>
      </c>
      <c r="AN8" s="248">
        <f t="shared" si="8"/>
        <v>1170.5999999999999</v>
      </c>
      <c r="AO8" s="248">
        <f t="shared" si="9"/>
        <v>0</v>
      </c>
      <c r="AP8" s="248">
        <f t="shared" si="10"/>
        <v>0</v>
      </c>
      <c r="AQ8" s="248">
        <f t="shared" si="11"/>
        <v>0</v>
      </c>
      <c r="AR8" s="248">
        <f t="shared" si="12"/>
        <v>0</v>
      </c>
      <c r="AS8" s="248">
        <f t="shared" si="13"/>
        <v>0</v>
      </c>
      <c r="AT8" s="248">
        <f t="shared" si="14"/>
        <v>0</v>
      </c>
      <c r="AU8" s="248">
        <f t="shared" si="15"/>
        <v>0</v>
      </c>
      <c r="AV8" s="248">
        <f t="shared" si="16"/>
        <v>0</v>
      </c>
      <c r="AW8" s="248">
        <f t="shared" si="17"/>
        <v>0</v>
      </c>
      <c r="AX8" s="248">
        <f t="shared" si="18"/>
        <v>0</v>
      </c>
      <c r="AY8" s="248">
        <f t="shared" si="19"/>
        <v>0</v>
      </c>
      <c r="AZ8" s="248">
        <f t="shared" si="20"/>
        <v>0</v>
      </c>
      <c r="BA8" s="248">
        <f t="shared" si="21"/>
        <v>0</v>
      </c>
      <c r="BB8" s="248">
        <f t="shared" si="22"/>
        <v>0</v>
      </c>
      <c r="BC8" s="248">
        <f t="shared" si="23"/>
        <v>0</v>
      </c>
      <c r="BD8" s="248">
        <f t="shared" si="24"/>
        <v>0</v>
      </c>
      <c r="BE8" s="267"/>
      <c r="BF8" s="267"/>
      <c r="BG8" s="267"/>
      <c r="BH8" s="267"/>
      <c r="BI8" s="267"/>
      <c r="BJ8" s="267"/>
      <c r="BK8" s="267"/>
      <c r="BL8" s="267"/>
    </row>
    <row r="9" spans="1:64" ht="25.5">
      <c r="A9" s="576"/>
      <c r="B9" s="579"/>
      <c r="C9" s="247" t="s">
        <v>250</v>
      </c>
      <c r="D9" s="609"/>
      <c r="E9" s="247"/>
      <c r="F9" s="247"/>
      <c r="G9" s="247"/>
      <c r="H9" s="247"/>
      <c r="I9" s="247"/>
      <c r="J9" s="247"/>
      <c r="K9" s="247"/>
      <c r="L9" s="247"/>
      <c r="M9" s="249"/>
      <c r="N9" s="256"/>
      <c r="O9" s="247"/>
      <c r="P9" s="249">
        <v>1035.3399999999999</v>
      </c>
      <c r="Q9" s="247"/>
      <c r="R9" s="247"/>
      <c r="S9" s="247"/>
      <c r="T9" s="247"/>
      <c r="U9" s="247"/>
      <c r="V9" s="247"/>
      <c r="W9" s="247"/>
      <c r="X9" s="247"/>
      <c r="Y9" s="247"/>
      <c r="Z9" s="247"/>
      <c r="AA9" s="247"/>
      <c r="AB9" s="247"/>
      <c r="AC9" s="247" t="s">
        <v>249</v>
      </c>
      <c r="AD9" s="287">
        <f t="shared" si="0"/>
        <v>12</v>
      </c>
      <c r="AE9" s="260">
        <f>'1. ABA DE CARREGAMENTO'!$B$90</f>
        <v>24</v>
      </c>
      <c r="AF9" s="609"/>
      <c r="AG9" s="248">
        <f t="shared" si="1"/>
        <v>0</v>
      </c>
      <c r="AH9" s="248">
        <f t="shared" si="2"/>
        <v>0</v>
      </c>
      <c r="AI9" s="248">
        <f t="shared" si="3"/>
        <v>0</v>
      </c>
      <c r="AJ9" s="248">
        <f t="shared" si="4"/>
        <v>0</v>
      </c>
      <c r="AK9" s="248">
        <f t="shared" si="5"/>
        <v>0</v>
      </c>
      <c r="AL9" s="248">
        <f t="shared" si="6"/>
        <v>0</v>
      </c>
      <c r="AM9" s="248">
        <f t="shared" si="7"/>
        <v>0</v>
      </c>
      <c r="AN9" s="248">
        <f t="shared" si="8"/>
        <v>0</v>
      </c>
      <c r="AO9" s="248">
        <f t="shared" si="9"/>
        <v>0</v>
      </c>
      <c r="AP9" s="248">
        <f t="shared" si="10"/>
        <v>0</v>
      </c>
      <c r="AQ9" s="248">
        <f t="shared" si="11"/>
        <v>0</v>
      </c>
      <c r="AR9" s="248">
        <f t="shared" si="12"/>
        <v>517.66999999999996</v>
      </c>
      <c r="AS9" s="248">
        <f t="shared" si="13"/>
        <v>0</v>
      </c>
      <c r="AT9" s="248">
        <f t="shared" si="14"/>
        <v>0</v>
      </c>
      <c r="AU9" s="248">
        <f t="shared" si="15"/>
        <v>0</v>
      </c>
      <c r="AV9" s="248">
        <f t="shared" si="16"/>
        <v>0</v>
      </c>
      <c r="AW9" s="248">
        <f t="shared" si="17"/>
        <v>0</v>
      </c>
      <c r="AX9" s="248">
        <f t="shared" si="18"/>
        <v>0</v>
      </c>
      <c r="AY9" s="248">
        <f t="shared" si="19"/>
        <v>0</v>
      </c>
      <c r="AZ9" s="248">
        <f t="shared" si="20"/>
        <v>0</v>
      </c>
      <c r="BA9" s="248">
        <f t="shared" si="21"/>
        <v>0</v>
      </c>
      <c r="BB9" s="248">
        <f t="shared" si="22"/>
        <v>0</v>
      </c>
      <c r="BC9" s="248">
        <f t="shared" si="23"/>
        <v>0</v>
      </c>
      <c r="BD9" s="248">
        <f t="shared" si="24"/>
        <v>0</v>
      </c>
      <c r="BE9" s="267"/>
      <c r="BF9" s="267"/>
      <c r="BG9" s="267"/>
      <c r="BH9" s="267"/>
      <c r="BI9" s="267"/>
      <c r="BJ9" s="267"/>
      <c r="BK9" s="267"/>
      <c r="BL9" s="267"/>
    </row>
    <row r="10" spans="1:64">
      <c r="A10" s="576"/>
      <c r="B10" s="579"/>
      <c r="C10" s="247" t="s">
        <v>251</v>
      </c>
      <c r="D10" s="609"/>
      <c r="E10" s="247"/>
      <c r="F10" s="247"/>
      <c r="G10" s="247"/>
      <c r="H10" s="247"/>
      <c r="I10" s="247"/>
      <c r="J10" s="247"/>
      <c r="K10" s="247"/>
      <c r="L10" s="247"/>
      <c r="M10" s="247"/>
      <c r="N10" s="247"/>
      <c r="O10" s="247"/>
      <c r="P10" s="247"/>
      <c r="Q10" s="247"/>
      <c r="R10" s="247"/>
      <c r="S10" s="247"/>
      <c r="T10" s="247"/>
      <c r="U10" s="250"/>
      <c r="V10" s="249">
        <v>1061.94</v>
      </c>
      <c r="W10" s="249"/>
      <c r="X10" s="247"/>
      <c r="Y10" s="247"/>
      <c r="Z10" s="247"/>
      <c r="AA10" s="247"/>
      <c r="AB10" s="247"/>
      <c r="AC10" s="247" t="s">
        <v>252</v>
      </c>
      <c r="AD10" s="287">
        <f t="shared" si="0"/>
        <v>0.17</v>
      </c>
      <c r="AE10" s="260">
        <f>'1. ABA DE CARREGAMENTO'!$B$90</f>
        <v>24</v>
      </c>
      <c r="AF10" s="609"/>
      <c r="AG10" s="248">
        <f t="shared" si="1"/>
        <v>0</v>
      </c>
      <c r="AH10" s="248">
        <f t="shared" si="2"/>
        <v>0</v>
      </c>
      <c r="AI10" s="248">
        <f t="shared" si="3"/>
        <v>0</v>
      </c>
      <c r="AJ10" s="248">
        <f t="shared" si="4"/>
        <v>0</v>
      </c>
      <c r="AK10" s="248">
        <f t="shared" si="5"/>
        <v>0</v>
      </c>
      <c r="AL10" s="248">
        <f t="shared" si="6"/>
        <v>0</v>
      </c>
      <c r="AM10" s="248">
        <f t="shared" si="7"/>
        <v>0</v>
      </c>
      <c r="AN10" s="248">
        <f t="shared" si="8"/>
        <v>0</v>
      </c>
      <c r="AO10" s="248">
        <f t="shared" si="9"/>
        <v>0</v>
      </c>
      <c r="AP10" s="248">
        <f t="shared" si="10"/>
        <v>0</v>
      </c>
      <c r="AQ10" s="248">
        <f t="shared" si="11"/>
        <v>0</v>
      </c>
      <c r="AR10" s="248">
        <f t="shared" si="12"/>
        <v>0</v>
      </c>
      <c r="AS10" s="248">
        <f t="shared" si="13"/>
        <v>0</v>
      </c>
      <c r="AT10" s="248">
        <f t="shared" si="14"/>
        <v>0</v>
      </c>
      <c r="AU10" s="248">
        <f t="shared" si="15"/>
        <v>0</v>
      </c>
      <c r="AV10" s="248">
        <f t="shared" si="16"/>
        <v>0</v>
      </c>
      <c r="AW10" s="248">
        <f t="shared" si="17"/>
        <v>0</v>
      </c>
      <c r="AX10" s="248">
        <f t="shared" si="18"/>
        <v>7.522075000000001</v>
      </c>
      <c r="AY10" s="248">
        <f t="shared" si="19"/>
        <v>0</v>
      </c>
      <c r="AZ10" s="248">
        <f t="shared" si="20"/>
        <v>0</v>
      </c>
      <c r="BA10" s="248">
        <f t="shared" si="21"/>
        <v>0</v>
      </c>
      <c r="BB10" s="248">
        <f t="shared" si="22"/>
        <v>0</v>
      </c>
      <c r="BC10" s="248">
        <f t="shared" si="23"/>
        <v>0</v>
      </c>
      <c r="BD10" s="248">
        <f t="shared" si="24"/>
        <v>0</v>
      </c>
      <c r="BE10" s="267"/>
      <c r="BF10" s="267"/>
      <c r="BG10" s="267"/>
      <c r="BH10" s="267"/>
      <c r="BI10" s="267"/>
      <c r="BJ10" s="267"/>
      <c r="BK10" s="267"/>
      <c r="BL10" s="267"/>
    </row>
    <row r="11" spans="1:64">
      <c r="A11" s="576"/>
      <c r="B11" s="579"/>
      <c r="C11" s="247" t="s">
        <v>253</v>
      </c>
      <c r="D11" s="609"/>
      <c r="E11" s="247"/>
      <c r="F11" s="247"/>
      <c r="G11" s="247"/>
      <c r="H11" s="247"/>
      <c r="I11" s="247"/>
      <c r="J11" s="247"/>
      <c r="K11" s="247"/>
      <c r="L11" s="247"/>
      <c r="M11" s="247"/>
      <c r="N11" s="247"/>
      <c r="O11" s="247"/>
      <c r="P11" s="247"/>
      <c r="Q11" s="247"/>
      <c r="R11" s="247"/>
      <c r="S11" s="247"/>
      <c r="T11" s="247"/>
      <c r="U11" s="247"/>
      <c r="V11" s="249"/>
      <c r="W11" s="249">
        <v>1205.52</v>
      </c>
      <c r="X11" s="247"/>
      <c r="Y11" s="247"/>
      <c r="Z11" s="247"/>
      <c r="AA11" s="247"/>
      <c r="AB11" s="247"/>
      <c r="AC11" s="247" t="s">
        <v>247</v>
      </c>
      <c r="AD11" s="287">
        <f t="shared" si="0"/>
        <v>8</v>
      </c>
      <c r="AE11" s="260">
        <f>'1. ABA DE CARREGAMENTO'!$B$90</f>
        <v>24</v>
      </c>
      <c r="AF11" s="609"/>
      <c r="AG11" s="248">
        <f t="shared" si="1"/>
        <v>0</v>
      </c>
      <c r="AH11" s="248">
        <f t="shared" si="2"/>
        <v>0</v>
      </c>
      <c r="AI11" s="248">
        <f t="shared" si="3"/>
        <v>0</v>
      </c>
      <c r="AJ11" s="248">
        <f t="shared" si="4"/>
        <v>0</v>
      </c>
      <c r="AK11" s="248">
        <f t="shared" si="5"/>
        <v>0</v>
      </c>
      <c r="AL11" s="248">
        <f t="shared" si="6"/>
        <v>0</v>
      </c>
      <c r="AM11" s="248">
        <f t="shared" si="7"/>
        <v>0</v>
      </c>
      <c r="AN11" s="248">
        <f t="shared" si="8"/>
        <v>0</v>
      </c>
      <c r="AO11" s="248">
        <f t="shared" si="9"/>
        <v>0</v>
      </c>
      <c r="AP11" s="248">
        <f t="shared" si="10"/>
        <v>0</v>
      </c>
      <c r="AQ11" s="248">
        <f t="shared" si="11"/>
        <v>0</v>
      </c>
      <c r="AR11" s="248">
        <f t="shared" si="12"/>
        <v>0</v>
      </c>
      <c r="AS11" s="248">
        <f t="shared" si="13"/>
        <v>0</v>
      </c>
      <c r="AT11" s="248">
        <f t="shared" si="14"/>
        <v>0</v>
      </c>
      <c r="AU11" s="248">
        <f t="shared" si="15"/>
        <v>0</v>
      </c>
      <c r="AV11" s="248">
        <f t="shared" si="16"/>
        <v>0</v>
      </c>
      <c r="AW11" s="248">
        <f t="shared" si="17"/>
        <v>0</v>
      </c>
      <c r="AX11" s="248">
        <f t="shared" si="18"/>
        <v>0</v>
      </c>
      <c r="AY11" s="248">
        <f t="shared" si="19"/>
        <v>401.84</v>
      </c>
      <c r="AZ11" s="248">
        <f t="shared" si="20"/>
        <v>0</v>
      </c>
      <c r="BA11" s="248">
        <f t="shared" si="21"/>
        <v>0</v>
      </c>
      <c r="BB11" s="248">
        <f t="shared" si="22"/>
        <v>0</v>
      </c>
      <c r="BC11" s="248">
        <f t="shared" si="23"/>
        <v>0</v>
      </c>
      <c r="BD11" s="248">
        <f t="shared" si="24"/>
        <v>0</v>
      </c>
      <c r="BE11" s="267"/>
      <c r="BF11" s="267"/>
      <c r="BG11" s="267"/>
      <c r="BH11" s="267"/>
      <c r="BI11" s="267"/>
      <c r="BJ11" s="267"/>
      <c r="BK11" s="267"/>
      <c r="BL11" s="267"/>
    </row>
    <row r="12" spans="1:64">
      <c r="A12" s="576"/>
      <c r="B12" s="579"/>
      <c r="C12" s="247" t="s">
        <v>45</v>
      </c>
      <c r="D12" s="609"/>
      <c r="E12" s="247"/>
      <c r="F12" s="247"/>
      <c r="G12" s="247"/>
      <c r="H12" s="247"/>
      <c r="I12" s="247"/>
      <c r="J12" s="247"/>
      <c r="K12" s="247"/>
      <c r="L12" s="247"/>
      <c r="M12" s="256"/>
      <c r="N12" s="247"/>
      <c r="O12" s="247"/>
      <c r="P12" s="247"/>
      <c r="Q12" s="247"/>
      <c r="R12" s="247"/>
      <c r="S12" s="247"/>
      <c r="T12" s="247"/>
      <c r="U12" s="247"/>
      <c r="V12" s="247"/>
      <c r="W12" s="247"/>
      <c r="X12" s="247"/>
      <c r="Y12" s="247"/>
      <c r="Z12" s="247"/>
      <c r="AA12" s="247">
        <v>654.74</v>
      </c>
      <c r="AB12" s="247"/>
      <c r="AC12" s="247" t="s">
        <v>263</v>
      </c>
      <c r="AD12" s="287">
        <f t="shared" si="0"/>
        <v>4.33</v>
      </c>
      <c r="AE12" s="260">
        <f>'1. ABA DE CARREGAMENTO'!$B$90</f>
        <v>24</v>
      </c>
      <c r="AF12" s="609"/>
      <c r="AG12" s="248">
        <f t="shared" si="1"/>
        <v>0</v>
      </c>
      <c r="AH12" s="248">
        <f t="shared" si="2"/>
        <v>0</v>
      </c>
      <c r="AI12" s="248">
        <f t="shared" si="3"/>
        <v>0</v>
      </c>
      <c r="AJ12" s="248">
        <f t="shared" si="4"/>
        <v>0</v>
      </c>
      <c r="AK12" s="248">
        <f t="shared" si="5"/>
        <v>0</v>
      </c>
      <c r="AL12" s="248">
        <f t="shared" si="6"/>
        <v>0</v>
      </c>
      <c r="AM12" s="248">
        <f t="shared" si="7"/>
        <v>0</v>
      </c>
      <c r="AN12" s="248">
        <f t="shared" si="8"/>
        <v>0</v>
      </c>
      <c r="AO12" s="248">
        <f t="shared" si="9"/>
        <v>0</v>
      </c>
      <c r="AP12" s="248">
        <f t="shared" si="10"/>
        <v>0</v>
      </c>
      <c r="AQ12" s="248">
        <f t="shared" si="11"/>
        <v>0</v>
      </c>
      <c r="AR12" s="248">
        <f t="shared" si="12"/>
        <v>0</v>
      </c>
      <c r="AS12" s="248">
        <f t="shared" si="13"/>
        <v>0</v>
      </c>
      <c r="AT12" s="248">
        <f t="shared" si="14"/>
        <v>0</v>
      </c>
      <c r="AU12" s="248">
        <f t="shared" si="15"/>
        <v>0</v>
      </c>
      <c r="AV12" s="248">
        <f t="shared" si="16"/>
        <v>0</v>
      </c>
      <c r="AW12" s="248">
        <f t="shared" si="17"/>
        <v>0</v>
      </c>
      <c r="AX12" s="248">
        <f t="shared" si="18"/>
        <v>0</v>
      </c>
      <c r="AY12" s="248">
        <f t="shared" si="19"/>
        <v>0</v>
      </c>
      <c r="AZ12" s="248">
        <f t="shared" si="20"/>
        <v>0</v>
      </c>
      <c r="BA12" s="248">
        <f t="shared" si="21"/>
        <v>0</v>
      </c>
      <c r="BB12" s="248">
        <f t="shared" si="22"/>
        <v>0</v>
      </c>
      <c r="BC12" s="248">
        <f t="shared" si="23"/>
        <v>118.12600833333335</v>
      </c>
      <c r="BD12" s="248">
        <f t="shared" si="24"/>
        <v>0</v>
      </c>
      <c r="BE12" s="267"/>
      <c r="BF12" s="267"/>
      <c r="BG12" s="267"/>
      <c r="BH12" s="267"/>
      <c r="BI12" s="267"/>
      <c r="BJ12" s="267"/>
      <c r="BK12" s="267"/>
      <c r="BL12" s="267"/>
    </row>
    <row r="13" spans="1:64">
      <c r="A13" s="576"/>
      <c r="B13" s="579"/>
      <c r="C13" s="247" t="s">
        <v>46</v>
      </c>
      <c r="D13" s="609"/>
      <c r="E13" s="247"/>
      <c r="F13" s="247"/>
      <c r="G13" s="247"/>
      <c r="H13" s="247"/>
      <c r="I13" s="247"/>
      <c r="J13" s="247"/>
      <c r="K13" s="247"/>
      <c r="L13" s="247"/>
      <c r="M13" s="256"/>
      <c r="N13" s="247"/>
      <c r="O13" s="247"/>
      <c r="P13" s="247"/>
      <c r="Q13" s="247"/>
      <c r="R13" s="247"/>
      <c r="S13" s="247"/>
      <c r="T13" s="247"/>
      <c r="U13" s="247"/>
      <c r="V13" s="247"/>
      <c r="W13" s="247"/>
      <c r="X13" s="247"/>
      <c r="Y13" s="247"/>
      <c r="Z13" s="247"/>
      <c r="AA13" s="247"/>
      <c r="AB13" s="247">
        <v>210</v>
      </c>
      <c r="AC13" s="247" t="s">
        <v>263</v>
      </c>
      <c r="AD13" s="287">
        <f t="shared" si="0"/>
        <v>4.33</v>
      </c>
      <c r="AE13" s="260">
        <f>'1. ABA DE CARREGAMENTO'!$B$90</f>
        <v>24</v>
      </c>
      <c r="AF13" s="609"/>
      <c r="AG13" s="248">
        <f t="shared" si="1"/>
        <v>0</v>
      </c>
      <c r="AH13" s="248">
        <f t="shared" si="2"/>
        <v>0</v>
      </c>
      <c r="AI13" s="248">
        <f t="shared" si="3"/>
        <v>0</v>
      </c>
      <c r="AJ13" s="248">
        <f t="shared" si="4"/>
        <v>0</v>
      </c>
      <c r="AK13" s="248">
        <f t="shared" si="5"/>
        <v>0</v>
      </c>
      <c r="AL13" s="248">
        <f t="shared" si="6"/>
        <v>0</v>
      </c>
      <c r="AM13" s="248">
        <f t="shared" si="7"/>
        <v>0</v>
      </c>
      <c r="AN13" s="248">
        <f t="shared" si="8"/>
        <v>0</v>
      </c>
      <c r="AO13" s="248">
        <f t="shared" si="9"/>
        <v>0</v>
      </c>
      <c r="AP13" s="248">
        <f t="shared" si="10"/>
        <v>0</v>
      </c>
      <c r="AQ13" s="248">
        <f t="shared" si="11"/>
        <v>0</v>
      </c>
      <c r="AR13" s="248">
        <f t="shared" si="12"/>
        <v>0</v>
      </c>
      <c r="AS13" s="248">
        <f t="shared" si="13"/>
        <v>0</v>
      </c>
      <c r="AT13" s="248">
        <f t="shared" si="14"/>
        <v>0</v>
      </c>
      <c r="AU13" s="248">
        <f t="shared" si="15"/>
        <v>0</v>
      </c>
      <c r="AV13" s="248">
        <f t="shared" si="16"/>
        <v>0</v>
      </c>
      <c r="AW13" s="248">
        <f t="shared" si="17"/>
        <v>0</v>
      </c>
      <c r="AX13" s="248">
        <f t="shared" si="18"/>
        <v>0</v>
      </c>
      <c r="AY13" s="248">
        <f t="shared" si="19"/>
        <v>0</v>
      </c>
      <c r="AZ13" s="248">
        <f t="shared" si="20"/>
        <v>0</v>
      </c>
      <c r="BA13" s="248">
        <f t="shared" si="21"/>
        <v>0</v>
      </c>
      <c r="BB13" s="248">
        <f t="shared" si="22"/>
        <v>0</v>
      </c>
      <c r="BC13" s="248">
        <f t="shared" si="23"/>
        <v>0</v>
      </c>
      <c r="BD13" s="248">
        <f t="shared" si="24"/>
        <v>37.887500000000003</v>
      </c>
      <c r="BE13" s="267"/>
      <c r="BF13" s="267"/>
      <c r="BG13" s="267"/>
      <c r="BH13" s="267"/>
      <c r="BI13" s="267"/>
      <c r="BJ13" s="267"/>
      <c r="BK13" s="267"/>
      <c r="BL13" s="267"/>
    </row>
    <row r="14" spans="1:64">
      <c r="A14" s="577"/>
      <c r="B14" s="580"/>
      <c r="C14" s="247" t="s">
        <v>239</v>
      </c>
      <c r="D14" s="610"/>
      <c r="E14" s="247"/>
      <c r="F14" s="247"/>
      <c r="G14" s="247"/>
      <c r="H14" s="247"/>
      <c r="I14" s="247"/>
      <c r="J14" s="247"/>
      <c r="K14" s="247"/>
      <c r="L14" s="247"/>
      <c r="M14" s="247"/>
      <c r="N14" s="247"/>
      <c r="O14" s="247"/>
      <c r="P14" s="247"/>
      <c r="Q14" s="247"/>
      <c r="R14" s="247"/>
      <c r="S14" s="247"/>
      <c r="T14" s="247"/>
      <c r="U14" s="247"/>
      <c r="V14" s="295"/>
      <c r="W14" s="295"/>
      <c r="X14" s="247"/>
      <c r="Y14" s="247"/>
      <c r="Z14" s="261">
        <v>210</v>
      </c>
      <c r="AA14" s="247"/>
      <c r="AB14" s="247"/>
      <c r="AC14" s="247" t="s">
        <v>245</v>
      </c>
      <c r="AD14" s="287">
        <f t="shared" si="0"/>
        <v>144</v>
      </c>
      <c r="AE14" s="260">
        <f>'1. ABA DE CARREGAMENTO'!$B$90</f>
        <v>24</v>
      </c>
      <c r="AF14" s="610"/>
      <c r="AG14" s="248">
        <f t="shared" si="1"/>
        <v>0</v>
      </c>
      <c r="AH14" s="248">
        <f t="shared" si="2"/>
        <v>0</v>
      </c>
      <c r="AI14" s="248">
        <f t="shared" si="3"/>
        <v>0</v>
      </c>
      <c r="AJ14" s="248">
        <f t="shared" si="4"/>
        <v>0</v>
      </c>
      <c r="AK14" s="248">
        <f t="shared" si="5"/>
        <v>0</v>
      </c>
      <c r="AL14" s="248">
        <f t="shared" si="6"/>
        <v>0</v>
      </c>
      <c r="AM14" s="248">
        <f t="shared" si="7"/>
        <v>0</v>
      </c>
      <c r="AN14" s="248">
        <f t="shared" si="8"/>
        <v>0</v>
      </c>
      <c r="AO14" s="248">
        <f t="shared" si="9"/>
        <v>0</v>
      </c>
      <c r="AP14" s="248">
        <f t="shared" si="10"/>
        <v>0</v>
      </c>
      <c r="AQ14" s="248">
        <f t="shared" si="11"/>
        <v>0</v>
      </c>
      <c r="AR14" s="248">
        <f t="shared" si="12"/>
        <v>0</v>
      </c>
      <c r="AS14" s="248">
        <f t="shared" si="13"/>
        <v>0</v>
      </c>
      <c r="AT14" s="248">
        <f t="shared" si="14"/>
        <v>0</v>
      </c>
      <c r="AU14" s="248">
        <f t="shared" si="15"/>
        <v>0</v>
      </c>
      <c r="AV14" s="248">
        <f t="shared" si="16"/>
        <v>0</v>
      </c>
      <c r="AW14" s="248">
        <f t="shared" si="17"/>
        <v>0</v>
      </c>
      <c r="AX14" s="248">
        <f t="shared" si="18"/>
        <v>0</v>
      </c>
      <c r="AY14" s="248">
        <f t="shared" si="19"/>
        <v>0</v>
      </c>
      <c r="AZ14" s="248">
        <f t="shared" si="20"/>
        <v>0</v>
      </c>
      <c r="BA14" s="248">
        <f t="shared" si="21"/>
        <v>0</v>
      </c>
      <c r="BB14" s="248">
        <f t="shared" si="22"/>
        <v>1260</v>
      </c>
      <c r="BC14" s="248">
        <f t="shared" si="23"/>
        <v>0</v>
      </c>
      <c r="BD14" s="248">
        <f t="shared" si="24"/>
        <v>0</v>
      </c>
      <c r="BE14" s="267"/>
      <c r="BF14" s="267"/>
      <c r="BG14" s="267"/>
      <c r="BH14" s="267"/>
      <c r="BI14" s="267"/>
      <c r="BJ14" s="267"/>
      <c r="BK14" s="267"/>
      <c r="BL14" s="267"/>
    </row>
    <row r="15" spans="1:64">
      <c r="A15" s="596">
        <v>2</v>
      </c>
      <c r="B15" s="599" t="s">
        <v>255</v>
      </c>
      <c r="C15" s="251" t="s">
        <v>261</v>
      </c>
      <c r="D15" s="611">
        <f>SUM(E15:AB20)</f>
        <v>2644.09</v>
      </c>
      <c r="E15" s="251">
        <v>428.32</v>
      </c>
      <c r="F15" s="253">
        <v>577.1</v>
      </c>
      <c r="G15" s="251"/>
      <c r="H15" s="251"/>
      <c r="I15" s="251"/>
      <c r="J15" s="251"/>
      <c r="K15" s="251"/>
      <c r="L15" s="251"/>
      <c r="M15" s="251"/>
      <c r="N15" s="251"/>
      <c r="O15" s="251"/>
      <c r="P15" s="251"/>
      <c r="Q15" s="251"/>
      <c r="R15" s="251"/>
      <c r="S15" s="251"/>
      <c r="T15" s="251"/>
      <c r="U15" s="251"/>
      <c r="V15" s="251"/>
      <c r="W15" s="251"/>
      <c r="X15" s="251"/>
      <c r="Y15" s="251"/>
      <c r="Z15" s="251"/>
      <c r="AA15" s="251"/>
      <c r="AB15" s="251"/>
      <c r="AC15" s="289" t="s">
        <v>243</v>
      </c>
      <c r="AD15" s="288">
        <f>IF(AC15="DIÁRIA",AE15,IF(AC15="2xDIA",(AE15*2),IF(AC15="3xDIA",(AE15*3),IF(AC15="4xDIA",(AE15*4),IF(AC15="5xDIA",(AE15*5),IF(AC15="6xDIA",(AE15*6),IF(AC15="SEMANAL",4.33,IF(AC15="2xSEMANA",8,IF(AC15="3xSEMANA",12,IF(AC15="QUINZENAL",2,IF(AC15="MENSAL",1,IF(AC15="BIMESTRAL",0.5,IF(AC15="TRIMESTRAL",0.33,IF(AC15="SEMESTRAL",0.17,0))))))))))))))</f>
        <v>72</v>
      </c>
      <c r="AE15" s="262">
        <f>'1. ABA DE CARREGAMENTO'!$B$90</f>
        <v>24</v>
      </c>
      <c r="AF15" s="611">
        <f>SUM(AG15:BD20)</f>
        <v>4102.6006958333337</v>
      </c>
      <c r="AG15" s="252">
        <f t="shared" si="1"/>
        <v>1284.96</v>
      </c>
      <c r="AH15" s="252">
        <f t="shared" si="2"/>
        <v>1731.3000000000002</v>
      </c>
      <c r="AI15" s="252">
        <f t="shared" si="3"/>
        <v>0</v>
      </c>
      <c r="AJ15" s="252">
        <f t="shared" si="4"/>
        <v>0</v>
      </c>
      <c r="AK15" s="252">
        <f t="shared" si="5"/>
        <v>0</v>
      </c>
      <c r="AL15" s="257">
        <f t="shared" si="6"/>
        <v>0</v>
      </c>
      <c r="AM15" s="257">
        <f t="shared" si="7"/>
        <v>0</v>
      </c>
      <c r="AN15" s="252">
        <f t="shared" si="8"/>
        <v>0</v>
      </c>
      <c r="AO15" s="252">
        <f t="shared" si="9"/>
        <v>0</v>
      </c>
      <c r="AP15" s="257">
        <f t="shared" si="10"/>
        <v>0</v>
      </c>
      <c r="AQ15" s="257">
        <f t="shared" si="11"/>
        <v>0</v>
      </c>
      <c r="AR15" s="252">
        <f t="shared" si="12"/>
        <v>0</v>
      </c>
      <c r="AS15" s="252">
        <f t="shared" si="13"/>
        <v>0</v>
      </c>
      <c r="AT15" s="252">
        <f t="shared" si="14"/>
        <v>0</v>
      </c>
      <c r="AU15" s="252">
        <f t="shared" si="15"/>
        <v>0</v>
      </c>
      <c r="AV15" s="252">
        <f t="shared" si="16"/>
        <v>0</v>
      </c>
      <c r="AW15" s="252">
        <f t="shared" si="17"/>
        <v>0</v>
      </c>
      <c r="AX15" s="252">
        <f t="shared" si="18"/>
        <v>0</v>
      </c>
      <c r="AY15" s="252">
        <f t="shared" si="19"/>
        <v>0</v>
      </c>
      <c r="AZ15" s="252">
        <f t="shared" si="20"/>
        <v>0</v>
      </c>
      <c r="BA15" s="252">
        <f t="shared" si="21"/>
        <v>0</v>
      </c>
      <c r="BB15" s="293">
        <f t="shared" si="22"/>
        <v>0</v>
      </c>
      <c r="BC15" s="293">
        <f t="shared" si="23"/>
        <v>0</v>
      </c>
      <c r="BD15" s="252">
        <f t="shared" si="24"/>
        <v>0</v>
      </c>
      <c r="BE15" s="267"/>
      <c r="BF15" s="267"/>
      <c r="BG15" s="267"/>
      <c r="BH15" s="267"/>
      <c r="BI15" s="267"/>
      <c r="BJ15" s="267"/>
      <c r="BK15" s="267"/>
      <c r="BL15" s="267"/>
    </row>
    <row r="16" spans="1:64">
      <c r="A16" s="597"/>
      <c r="B16" s="600"/>
      <c r="C16" s="254" t="s">
        <v>251</v>
      </c>
      <c r="D16" s="612"/>
      <c r="E16" s="251"/>
      <c r="F16" s="251"/>
      <c r="G16" s="251"/>
      <c r="H16" s="251"/>
      <c r="I16" s="251"/>
      <c r="J16" s="251"/>
      <c r="K16" s="251"/>
      <c r="L16" s="251"/>
      <c r="M16" s="251"/>
      <c r="N16" s="251"/>
      <c r="O16" s="251"/>
      <c r="P16" s="251"/>
      <c r="Q16" s="251"/>
      <c r="R16" s="251"/>
      <c r="S16" s="251"/>
      <c r="T16" s="251"/>
      <c r="U16" s="251"/>
      <c r="V16" s="251">
        <v>206.68</v>
      </c>
      <c r="W16" s="251"/>
      <c r="X16" s="251"/>
      <c r="Y16" s="251"/>
      <c r="Z16" s="251"/>
      <c r="AA16" s="251"/>
      <c r="AB16" s="251"/>
      <c r="AC16" s="289" t="s">
        <v>252</v>
      </c>
      <c r="AD16" s="288">
        <f t="shared" si="0"/>
        <v>0.17</v>
      </c>
      <c r="AE16" s="262">
        <f>'1. ABA DE CARREGAMENTO'!$B$90</f>
        <v>24</v>
      </c>
      <c r="AF16" s="612"/>
      <c r="AG16" s="252">
        <f t="shared" si="1"/>
        <v>0</v>
      </c>
      <c r="AH16" s="252">
        <f t="shared" si="2"/>
        <v>0</v>
      </c>
      <c r="AI16" s="252">
        <f t="shared" si="3"/>
        <v>0</v>
      </c>
      <c r="AJ16" s="252">
        <f t="shared" si="4"/>
        <v>0</v>
      </c>
      <c r="AK16" s="252">
        <f t="shared" si="5"/>
        <v>0</v>
      </c>
      <c r="AL16" s="257">
        <f t="shared" si="6"/>
        <v>0</v>
      </c>
      <c r="AM16" s="257">
        <f t="shared" si="7"/>
        <v>0</v>
      </c>
      <c r="AN16" s="252">
        <f t="shared" si="8"/>
        <v>0</v>
      </c>
      <c r="AO16" s="252">
        <f t="shared" si="9"/>
        <v>0</v>
      </c>
      <c r="AP16" s="257">
        <f t="shared" si="10"/>
        <v>0</v>
      </c>
      <c r="AQ16" s="257">
        <f t="shared" si="11"/>
        <v>0</v>
      </c>
      <c r="AR16" s="252">
        <f t="shared" si="12"/>
        <v>0</v>
      </c>
      <c r="AS16" s="252">
        <f t="shared" si="13"/>
        <v>0</v>
      </c>
      <c r="AT16" s="252">
        <f t="shared" si="14"/>
        <v>0</v>
      </c>
      <c r="AU16" s="252">
        <f t="shared" si="15"/>
        <v>0</v>
      </c>
      <c r="AV16" s="252">
        <f t="shared" si="16"/>
        <v>0</v>
      </c>
      <c r="AW16" s="252">
        <f t="shared" si="17"/>
        <v>0</v>
      </c>
      <c r="AX16" s="252">
        <f t="shared" si="18"/>
        <v>1.4639833333333334</v>
      </c>
      <c r="AY16" s="252">
        <f t="shared" si="19"/>
        <v>0</v>
      </c>
      <c r="AZ16" s="252">
        <f t="shared" si="20"/>
        <v>0</v>
      </c>
      <c r="BA16" s="252">
        <f t="shared" si="21"/>
        <v>0</v>
      </c>
      <c r="BB16" s="293">
        <f t="shared" si="22"/>
        <v>0</v>
      </c>
      <c r="BC16" s="293">
        <f t="shared" si="23"/>
        <v>0</v>
      </c>
      <c r="BD16" s="252">
        <f t="shared" si="24"/>
        <v>0</v>
      </c>
      <c r="BE16" s="267"/>
      <c r="BF16" s="267"/>
      <c r="BG16" s="267"/>
      <c r="BH16" s="267"/>
      <c r="BI16" s="267"/>
      <c r="BJ16" s="267"/>
      <c r="BK16" s="267"/>
      <c r="BL16" s="267"/>
    </row>
    <row r="17" spans="1:64">
      <c r="A17" s="597"/>
      <c r="B17" s="600"/>
      <c r="C17" s="254" t="s">
        <v>253</v>
      </c>
      <c r="D17" s="612"/>
      <c r="E17" s="251"/>
      <c r="F17" s="251"/>
      <c r="G17" s="251"/>
      <c r="H17" s="251"/>
      <c r="I17" s="251"/>
      <c r="J17" s="251"/>
      <c r="K17" s="251"/>
      <c r="L17" s="251"/>
      <c r="M17" s="251"/>
      <c r="N17" s="251"/>
      <c r="O17" s="251"/>
      <c r="P17" s="251"/>
      <c r="Q17" s="251"/>
      <c r="R17" s="251"/>
      <c r="S17" s="251"/>
      <c r="T17" s="251"/>
      <c r="U17" s="251"/>
      <c r="V17" s="251"/>
      <c r="W17" s="251">
        <v>417.65</v>
      </c>
      <c r="X17" s="251"/>
      <c r="Y17" s="251"/>
      <c r="Z17" s="251"/>
      <c r="AA17" s="251"/>
      <c r="AB17" s="251"/>
      <c r="AC17" s="289" t="s">
        <v>247</v>
      </c>
      <c r="AD17" s="288">
        <f t="shared" si="0"/>
        <v>8</v>
      </c>
      <c r="AE17" s="262">
        <f>'1. ABA DE CARREGAMENTO'!$B$90</f>
        <v>24</v>
      </c>
      <c r="AF17" s="612"/>
      <c r="AG17" s="252">
        <f t="shared" si="1"/>
        <v>0</v>
      </c>
      <c r="AH17" s="252">
        <f t="shared" si="2"/>
        <v>0</v>
      </c>
      <c r="AI17" s="252">
        <f t="shared" si="3"/>
        <v>0</v>
      </c>
      <c r="AJ17" s="252">
        <f t="shared" si="4"/>
        <v>0</v>
      </c>
      <c r="AK17" s="252">
        <f t="shared" si="5"/>
        <v>0</v>
      </c>
      <c r="AL17" s="257">
        <f t="shared" si="6"/>
        <v>0</v>
      </c>
      <c r="AM17" s="257">
        <f t="shared" si="7"/>
        <v>0</v>
      </c>
      <c r="AN17" s="252">
        <f t="shared" si="8"/>
        <v>0</v>
      </c>
      <c r="AO17" s="252">
        <f t="shared" si="9"/>
        <v>0</v>
      </c>
      <c r="AP17" s="257">
        <f t="shared" si="10"/>
        <v>0</v>
      </c>
      <c r="AQ17" s="257">
        <f t="shared" si="11"/>
        <v>0</v>
      </c>
      <c r="AR17" s="252">
        <f t="shared" si="12"/>
        <v>0</v>
      </c>
      <c r="AS17" s="252">
        <f t="shared" si="13"/>
        <v>0</v>
      </c>
      <c r="AT17" s="252">
        <f t="shared" si="14"/>
        <v>0</v>
      </c>
      <c r="AU17" s="252">
        <f t="shared" si="15"/>
        <v>0</v>
      </c>
      <c r="AV17" s="252">
        <f t="shared" si="16"/>
        <v>0</v>
      </c>
      <c r="AW17" s="252">
        <f t="shared" si="17"/>
        <v>0</v>
      </c>
      <c r="AX17" s="252">
        <f t="shared" si="18"/>
        <v>0</v>
      </c>
      <c r="AY17" s="252">
        <f t="shared" si="19"/>
        <v>139.21666666666667</v>
      </c>
      <c r="AZ17" s="252">
        <f t="shared" si="20"/>
        <v>0</v>
      </c>
      <c r="BA17" s="252">
        <f t="shared" si="21"/>
        <v>0</v>
      </c>
      <c r="BB17" s="293">
        <f t="shared" si="22"/>
        <v>0</v>
      </c>
      <c r="BC17" s="293">
        <f t="shared" si="23"/>
        <v>0</v>
      </c>
      <c r="BD17" s="252"/>
      <c r="BE17" s="267"/>
      <c r="BF17" s="267"/>
      <c r="BG17" s="267"/>
      <c r="BH17" s="267"/>
      <c r="BI17" s="267"/>
      <c r="BJ17" s="267"/>
      <c r="BK17" s="267"/>
      <c r="BL17" s="267"/>
    </row>
    <row r="18" spans="1:64">
      <c r="A18" s="597"/>
      <c r="B18" s="600"/>
      <c r="C18" s="254" t="s">
        <v>45</v>
      </c>
      <c r="D18" s="612"/>
      <c r="E18" s="251"/>
      <c r="F18" s="255"/>
      <c r="G18" s="251"/>
      <c r="H18" s="251"/>
      <c r="I18" s="251"/>
      <c r="J18" s="251"/>
      <c r="K18" s="251"/>
      <c r="L18" s="251"/>
      <c r="M18" s="251"/>
      <c r="N18" s="251"/>
      <c r="O18" s="251"/>
      <c r="P18" s="251"/>
      <c r="Q18" s="251"/>
      <c r="R18" s="251"/>
      <c r="S18" s="251"/>
      <c r="T18" s="251"/>
      <c r="U18" s="251"/>
      <c r="V18" s="251"/>
      <c r="W18" s="251"/>
      <c r="X18" s="251"/>
      <c r="Y18" s="251"/>
      <c r="Z18" s="251"/>
      <c r="AA18" s="251">
        <v>615</v>
      </c>
      <c r="AB18" s="251"/>
      <c r="AC18" s="289" t="s">
        <v>263</v>
      </c>
      <c r="AD18" s="288">
        <f t="shared" si="0"/>
        <v>4.33</v>
      </c>
      <c r="AE18" s="262">
        <f>'1. ABA DE CARREGAMENTO'!$B$90</f>
        <v>24</v>
      </c>
      <c r="AF18" s="612"/>
      <c r="AG18" s="252">
        <f t="shared" si="1"/>
        <v>0</v>
      </c>
      <c r="AH18" s="252">
        <f t="shared" si="2"/>
        <v>0</v>
      </c>
      <c r="AI18" s="252">
        <f t="shared" si="3"/>
        <v>0</v>
      </c>
      <c r="AJ18" s="252">
        <f t="shared" si="4"/>
        <v>0</v>
      </c>
      <c r="AK18" s="252">
        <f t="shared" si="5"/>
        <v>0</v>
      </c>
      <c r="AL18" s="257">
        <f t="shared" si="6"/>
        <v>0</v>
      </c>
      <c r="AM18" s="257">
        <f t="shared" si="7"/>
        <v>0</v>
      </c>
      <c r="AN18" s="252">
        <f t="shared" si="8"/>
        <v>0</v>
      </c>
      <c r="AO18" s="252">
        <f t="shared" si="9"/>
        <v>0</v>
      </c>
      <c r="AP18" s="257">
        <f t="shared" si="10"/>
        <v>0</v>
      </c>
      <c r="AQ18" s="257">
        <f t="shared" si="11"/>
        <v>0</v>
      </c>
      <c r="AR18" s="252">
        <f t="shared" si="12"/>
        <v>0</v>
      </c>
      <c r="AS18" s="252">
        <f t="shared" si="13"/>
        <v>0</v>
      </c>
      <c r="AT18" s="252">
        <f t="shared" si="14"/>
        <v>0</v>
      </c>
      <c r="AU18" s="252">
        <f t="shared" si="15"/>
        <v>0</v>
      </c>
      <c r="AV18" s="252">
        <f t="shared" si="16"/>
        <v>0</v>
      </c>
      <c r="AW18" s="252">
        <f t="shared" si="17"/>
        <v>0</v>
      </c>
      <c r="AX18" s="252">
        <f t="shared" si="18"/>
        <v>0</v>
      </c>
      <c r="AY18" s="252">
        <f t="shared" si="19"/>
        <v>0</v>
      </c>
      <c r="AZ18" s="252">
        <f t="shared" si="20"/>
        <v>0</v>
      </c>
      <c r="BA18" s="252">
        <f t="shared" si="21"/>
        <v>0</v>
      </c>
      <c r="BB18" s="293">
        <f t="shared" si="22"/>
        <v>0</v>
      </c>
      <c r="BC18" s="293">
        <f t="shared" si="23"/>
        <v>110.95625</v>
      </c>
      <c r="BD18" s="252">
        <f t="shared" ref="BD18:BD24" si="25">(AB18*AD18)/AE18</f>
        <v>0</v>
      </c>
      <c r="BE18" s="267"/>
      <c r="BF18" s="267"/>
      <c r="BG18" s="267"/>
      <c r="BH18" s="267"/>
      <c r="BI18" s="267"/>
      <c r="BJ18" s="267"/>
      <c r="BK18" s="267"/>
      <c r="BL18" s="267"/>
    </row>
    <row r="19" spans="1:64">
      <c r="A19" s="597"/>
      <c r="B19" s="600"/>
      <c r="C19" s="254" t="s">
        <v>46</v>
      </c>
      <c r="D19" s="612"/>
      <c r="E19" s="251"/>
      <c r="F19" s="255"/>
      <c r="G19" s="251"/>
      <c r="H19" s="251"/>
      <c r="I19" s="251"/>
      <c r="J19" s="251"/>
      <c r="K19" s="251"/>
      <c r="L19" s="251"/>
      <c r="M19" s="251"/>
      <c r="N19" s="251"/>
      <c r="O19" s="251"/>
      <c r="P19" s="251"/>
      <c r="Q19" s="251"/>
      <c r="R19" s="251"/>
      <c r="S19" s="251"/>
      <c r="T19" s="251"/>
      <c r="U19" s="251"/>
      <c r="V19" s="251"/>
      <c r="W19" s="251"/>
      <c r="X19" s="251"/>
      <c r="Y19" s="251"/>
      <c r="Z19" s="251"/>
      <c r="AA19" s="251"/>
      <c r="AB19" s="251">
        <v>199.67</v>
      </c>
      <c r="AC19" s="289" t="s">
        <v>263</v>
      </c>
      <c r="AD19" s="288">
        <f t="shared" si="0"/>
        <v>4.33</v>
      </c>
      <c r="AE19" s="262">
        <f>'1. ABA DE CARREGAMENTO'!$B$90</f>
        <v>24</v>
      </c>
      <c r="AF19" s="612"/>
      <c r="AG19" s="252">
        <f t="shared" si="1"/>
        <v>0</v>
      </c>
      <c r="AH19" s="252">
        <f t="shared" si="2"/>
        <v>0</v>
      </c>
      <c r="AI19" s="252">
        <f t="shared" si="3"/>
        <v>0</v>
      </c>
      <c r="AJ19" s="252">
        <f t="shared" si="4"/>
        <v>0</v>
      </c>
      <c r="AK19" s="252">
        <f t="shared" si="5"/>
        <v>0</v>
      </c>
      <c r="AL19" s="257">
        <f t="shared" si="6"/>
        <v>0</v>
      </c>
      <c r="AM19" s="257">
        <f t="shared" si="7"/>
        <v>0</v>
      </c>
      <c r="AN19" s="252">
        <f t="shared" si="8"/>
        <v>0</v>
      </c>
      <c r="AO19" s="252">
        <f t="shared" si="9"/>
        <v>0</v>
      </c>
      <c r="AP19" s="257">
        <f t="shared" si="10"/>
        <v>0</v>
      </c>
      <c r="AQ19" s="257">
        <f t="shared" si="11"/>
        <v>0</v>
      </c>
      <c r="AR19" s="252">
        <f t="shared" si="12"/>
        <v>0</v>
      </c>
      <c r="AS19" s="252">
        <f t="shared" si="13"/>
        <v>0</v>
      </c>
      <c r="AT19" s="252">
        <f t="shared" si="14"/>
        <v>0</v>
      </c>
      <c r="AU19" s="252">
        <f t="shared" si="15"/>
        <v>0</v>
      </c>
      <c r="AV19" s="252">
        <f t="shared" si="16"/>
        <v>0</v>
      </c>
      <c r="AW19" s="252">
        <f t="shared" si="17"/>
        <v>0</v>
      </c>
      <c r="AX19" s="252">
        <f t="shared" si="18"/>
        <v>0</v>
      </c>
      <c r="AY19" s="252">
        <f t="shared" si="19"/>
        <v>0</v>
      </c>
      <c r="AZ19" s="252">
        <f t="shared" si="20"/>
        <v>0</v>
      </c>
      <c r="BA19" s="252">
        <f t="shared" si="21"/>
        <v>0</v>
      </c>
      <c r="BB19" s="293">
        <f t="shared" si="22"/>
        <v>0</v>
      </c>
      <c r="BC19" s="293">
        <f t="shared" si="23"/>
        <v>0</v>
      </c>
      <c r="BD19" s="252">
        <f t="shared" si="25"/>
        <v>36.023795833333331</v>
      </c>
      <c r="BE19" s="267"/>
      <c r="BF19" s="267"/>
      <c r="BG19" s="267"/>
      <c r="BH19" s="267"/>
      <c r="BI19" s="267"/>
      <c r="BJ19" s="267"/>
      <c r="BK19" s="267"/>
      <c r="BL19" s="267"/>
    </row>
    <row r="20" spans="1:64">
      <c r="A20" s="598"/>
      <c r="B20" s="601"/>
      <c r="C20" s="251" t="s">
        <v>239</v>
      </c>
      <c r="D20" s="613"/>
      <c r="E20" s="251"/>
      <c r="F20" s="251"/>
      <c r="G20" s="251"/>
      <c r="H20" s="251"/>
      <c r="I20" s="251"/>
      <c r="J20" s="251"/>
      <c r="K20" s="251"/>
      <c r="L20" s="251"/>
      <c r="M20" s="251"/>
      <c r="N20" s="251"/>
      <c r="O20" s="251"/>
      <c r="P20" s="251"/>
      <c r="Q20" s="251"/>
      <c r="R20" s="251"/>
      <c r="S20" s="251"/>
      <c r="T20" s="251"/>
      <c r="U20" s="251"/>
      <c r="V20" s="251"/>
      <c r="W20" s="251"/>
      <c r="X20" s="251"/>
      <c r="Y20" s="251"/>
      <c r="Z20" s="251">
        <v>199.67</v>
      </c>
      <c r="AA20" s="251"/>
      <c r="AB20" s="251"/>
      <c r="AC20" s="289" t="s">
        <v>258</v>
      </c>
      <c r="AD20" s="288">
        <f t="shared" si="0"/>
        <v>96</v>
      </c>
      <c r="AE20" s="262">
        <f>'1. ABA DE CARREGAMENTO'!$B$90</f>
        <v>24</v>
      </c>
      <c r="AF20" s="613"/>
      <c r="AG20" s="252">
        <f t="shared" si="1"/>
        <v>0</v>
      </c>
      <c r="AH20" s="252">
        <f t="shared" si="2"/>
        <v>0</v>
      </c>
      <c r="AI20" s="252">
        <f t="shared" si="3"/>
        <v>0</v>
      </c>
      <c r="AJ20" s="252">
        <f t="shared" si="4"/>
        <v>0</v>
      </c>
      <c r="AK20" s="252">
        <f t="shared" si="5"/>
        <v>0</v>
      </c>
      <c r="AL20" s="257">
        <f t="shared" si="6"/>
        <v>0</v>
      </c>
      <c r="AM20" s="257">
        <f t="shared" si="7"/>
        <v>0</v>
      </c>
      <c r="AN20" s="252">
        <f t="shared" si="8"/>
        <v>0</v>
      </c>
      <c r="AO20" s="252">
        <f t="shared" si="9"/>
        <v>0</v>
      </c>
      <c r="AP20" s="257">
        <f t="shared" si="10"/>
        <v>0</v>
      </c>
      <c r="AQ20" s="257">
        <f t="shared" si="11"/>
        <v>0</v>
      </c>
      <c r="AR20" s="252">
        <f t="shared" si="12"/>
        <v>0</v>
      </c>
      <c r="AS20" s="252">
        <f t="shared" si="13"/>
        <v>0</v>
      </c>
      <c r="AT20" s="252">
        <f t="shared" si="14"/>
        <v>0</v>
      </c>
      <c r="AU20" s="252">
        <f t="shared" si="15"/>
        <v>0</v>
      </c>
      <c r="AV20" s="252">
        <f t="shared" si="16"/>
        <v>0</v>
      </c>
      <c r="AW20" s="252">
        <f t="shared" si="17"/>
        <v>0</v>
      </c>
      <c r="AX20" s="252">
        <f t="shared" si="18"/>
        <v>0</v>
      </c>
      <c r="AY20" s="252">
        <f t="shared" si="19"/>
        <v>0</v>
      </c>
      <c r="AZ20" s="252">
        <f t="shared" si="20"/>
        <v>0</v>
      </c>
      <c r="BA20" s="252">
        <f t="shared" si="21"/>
        <v>0</v>
      </c>
      <c r="BB20" s="293">
        <f t="shared" si="22"/>
        <v>798.68</v>
      </c>
      <c r="BC20" s="293">
        <f t="shared" si="23"/>
        <v>0</v>
      </c>
      <c r="BD20" s="252">
        <f t="shared" si="25"/>
        <v>0</v>
      </c>
      <c r="BE20" s="267"/>
      <c r="BF20" s="267"/>
      <c r="BG20" s="267"/>
      <c r="BH20" s="267"/>
      <c r="BI20" s="267"/>
      <c r="BJ20" s="267"/>
      <c r="BK20" s="267"/>
      <c r="BL20" s="267"/>
    </row>
    <row r="21" spans="1:64">
      <c r="A21" s="575">
        <v>3</v>
      </c>
      <c r="B21" s="578" t="s">
        <v>259</v>
      </c>
      <c r="C21" s="247" t="s">
        <v>260</v>
      </c>
      <c r="D21" s="608">
        <f>SUM(E21:AB28)</f>
        <v>3158.7000000000003</v>
      </c>
      <c r="E21" s="247"/>
      <c r="F21" s="247">
        <v>717.27</v>
      </c>
      <c r="G21" s="247"/>
      <c r="H21" s="250"/>
      <c r="I21" s="247"/>
      <c r="J21" s="247"/>
      <c r="K21" s="247"/>
      <c r="L21" s="247"/>
      <c r="M21" s="247"/>
      <c r="N21" s="247"/>
      <c r="O21" s="247"/>
      <c r="P21" s="247"/>
      <c r="Q21" s="247"/>
      <c r="R21" s="247"/>
      <c r="S21" s="247"/>
      <c r="T21" s="247"/>
      <c r="U21" s="247"/>
      <c r="V21" s="247"/>
      <c r="W21" s="247"/>
      <c r="X21" s="247"/>
      <c r="Y21" s="247"/>
      <c r="Z21" s="247"/>
      <c r="AA21" s="247"/>
      <c r="AB21" s="247"/>
      <c r="AC21" s="247" t="s">
        <v>257</v>
      </c>
      <c r="AD21" s="287">
        <f>IF(AC21="DIÁRIA",AE21,IF(AC21="2xDIA",(AE21*2),IF(AC21="3xDIA",(AE21*3),IF(AC21="4xDIA",(AE21*4),IF(AC21="5xDIA",(AE21*5),IF(AC21="6xDIA",(AE21*6),IF(AC21="SEMANAL",4.33,IF(AC21="2xSEMANA",8,IF(AC21="3xSEMANA",12,IF(AC21="QUINZENAL",2,IF(AC21="MENSAL",1,IF(AC21="BIMESTRAL",0.5,IF(AC21="TRIMESTRAL",0.33,IF(AC21="SEMESTRAL",0.17,0))))))))))))))</f>
        <v>24</v>
      </c>
      <c r="AE21" s="260">
        <f>'1. ABA DE CARREGAMENTO'!$B$90</f>
        <v>24</v>
      </c>
      <c r="AF21" s="608">
        <f>SUM(AG21:BD28)</f>
        <v>4055.0944333333337</v>
      </c>
      <c r="AG21" s="248">
        <f t="shared" si="1"/>
        <v>0</v>
      </c>
      <c r="AH21" s="248">
        <f t="shared" si="2"/>
        <v>717.27</v>
      </c>
      <c r="AI21" s="248">
        <f t="shared" si="3"/>
        <v>0</v>
      </c>
      <c r="AJ21" s="248">
        <f t="shared" si="4"/>
        <v>0</v>
      </c>
      <c r="AK21" s="248">
        <f t="shared" si="5"/>
        <v>0</v>
      </c>
      <c r="AL21" s="248">
        <f t="shared" si="6"/>
        <v>0</v>
      </c>
      <c r="AM21" s="248">
        <f t="shared" si="7"/>
        <v>0</v>
      </c>
      <c r="AN21" s="248">
        <f t="shared" si="8"/>
        <v>0</v>
      </c>
      <c r="AO21" s="248">
        <f t="shared" si="9"/>
        <v>0</v>
      </c>
      <c r="AP21" s="248">
        <f t="shared" si="10"/>
        <v>0</v>
      </c>
      <c r="AQ21" s="248">
        <f t="shared" si="11"/>
        <v>0</v>
      </c>
      <c r="AR21" s="248">
        <f t="shared" si="12"/>
        <v>0</v>
      </c>
      <c r="AS21" s="248">
        <f t="shared" si="13"/>
        <v>0</v>
      </c>
      <c r="AT21" s="248">
        <f t="shared" si="14"/>
        <v>0</v>
      </c>
      <c r="AU21" s="248">
        <f t="shared" si="15"/>
        <v>0</v>
      </c>
      <c r="AV21" s="248">
        <f t="shared" si="16"/>
        <v>0</v>
      </c>
      <c r="AW21" s="248">
        <f t="shared" si="17"/>
        <v>0</v>
      </c>
      <c r="AX21" s="248">
        <f t="shared" si="18"/>
        <v>0</v>
      </c>
      <c r="AY21" s="248">
        <f t="shared" si="19"/>
        <v>0</v>
      </c>
      <c r="AZ21" s="248">
        <f t="shared" si="20"/>
        <v>0</v>
      </c>
      <c r="BA21" s="248">
        <f t="shared" si="21"/>
        <v>0</v>
      </c>
      <c r="BB21" s="248">
        <f t="shared" si="22"/>
        <v>0</v>
      </c>
      <c r="BC21" s="248">
        <f t="shared" si="23"/>
        <v>0</v>
      </c>
      <c r="BD21" s="248">
        <f t="shared" si="25"/>
        <v>0</v>
      </c>
      <c r="BE21" s="267"/>
      <c r="BF21" s="267"/>
      <c r="BG21" s="267"/>
      <c r="BH21" s="267"/>
      <c r="BI21" s="267"/>
      <c r="BJ21" s="267"/>
      <c r="BK21" s="267"/>
      <c r="BL21" s="267"/>
    </row>
    <row r="22" spans="1:64">
      <c r="A22" s="576"/>
      <c r="B22" s="579"/>
      <c r="C22" s="295" t="s">
        <v>27</v>
      </c>
      <c r="D22" s="609"/>
      <c r="E22" s="250"/>
      <c r="F22" s="250"/>
      <c r="G22" s="247">
        <v>161.22999999999999</v>
      </c>
      <c r="H22" s="247"/>
      <c r="I22" s="247">
        <v>586.84</v>
      </c>
      <c r="J22" s="247"/>
      <c r="K22" s="247"/>
      <c r="L22" s="247"/>
      <c r="M22" s="247"/>
      <c r="N22" s="247"/>
      <c r="O22" s="247"/>
      <c r="P22" s="247"/>
      <c r="Q22" s="247"/>
      <c r="R22" s="247"/>
      <c r="S22" s="247"/>
      <c r="T22" s="247"/>
      <c r="U22" s="247"/>
      <c r="V22" s="247"/>
      <c r="W22" s="247"/>
      <c r="X22" s="247"/>
      <c r="Y22" s="247"/>
      <c r="Z22" s="247"/>
      <c r="AA22" s="247"/>
      <c r="AB22" s="247"/>
      <c r="AC22" s="247" t="s">
        <v>257</v>
      </c>
      <c r="AD22" s="287">
        <f t="shared" si="0"/>
        <v>24</v>
      </c>
      <c r="AE22" s="260">
        <f>'1. ABA DE CARREGAMENTO'!$B$90</f>
        <v>24</v>
      </c>
      <c r="AF22" s="609"/>
      <c r="AG22" s="248">
        <f t="shared" si="1"/>
        <v>0</v>
      </c>
      <c r="AH22" s="248">
        <f t="shared" si="2"/>
        <v>0</v>
      </c>
      <c r="AI22" s="248">
        <f t="shared" si="3"/>
        <v>161.22999999999999</v>
      </c>
      <c r="AJ22" s="248">
        <f t="shared" si="4"/>
        <v>0</v>
      </c>
      <c r="AK22" s="248">
        <f t="shared" si="5"/>
        <v>586.84</v>
      </c>
      <c r="AL22" s="248">
        <f t="shared" si="6"/>
        <v>0</v>
      </c>
      <c r="AM22" s="248">
        <f t="shared" si="7"/>
        <v>0</v>
      </c>
      <c r="AN22" s="248">
        <f t="shared" si="8"/>
        <v>0</v>
      </c>
      <c r="AO22" s="248">
        <f t="shared" si="9"/>
        <v>0</v>
      </c>
      <c r="AP22" s="248">
        <f t="shared" si="10"/>
        <v>0</v>
      </c>
      <c r="AQ22" s="248">
        <f t="shared" si="11"/>
        <v>0</v>
      </c>
      <c r="AR22" s="248">
        <f t="shared" si="12"/>
        <v>0</v>
      </c>
      <c r="AS22" s="248">
        <f t="shared" si="13"/>
        <v>0</v>
      </c>
      <c r="AT22" s="248">
        <f t="shared" si="14"/>
        <v>0</v>
      </c>
      <c r="AU22" s="248">
        <f t="shared" si="15"/>
        <v>0</v>
      </c>
      <c r="AV22" s="248">
        <f t="shared" si="16"/>
        <v>0</v>
      </c>
      <c r="AW22" s="248">
        <f t="shared" si="17"/>
        <v>0</v>
      </c>
      <c r="AX22" s="248">
        <f t="shared" si="18"/>
        <v>0</v>
      </c>
      <c r="AY22" s="248">
        <f t="shared" si="19"/>
        <v>0</v>
      </c>
      <c r="AZ22" s="248">
        <f t="shared" si="20"/>
        <v>0</v>
      </c>
      <c r="BA22" s="248">
        <f t="shared" si="21"/>
        <v>0</v>
      </c>
      <c r="BB22" s="248">
        <f t="shared" si="22"/>
        <v>0</v>
      </c>
      <c r="BC22" s="248">
        <f t="shared" si="23"/>
        <v>0</v>
      </c>
      <c r="BD22" s="248">
        <f t="shared" si="25"/>
        <v>0</v>
      </c>
      <c r="BE22" s="267"/>
      <c r="BF22" s="267"/>
      <c r="BG22" s="267"/>
      <c r="BH22" s="267"/>
      <c r="BI22" s="267"/>
      <c r="BJ22" s="267"/>
      <c r="BK22" s="267"/>
      <c r="BL22" s="267"/>
    </row>
    <row r="23" spans="1:64">
      <c r="A23" s="576"/>
      <c r="B23" s="579"/>
      <c r="C23" s="295" t="s">
        <v>248</v>
      </c>
      <c r="D23" s="609"/>
      <c r="E23" s="247"/>
      <c r="F23" s="247"/>
      <c r="G23" s="247"/>
      <c r="H23" s="247"/>
      <c r="I23" s="247"/>
      <c r="J23" s="247"/>
      <c r="K23" s="247"/>
      <c r="L23" s="247">
        <v>748.07</v>
      </c>
      <c r="M23" s="247"/>
      <c r="N23" s="247"/>
      <c r="O23" s="247"/>
      <c r="P23" s="247"/>
      <c r="Q23" s="247"/>
      <c r="R23" s="247"/>
      <c r="S23" s="247"/>
      <c r="T23" s="247"/>
      <c r="U23" s="247"/>
      <c r="V23" s="247"/>
      <c r="W23" s="247"/>
      <c r="X23" s="247"/>
      <c r="Y23" s="247"/>
      <c r="Z23" s="247"/>
      <c r="AA23" s="247"/>
      <c r="AB23" s="247"/>
      <c r="AC23" s="247" t="s">
        <v>243</v>
      </c>
      <c r="AD23" s="287">
        <f t="shared" si="0"/>
        <v>72</v>
      </c>
      <c r="AE23" s="260">
        <f>'1. ABA DE CARREGAMENTO'!$B$90</f>
        <v>24</v>
      </c>
      <c r="AF23" s="609"/>
      <c r="AG23" s="248">
        <f t="shared" si="1"/>
        <v>0</v>
      </c>
      <c r="AH23" s="248">
        <f t="shared" si="2"/>
        <v>0</v>
      </c>
      <c r="AI23" s="248">
        <f t="shared" si="3"/>
        <v>0</v>
      </c>
      <c r="AJ23" s="248">
        <f t="shared" si="4"/>
        <v>0</v>
      </c>
      <c r="AK23" s="248">
        <f t="shared" si="5"/>
        <v>0</v>
      </c>
      <c r="AL23" s="248">
        <f t="shared" si="6"/>
        <v>0</v>
      </c>
      <c r="AM23" s="248">
        <f t="shared" si="7"/>
        <v>0</v>
      </c>
      <c r="AN23" s="248">
        <f t="shared" si="8"/>
        <v>2244.21</v>
      </c>
      <c r="AO23" s="248">
        <f t="shared" si="9"/>
        <v>0</v>
      </c>
      <c r="AP23" s="248">
        <f t="shared" si="10"/>
        <v>0</v>
      </c>
      <c r="AQ23" s="248">
        <f t="shared" si="11"/>
        <v>0</v>
      </c>
      <c r="AR23" s="248">
        <f t="shared" si="12"/>
        <v>0</v>
      </c>
      <c r="AS23" s="248">
        <f t="shared" si="13"/>
        <v>0</v>
      </c>
      <c r="AT23" s="248">
        <f t="shared" si="14"/>
        <v>0</v>
      </c>
      <c r="AU23" s="248">
        <f t="shared" si="15"/>
        <v>0</v>
      </c>
      <c r="AV23" s="248">
        <f t="shared" si="16"/>
        <v>0</v>
      </c>
      <c r="AW23" s="248">
        <f t="shared" si="17"/>
        <v>0</v>
      </c>
      <c r="AX23" s="248">
        <f t="shared" si="18"/>
        <v>0</v>
      </c>
      <c r="AY23" s="248">
        <f t="shared" si="19"/>
        <v>0</v>
      </c>
      <c r="AZ23" s="248">
        <f t="shared" si="20"/>
        <v>0</v>
      </c>
      <c r="BA23" s="248">
        <f t="shared" si="21"/>
        <v>0</v>
      </c>
      <c r="BB23" s="248">
        <f t="shared" si="22"/>
        <v>0</v>
      </c>
      <c r="BC23" s="248">
        <f t="shared" si="23"/>
        <v>0</v>
      </c>
      <c r="BD23" s="248">
        <f t="shared" si="25"/>
        <v>0</v>
      </c>
      <c r="BE23" s="267"/>
      <c r="BF23" s="267"/>
      <c r="BG23" s="267"/>
      <c r="BH23" s="267"/>
      <c r="BI23" s="267"/>
      <c r="BJ23" s="267"/>
      <c r="BK23" s="267"/>
      <c r="BL23" s="267"/>
    </row>
    <row r="24" spans="1:64">
      <c r="A24" s="576"/>
      <c r="B24" s="579"/>
      <c r="C24" s="247" t="s">
        <v>251</v>
      </c>
      <c r="D24" s="609"/>
      <c r="E24" s="247"/>
      <c r="F24" s="247"/>
      <c r="G24" s="247"/>
      <c r="H24" s="247"/>
      <c r="I24" s="247"/>
      <c r="J24" s="247"/>
      <c r="K24" s="247"/>
      <c r="L24" s="247"/>
      <c r="M24" s="247"/>
      <c r="N24" s="247"/>
      <c r="O24" s="247"/>
      <c r="P24" s="247"/>
      <c r="Q24" s="247"/>
      <c r="R24" s="247"/>
      <c r="S24" s="247"/>
      <c r="T24" s="247"/>
      <c r="U24" s="247"/>
      <c r="V24" s="247">
        <v>249.4</v>
      </c>
      <c r="W24" s="247"/>
      <c r="X24" s="247"/>
      <c r="Y24" s="247"/>
      <c r="Z24" s="247"/>
      <c r="AA24" s="247"/>
      <c r="AB24" s="247"/>
      <c r="AC24" s="247" t="s">
        <v>252</v>
      </c>
      <c r="AD24" s="287">
        <f t="shared" si="0"/>
        <v>0.17</v>
      </c>
      <c r="AE24" s="260">
        <f>'1. ABA DE CARREGAMENTO'!$B$90</f>
        <v>24</v>
      </c>
      <c r="AF24" s="609"/>
      <c r="AG24" s="248">
        <f t="shared" si="1"/>
        <v>0</v>
      </c>
      <c r="AH24" s="248">
        <f t="shared" si="2"/>
        <v>0</v>
      </c>
      <c r="AI24" s="248">
        <f t="shared" si="3"/>
        <v>0</v>
      </c>
      <c r="AJ24" s="248">
        <f t="shared" si="4"/>
        <v>0</v>
      </c>
      <c r="AK24" s="248">
        <f t="shared" si="5"/>
        <v>0</v>
      </c>
      <c r="AL24" s="248">
        <f t="shared" si="6"/>
        <v>0</v>
      </c>
      <c r="AM24" s="248">
        <f t="shared" si="7"/>
        <v>0</v>
      </c>
      <c r="AN24" s="248">
        <f t="shared" si="8"/>
        <v>0</v>
      </c>
      <c r="AO24" s="248">
        <f t="shared" si="9"/>
        <v>0</v>
      </c>
      <c r="AP24" s="248">
        <f t="shared" si="10"/>
        <v>0</v>
      </c>
      <c r="AQ24" s="248">
        <f t="shared" si="11"/>
        <v>0</v>
      </c>
      <c r="AR24" s="248">
        <f t="shared" si="12"/>
        <v>0</v>
      </c>
      <c r="AS24" s="248">
        <f t="shared" si="13"/>
        <v>0</v>
      </c>
      <c r="AT24" s="248">
        <f t="shared" si="14"/>
        <v>0</v>
      </c>
      <c r="AU24" s="248">
        <f t="shared" si="15"/>
        <v>0</v>
      </c>
      <c r="AV24" s="248">
        <f t="shared" si="16"/>
        <v>0</v>
      </c>
      <c r="AW24" s="248">
        <f t="shared" si="17"/>
        <v>0</v>
      </c>
      <c r="AX24" s="248">
        <f t="shared" si="18"/>
        <v>1.7665833333333334</v>
      </c>
      <c r="AY24" s="248">
        <f t="shared" si="19"/>
        <v>0</v>
      </c>
      <c r="AZ24" s="248">
        <f t="shared" si="20"/>
        <v>0</v>
      </c>
      <c r="BA24" s="248">
        <f t="shared" si="21"/>
        <v>0</v>
      </c>
      <c r="BB24" s="248">
        <f t="shared" si="22"/>
        <v>0</v>
      </c>
      <c r="BC24" s="248">
        <f t="shared" si="23"/>
        <v>0</v>
      </c>
      <c r="BD24" s="248">
        <f t="shared" si="25"/>
        <v>0</v>
      </c>
      <c r="BE24" s="267"/>
      <c r="BF24" s="267"/>
      <c r="BG24" s="267"/>
      <c r="BH24" s="267"/>
      <c r="BI24" s="267"/>
      <c r="BJ24" s="267"/>
      <c r="BK24" s="267"/>
      <c r="BL24" s="267"/>
    </row>
    <row r="25" spans="1:64">
      <c r="A25" s="576"/>
      <c r="B25" s="579"/>
      <c r="C25" s="247" t="s">
        <v>253</v>
      </c>
      <c r="D25" s="609"/>
      <c r="E25" s="247"/>
      <c r="F25" s="247"/>
      <c r="G25" s="247"/>
      <c r="H25" s="247"/>
      <c r="I25" s="247"/>
      <c r="J25" s="247"/>
      <c r="K25" s="247"/>
      <c r="L25" s="247"/>
      <c r="M25" s="247"/>
      <c r="N25" s="247"/>
      <c r="O25" s="247"/>
      <c r="P25" s="247"/>
      <c r="Q25" s="247"/>
      <c r="R25" s="247"/>
      <c r="S25" s="247"/>
      <c r="T25" s="247"/>
      <c r="U25" s="247"/>
      <c r="V25" s="247"/>
      <c r="W25" s="247">
        <v>311.93</v>
      </c>
      <c r="X25" s="247"/>
      <c r="Y25" s="247"/>
      <c r="Z25" s="247"/>
      <c r="AA25" s="247"/>
      <c r="AB25" s="247"/>
      <c r="AC25" s="247" t="s">
        <v>247</v>
      </c>
      <c r="AD25" s="287">
        <f t="shared" si="0"/>
        <v>8</v>
      </c>
      <c r="AE25" s="260">
        <f>'1. ABA DE CARREGAMENTO'!$B$90</f>
        <v>24</v>
      </c>
      <c r="AF25" s="609"/>
      <c r="AG25" s="248">
        <f t="shared" si="1"/>
        <v>0</v>
      </c>
      <c r="AH25" s="248">
        <f t="shared" si="2"/>
        <v>0</v>
      </c>
      <c r="AI25" s="248">
        <f t="shared" si="3"/>
        <v>0</v>
      </c>
      <c r="AJ25" s="248">
        <f t="shared" si="4"/>
        <v>0</v>
      </c>
      <c r="AK25" s="248">
        <f t="shared" si="5"/>
        <v>0</v>
      </c>
      <c r="AL25" s="248">
        <f t="shared" si="6"/>
        <v>0</v>
      </c>
      <c r="AM25" s="248">
        <f t="shared" si="7"/>
        <v>0</v>
      </c>
      <c r="AN25" s="248">
        <f t="shared" si="8"/>
        <v>0</v>
      </c>
      <c r="AO25" s="248">
        <f t="shared" si="9"/>
        <v>0</v>
      </c>
      <c r="AP25" s="248">
        <f t="shared" si="10"/>
        <v>0</v>
      </c>
      <c r="AQ25" s="248">
        <f t="shared" si="11"/>
        <v>0</v>
      </c>
      <c r="AR25" s="248">
        <f t="shared" si="12"/>
        <v>0</v>
      </c>
      <c r="AS25" s="248">
        <f t="shared" si="13"/>
        <v>0</v>
      </c>
      <c r="AT25" s="248">
        <f t="shared" si="14"/>
        <v>0</v>
      </c>
      <c r="AU25" s="248">
        <f t="shared" si="15"/>
        <v>0</v>
      </c>
      <c r="AV25" s="248">
        <f t="shared" si="16"/>
        <v>0</v>
      </c>
      <c r="AW25" s="248">
        <f t="shared" si="17"/>
        <v>0</v>
      </c>
      <c r="AX25" s="248">
        <f t="shared" si="18"/>
        <v>0</v>
      </c>
      <c r="AY25" s="248">
        <f t="shared" si="19"/>
        <v>103.97666666666667</v>
      </c>
      <c r="AZ25" s="248">
        <f t="shared" si="20"/>
        <v>0</v>
      </c>
      <c r="BA25" s="248">
        <f t="shared" si="21"/>
        <v>0</v>
      </c>
      <c r="BB25" s="248">
        <f t="shared" si="22"/>
        <v>0</v>
      </c>
      <c r="BC25" s="248">
        <f t="shared" si="23"/>
        <v>0</v>
      </c>
      <c r="BD25" s="248"/>
      <c r="BE25" s="267"/>
      <c r="BF25" s="267"/>
      <c r="BG25" s="267"/>
      <c r="BH25" s="267"/>
      <c r="BI25" s="267"/>
      <c r="BJ25" s="267"/>
      <c r="BK25" s="267"/>
      <c r="BL25" s="267"/>
    </row>
    <row r="26" spans="1:64">
      <c r="A26" s="576"/>
      <c r="B26" s="579"/>
      <c r="C26" s="247" t="s">
        <v>45</v>
      </c>
      <c r="D26" s="609"/>
      <c r="E26" s="247"/>
      <c r="F26" s="247"/>
      <c r="G26" s="247"/>
      <c r="H26" s="256"/>
      <c r="I26" s="247"/>
      <c r="J26" s="247"/>
      <c r="K26" s="247"/>
      <c r="L26" s="247"/>
      <c r="M26" s="247"/>
      <c r="N26" s="247"/>
      <c r="O26" s="247"/>
      <c r="P26" s="247"/>
      <c r="Q26" s="247"/>
      <c r="R26" s="247"/>
      <c r="S26" s="247"/>
      <c r="T26" s="247"/>
      <c r="U26" s="247"/>
      <c r="V26" s="247"/>
      <c r="W26" s="247"/>
      <c r="X26" s="247"/>
      <c r="Y26" s="247"/>
      <c r="Z26" s="247"/>
      <c r="AA26" s="247">
        <v>263</v>
      </c>
      <c r="AB26" s="247"/>
      <c r="AC26" s="247" t="s">
        <v>263</v>
      </c>
      <c r="AD26" s="287">
        <f t="shared" si="0"/>
        <v>4.33</v>
      </c>
      <c r="AE26" s="260">
        <f>'1. ABA DE CARREGAMENTO'!$B$90</f>
        <v>24</v>
      </c>
      <c r="AF26" s="609"/>
      <c r="AG26" s="248">
        <f t="shared" si="1"/>
        <v>0</v>
      </c>
      <c r="AH26" s="248">
        <f t="shared" si="2"/>
        <v>0</v>
      </c>
      <c r="AI26" s="248">
        <f t="shared" si="3"/>
        <v>0</v>
      </c>
      <c r="AJ26" s="248">
        <f t="shared" si="4"/>
        <v>0</v>
      </c>
      <c r="AK26" s="248">
        <f t="shared" si="5"/>
        <v>0</v>
      </c>
      <c r="AL26" s="248">
        <f t="shared" si="6"/>
        <v>0</v>
      </c>
      <c r="AM26" s="248">
        <f t="shared" si="7"/>
        <v>0</v>
      </c>
      <c r="AN26" s="248">
        <f t="shared" si="8"/>
        <v>0</v>
      </c>
      <c r="AO26" s="248">
        <f t="shared" si="9"/>
        <v>0</v>
      </c>
      <c r="AP26" s="248">
        <f t="shared" si="10"/>
        <v>0</v>
      </c>
      <c r="AQ26" s="248">
        <f t="shared" si="11"/>
        <v>0</v>
      </c>
      <c r="AR26" s="248">
        <f t="shared" si="12"/>
        <v>0</v>
      </c>
      <c r="AS26" s="248">
        <f t="shared" si="13"/>
        <v>0</v>
      </c>
      <c r="AT26" s="248">
        <f t="shared" si="14"/>
        <v>0</v>
      </c>
      <c r="AU26" s="248">
        <f t="shared" si="15"/>
        <v>0</v>
      </c>
      <c r="AV26" s="248">
        <f t="shared" si="16"/>
        <v>0</v>
      </c>
      <c r="AW26" s="248">
        <f t="shared" si="17"/>
        <v>0</v>
      </c>
      <c r="AX26" s="248">
        <f t="shared" si="18"/>
        <v>0</v>
      </c>
      <c r="AY26" s="248">
        <f t="shared" si="19"/>
        <v>0</v>
      </c>
      <c r="AZ26" s="248">
        <f t="shared" si="20"/>
        <v>0</v>
      </c>
      <c r="BA26" s="248">
        <f t="shared" si="21"/>
        <v>0</v>
      </c>
      <c r="BB26" s="248">
        <f t="shared" si="22"/>
        <v>0</v>
      </c>
      <c r="BC26" s="248">
        <f t="shared" si="23"/>
        <v>47.449583333333329</v>
      </c>
      <c r="BD26" s="248">
        <f t="shared" ref="BD26:BD28" si="26">(AB26*AD26)/AE26</f>
        <v>0</v>
      </c>
      <c r="BE26" s="267"/>
      <c r="BF26" s="267"/>
      <c r="BG26" s="267"/>
      <c r="BH26" s="267"/>
      <c r="BI26" s="267"/>
      <c r="BJ26" s="267"/>
      <c r="BK26" s="267"/>
      <c r="BL26" s="267"/>
    </row>
    <row r="27" spans="1:64">
      <c r="A27" s="576"/>
      <c r="B27" s="579"/>
      <c r="C27" s="247" t="s">
        <v>46</v>
      </c>
      <c r="D27" s="609"/>
      <c r="E27" s="247"/>
      <c r="F27" s="247"/>
      <c r="G27" s="247"/>
      <c r="H27" s="256"/>
      <c r="I27" s="247"/>
      <c r="J27" s="247"/>
      <c r="K27" s="247"/>
      <c r="L27" s="247"/>
      <c r="M27" s="247"/>
      <c r="N27" s="247"/>
      <c r="O27" s="247"/>
      <c r="P27" s="247"/>
      <c r="Q27" s="247"/>
      <c r="R27" s="247"/>
      <c r="S27" s="247"/>
      <c r="T27" s="247"/>
      <c r="U27" s="247"/>
      <c r="V27" s="247"/>
      <c r="W27" s="247"/>
      <c r="X27" s="247"/>
      <c r="Y27" s="247"/>
      <c r="Z27" s="247"/>
      <c r="AA27" s="247"/>
      <c r="AB27" s="247">
        <v>60.48</v>
      </c>
      <c r="AC27" s="247" t="s">
        <v>263</v>
      </c>
      <c r="AD27" s="287">
        <f t="shared" si="0"/>
        <v>4.33</v>
      </c>
      <c r="AE27" s="260">
        <f>'1. ABA DE CARREGAMENTO'!$B$90</f>
        <v>24</v>
      </c>
      <c r="AF27" s="609"/>
      <c r="AG27" s="248">
        <f t="shared" si="1"/>
        <v>0</v>
      </c>
      <c r="AH27" s="248">
        <f t="shared" si="2"/>
        <v>0</v>
      </c>
      <c r="AI27" s="248">
        <f t="shared" si="3"/>
        <v>0</v>
      </c>
      <c r="AJ27" s="248">
        <f t="shared" si="4"/>
        <v>0</v>
      </c>
      <c r="AK27" s="248">
        <f t="shared" si="5"/>
        <v>0</v>
      </c>
      <c r="AL27" s="248">
        <f t="shared" si="6"/>
        <v>0</v>
      </c>
      <c r="AM27" s="248">
        <f t="shared" si="7"/>
        <v>0</v>
      </c>
      <c r="AN27" s="248">
        <f t="shared" si="8"/>
        <v>0</v>
      </c>
      <c r="AO27" s="248">
        <f t="shared" si="9"/>
        <v>0</v>
      </c>
      <c r="AP27" s="248">
        <f t="shared" si="10"/>
        <v>0</v>
      </c>
      <c r="AQ27" s="248">
        <f t="shared" si="11"/>
        <v>0</v>
      </c>
      <c r="AR27" s="248">
        <f t="shared" si="12"/>
        <v>0</v>
      </c>
      <c r="AS27" s="248">
        <f t="shared" si="13"/>
        <v>0</v>
      </c>
      <c r="AT27" s="248">
        <f t="shared" si="14"/>
        <v>0</v>
      </c>
      <c r="AU27" s="248">
        <f t="shared" si="15"/>
        <v>0</v>
      </c>
      <c r="AV27" s="248">
        <f t="shared" si="16"/>
        <v>0</v>
      </c>
      <c r="AW27" s="248">
        <f t="shared" si="17"/>
        <v>0</v>
      </c>
      <c r="AX27" s="248">
        <f t="shared" si="18"/>
        <v>0</v>
      </c>
      <c r="AY27" s="248">
        <f t="shared" si="19"/>
        <v>0</v>
      </c>
      <c r="AZ27" s="248">
        <f t="shared" si="20"/>
        <v>0</v>
      </c>
      <c r="BA27" s="248">
        <f t="shared" si="21"/>
        <v>0</v>
      </c>
      <c r="BB27" s="248">
        <f t="shared" si="22"/>
        <v>0</v>
      </c>
      <c r="BC27" s="248">
        <f t="shared" si="23"/>
        <v>0</v>
      </c>
      <c r="BD27" s="248">
        <f t="shared" si="26"/>
        <v>10.9116</v>
      </c>
      <c r="BE27" s="267"/>
      <c r="BF27" s="267"/>
      <c r="BG27" s="267"/>
      <c r="BH27" s="267"/>
      <c r="BI27" s="267"/>
      <c r="BJ27" s="267"/>
      <c r="BK27" s="267"/>
      <c r="BL27" s="267"/>
    </row>
    <row r="28" spans="1:64">
      <c r="A28" s="577"/>
      <c r="B28" s="580"/>
      <c r="C28" s="247" t="s">
        <v>239</v>
      </c>
      <c r="D28" s="610"/>
      <c r="E28" s="247"/>
      <c r="F28" s="247"/>
      <c r="G28" s="247"/>
      <c r="H28" s="247"/>
      <c r="I28" s="247"/>
      <c r="J28" s="247"/>
      <c r="K28" s="247"/>
      <c r="L28" s="247"/>
      <c r="M28" s="247"/>
      <c r="N28" s="247"/>
      <c r="O28" s="247"/>
      <c r="P28" s="247"/>
      <c r="Q28" s="247"/>
      <c r="R28" s="247"/>
      <c r="S28" s="247"/>
      <c r="T28" s="247"/>
      <c r="U28" s="247"/>
      <c r="V28" s="247"/>
      <c r="W28" s="247"/>
      <c r="X28" s="247"/>
      <c r="Y28" s="247"/>
      <c r="Z28" s="247">
        <v>60.48</v>
      </c>
      <c r="AA28" s="247"/>
      <c r="AB28" s="247"/>
      <c r="AC28" s="247" t="s">
        <v>243</v>
      </c>
      <c r="AD28" s="287">
        <f t="shared" si="0"/>
        <v>72</v>
      </c>
      <c r="AE28" s="260">
        <f>'1. ABA DE CARREGAMENTO'!$B$90</f>
        <v>24</v>
      </c>
      <c r="AF28" s="610"/>
      <c r="AG28" s="248">
        <f t="shared" si="1"/>
        <v>0</v>
      </c>
      <c r="AH28" s="248">
        <f t="shared" si="2"/>
        <v>0</v>
      </c>
      <c r="AI28" s="248">
        <f t="shared" si="3"/>
        <v>0</v>
      </c>
      <c r="AJ28" s="248">
        <f t="shared" si="4"/>
        <v>0</v>
      </c>
      <c r="AK28" s="248">
        <f t="shared" si="5"/>
        <v>0</v>
      </c>
      <c r="AL28" s="248">
        <f t="shared" si="6"/>
        <v>0</v>
      </c>
      <c r="AM28" s="248">
        <f t="shared" si="7"/>
        <v>0</v>
      </c>
      <c r="AN28" s="248">
        <f t="shared" si="8"/>
        <v>0</v>
      </c>
      <c r="AO28" s="248">
        <f t="shared" si="9"/>
        <v>0</v>
      </c>
      <c r="AP28" s="248">
        <f t="shared" si="10"/>
        <v>0</v>
      </c>
      <c r="AQ28" s="248">
        <f t="shared" si="11"/>
        <v>0</v>
      </c>
      <c r="AR28" s="248">
        <f t="shared" si="12"/>
        <v>0</v>
      </c>
      <c r="AS28" s="248">
        <f t="shared" si="13"/>
        <v>0</v>
      </c>
      <c r="AT28" s="248">
        <f t="shared" si="14"/>
        <v>0</v>
      </c>
      <c r="AU28" s="248">
        <f t="shared" si="15"/>
        <v>0</v>
      </c>
      <c r="AV28" s="248">
        <f t="shared" si="16"/>
        <v>0</v>
      </c>
      <c r="AW28" s="248">
        <f t="shared" si="17"/>
        <v>0</v>
      </c>
      <c r="AX28" s="248">
        <f t="shared" si="18"/>
        <v>0</v>
      </c>
      <c r="AY28" s="248">
        <f t="shared" si="19"/>
        <v>0</v>
      </c>
      <c r="AZ28" s="248">
        <f t="shared" si="20"/>
        <v>0</v>
      </c>
      <c r="BA28" s="248">
        <f t="shared" si="21"/>
        <v>0</v>
      </c>
      <c r="BB28" s="248">
        <f t="shared" si="22"/>
        <v>181.43999999999997</v>
      </c>
      <c r="BC28" s="248">
        <f t="shared" si="23"/>
        <v>0</v>
      </c>
      <c r="BD28" s="248">
        <f t="shared" si="26"/>
        <v>0</v>
      </c>
      <c r="BE28" s="267"/>
      <c r="BF28" s="267"/>
      <c r="BG28" s="267"/>
      <c r="BH28" s="267"/>
      <c r="BI28" s="267"/>
      <c r="BJ28" s="267"/>
      <c r="BK28" s="267"/>
      <c r="BL28" s="267"/>
    </row>
    <row r="29" spans="1:64">
      <c r="A29" s="596">
        <v>6</v>
      </c>
      <c r="B29" s="599" t="s">
        <v>27</v>
      </c>
      <c r="C29" s="251" t="s">
        <v>260</v>
      </c>
      <c r="D29" s="611">
        <f>SUM(E29:AB36)</f>
        <v>2471.0400000000004</v>
      </c>
      <c r="E29" s="251"/>
      <c r="F29" s="253">
        <v>65</v>
      </c>
      <c r="G29" s="251"/>
      <c r="H29" s="251"/>
      <c r="I29" s="251"/>
      <c r="J29" s="251"/>
      <c r="K29" s="251"/>
      <c r="L29" s="258"/>
      <c r="M29" s="251"/>
      <c r="N29" s="251"/>
      <c r="O29" s="251"/>
      <c r="P29" s="251"/>
      <c r="Q29" s="251"/>
      <c r="R29" s="251"/>
      <c r="S29" s="251"/>
      <c r="T29" s="251"/>
      <c r="U29" s="251"/>
      <c r="V29" s="251"/>
      <c r="W29" s="251"/>
      <c r="X29" s="251"/>
      <c r="Y29" s="251"/>
      <c r="Z29" s="251"/>
      <c r="AA29" s="251"/>
      <c r="AB29" s="251"/>
      <c r="AC29" s="289" t="s">
        <v>257</v>
      </c>
      <c r="AD29" s="288">
        <f>IF(AC29="DIÁRIA",AE29,IF(AC29="2xDIA",(AE29*2),IF(AC29="3xDIA",(AE29*3),IF(AC29="4xDIA",(AE29*4),IF(AC29="5xDIA",(AE29*5),IF(AC29="6xDIA",(AE29*6),IF(AC29="SEMANAL",4.33,IF(AC29="2xSEMANA",8,IF(AC29="3xSEMANA",12,IF(AC29="QUINZENAL",2,IF(AC29="MENSAL",1,IF(AC29="BIMESTRAL",0.5,IF(AC29="TRIMESTRAL",0.33,IF(AC29="SEMESTRAL",0.17,0))))))))))))))</f>
        <v>24</v>
      </c>
      <c r="AE29" s="262">
        <f>'1. ABA DE CARREGAMENTO'!$B$90</f>
        <v>24</v>
      </c>
      <c r="AF29" s="611">
        <f>SUM(AG29:BD36)</f>
        <v>2465.3636083333336</v>
      </c>
      <c r="AG29" s="263">
        <f>(E29*AD29)/AE30</f>
        <v>0</v>
      </c>
      <c r="AH29" s="263">
        <f>(F29*AD29)/AE30</f>
        <v>65</v>
      </c>
      <c r="AI29" s="263">
        <f>(G29*AD29)/AE30</f>
        <v>0</v>
      </c>
      <c r="AJ29" s="263">
        <f>(H29*AD29)/AE30</f>
        <v>0</v>
      </c>
      <c r="AK29" s="263">
        <f>(I29*AD29)/AE30</f>
        <v>0</v>
      </c>
      <c r="AL29" s="264">
        <f t="shared" si="6"/>
        <v>0</v>
      </c>
      <c r="AM29" s="264">
        <f t="shared" si="7"/>
        <v>0</v>
      </c>
      <c r="AN29" s="263">
        <f>(L29*AD29)/AE30</f>
        <v>0</v>
      </c>
      <c r="AO29" s="263">
        <f>(M29*AD29)/AE30</f>
        <v>0</v>
      </c>
      <c r="AP29" s="265">
        <f t="shared" si="10"/>
        <v>0</v>
      </c>
      <c r="AQ29" s="265">
        <f t="shared" si="11"/>
        <v>0</v>
      </c>
      <c r="AR29" s="263">
        <f>(P29*AD29)/AE30</f>
        <v>0</v>
      </c>
      <c r="AS29" s="263">
        <f>(Q29*AD29)/AE30</f>
        <v>0</v>
      </c>
      <c r="AT29" s="263">
        <f>(R29*AD29)/AE30</f>
        <v>0</v>
      </c>
      <c r="AU29" s="263">
        <f>(S29*AD29)/AE30</f>
        <v>0</v>
      </c>
      <c r="AV29" s="263">
        <f>(T29*AD29)/AE30</f>
        <v>0</v>
      </c>
      <c r="AW29" s="263">
        <f>(U29*AD29)/AE30</f>
        <v>0</v>
      </c>
      <c r="AX29" s="263">
        <f>(V29*AD29)/AE30</f>
        <v>0</v>
      </c>
      <c r="AY29" s="263">
        <f>(W29*AD29)/AE30</f>
        <v>0</v>
      </c>
      <c r="AZ29" s="263">
        <f>(X29*AD29)/AE30</f>
        <v>0</v>
      </c>
      <c r="BA29" s="263">
        <f>(Y29*AD29)/AE30</f>
        <v>0</v>
      </c>
      <c r="BB29" s="293">
        <f t="shared" si="22"/>
        <v>0</v>
      </c>
      <c r="BC29" s="293">
        <f t="shared" si="23"/>
        <v>0</v>
      </c>
      <c r="BD29" s="263">
        <f>(AB29*AD29)/AE30</f>
        <v>0</v>
      </c>
      <c r="BE29" s="267"/>
      <c r="BF29" s="267"/>
      <c r="BG29" s="267"/>
      <c r="BH29" s="267"/>
      <c r="BI29" s="267"/>
      <c r="BJ29" s="267"/>
      <c r="BK29" s="267"/>
      <c r="BL29" s="267"/>
    </row>
    <row r="30" spans="1:64">
      <c r="A30" s="597"/>
      <c r="B30" s="600"/>
      <c r="C30" s="251" t="s">
        <v>264</v>
      </c>
      <c r="D30" s="612"/>
      <c r="E30" s="251"/>
      <c r="F30" s="251"/>
      <c r="G30" s="251">
        <v>1101</v>
      </c>
      <c r="H30" s="251"/>
      <c r="I30" s="251"/>
      <c r="J30" s="251"/>
      <c r="K30" s="251"/>
      <c r="L30" s="251"/>
      <c r="M30" s="251"/>
      <c r="N30" s="251"/>
      <c r="O30" s="251"/>
      <c r="P30" s="251"/>
      <c r="Q30" s="251"/>
      <c r="R30" s="251"/>
      <c r="S30" s="251"/>
      <c r="T30" s="251"/>
      <c r="U30" s="251"/>
      <c r="V30" s="251"/>
      <c r="W30" s="251"/>
      <c r="X30" s="251"/>
      <c r="Y30" s="251"/>
      <c r="Z30" s="251"/>
      <c r="AA30" s="251"/>
      <c r="AB30" s="251"/>
      <c r="AC30" s="289" t="s">
        <v>257</v>
      </c>
      <c r="AD30" s="288">
        <f t="shared" si="0"/>
        <v>24</v>
      </c>
      <c r="AE30" s="262">
        <f>'1. ABA DE CARREGAMENTO'!$B$90</f>
        <v>24</v>
      </c>
      <c r="AF30" s="612"/>
      <c r="AG30" s="263">
        <f t="shared" ref="AG30:AG36" si="27">(E30*AD30)/AE31</f>
        <v>0</v>
      </c>
      <c r="AH30" s="263">
        <f t="shared" ref="AH30:AH36" si="28">(F30*AD30)/AE31</f>
        <v>0</v>
      </c>
      <c r="AI30" s="263">
        <f t="shared" ref="AI30:AI36" si="29">(G30*AD30)/AE31</f>
        <v>1101</v>
      </c>
      <c r="AJ30" s="263">
        <f t="shared" ref="AJ30:AJ36" si="30">(H30*AD30)/AE31</f>
        <v>0</v>
      </c>
      <c r="AK30" s="263">
        <f t="shared" ref="AK30:AK36" si="31">(I30*AD30)/AE31</f>
        <v>0</v>
      </c>
      <c r="AL30" s="264">
        <f t="shared" si="6"/>
        <v>0</v>
      </c>
      <c r="AM30" s="264">
        <f t="shared" si="7"/>
        <v>0</v>
      </c>
      <c r="AN30" s="263">
        <f t="shared" ref="AN30:AN36" si="32">(L30*AD30)/AE31</f>
        <v>0</v>
      </c>
      <c r="AO30" s="263">
        <f t="shared" ref="AO30:AO36" si="33">(M30*AD30)/AE31</f>
        <v>0</v>
      </c>
      <c r="AP30" s="265">
        <f t="shared" si="10"/>
        <v>0</v>
      </c>
      <c r="AQ30" s="265">
        <f t="shared" si="11"/>
        <v>0</v>
      </c>
      <c r="AR30" s="263">
        <f t="shared" ref="AR30:AR36" si="34">(P30*AD30)/AE31</f>
        <v>0</v>
      </c>
      <c r="AS30" s="263">
        <f t="shared" ref="AS30:AS36" si="35">(Q30*AD30)/AE31</f>
        <v>0</v>
      </c>
      <c r="AT30" s="263">
        <f t="shared" ref="AT30:AT36" si="36">(R30*AD30)/AE31</f>
        <v>0</v>
      </c>
      <c r="AU30" s="263">
        <f t="shared" ref="AU30:AU36" si="37">(S30*AD30)/AE31</f>
        <v>0</v>
      </c>
      <c r="AV30" s="263">
        <f t="shared" ref="AV30:AV36" si="38">(T30*AD30)/AE31</f>
        <v>0</v>
      </c>
      <c r="AW30" s="263">
        <f t="shared" ref="AW30:AW36" si="39">(U30*AD30)/AE31</f>
        <v>0</v>
      </c>
      <c r="AX30" s="263">
        <f t="shared" ref="AX30:AX36" si="40">(V30*AD30)/AE31</f>
        <v>0</v>
      </c>
      <c r="AY30" s="263">
        <f t="shared" ref="AY30:AY36" si="41">(W30*AD30)/AE31</f>
        <v>0</v>
      </c>
      <c r="AZ30" s="263">
        <f t="shared" ref="AZ30:AZ36" si="42">(X30*AD30)/AE31</f>
        <v>0</v>
      </c>
      <c r="BA30" s="263">
        <f t="shared" ref="BA30:BA36" si="43">(Y30*AD30)/AE31</f>
        <v>0</v>
      </c>
      <c r="BB30" s="293">
        <f t="shared" si="22"/>
        <v>0</v>
      </c>
      <c r="BC30" s="293">
        <f t="shared" si="23"/>
        <v>0</v>
      </c>
      <c r="BD30" s="263">
        <f t="shared" ref="BD30:BD36" si="44">(AB30*AD30)/AE31</f>
        <v>0</v>
      </c>
      <c r="BE30" s="267"/>
      <c r="BF30" s="267"/>
      <c r="BG30" s="267"/>
      <c r="BH30" s="267"/>
      <c r="BI30" s="267"/>
      <c r="BJ30" s="267"/>
      <c r="BK30" s="267"/>
      <c r="BL30" s="267"/>
    </row>
    <row r="31" spans="1:64">
      <c r="A31" s="597"/>
      <c r="B31" s="600"/>
      <c r="C31" s="251" t="s">
        <v>248</v>
      </c>
      <c r="D31" s="612"/>
      <c r="E31" s="251"/>
      <c r="F31" s="251"/>
      <c r="G31" s="251"/>
      <c r="H31" s="251"/>
      <c r="I31" s="251"/>
      <c r="J31" s="251"/>
      <c r="K31" s="251"/>
      <c r="L31" s="251">
        <v>280</v>
      </c>
      <c r="M31" s="251"/>
      <c r="N31" s="251"/>
      <c r="O31" s="251"/>
      <c r="P31" s="251"/>
      <c r="Q31" s="251"/>
      <c r="R31" s="251"/>
      <c r="S31" s="251"/>
      <c r="T31" s="251"/>
      <c r="U31" s="251"/>
      <c r="V31" s="251"/>
      <c r="W31" s="251"/>
      <c r="X31" s="251"/>
      <c r="Y31" s="251"/>
      <c r="Z31" s="251"/>
      <c r="AA31" s="251"/>
      <c r="AB31" s="251"/>
      <c r="AC31" s="289" t="s">
        <v>243</v>
      </c>
      <c r="AD31" s="288">
        <f t="shared" si="0"/>
        <v>72</v>
      </c>
      <c r="AE31" s="262">
        <f>'1. ABA DE CARREGAMENTO'!$B$90</f>
        <v>24</v>
      </c>
      <c r="AF31" s="612"/>
      <c r="AG31" s="263">
        <f t="shared" si="27"/>
        <v>0</v>
      </c>
      <c r="AH31" s="263">
        <f t="shared" si="28"/>
        <v>0</v>
      </c>
      <c r="AI31" s="263">
        <f t="shared" si="29"/>
        <v>0</v>
      </c>
      <c r="AJ31" s="263">
        <f t="shared" si="30"/>
        <v>0</v>
      </c>
      <c r="AK31" s="263">
        <f t="shared" si="31"/>
        <v>0</v>
      </c>
      <c r="AL31" s="264">
        <f t="shared" si="6"/>
        <v>0</v>
      </c>
      <c r="AM31" s="264">
        <f t="shared" si="7"/>
        <v>0</v>
      </c>
      <c r="AN31" s="263">
        <f t="shared" si="32"/>
        <v>840</v>
      </c>
      <c r="AO31" s="263">
        <f t="shared" si="33"/>
        <v>0</v>
      </c>
      <c r="AP31" s="265">
        <f t="shared" si="10"/>
        <v>0</v>
      </c>
      <c r="AQ31" s="265">
        <f t="shared" si="11"/>
        <v>0</v>
      </c>
      <c r="AR31" s="263">
        <f t="shared" si="34"/>
        <v>0</v>
      </c>
      <c r="AS31" s="263">
        <f t="shared" si="35"/>
        <v>0</v>
      </c>
      <c r="AT31" s="263">
        <f t="shared" si="36"/>
        <v>0</v>
      </c>
      <c r="AU31" s="263">
        <f t="shared" si="37"/>
        <v>0</v>
      </c>
      <c r="AV31" s="263">
        <f t="shared" si="38"/>
        <v>0</v>
      </c>
      <c r="AW31" s="263">
        <f t="shared" si="39"/>
        <v>0</v>
      </c>
      <c r="AX31" s="263">
        <f t="shared" si="40"/>
        <v>0</v>
      </c>
      <c r="AY31" s="263">
        <f t="shared" si="41"/>
        <v>0</v>
      </c>
      <c r="AZ31" s="263">
        <f t="shared" si="42"/>
        <v>0</v>
      </c>
      <c r="BA31" s="263">
        <f t="shared" si="43"/>
        <v>0</v>
      </c>
      <c r="BB31" s="293">
        <f t="shared" si="22"/>
        <v>0</v>
      </c>
      <c r="BC31" s="293">
        <f t="shared" si="23"/>
        <v>0</v>
      </c>
      <c r="BD31" s="263">
        <f t="shared" si="44"/>
        <v>0</v>
      </c>
      <c r="BE31" s="267"/>
      <c r="BF31" s="267"/>
      <c r="BG31" s="267"/>
      <c r="BH31" s="267"/>
      <c r="BI31" s="267"/>
      <c r="BJ31" s="267"/>
      <c r="BK31" s="267"/>
      <c r="BL31" s="267"/>
    </row>
    <row r="32" spans="1:64">
      <c r="A32" s="597"/>
      <c r="B32" s="600"/>
      <c r="C32" s="251" t="s">
        <v>251</v>
      </c>
      <c r="D32" s="612"/>
      <c r="E32" s="251"/>
      <c r="F32" s="251"/>
      <c r="G32" s="251"/>
      <c r="H32" s="251"/>
      <c r="I32" s="251"/>
      <c r="J32" s="251"/>
      <c r="K32" s="251"/>
      <c r="L32" s="251"/>
      <c r="M32" s="251"/>
      <c r="N32" s="251"/>
      <c r="O32" s="251"/>
      <c r="P32" s="251"/>
      <c r="Q32" s="251"/>
      <c r="R32" s="251"/>
      <c r="S32" s="251"/>
      <c r="T32" s="251"/>
      <c r="U32" s="251">
        <v>126.6</v>
      </c>
      <c r="V32" s="251">
        <v>99.43</v>
      </c>
      <c r="W32" s="251"/>
      <c r="X32" s="251"/>
      <c r="Y32" s="251"/>
      <c r="Z32" s="251"/>
      <c r="AA32" s="251"/>
      <c r="AB32" s="251"/>
      <c r="AC32" s="289" t="s">
        <v>252</v>
      </c>
      <c r="AD32" s="288">
        <f t="shared" si="0"/>
        <v>0.17</v>
      </c>
      <c r="AE32" s="262">
        <f>'1. ABA DE CARREGAMENTO'!$B$90</f>
        <v>24</v>
      </c>
      <c r="AF32" s="612"/>
      <c r="AG32" s="263">
        <f t="shared" si="27"/>
        <v>0</v>
      </c>
      <c r="AH32" s="263">
        <f t="shared" si="28"/>
        <v>0</v>
      </c>
      <c r="AI32" s="263">
        <f t="shared" si="29"/>
        <v>0</v>
      </c>
      <c r="AJ32" s="263">
        <f t="shared" si="30"/>
        <v>0</v>
      </c>
      <c r="AK32" s="263">
        <f t="shared" si="31"/>
        <v>0</v>
      </c>
      <c r="AL32" s="264">
        <f t="shared" si="6"/>
        <v>0</v>
      </c>
      <c r="AM32" s="264">
        <f t="shared" si="7"/>
        <v>0</v>
      </c>
      <c r="AN32" s="263">
        <f t="shared" si="32"/>
        <v>0</v>
      </c>
      <c r="AO32" s="263">
        <f t="shared" si="33"/>
        <v>0</v>
      </c>
      <c r="AP32" s="265">
        <f t="shared" si="10"/>
        <v>0</v>
      </c>
      <c r="AQ32" s="265">
        <f t="shared" si="11"/>
        <v>0</v>
      </c>
      <c r="AR32" s="263">
        <f t="shared" si="34"/>
        <v>0</v>
      </c>
      <c r="AS32" s="263">
        <f t="shared" si="35"/>
        <v>0</v>
      </c>
      <c r="AT32" s="263">
        <f t="shared" si="36"/>
        <v>0</v>
      </c>
      <c r="AU32" s="263">
        <f t="shared" si="37"/>
        <v>0</v>
      </c>
      <c r="AV32" s="263">
        <f t="shared" si="38"/>
        <v>0</v>
      </c>
      <c r="AW32" s="263">
        <f t="shared" si="39"/>
        <v>0.89675000000000005</v>
      </c>
      <c r="AX32" s="263">
        <f t="shared" si="40"/>
        <v>0.70429583333333345</v>
      </c>
      <c r="AY32" s="263">
        <f t="shared" si="41"/>
        <v>0</v>
      </c>
      <c r="AZ32" s="263">
        <f t="shared" si="42"/>
        <v>0</v>
      </c>
      <c r="BA32" s="263">
        <f t="shared" si="43"/>
        <v>0</v>
      </c>
      <c r="BB32" s="293">
        <f t="shared" si="22"/>
        <v>0</v>
      </c>
      <c r="BC32" s="293">
        <f t="shared" si="23"/>
        <v>0</v>
      </c>
      <c r="BD32" s="263">
        <f t="shared" si="44"/>
        <v>0</v>
      </c>
      <c r="BE32" s="267"/>
      <c r="BF32" s="267"/>
      <c r="BG32" s="267"/>
      <c r="BH32" s="267"/>
      <c r="BI32" s="267"/>
      <c r="BJ32" s="267"/>
      <c r="BK32" s="267"/>
      <c r="BL32" s="267"/>
    </row>
    <row r="33" spans="1:64">
      <c r="A33" s="597"/>
      <c r="B33" s="600"/>
      <c r="C33" s="251" t="s">
        <v>253</v>
      </c>
      <c r="D33" s="612"/>
      <c r="E33" s="251"/>
      <c r="F33" s="251"/>
      <c r="G33" s="251"/>
      <c r="H33" s="251"/>
      <c r="I33" s="251"/>
      <c r="J33" s="251"/>
      <c r="K33" s="251"/>
      <c r="L33" s="251"/>
      <c r="M33" s="251"/>
      <c r="N33" s="251"/>
      <c r="O33" s="251"/>
      <c r="P33" s="251"/>
      <c r="Q33" s="251"/>
      <c r="R33" s="251"/>
      <c r="S33" s="251"/>
      <c r="T33" s="251"/>
      <c r="U33" s="251"/>
      <c r="V33" s="251"/>
      <c r="W33" s="251">
        <v>493.54</v>
      </c>
      <c r="X33" s="251"/>
      <c r="Y33" s="251"/>
      <c r="Z33" s="251"/>
      <c r="AA33" s="251"/>
      <c r="AB33" s="251"/>
      <c r="AC33" s="289" t="s">
        <v>247</v>
      </c>
      <c r="AD33" s="288">
        <f t="shared" si="0"/>
        <v>8</v>
      </c>
      <c r="AE33" s="262">
        <f>'1. ABA DE CARREGAMENTO'!$B$90</f>
        <v>24</v>
      </c>
      <c r="AF33" s="612"/>
      <c r="AG33" s="263">
        <f t="shared" si="27"/>
        <v>0</v>
      </c>
      <c r="AH33" s="263">
        <f t="shared" si="28"/>
        <v>0</v>
      </c>
      <c r="AI33" s="263">
        <f t="shared" si="29"/>
        <v>0</v>
      </c>
      <c r="AJ33" s="263">
        <f t="shared" si="30"/>
        <v>0</v>
      </c>
      <c r="AK33" s="263">
        <f t="shared" si="31"/>
        <v>0</v>
      </c>
      <c r="AL33" s="264">
        <f t="shared" ref="AL33:AL50" si="45">(J33*AD33)/AE33</f>
        <v>0</v>
      </c>
      <c r="AM33" s="264">
        <f t="shared" ref="AM33:AM50" si="46">(K33*AD33)/AE33</f>
        <v>0</v>
      </c>
      <c r="AN33" s="263">
        <f t="shared" si="32"/>
        <v>0</v>
      </c>
      <c r="AO33" s="263">
        <f t="shared" si="33"/>
        <v>0</v>
      </c>
      <c r="AP33" s="265">
        <f t="shared" ref="AP33:AP50" si="47">(N33*AD33)/AE33</f>
        <v>0</v>
      </c>
      <c r="AQ33" s="265">
        <f t="shared" ref="AQ33:AQ50" si="48">(O33*AD33)/AE33</f>
        <v>0</v>
      </c>
      <c r="AR33" s="263">
        <f t="shared" si="34"/>
        <v>0</v>
      </c>
      <c r="AS33" s="263">
        <f t="shared" si="35"/>
        <v>0</v>
      </c>
      <c r="AT33" s="263">
        <f t="shared" si="36"/>
        <v>0</v>
      </c>
      <c r="AU33" s="263">
        <f t="shared" si="37"/>
        <v>0</v>
      </c>
      <c r="AV33" s="263">
        <f t="shared" si="38"/>
        <v>0</v>
      </c>
      <c r="AW33" s="263">
        <f t="shared" si="39"/>
        <v>0</v>
      </c>
      <c r="AX33" s="263">
        <f t="shared" si="40"/>
        <v>0</v>
      </c>
      <c r="AY33" s="263">
        <f t="shared" si="41"/>
        <v>164.51333333333335</v>
      </c>
      <c r="AZ33" s="263">
        <f t="shared" si="42"/>
        <v>0</v>
      </c>
      <c r="BA33" s="263">
        <f t="shared" si="43"/>
        <v>0</v>
      </c>
      <c r="BB33" s="293">
        <f t="shared" ref="BB33:BB50" si="49">(Z33*AD33)/AE33</f>
        <v>0</v>
      </c>
      <c r="BC33" s="293">
        <f t="shared" ref="BC33:BC50" si="50">(AA33*AD33)/AE33</f>
        <v>0</v>
      </c>
      <c r="BD33" s="263">
        <f t="shared" si="44"/>
        <v>0</v>
      </c>
      <c r="BE33" s="267"/>
      <c r="BF33" s="267"/>
      <c r="BG33" s="267"/>
      <c r="BH33" s="267"/>
      <c r="BI33" s="267"/>
      <c r="BJ33" s="267"/>
      <c r="BK33" s="267"/>
      <c r="BL33" s="267"/>
    </row>
    <row r="34" spans="1:64">
      <c r="A34" s="597"/>
      <c r="B34" s="600"/>
      <c r="C34" s="251" t="s">
        <v>45</v>
      </c>
      <c r="D34" s="612"/>
      <c r="E34" s="251"/>
      <c r="F34" s="255"/>
      <c r="G34" s="251"/>
      <c r="H34" s="251"/>
      <c r="I34" s="251"/>
      <c r="J34" s="251"/>
      <c r="K34" s="251"/>
      <c r="L34" s="251"/>
      <c r="M34" s="251"/>
      <c r="N34" s="251"/>
      <c r="O34" s="251"/>
      <c r="P34" s="251"/>
      <c r="Q34" s="251"/>
      <c r="R34" s="251"/>
      <c r="S34" s="251"/>
      <c r="T34" s="251"/>
      <c r="U34" s="251"/>
      <c r="V34" s="251"/>
      <c r="W34" s="251"/>
      <c r="X34" s="251"/>
      <c r="Y34" s="251"/>
      <c r="Z34" s="251"/>
      <c r="AA34" s="251">
        <v>223.63</v>
      </c>
      <c r="AB34" s="251"/>
      <c r="AC34" s="289" t="s">
        <v>263</v>
      </c>
      <c r="AD34" s="288">
        <f t="shared" si="0"/>
        <v>4.33</v>
      </c>
      <c r="AE34" s="262">
        <f>'1. ABA DE CARREGAMENTO'!$B$90</f>
        <v>24</v>
      </c>
      <c r="AF34" s="612"/>
      <c r="AG34" s="263">
        <f t="shared" si="27"/>
        <v>0</v>
      </c>
      <c r="AH34" s="263">
        <f t="shared" si="28"/>
        <v>0</v>
      </c>
      <c r="AI34" s="263">
        <f t="shared" si="29"/>
        <v>0</v>
      </c>
      <c r="AJ34" s="263">
        <f t="shared" si="30"/>
        <v>0</v>
      </c>
      <c r="AK34" s="263">
        <f t="shared" si="31"/>
        <v>0</v>
      </c>
      <c r="AL34" s="264">
        <f t="shared" si="45"/>
        <v>0</v>
      </c>
      <c r="AM34" s="264">
        <f t="shared" si="46"/>
        <v>0</v>
      </c>
      <c r="AN34" s="263">
        <f t="shared" si="32"/>
        <v>0</v>
      </c>
      <c r="AO34" s="263">
        <f t="shared" si="33"/>
        <v>0</v>
      </c>
      <c r="AP34" s="265">
        <f t="shared" si="47"/>
        <v>0</v>
      </c>
      <c r="AQ34" s="265">
        <f t="shared" si="48"/>
        <v>0</v>
      </c>
      <c r="AR34" s="263">
        <f t="shared" si="34"/>
        <v>0</v>
      </c>
      <c r="AS34" s="263">
        <f t="shared" si="35"/>
        <v>0</v>
      </c>
      <c r="AT34" s="263">
        <f t="shared" si="36"/>
        <v>0</v>
      </c>
      <c r="AU34" s="263">
        <f t="shared" si="37"/>
        <v>0</v>
      </c>
      <c r="AV34" s="263">
        <f t="shared" si="38"/>
        <v>0</v>
      </c>
      <c r="AW34" s="263">
        <f t="shared" si="39"/>
        <v>0</v>
      </c>
      <c r="AX34" s="263">
        <f t="shared" si="40"/>
        <v>0</v>
      </c>
      <c r="AY34" s="263">
        <f t="shared" si="41"/>
        <v>0</v>
      </c>
      <c r="AZ34" s="263">
        <f t="shared" si="42"/>
        <v>0</v>
      </c>
      <c r="BA34" s="263">
        <f t="shared" si="43"/>
        <v>0</v>
      </c>
      <c r="BB34" s="293">
        <f t="shared" si="49"/>
        <v>0</v>
      </c>
      <c r="BC34" s="293">
        <f t="shared" si="50"/>
        <v>40.346579166666665</v>
      </c>
      <c r="BD34" s="263">
        <f t="shared" si="44"/>
        <v>0</v>
      </c>
      <c r="BE34" s="267"/>
      <c r="BF34" s="267"/>
      <c r="BG34" s="267"/>
      <c r="BH34" s="267"/>
      <c r="BI34" s="267"/>
      <c r="BJ34" s="267"/>
      <c r="BK34" s="267"/>
      <c r="BL34" s="267"/>
    </row>
    <row r="35" spans="1:64">
      <c r="A35" s="597"/>
      <c r="B35" s="600"/>
      <c r="C35" s="251" t="s">
        <v>46</v>
      </c>
      <c r="D35" s="612"/>
      <c r="E35" s="251"/>
      <c r="F35" s="255"/>
      <c r="G35" s="251"/>
      <c r="H35" s="251"/>
      <c r="I35" s="251"/>
      <c r="J35" s="251"/>
      <c r="K35" s="251"/>
      <c r="L35" s="251"/>
      <c r="M35" s="251"/>
      <c r="N35" s="251"/>
      <c r="O35" s="251"/>
      <c r="P35" s="251"/>
      <c r="Q35" s="251"/>
      <c r="R35" s="251"/>
      <c r="S35" s="251"/>
      <c r="T35" s="251"/>
      <c r="U35" s="251"/>
      <c r="V35" s="251"/>
      <c r="W35" s="251"/>
      <c r="X35" s="251"/>
      <c r="Y35" s="251"/>
      <c r="Z35" s="251"/>
      <c r="AA35" s="251"/>
      <c r="AB35" s="251">
        <v>40.92</v>
      </c>
      <c r="AC35" s="289" t="s">
        <v>263</v>
      </c>
      <c r="AD35" s="288">
        <f t="shared" si="0"/>
        <v>4.33</v>
      </c>
      <c r="AE35" s="262">
        <f>'1. ABA DE CARREGAMENTO'!$B$90</f>
        <v>24</v>
      </c>
      <c r="AF35" s="612"/>
      <c r="AG35" s="263">
        <f t="shared" si="27"/>
        <v>0</v>
      </c>
      <c r="AH35" s="263">
        <f t="shared" si="28"/>
        <v>0</v>
      </c>
      <c r="AI35" s="263">
        <f t="shared" si="29"/>
        <v>0</v>
      </c>
      <c r="AJ35" s="263">
        <f t="shared" si="30"/>
        <v>0</v>
      </c>
      <c r="AK35" s="263">
        <f t="shared" si="31"/>
        <v>0</v>
      </c>
      <c r="AL35" s="264">
        <f t="shared" si="45"/>
        <v>0</v>
      </c>
      <c r="AM35" s="264">
        <f t="shared" si="46"/>
        <v>0</v>
      </c>
      <c r="AN35" s="263">
        <f t="shared" si="32"/>
        <v>0</v>
      </c>
      <c r="AO35" s="263">
        <f t="shared" si="33"/>
        <v>0</v>
      </c>
      <c r="AP35" s="265">
        <f t="shared" si="47"/>
        <v>0</v>
      </c>
      <c r="AQ35" s="265">
        <f t="shared" si="48"/>
        <v>0</v>
      </c>
      <c r="AR35" s="263">
        <f t="shared" si="34"/>
        <v>0</v>
      </c>
      <c r="AS35" s="263">
        <f t="shared" si="35"/>
        <v>0</v>
      </c>
      <c r="AT35" s="263">
        <f t="shared" si="36"/>
        <v>0</v>
      </c>
      <c r="AU35" s="263">
        <f t="shared" si="37"/>
        <v>0</v>
      </c>
      <c r="AV35" s="263">
        <f t="shared" si="38"/>
        <v>0</v>
      </c>
      <c r="AW35" s="263">
        <f t="shared" si="39"/>
        <v>0</v>
      </c>
      <c r="AX35" s="263">
        <f t="shared" si="40"/>
        <v>0</v>
      </c>
      <c r="AY35" s="263">
        <f t="shared" si="41"/>
        <v>0</v>
      </c>
      <c r="AZ35" s="263">
        <f t="shared" si="42"/>
        <v>0</v>
      </c>
      <c r="BA35" s="263">
        <f t="shared" si="43"/>
        <v>0</v>
      </c>
      <c r="BB35" s="293">
        <f t="shared" si="49"/>
        <v>0</v>
      </c>
      <c r="BC35" s="293">
        <f t="shared" si="50"/>
        <v>0</v>
      </c>
      <c r="BD35" s="263">
        <f t="shared" si="44"/>
        <v>7.3826500000000008</v>
      </c>
      <c r="BE35" s="267"/>
      <c r="BF35" s="267"/>
      <c r="BG35" s="267"/>
      <c r="BH35" s="267"/>
      <c r="BI35" s="267"/>
      <c r="BJ35" s="267"/>
      <c r="BK35" s="267"/>
      <c r="BL35" s="267"/>
    </row>
    <row r="36" spans="1:64">
      <c r="A36" s="598"/>
      <c r="B36" s="601"/>
      <c r="C36" s="251" t="s">
        <v>687</v>
      </c>
      <c r="D36" s="613"/>
      <c r="E36" s="251"/>
      <c r="F36" s="251"/>
      <c r="G36" s="251"/>
      <c r="H36" s="251"/>
      <c r="I36" s="251"/>
      <c r="J36" s="251"/>
      <c r="K36" s="251"/>
      <c r="L36" s="251"/>
      <c r="M36" s="251"/>
      <c r="N36" s="251"/>
      <c r="O36" s="251"/>
      <c r="P36" s="251"/>
      <c r="Q36" s="251"/>
      <c r="R36" s="251"/>
      <c r="S36" s="251"/>
      <c r="T36" s="251"/>
      <c r="U36" s="251"/>
      <c r="V36" s="251"/>
      <c r="W36" s="251"/>
      <c r="X36" s="251"/>
      <c r="Y36" s="251"/>
      <c r="Z36" s="251">
        <v>40.92</v>
      </c>
      <c r="AA36" s="251"/>
      <c r="AB36" s="251"/>
      <c r="AC36" s="289" t="s">
        <v>245</v>
      </c>
      <c r="AD36" s="288">
        <f t="shared" si="0"/>
        <v>144</v>
      </c>
      <c r="AE36" s="262">
        <f>'1. ABA DE CARREGAMENTO'!$B$90</f>
        <v>24</v>
      </c>
      <c r="AF36" s="613"/>
      <c r="AG36" s="263">
        <f t="shared" si="27"/>
        <v>0</v>
      </c>
      <c r="AH36" s="263">
        <f t="shared" si="28"/>
        <v>0</v>
      </c>
      <c r="AI36" s="263">
        <f t="shared" si="29"/>
        <v>0</v>
      </c>
      <c r="AJ36" s="263">
        <f t="shared" si="30"/>
        <v>0</v>
      </c>
      <c r="AK36" s="263">
        <f t="shared" si="31"/>
        <v>0</v>
      </c>
      <c r="AL36" s="264">
        <f t="shared" si="45"/>
        <v>0</v>
      </c>
      <c r="AM36" s="264">
        <f t="shared" si="46"/>
        <v>0</v>
      </c>
      <c r="AN36" s="263">
        <f t="shared" si="32"/>
        <v>0</v>
      </c>
      <c r="AO36" s="263">
        <f t="shared" si="33"/>
        <v>0</v>
      </c>
      <c r="AP36" s="265">
        <f t="shared" si="47"/>
        <v>0</v>
      </c>
      <c r="AQ36" s="265">
        <f t="shared" si="48"/>
        <v>0</v>
      </c>
      <c r="AR36" s="263">
        <f t="shared" si="34"/>
        <v>0</v>
      </c>
      <c r="AS36" s="263">
        <f t="shared" si="35"/>
        <v>0</v>
      </c>
      <c r="AT36" s="263">
        <f t="shared" si="36"/>
        <v>0</v>
      </c>
      <c r="AU36" s="263">
        <f t="shared" si="37"/>
        <v>0</v>
      </c>
      <c r="AV36" s="263">
        <f t="shared" si="38"/>
        <v>0</v>
      </c>
      <c r="AW36" s="263">
        <f t="shared" si="39"/>
        <v>0</v>
      </c>
      <c r="AX36" s="263">
        <f t="shared" si="40"/>
        <v>0</v>
      </c>
      <c r="AY36" s="263">
        <f t="shared" si="41"/>
        <v>0</v>
      </c>
      <c r="AZ36" s="263">
        <f t="shared" si="42"/>
        <v>0</v>
      </c>
      <c r="BA36" s="263">
        <f t="shared" si="43"/>
        <v>0</v>
      </c>
      <c r="BB36" s="293">
        <f t="shared" si="49"/>
        <v>245.52</v>
      </c>
      <c r="BC36" s="293">
        <f t="shared" si="50"/>
        <v>0</v>
      </c>
      <c r="BD36" s="263">
        <f t="shared" si="44"/>
        <v>0</v>
      </c>
      <c r="BE36" s="267"/>
      <c r="BF36" s="267"/>
      <c r="BG36" s="267"/>
      <c r="BH36" s="267"/>
      <c r="BI36" s="267"/>
      <c r="BJ36" s="267"/>
      <c r="BK36" s="267"/>
      <c r="BL36" s="267"/>
    </row>
    <row r="37" spans="1:64" ht="25.5">
      <c r="A37" s="575">
        <v>7</v>
      </c>
      <c r="B37" s="578" t="s">
        <v>265</v>
      </c>
      <c r="C37" s="247" t="s">
        <v>242</v>
      </c>
      <c r="D37" s="608">
        <f>SUM(E37:AB46)</f>
        <v>7637.59</v>
      </c>
      <c r="E37" s="247"/>
      <c r="F37" s="249">
        <v>637.41999999999996</v>
      </c>
      <c r="G37" s="247"/>
      <c r="H37" s="247"/>
      <c r="I37" s="247"/>
      <c r="J37" s="247"/>
      <c r="K37" s="247"/>
      <c r="L37" s="247"/>
      <c r="M37" s="247"/>
      <c r="N37" s="247"/>
      <c r="O37" s="247"/>
      <c r="P37" s="247"/>
      <c r="Q37" s="247"/>
      <c r="R37" s="247"/>
      <c r="S37" s="247"/>
      <c r="T37" s="247"/>
      <c r="U37" s="247"/>
      <c r="V37" s="247"/>
      <c r="W37" s="247"/>
      <c r="X37" s="247"/>
      <c r="Y37" s="247"/>
      <c r="Z37" s="247"/>
      <c r="AA37" s="247"/>
      <c r="AB37" s="247"/>
      <c r="AC37" s="247" t="s">
        <v>257</v>
      </c>
      <c r="AD37" s="287">
        <f t="shared" si="0"/>
        <v>24</v>
      </c>
      <c r="AE37" s="260">
        <f>'1. ABA DE CARREGAMENTO'!$B$90</f>
        <v>24</v>
      </c>
      <c r="AF37" s="608">
        <f>SUM(AG37:BD46)</f>
        <v>12194.888862500002</v>
      </c>
      <c r="AG37" s="248">
        <f t="shared" ref="AG37:AG42" si="51">(E37*AD37)/AE37</f>
        <v>0</v>
      </c>
      <c r="AH37" s="248">
        <f t="shared" ref="AH37:AH42" si="52">(F37*AD37)/AE37</f>
        <v>637.41999999999996</v>
      </c>
      <c r="AI37" s="248">
        <f t="shared" ref="AI37:AI42" si="53">(G37*AD37)/AE37</f>
        <v>0</v>
      </c>
      <c r="AJ37" s="248">
        <f t="shared" ref="AJ37:AJ42" si="54">(H37*AD37)/AE37</f>
        <v>0</v>
      </c>
      <c r="AK37" s="248">
        <f t="shared" ref="AK37:AK42" si="55">(I37*AD37)/AE37</f>
        <v>0</v>
      </c>
      <c r="AL37" s="248">
        <f t="shared" si="45"/>
        <v>0</v>
      </c>
      <c r="AM37" s="248">
        <f t="shared" si="46"/>
        <v>0</v>
      </c>
      <c r="AN37" s="248">
        <f t="shared" ref="AN37:AN42" si="56">(L37*AD37)/AE37</f>
        <v>0</v>
      </c>
      <c r="AO37" s="248">
        <f t="shared" ref="AO37:AO42" si="57">(M37*AD37)/AE37</f>
        <v>0</v>
      </c>
      <c r="AP37" s="248">
        <f t="shared" si="47"/>
        <v>0</v>
      </c>
      <c r="AQ37" s="248">
        <f t="shared" si="48"/>
        <v>0</v>
      </c>
      <c r="AR37" s="248">
        <f t="shared" ref="AR37:AR42" si="58">(P37*AD37)/AE37</f>
        <v>0</v>
      </c>
      <c r="AS37" s="248">
        <f t="shared" ref="AS37:AS42" si="59">(Q37*AD37)/AE37</f>
        <v>0</v>
      </c>
      <c r="AT37" s="248">
        <f t="shared" ref="AT37:AT42" si="60">(R37*AD37)/AE37</f>
        <v>0</v>
      </c>
      <c r="AU37" s="248">
        <f t="shared" ref="AU37:AU42" si="61">(S37*AD37)/AE37</f>
        <v>0</v>
      </c>
      <c r="AV37" s="248">
        <f t="shared" ref="AV37:AV42" si="62">(T37*AD37)/AE37</f>
        <v>0</v>
      </c>
      <c r="AW37" s="248">
        <f t="shared" ref="AW37:AW42" si="63">(U37*AD37)/AE37</f>
        <v>0</v>
      </c>
      <c r="AX37" s="248">
        <f t="shared" ref="AX37:AX42" si="64">(V37*AD37)/AE37</f>
        <v>0</v>
      </c>
      <c r="AY37" s="248">
        <f t="shared" ref="AY37:AY42" si="65">(W37*AD37)/AE37</f>
        <v>0</v>
      </c>
      <c r="AZ37" s="248">
        <f t="shared" ref="AZ37:AZ42" si="66">(X37*AD37)/AE37</f>
        <v>0</v>
      </c>
      <c r="BA37" s="248">
        <f t="shared" ref="BA37:BA42" si="67">(Y37*AD37)/AE37</f>
        <v>0</v>
      </c>
      <c r="BB37" s="248">
        <f t="shared" si="49"/>
        <v>0</v>
      </c>
      <c r="BC37" s="248">
        <f t="shared" si="50"/>
        <v>0</v>
      </c>
      <c r="BD37" s="248">
        <f t="shared" ref="BD37:BD43" si="68">(AB37*AD37)/AE37</f>
        <v>0</v>
      </c>
      <c r="BE37" s="267"/>
      <c r="BF37" s="267"/>
      <c r="BG37" s="267"/>
      <c r="BH37" s="267"/>
      <c r="BI37" s="267"/>
      <c r="BJ37" s="267"/>
      <c r="BK37" s="267"/>
      <c r="BL37" s="267"/>
    </row>
    <row r="38" spans="1:64">
      <c r="A38" s="576"/>
      <c r="B38" s="579"/>
      <c r="C38" s="247" t="s">
        <v>256</v>
      </c>
      <c r="D38" s="609"/>
      <c r="E38" s="247">
        <v>412</v>
      </c>
      <c r="F38" s="247">
        <v>1857.52</v>
      </c>
      <c r="G38" s="247"/>
      <c r="H38" s="247"/>
      <c r="I38" s="247"/>
      <c r="J38" s="247"/>
      <c r="K38" s="247"/>
      <c r="L38" s="247"/>
      <c r="M38" s="247"/>
      <c r="N38" s="247"/>
      <c r="O38" s="247"/>
      <c r="P38" s="247"/>
      <c r="Q38" s="247"/>
      <c r="R38" s="247"/>
      <c r="S38" s="247"/>
      <c r="T38" s="247"/>
      <c r="U38" s="247"/>
      <c r="V38" s="247"/>
      <c r="W38" s="247"/>
      <c r="X38" s="247"/>
      <c r="Y38" s="247"/>
      <c r="Z38" s="247"/>
      <c r="AA38" s="247"/>
      <c r="AB38" s="247"/>
      <c r="AC38" s="247" t="s">
        <v>243</v>
      </c>
      <c r="AD38" s="287">
        <f>IF(AC38="DIÁRIA",AE38,IF(AC38="2xDIA",(AE38*2),IF(AC38="3xDIA",(AE38*3),IF(AC38="4xDIA",(AE38*4),IF(AC38="5xDIA",(AE38*5),IF(AC38="6xDIA",(AE38*6),IF(AC38="SEMANAL",4.33,IF(AC38="2xSEMANA",8,IF(AC38="3xSEMANA",12,IF(AC38="QUINZENAL",2,IF(AC38="MENSAL",1,IF(AC38="BIMESTRAL",0.5,IF(AC38="TRIMESTRAL",0.33,IF(AC38="SEMESTRAL",0.17,0))))))))))))))</f>
        <v>72</v>
      </c>
      <c r="AE38" s="260">
        <f>'1. ABA DE CARREGAMENTO'!$B$90</f>
        <v>24</v>
      </c>
      <c r="AF38" s="609"/>
      <c r="AG38" s="248">
        <f t="shared" si="51"/>
        <v>1236</v>
      </c>
      <c r="AH38" s="248">
        <f t="shared" si="52"/>
        <v>5572.56</v>
      </c>
      <c r="AI38" s="248">
        <f t="shared" si="53"/>
        <v>0</v>
      </c>
      <c r="AJ38" s="248">
        <f t="shared" si="54"/>
        <v>0</v>
      </c>
      <c r="AK38" s="248">
        <f t="shared" si="55"/>
        <v>0</v>
      </c>
      <c r="AL38" s="248">
        <f t="shared" si="45"/>
        <v>0</v>
      </c>
      <c r="AM38" s="248">
        <f t="shared" si="46"/>
        <v>0</v>
      </c>
      <c r="AN38" s="248">
        <f t="shared" si="56"/>
        <v>0</v>
      </c>
      <c r="AO38" s="248">
        <f t="shared" si="57"/>
        <v>0</v>
      </c>
      <c r="AP38" s="248">
        <f t="shared" si="47"/>
        <v>0</v>
      </c>
      <c r="AQ38" s="248">
        <f t="shared" si="48"/>
        <v>0</v>
      </c>
      <c r="AR38" s="248">
        <f t="shared" si="58"/>
        <v>0</v>
      </c>
      <c r="AS38" s="248">
        <f t="shared" si="59"/>
        <v>0</v>
      </c>
      <c r="AT38" s="248">
        <f t="shared" si="60"/>
        <v>0</v>
      </c>
      <c r="AU38" s="248">
        <f t="shared" si="61"/>
        <v>0</v>
      </c>
      <c r="AV38" s="248">
        <f t="shared" si="62"/>
        <v>0</v>
      </c>
      <c r="AW38" s="248">
        <f t="shared" si="63"/>
        <v>0</v>
      </c>
      <c r="AX38" s="248">
        <f t="shared" si="64"/>
        <v>0</v>
      </c>
      <c r="AY38" s="248">
        <f t="shared" si="65"/>
        <v>0</v>
      </c>
      <c r="AZ38" s="248">
        <f t="shared" si="66"/>
        <v>0</v>
      </c>
      <c r="BA38" s="248">
        <f t="shared" si="67"/>
        <v>0</v>
      </c>
      <c r="BB38" s="248">
        <f t="shared" si="49"/>
        <v>0</v>
      </c>
      <c r="BC38" s="248">
        <f t="shared" si="50"/>
        <v>0</v>
      </c>
      <c r="BD38" s="248">
        <f t="shared" si="68"/>
        <v>0</v>
      </c>
      <c r="BE38" s="267"/>
      <c r="BF38" s="267"/>
      <c r="BG38" s="267"/>
      <c r="BH38" s="267"/>
      <c r="BI38" s="267"/>
      <c r="BJ38" s="267"/>
      <c r="BK38" s="267"/>
      <c r="BL38" s="267"/>
    </row>
    <row r="39" spans="1:64" ht="25.5">
      <c r="A39" s="576"/>
      <c r="B39" s="579"/>
      <c r="C39" s="247" t="s">
        <v>246</v>
      </c>
      <c r="D39" s="609"/>
      <c r="E39" s="247">
        <v>59.19</v>
      </c>
      <c r="F39" s="247"/>
      <c r="G39" s="247"/>
      <c r="H39" s="247"/>
      <c r="I39" s="247"/>
      <c r="J39" s="247"/>
      <c r="K39" s="247"/>
      <c r="L39" s="247"/>
      <c r="M39" s="247"/>
      <c r="N39" s="247"/>
      <c r="O39" s="247"/>
      <c r="P39" s="247"/>
      <c r="Q39" s="247"/>
      <c r="R39" s="247"/>
      <c r="S39" s="247"/>
      <c r="T39" s="247"/>
      <c r="U39" s="247"/>
      <c r="V39" s="247"/>
      <c r="W39" s="247"/>
      <c r="X39" s="247"/>
      <c r="Y39" s="247"/>
      <c r="Z39" s="247"/>
      <c r="AA39" s="247"/>
      <c r="AB39" s="247"/>
      <c r="AC39" s="247" t="s">
        <v>257</v>
      </c>
      <c r="AD39" s="287">
        <f t="shared" si="0"/>
        <v>24</v>
      </c>
      <c r="AE39" s="260">
        <f>'1. ABA DE CARREGAMENTO'!$B$90</f>
        <v>24</v>
      </c>
      <c r="AF39" s="609"/>
      <c r="AG39" s="248">
        <f t="shared" si="51"/>
        <v>59.19</v>
      </c>
      <c r="AH39" s="248">
        <f t="shared" si="52"/>
        <v>0</v>
      </c>
      <c r="AI39" s="248">
        <f t="shared" si="53"/>
        <v>0</v>
      </c>
      <c r="AJ39" s="248">
        <f t="shared" si="54"/>
        <v>0</v>
      </c>
      <c r="AK39" s="248">
        <f t="shared" si="55"/>
        <v>0</v>
      </c>
      <c r="AL39" s="248">
        <f t="shared" si="45"/>
        <v>0</v>
      </c>
      <c r="AM39" s="248">
        <f t="shared" si="46"/>
        <v>0</v>
      </c>
      <c r="AN39" s="248">
        <f t="shared" si="56"/>
        <v>0</v>
      </c>
      <c r="AO39" s="248">
        <f t="shared" si="57"/>
        <v>0</v>
      </c>
      <c r="AP39" s="248">
        <f t="shared" si="47"/>
        <v>0</v>
      </c>
      <c r="AQ39" s="248">
        <f t="shared" si="48"/>
        <v>0</v>
      </c>
      <c r="AR39" s="248">
        <f t="shared" si="58"/>
        <v>0</v>
      </c>
      <c r="AS39" s="248">
        <f t="shared" si="59"/>
        <v>0</v>
      </c>
      <c r="AT39" s="248">
        <f t="shared" si="60"/>
        <v>0</v>
      </c>
      <c r="AU39" s="248">
        <f t="shared" si="61"/>
        <v>0</v>
      </c>
      <c r="AV39" s="248">
        <f t="shared" si="62"/>
        <v>0</v>
      </c>
      <c r="AW39" s="248">
        <f t="shared" si="63"/>
        <v>0</v>
      </c>
      <c r="AX39" s="248">
        <f t="shared" si="64"/>
        <v>0</v>
      </c>
      <c r="AY39" s="248">
        <f t="shared" si="65"/>
        <v>0</v>
      </c>
      <c r="AZ39" s="248">
        <f t="shared" si="66"/>
        <v>0</v>
      </c>
      <c r="BA39" s="248">
        <f t="shared" si="67"/>
        <v>0</v>
      </c>
      <c r="BB39" s="248">
        <f t="shared" si="49"/>
        <v>0</v>
      </c>
      <c r="BC39" s="248">
        <f t="shared" si="50"/>
        <v>0</v>
      </c>
      <c r="BD39" s="248">
        <f t="shared" si="68"/>
        <v>0</v>
      </c>
      <c r="BE39" s="267"/>
      <c r="BF39" s="267"/>
      <c r="BG39" s="267"/>
      <c r="BH39" s="267"/>
      <c r="BI39" s="267"/>
      <c r="BJ39" s="267"/>
      <c r="BK39" s="267"/>
      <c r="BL39" s="267"/>
    </row>
    <row r="40" spans="1:64">
      <c r="A40" s="576"/>
      <c r="B40" s="579"/>
      <c r="C40" s="247" t="s">
        <v>248</v>
      </c>
      <c r="D40" s="609"/>
      <c r="E40" s="247"/>
      <c r="F40" s="247"/>
      <c r="G40" s="247"/>
      <c r="H40" s="247"/>
      <c r="I40" s="247"/>
      <c r="J40" s="247"/>
      <c r="K40" s="247"/>
      <c r="L40" s="247">
        <v>705.37</v>
      </c>
      <c r="M40" s="247"/>
      <c r="N40" s="247"/>
      <c r="O40" s="247"/>
      <c r="P40" s="247"/>
      <c r="Q40" s="247"/>
      <c r="R40" s="247"/>
      <c r="S40" s="247"/>
      <c r="T40" s="247"/>
      <c r="U40" s="247"/>
      <c r="V40" s="247"/>
      <c r="W40" s="247"/>
      <c r="X40" s="247"/>
      <c r="Y40" s="247"/>
      <c r="Z40" s="247"/>
      <c r="AA40" s="247"/>
      <c r="AB40" s="247"/>
      <c r="AC40" s="247" t="s">
        <v>243</v>
      </c>
      <c r="AD40" s="287">
        <f t="shared" si="0"/>
        <v>72</v>
      </c>
      <c r="AE40" s="260">
        <f>'1. ABA DE CARREGAMENTO'!$B$90</f>
        <v>24</v>
      </c>
      <c r="AF40" s="609"/>
      <c r="AG40" s="248">
        <f t="shared" si="51"/>
        <v>0</v>
      </c>
      <c r="AH40" s="248">
        <f t="shared" si="52"/>
        <v>0</v>
      </c>
      <c r="AI40" s="248">
        <f t="shared" si="53"/>
        <v>0</v>
      </c>
      <c r="AJ40" s="248">
        <f t="shared" si="54"/>
        <v>0</v>
      </c>
      <c r="AK40" s="248">
        <f t="shared" si="55"/>
        <v>0</v>
      </c>
      <c r="AL40" s="248">
        <f t="shared" si="45"/>
        <v>0</v>
      </c>
      <c r="AM40" s="248">
        <f t="shared" si="46"/>
        <v>0</v>
      </c>
      <c r="AN40" s="248">
        <f t="shared" si="56"/>
        <v>2116.11</v>
      </c>
      <c r="AO40" s="248">
        <f t="shared" si="57"/>
        <v>0</v>
      </c>
      <c r="AP40" s="248">
        <f t="shared" si="47"/>
        <v>0</v>
      </c>
      <c r="AQ40" s="248">
        <f t="shared" si="48"/>
        <v>0</v>
      </c>
      <c r="AR40" s="248">
        <f t="shared" si="58"/>
        <v>0</v>
      </c>
      <c r="AS40" s="248">
        <f t="shared" si="59"/>
        <v>0</v>
      </c>
      <c r="AT40" s="248">
        <f t="shared" si="60"/>
        <v>0</v>
      </c>
      <c r="AU40" s="248">
        <f t="shared" si="61"/>
        <v>0</v>
      </c>
      <c r="AV40" s="248">
        <f t="shared" si="62"/>
        <v>0</v>
      </c>
      <c r="AW40" s="248">
        <f t="shared" si="63"/>
        <v>0</v>
      </c>
      <c r="AX40" s="248">
        <f t="shared" si="64"/>
        <v>0</v>
      </c>
      <c r="AY40" s="248">
        <f t="shared" si="65"/>
        <v>0</v>
      </c>
      <c r="AZ40" s="248">
        <f t="shared" si="66"/>
        <v>0</v>
      </c>
      <c r="BA40" s="248">
        <f t="shared" si="67"/>
        <v>0</v>
      </c>
      <c r="BB40" s="248">
        <f t="shared" si="49"/>
        <v>0</v>
      </c>
      <c r="BC40" s="248">
        <f t="shared" si="50"/>
        <v>0</v>
      </c>
      <c r="BD40" s="248">
        <f t="shared" si="68"/>
        <v>0</v>
      </c>
      <c r="BE40" s="267"/>
      <c r="BF40" s="267"/>
      <c r="BG40" s="267"/>
      <c r="BH40" s="267"/>
      <c r="BI40" s="267"/>
      <c r="BJ40" s="267"/>
      <c r="BK40" s="267"/>
      <c r="BL40" s="267"/>
    </row>
    <row r="41" spans="1:64" ht="25.5">
      <c r="A41" s="576"/>
      <c r="B41" s="579"/>
      <c r="C41" s="247" t="s">
        <v>250</v>
      </c>
      <c r="D41" s="609"/>
      <c r="E41" s="247"/>
      <c r="F41" s="247"/>
      <c r="G41" s="247"/>
      <c r="H41" s="247"/>
      <c r="I41" s="247"/>
      <c r="J41" s="247"/>
      <c r="K41" s="247"/>
      <c r="L41" s="247">
        <v>171.88</v>
      </c>
      <c r="M41" s="247">
        <v>126.95</v>
      </c>
      <c r="N41" s="247"/>
      <c r="O41" s="247"/>
      <c r="P41" s="247"/>
      <c r="Q41" s="247"/>
      <c r="R41" s="247"/>
      <c r="S41" s="247"/>
      <c r="T41" s="247"/>
      <c r="U41" s="247"/>
      <c r="V41" s="247"/>
      <c r="W41" s="247"/>
      <c r="X41" s="247"/>
      <c r="Y41" s="247"/>
      <c r="Z41" s="247"/>
      <c r="AA41" s="247"/>
      <c r="AB41" s="247"/>
      <c r="AC41" s="247" t="s">
        <v>249</v>
      </c>
      <c r="AD41" s="287">
        <f t="shared" si="0"/>
        <v>12</v>
      </c>
      <c r="AE41" s="260">
        <f>'1. ABA DE CARREGAMENTO'!$B$90</f>
        <v>24</v>
      </c>
      <c r="AF41" s="609"/>
      <c r="AG41" s="248">
        <f t="shared" si="51"/>
        <v>0</v>
      </c>
      <c r="AH41" s="248">
        <f t="shared" si="52"/>
        <v>0</v>
      </c>
      <c r="AI41" s="248">
        <f t="shared" si="53"/>
        <v>0</v>
      </c>
      <c r="AJ41" s="248">
        <f t="shared" si="54"/>
        <v>0</v>
      </c>
      <c r="AK41" s="248">
        <f t="shared" si="55"/>
        <v>0</v>
      </c>
      <c r="AL41" s="248">
        <f t="shared" si="45"/>
        <v>0</v>
      </c>
      <c r="AM41" s="248">
        <f t="shared" si="46"/>
        <v>0</v>
      </c>
      <c r="AN41" s="248">
        <f t="shared" si="56"/>
        <v>85.94</v>
      </c>
      <c r="AO41" s="248">
        <f t="shared" si="57"/>
        <v>63.475000000000001</v>
      </c>
      <c r="AP41" s="248">
        <f t="shared" si="47"/>
        <v>0</v>
      </c>
      <c r="AQ41" s="248">
        <f t="shared" si="48"/>
        <v>0</v>
      </c>
      <c r="AR41" s="248">
        <f t="shared" si="58"/>
        <v>0</v>
      </c>
      <c r="AS41" s="248">
        <f t="shared" si="59"/>
        <v>0</v>
      </c>
      <c r="AT41" s="248">
        <f t="shared" si="60"/>
        <v>0</v>
      </c>
      <c r="AU41" s="248">
        <f t="shared" si="61"/>
        <v>0</v>
      </c>
      <c r="AV41" s="248">
        <f t="shared" si="62"/>
        <v>0</v>
      </c>
      <c r="AW41" s="248">
        <f t="shared" si="63"/>
        <v>0</v>
      </c>
      <c r="AX41" s="248">
        <f t="shared" si="64"/>
        <v>0</v>
      </c>
      <c r="AY41" s="248">
        <f t="shared" si="65"/>
        <v>0</v>
      </c>
      <c r="AZ41" s="248">
        <f t="shared" si="66"/>
        <v>0</v>
      </c>
      <c r="BA41" s="248">
        <f t="shared" si="67"/>
        <v>0</v>
      </c>
      <c r="BB41" s="248">
        <f t="shared" si="49"/>
        <v>0</v>
      </c>
      <c r="BC41" s="248">
        <f t="shared" si="50"/>
        <v>0</v>
      </c>
      <c r="BD41" s="248">
        <f t="shared" si="68"/>
        <v>0</v>
      </c>
      <c r="BE41" s="267"/>
      <c r="BF41" s="267"/>
      <c r="BG41" s="267"/>
      <c r="BH41" s="267"/>
      <c r="BI41" s="267"/>
      <c r="BJ41" s="267"/>
      <c r="BK41" s="267"/>
      <c r="BL41" s="267"/>
    </row>
    <row r="42" spans="1:64">
      <c r="A42" s="576"/>
      <c r="B42" s="579"/>
      <c r="C42" s="247" t="s">
        <v>251</v>
      </c>
      <c r="D42" s="609"/>
      <c r="E42" s="247"/>
      <c r="F42" s="247"/>
      <c r="G42" s="247"/>
      <c r="H42" s="247"/>
      <c r="I42" s="247"/>
      <c r="J42" s="247"/>
      <c r="K42" s="247"/>
      <c r="L42" s="247"/>
      <c r="M42" s="247"/>
      <c r="N42" s="247"/>
      <c r="O42" s="247"/>
      <c r="P42" s="247"/>
      <c r="Q42" s="247"/>
      <c r="R42" s="247"/>
      <c r="S42" s="247"/>
      <c r="T42" s="247"/>
      <c r="U42" s="247">
        <v>360.1</v>
      </c>
      <c r="V42" s="247">
        <v>509.08</v>
      </c>
      <c r="W42" s="247"/>
      <c r="X42" s="247"/>
      <c r="Y42" s="247"/>
      <c r="Z42" s="247"/>
      <c r="AA42" s="247"/>
      <c r="AB42" s="247"/>
      <c r="AC42" s="247" t="s">
        <v>252</v>
      </c>
      <c r="AD42" s="287">
        <f t="shared" si="0"/>
        <v>0.17</v>
      </c>
      <c r="AE42" s="260">
        <f>'1. ABA DE CARREGAMENTO'!$B$90</f>
        <v>24</v>
      </c>
      <c r="AF42" s="609"/>
      <c r="AG42" s="248">
        <f t="shared" si="51"/>
        <v>0</v>
      </c>
      <c r="AH42" s="248">
        <f t="shared" si="52"/>
        <v>0</v>
      </c>
      <c r="AI42" s="248">
        <f t="shared" si="53"/>
        <v>0</v>
      </c>
      <c r="AJ42" s="248">
        <f t="shared" si="54"/>
        <v>0</v>
      </c>
      <c r="AK42" s="248">
        <f t="shared" si="55"/>
        <v>0</v>
      </c>
      <c r="AL42" s="248">
        <f t="shared" si="45"/>
        <v>0</v>
      </c>
      <c r="AM42" s="248">
        <f t="shared" si="46"/>
        <v>0</v>
      </c>
      <c r="AN42" s="248">
        <f t="shared" si="56"/>
        <v>0</v>
      </c>
      <c r="AO42" s="248">
        <f t="shared" si="57"/>
        <v>0</v>
      </c>
      <c r="AP42" s="248">
        <f t="shared" si="47"/>
        <v>0</v>
      </c>
      <c r="AQ42" s="248">
        <f t="shared" si="48"/>
        <v>0</v>
      </c>
      <c r="AR42" s="248">
        <f t="shared" si="58"/>
        <v>0</v>
      </c>
      <c r="AS42" s="248">
        <f t="shared" si="59"/>
        <v>0</v>
      </c>
      <c r="AT42" s="248">
        <f t="shared" si="60"/>
        <v>0</v>
      </c>
      <c r="AU42" s="248">
        <f t="shared" si="61"/>
        <v>0</v>
      </c>
      <c r="AV42" s="248">
        <f t="shared" si="62"/>
        <v>0</v>
      </c>
      <c r="AW42" s="248">
        <f t="shared" si="63"/>
        <v>2.5507083333333336</v>
      </c>
      <c r="AX42" s="248">
        <f t="shared" si="64"/>
        <v>3.6059833333333331</v>
      </c>
      <c r="AY42" s="248">
        <f t="shared" si="65"/>
        <v>0</v>
      </c>
      <c r="AZ42" s="248">
        <f t="shared" si="66"/>
        <v>0</v>
      </c>
      <c r="BA42" s="248">
        <f t="shared" si="67"/>
        <v>0</v>
      </c>
      <c r="BB42" s="248">
        <f t="shared" si="49"/>
        <v>0</v>
      </c>
      <c r="BC42" s="248">
        <f t="shared" si="50"/>
        <v>0</v>
      </c>
      <c r="BD42" s="248">
        <f t="shared" si="68"/>
        <v>0</v>
      </c>
      <c r="BE42" s="267"/>
      <c r="BF42" s="267"/>
      <c r="BG42" s="267"/>
      <c r="BH42" s="267"/>
      <c r="BI42" s="267"/>
      <c r="BJ42" s="267"/>
      <c r="BK42" s="267"/>
      <c r="BL42" s="267"/>
    </row>
    <row r="43" spans="1:64">
      <c r="A43" s="576"/>
      <c r="B43" s="579"/>
      <c r="C43" s="247" t="s">
        <v>253</v>
      </c>
      <c r="D43" s="609"/>
      <c r="E43" s="247"/>
      <c r="F43" s="247"/>
      <c r="G43" s="247"/>
      <c r="H43" s="247"/>
      <c r="I43" s="247"/>
      <c r="J43" s="247"/>
      <c r="K43" s="247"/>
      <c r="L43" s="247"/>
      <c r="M43" s="247"/>
      <c r="N43" s="247"/>
      <c r="O43" s="247"/>
      <c r="P43" s="247"/>
      <c r="Q43" s="247"/>
      <c r="R43" s="247"/>
      <c r="S43" s="247"/>
      <c r="T43" s="247"/>
      <c r="U43" s="247"/>
      <c r="V43" s="247"/>
      <c r="W43" s="247">
        <v>1803.34</v>
      </c>
      <c r="X43" s="247"/>
      <c r="Y43" s="247"/>
      <c r="Z43" s="247"/>
      <c r="AA43" s="247"/>
      <c r="AB43" s="247"/>
      <c r="AC43" s="247" t="s">
        <v>247</v>
      </c>
      <c r="AD43" s="287">
        <f t="shared" si="0"/>
        <v>8</v>
      </c>
      <c r="AE43" s="260">
        <f>'1. ABA DE CARREGAMENTO'!$B$90</f>
        <v>24</v>
      </c>
      <c r="AF43" s="609"/>
      <c r="AG43" s="248">
        <f t="shared" ref="AG43:AG66" si="69">(E43*AD43)/AE43</f>
        <v>0</v>
      </c>
      <c r="AH43" s="248">
        <f t="shared" ref="AH43:AH66" si="70">(F43*AD43)/AE43</f>
        <v>0</v>
      </c>
      <c r="AI43" s="248">
        <f t="shared" ref="AI43:AI66" si="71">(G43*AD43)/AE43</f>
        <v>0</v>
      </c>
      <c r="AJ43" s="248">
        <f t="shared" ref="AJ43:AJ66" si="72">(H43*AD43)/AE43</f>
        <v>0</v>
      </c>
      <c r="AK43" s="248">
        <f t="shared" ref="AK43:AK66" si="73">(I43*AD43)/AE43</f>
        <v>0</v>
      </c>
      <c r="AL43" s="248">
        <f t="shared" si="45"/>
        <v>0</v>
      </c>
      <c r="AM43" s="248">
        <f t="shared" si="46"/>
        <v>0</v>
      </c>
      <c r="AN43" s="248">
        <f t="shared" ref="AN43:AN53" si="74">(L43*AD43)/AE43</f>
        <v>0</v>
      </c>
      <c r="AO43" s="248">
        <f t="shared" ref="AO43:AO53" si="75">(M43*AD43)/AE43</f>
        <v>0</v>
      </c>
      <c r="AP43" s="248">
        <f t="shared" si="47"/>
        <v>0</v>
      </c>
      <c r="AQ43" s="248">
        <f t="shared" si="48"/>
        <v>0</v>
      </c>
      <c r="AR43" s="248">
        <f t="shared" ref="AR43:AR66" si="76">(P43*AD43)/AE43</f>
        <v>0</v>
      </c>
      <c r="AS43" s="248">
        <f t="shared" ref="AS43:AS66" si="77">(Q43*AD43)/AE43</f>
        <v>0</v>
      </c>
      <c r="AT43" s="248">
        <f t="shared" ref="AT43:AT66" si="78">(R43*AD43)/AE43</f>
        <v>0</v>
      </c>
      <c r="AU43" s="248">
        <f t="shared" ref="AU43:AU66" si="79">(S43*AD43)/AE43</f>
        <v>0</v>
      </c>
      <c r="AV43" s="248">
        <f t="shared" ref="AV43:AV66" si="80">(T43*AD43)/AE43</f>
        <v>0</v>
      </c>
      <c r="AW43" s="248">
        <f t="shared" ref="AW43:AW66" si="81">(U43*AD43)/AE43</f>
        <v>0</v>
      </c>
      <c r="AX43" s="248">
        <f t="shared" ref="AX43:AX66" si="82">(V43*AD43)/AE43</f>
        <v>0</v>
      </c>
      <c r="AY43" s="248">
        <f t="shared" ref="AY43:AY66" si="83">(W43*AD43)/AE43</f>
        <v>601.11333333333334</v>
      </c>
      <c r="AZ43" s="248">
        <f t="shared" ref="AZ43:AZ66" si="84">(X43*AD43)/AE43</f>
        <v>0</v>
      </c>
      <c r="BA43" s="248">
        <f t="shared" ref="BA43:BA66" si="85">(Y43*AD43)/AE43</f>
        <v>0</v>
      </c>
      <c r="BB43" s="248">
        <f t="shared" si="49"/>
        <v>0</v>
      </c>
      <c r="BC43" s="248">
        <f t="shared" si="50"/>
        <v>0</v>
      </c>
      <c r="BD43" s="248">
        <f t="shared" si="68"/>
        <v>0</v>
      </c>
      <c r="BE43" s="267"/>
      <c r="BF43" s="267"/>
      <c r="BG43" s="267"/>
      <c r="BH43" s="267"/>
      <c r="BI43" s="267"/>
      <c r="BJ43" s="267"/>
      <c r="BK43" s="267"/>
      <c r="BL43" s="267"/>
    </row>
    <row r="44" spans="1:64">
      <c r="A44" s="576"/>
      <c r="B44" s="579"/>
      <c r="C44" s="247" t="s">
        <v>45</v>
      </c>
      <c r="D44" s="609"/>
      <c r="E44" s="247"/>
      <c r="F44" s="256"/>
      <c r="G44" s="247"/>
      <c r="H44" s="247"/>
      <c r="I44" s="247"/>
      <c r="J44" s="247"/>
      <c r="K44" s="247"/>
      <c r="L44" s="247"/>
      <c r="M44" s="247"/>
      <c r="N44" s="247"/>
      <c r="O44" s="247"/>
      <c r="P44" s="247"/>
      <c r="Q44" s="247"/>
      <c r="R44" s="247"/>
      <c r="S44" s="247"/>
      <c r="T44" s="247"/>
      <c r="U44" s="247"/>
      <c r="V44" s="247"/>
      <c r="W44" s="247"/>
      <c r="X44" s="247"/>
      <c r="Y44" s="247"/>
      <c r="Z44" s="247"/>
      <c r="AA44" s="247">
        <v>432</v>
      </c>
      <c r="AB44" s="247"/>
      <c r="AC44" s="247" t="s">
        <v>263</v>
      </c>
      <c r="AD44" s="287">
        <f t="shared" si="0"/>
        <v>4.33</v>
      </c>
      <c r="AE44" s="260">
        <f>'1. ABA DE CARREGAMENTO'!$B$90</f>
        <v>24</v>
      </c>
      <c r="AF44" s="609"/>
      <c r="AG44" s="248">
        <f t="shared" si="69"/>
        <v>0</v>
      </c>
      <c r="AH44" s="248">
        <f t="shared" si="70"/>
        <v>0</v>
      </c>
      <c r="AI44" s="248">
        <f t="shared" si="71"/>
        <v>0</v>
      </c>
      <c r="AJ44" s="248">
        <f t="shared" si="72"/>
        <v>0</v>
      </c>
      <c r="AK44" s="248">
        <f t="shared" si="73"/>
        <v>0</v>
      </c>
      <c r="AL44" s="248">
        <f t="shared" si="45"/>
        <v>0</v>
      </c>
      <c r="AM44" s="248">
        <f t="shared" si="46"/>
        <v>0</v>
      </c>
      <c r="AN44" s="248">
        <f t="shared" si="74"/>
        <v>0</v>
      </c>
      <c r="AO44" s="248">
        <f t="shared" si="75"/>
        <v>0</v>
      </c>
      <c r="AP44" s="248">
        <f t="shared" si="47"/>
        <v>0</v>
      </c>
      <c r="AQ44" s="248">
        <f t="shared" si="48"/>
        <v>0</v>
      </c>
      <c r="AR44" s="248">
        <f t="shared" si="76"/>
        <v>0</v>
      </c>
      <c r="AS44" s="248">
        <f t="shared" si="77"/>
        <v>0</v>
      </c>
      <c r="AT44" s="248">
        <f t="shared" si="78"/>
        <v>0</v>
      </c>
      <c r="AU44" s="248">
        <f t="shared" si="79"/>
        <v>0</v>
      </c>
      <c r="AV44" s="248">
        <f t="shared" si="80"/>
        <v>0</v>
      </c>
      <c r="AW44" s="248">
        <f t="shared" si="81"/>
        <v>0</v>
      </c>
      <c r="AX44" s="248">
        <f t="shared" si="82"/>
        <v>0</v>
      </c>
      <c r="AY44" s="248">
        <f t="shared" si="83"/>
        <v>0</v>
      </c>
      <c r="AZ44" s="248">
        <f t="shared" si="84"/>
        <v>0</v>
      </c>
      <c r="BA44" s="248">
        <f t="shared" si="85"/>
        <v>0</v>
      </c>
      <c r="BB44" s="248">
        <f t="shared" si="49"/>
        <v>0</v>
      </c>
      <c r="BC44" s="248">
        <f t="shared" si="50"/>
        <v>77.94</v>
      </c>
      <c r="BD44" s="248">
        <f t="shared" ref="BD44:BD53" si="86">(AB44*AD44)/AE44</f>
        <v>0</v>
      </c>
      <c r="BE44" s="267"/>
      <c r="BF44" s="267"/>
      <c r="BG44" s="267"/>
      <c r="BH44" s="267"/>
      <c r="BI44" s="267"/>
      <c r="BJ44" s="267"/>
      <c r="BK44" s="267"/>
      <c r="BL44" s="267"/>
    </row>
    <row r="45" spans="1:64">
      <c r="A45" s="576"/>
      <c r="B45" s="579"/>
      <c r="C45" s="247" t="s">
        <v>46</v>
      </c>
      <c r="D45" s="609"/>
      <c r="E45" s="247"/>
      <c r="F45" s="256"/>
      <c r="G45" s="247"/>
      <c r="H45" s="247"/>
      <c r="I45" s="247"/>
      <c r="J45" s="247"/>
      <c r="K45" s="247"/>
      <c r="L45" s="247"/>
      <c r="M45" s="247"/>
      <c r="N45" s="247"/>
      <c r="O45" s="247"/>
      <c r="P45" s="247"/>
      <c r="Q45" s="247"/>
      <c r="R45" s="247"/>
      <c r="S45" s="247"/>
      <c r="T45" s="247"/>
      <c r="U45" s="247"/>
      <c r="V45" s="247"/>
      <c r="W45" s="247"/>
      <c r="X45" s="247"/>
      <c r="Y45" s="247"/>
      <c r="Z45" s="247"/>
      <c r="AA45" s="247"/>
      <c r="AB45" s="247">
        <v>281.37</v>
      </c>
      <c r="AC45" s="247" t="s">
        <v>263</v>
      </c>
      <c r="AD45" s="287">
        <f>IF(AC45="DIÁRIA",AE45,IF(AC45="2xDIA",(AE45*2),IF(AC45="3xDIA",(AE45*3),IF(AC45="4xDIA",(AE45*4),IF(AC45="5xDIA",(AE45*5),IF(AC45="6xDIA",(AE45*6),IF(AC45="SEMANAL",4.33,IF(AC45="2xSEMANA",8,IF(AC45="3xSEMANA",12,IF(AC45="QUINZENAL",2,IF(AC45="MENSAL",1,IF(AC45="BIMESTRAL",0.5,IF(AC45="TRIMESTRAL",0.33,IF(AC45="SEMESTRAL",0.17,0))))))))))))))</f>
        <v>4.33</v>
      </c>
      <c r="AE45" s="260">
        <f>'1. ABA DE CARREGAMENTO'!$B$90</f>
        <v>24</v>
      </c>
      <c r="AF45" s="609"/>
      <c r="AG45" s="248">
        <f t="shared" si="69"/>
        <v>0</v>
      </c>
      <c r="AH45" s="248">
        <f t="shared" si="70"/>
        <v>0</v>
      </c>
      <c r="AI45" s="248">
        <f t="shared" si="71"/>
        <v>0</v>
      </c>
      <c r="AJ45" s="248">
        <f t="shared" si="72"/>
        <v>0</v>
      </c>
      <c r="AK45" s="248">
        <f t="shared" si="73"/>
        <v>0</v>
      </c>
      <c r="AL45" s="248">
        <f t="shared" si="45"/>
        <v>0</v>
      </c>
      <c r="AM45" s="248">
        <f t="shared" si="46"/>
        <v>0</v>
      </c>
      <c r="AN45" s="248">
        <f t="shared" si="74"/>
        <v>0</v>
      </c>
      <c r="AO45" s="248">
        <f t="shared" si="75"/>
        <v>0</v>
      </c>
      <c r="AP45" s="248">
        <f t="shared" si="47"/>
        <v>0</v>
      </c>
      <c r="AQ45" s="248">
        <f t="shared" si="48"/>
        <v>0</v>
      </c>
      <c r="AR45" s="248">
        <f t="shared" si="76"/>
        <v>0</v>
      </c>
      <c r="AS45" s="248">
        <f t="shared" si="77"/>
        <v>0</v>
      </c>
      <c r="AT45" s="248">
        <f t="shared" si="78"/>
        <v>0</v>
      </c>
      <c r="AU45" s="248">
        <f t="shared" si="79"/>
        <v>0</v>
      </c>
      <c r="AV45" s="248">
        <f t="shared" si="80"/>
        <v>0</v>
      </c>
      <c r="AW45" s="248">
        <f t="shared" si="81"/>
        <v>0</v>
      </c>
      <c r="AX45" s="248">
        <f t="shared" si="82"/>
        <v>0</v>
      </c>
      <c r="AY45" s="248">
        <f t="shared" si="83"/>
        <v>0</v>
      </c>
      <c r="AZ45" s="248">
        <f t="shared" si="84"/>
        <v>0</v>
      </c>
      <c r="BA45" s="248">
        <f t="shared" si="85"/>
        <v>0</v>
      </c>
      <c r="BB45" s="248">
        <f t="shared" si="49"/>
        <v>0</v>
      </c>
      <c r="BC45" s="248">
        <f t="shared" si="50"/>
        <v>0</v>
      </c>
      <c r="BD45" s="248">
        <f t="shared" si="86"/>
        <v>50.763837500000001</v>
      </c>
      <c r="BE45" s="267"/>
      <c r="BF45" s="267"/>
      <c r="BG45" s="267"/>
      <c r="BH45" s="267"/>
      <c r="BI45" s="267"/>
      <c r="BJ45" s="267"/>
      <c r="BK45" s="267"/>
      <c r="BL45" s="267"/>
    </row>
    <row r="46" spans="1:64">
      <c r="A46" s="577"/>
      <c r="B46" s="580"/>
      <c r="C46" s="247" t="s">
        <v>239</v>
      </c>
      <c r="D46" s="610"/>
      <c r="E46" s="247"/>
      <c r="F46" s="247"/>
      <c r="G46" s="247"/>
      <c r="H46" s="247"/>
      <c r="I46" s="247"/>
      <c r="J46" s="247"/>
      <c r="K46" s="247"/>
      <c r="L46" s="247"/>
      <c r="M46" s="247"/>
      <c r="N46" s="247"/>
      <c r="O46" s="247"/>
      <c r="P46" s="247"/>
      <c r="Q46" s="247"/>
      <c r="R46" s="247"/>
      <c r="S46" s="247"/>
      <c r="T46" s="247"/>
      <c r="U46" s="247"/>
      <c r="V46" s="247"/>
      <c r="W46" s="247"/>
      <c r="X46" s="247"/>
      <c r="Y46" s="247"/>
      <c r="Z46" s="247">
        <v>281.37</v>
      </c>
      <c r="AA46" s="247"/>
      <c r="AB46" s="247"/>
      <c r="AC46" s="247" t="s">
        <v>245</v>
      </c>
      <c r="AD46" s="287">
        <f t="shared" si="0"/>
        <v>144</v>
      </c>
      <c r="AE46" s="260">
        <f>'1. ABA DE CARREGAMENTO'!$B$90</f>
        <v>24</v>
      </c>
      <c r="AF46" s="610"/>
      <c r="AG46" s="248">
        <f t="shared" si="69"/>
        <v>0</v>
      </c>
      <c r="AH46" s="248">
        <f t="shared" si="70"/>
        <v>0</v>
      </c>
      <c r="AI46" s="248">
        <f t="shared" si="71"/>
        <v>0</v>
      </c>
      <c r="AJ46" s="248">
        <f t="shared" si="72"/>
        <v>0</v>
      </c>
      <c r="AK46" s="248">
        <f t="shared" si="73"/>
        <v>0</v>
      </c>
      <c r="AL46" s="248">
        <f t="shared" si="45"/>
        <v>0</v>
      </c>
      <c r="AM46" s="248">
        <f t="shared" si="46"/>
        <v>0</v>
      </c>
      <c r="AN46" s="248">
        <f t="shared" si="74"/>
        <v>0</v>
      </c>
      <c r="AO46" s="248">
        <f t="shared" si="75"/>
        <v>0</v>
      </c>
      <c r="AP46" s="248">
        <f t="shared" si="47"/>
        <v>0</v>
      </c>
      <c r="AQ46" s="248">
        <f t="shared" si="48"/>
        <v>0</v>
      </c>
      <c r="AR46" s="248">
        <f t="shared" si="76"/>
        <v>0</v>
      </c>
      <c r="AS46" s="248">
        <f t="shared" si="77"/>
        <v>0</v>
      </c>
      <c r="AT46" s="248">
        <f t="shared" si="78"/>
        <v>0</v>
      </c>
      <c r="AU46" s="248">
        <f t="shared" si="79"/>
        <v>0</v>
      </c>
      <c r="AV46" s="248">
        <f t="shared" si="80"/>
        <v>0</v>
      </c>
      <c r="AW46" s="248">
        <f t="shared" si="81"/>
        <v>0</v>
      </c>
      <c r="AX46" s="248">
        <f t="shared" si="82"/>
        <v>0</v>
      </c>
      <c r="AY46" s="248">
        <f t="shared" si="83"/>
        <v>0</v>
      </c>
      <c r="AZ46" s="248">
        <f t="shared" si="84"/>
        <v>0</v>
      </c>
      <c r="BA46" s="248">
        <f t="shared" si="85"/>
        <v>0</v>
      </c>
      <c r="BB46" s="248">
        <f t="shared" si="49"/>
        <v>1688.22</v>
      </c>
      <c r="BC46" s="248">
        <f t="shared" si="50"/>
        <v>0</v>
      </c>
      <c r="BD46" s="248">
        <f t="shared" si="86"/>
        <v>0</v>
      </c>
      <c r="BE46" s="267"/>
      <c r="BF46" s="267"/>
      <c r="BG46" s="267"/>
      <c r="BH46" s="267"/>
      <c r="BI46" s="267"/>
      <c r="BJ46" s="267"/>
      <c r="BK46" s="267"/>
      <c r="BL46" s="267"/>
    </row>
    <row r="47" spans="1:64" ht="25.5">
      <c r="A47" s="596">
        <v>8</v>
      </c>
      <c r="B47" s="599" t="s">
        <v>266</v>
      </c>
      <c r="C47" s="251" t="s">
        <v>242</v>
      </c>
      <c r="D47" s="611">
        <f>SUM(E47:AB57)</f>
        <v>1371.06</v>
      </c>
      <c r="E47" s="251"/>
      <c r="F47" s="253">
        <v>11.75</v>
      </c>
      <c r="G47" s="251"/>
      <c r="H47" s="251"/>
      <c r="I47" s="251"/>
      <c r="J47" s="251"/>
      <c r="K47" s="251"/>
      <c r="L47" s="251"/>
      <c r="M47" s="251"/>
      <c r="N47" s="251"/>
      <c r="O47" s="251"/>
      <c r="P47" s="251"/>
      <c r="Q47" s="251"/>
      <c r="R47" s="251"/>
      <c r="S47" s="251"/>
      <c r="T47" s="251"/>
      <c r="U47" s="251"/>
      <c r="V47" s="251"/>
      <c r="W47" s="251"/>
      <c r="X47" s="251"/>
      <c r="Y47" s="251"/>
      <c r="Z47" s="251"/>
      <c r="AA47" s="251"/>
      <c r="AB47" s="251"/>
      <c r="AC47" s="289" t="s">
        <v>257</v>
      </c>
      <c r="AD47" s="288">
        <f>IF(AC47="DIÁRIA",AE47,IF(AC47="2xDIA",(AE47*2),IF(AC47="3xDIA",(AE47*3),IF(AC47="4xDIA",(AE47*4),IF(AC47="5xDIA",(AE47*5),IF(AC47="6xDIA",(AE47*6),IF(AC47="SEMANAL",4.33,IF(AC47="2xSEMANA",8,IF(AC47="3xSEMANA",12,IF(AC47="QUINZENAL",2,IF(AC47="MENSAL",1,IF(AC47="BIMESTRAL",0.5,IF(AC47="TRIMESTRAL",0.33,IF(AC47="SEMESTRAL",0.17,0))))))))))))))</f>
        <v>24</v>
      </c>
      <c r="AE47" s="262">
        <f>'1. ABA DE CARREGAMENTO'!$B$90</f>
        <v>24</v>
      </c>
      <c r="AF47" s="611">
        <f>SUM(AG47:BD57)</f>
        <v>632.26075833333334</v>
      </c>
      <c r="AG47" s="252">
        <f t="shared" si="69"/>
        <v>0</v>
      </c>
      <c r="AH47" s="252">
        <f t="shared" si="70"/>
        <v>11.75</v>
      </c>
      <c r="AI47" s="252">
        <f t="shared" si="71"/>
        <v>0</v>
      </c>
      <c r="AJ47" s="252">
        <f t="shared" si="72"/>
        <v>0</v>
      </c>
      <c r="AK47" s="252">
        <f t="shared" si="73"/>
        <v>0</v>
      </c>
      <c r="AL47" s="257">
        <f t="shared" si="45"/>
        <v>0</v>
      </c>
      <c r="AM47" s="257">
        <f t="shared" si="46"/>
        <v>0</v>
      </c>
      <c r="AN47" s="252">
        <f t="shared" si="74"/>
        <v>0</v>
      </c>
      <c r="AO47" s="252">
        <f t="shared" si="75"/>
        <v>0</v>
      </c>
      <c r="AP47" s="257">
        <f t="shared" si="47"/>
        <v>0</v>
      </c>
      <c r="AQ47" s="257">
        <f t="shared" si="48"/>
        <v>0</v>
      </c>
      <c r="AR47" s="252">
        <f t="shared" si="76"/>
        <v>0</v>
      </c>
      <c r="AS47" s="252">
        <f t="shared" si="77"/>
        <v>0</v>
      </c>
      <c r="AT47" s="252">
        <f t="shared" si="78"/>
        <v>0</v>
      </c>
      <c r="AU47" s="252">
        <f t="shared" si="79"/>
        <v>0</v>
      </c>
      <c r="AV47" s="252">
        <f t="shared" si="80"/>
        <v>0</v>
      </c>
      <c r="AW47" s="252">
        <f t="shared" si="81"/>
        <v>0</v>
      </c>
      <c r="AX47" s="252">
        <f t="shared" si="82"/>
        <v>0</v>
      </c>
      <c r="AY47" s="252">
        <f t="shared" si="83"/>
        <v>0</v>
      </c>
      <c r="AZ47" s="252">
        <f t="shared" si="84"/>
        <v>0</v>
      </c>
      <c r="BA47" s="252">
        <f t="shared" si="85"/>
        <v>0</v>
      </c>
      <c r="BB47" s="293">
        <f t="shared" si="49"/>
        <v>0</v>
      </c>
      <c r="BC47" s="293">
        <f t="shared" si="50"/>
        <v>0</v>
      </c>
      <c r="BD47" s="252">
        <f t="shared" si="86"/>
        <v>0</v>
      </c>
      <c r="BE47" s="267"/>
      <c r="BF47" s="267"/>
      <c r="BG47" s="267"/>
      <c r="BH47" s="267"/>
      <c r="BI47" s="267"/>
      <c r="BJ47" s="267"/>
      <c r="BK47" s="267"/>
      <c r="BL47" s="267"/>
    </row>
    <row r="48" spans="1:64">
      <c r="A48" s="597"/>
      <c r="B48" s="600"/>
      <c r="C48" s="251" t="s">
        <v>267</v>
      </c>
      <c r="D48" s="612"/>
      <c r="E48" s="251">
        <v>592</v>
      </c>
      <c r="F48" s="251"/>
      <c r="G48" s="251"/>
      <c r="H48" s="251"/>
      <c r="I48" s="251"/>
      <c r="J48" s="251"/>
      <c r="K48" s="251"/>
      <c r="L48" s="251"/>
      <c r="M48" s="251"/>
      <c r="N48" s="251"/>
      <c r="O48" s="251"/>
      <c r="P48" s="251"/>
      <c r="Q48" s="251"/>
      <c r="R48" s="251"/>
      <c r="S48" s="251"/>
      <c r="T48" s="251"/>
      <c r="U48" s="251"/>
      <c r="V48" s="251"/>
      <c r="W48" s="251"/>
      <c r="X48" s="251"/>
      <c r="Y48" s="251"/>
      <c r="Z48" s="251"/>
      <c r="AA48" s="251"/>
      <c r="AB48" s="251"/>
      <c r="AC48" s="289" t="s">
        <v>263</v>
      </c>
      <c r="AD48" s="288">
        <f t="shared" si="0"/>
        <v>4.33</v>
      </c>
      <c r="AE48" s="262">
        <f>'1. ABA DE CARREGAMENTO'!$B$90</f>
        <v>24</v>
      </c>
      <c r="AF48" s="612"/>
      <c r="AG48" s="252">
        <f t="shared" si="69"/>
        <v>106.80666666666667</v>
      </c>
      <c r="AH48" s="252">
        <f t="shared" si="70"/>
        <v>0</v>
      </c>
      <c r="AI48" s="252">
        <f t="shared" si="71"/>
        <v>0</v>
      </c>
      <c r="AJ48" s="252">
        <f t="shared" si="72"/>
        <v>0</v>
      </c>
      <c r="AK48" s="252">
        <f t="shared" si="73"/>
        <v>0</v>
      </c>
      <c r="AL48" s="257">
        <f t="shared" si="45"/>
        <v>0</v>
      </c>
      <c r="AM48" s="257">
        <f t="shared" si="46"/>
        <v>0</v>
      </c>
      <c r="AN48" s="252">
        <f t="shared" si="74"/>
        <v>0</v>
      </c>
      <c r="AO48" s="252">
        <f t="shared" si="75"/>
        <v>0</v>
      </c>
      <c r="AP48" s="257">
        <f t="shared" si="47"/>
        <v>0</v>
      </c>
      <c r="AQ48" s="257">
        <f t="shared" si="48"/>
        <v>0</v>
      </c>
      <c r="AR48" s="252">
        <f t="shared" si="76"/>
        <v>0</v>
      </c>
      <c r="AS48" s="252">
        <f t="shared" si="77"/>
        <v>0</v>
      </c>
      <c r="AT48" s="252">
        <f t="shared" si="78"/>
        <v>0</v>
      </c>
      <c r="AU48" s="252">
        <f t="shared" si="79"/>
        <v>0</v>
      </c>
      <c r="AV48" s="252">
        <f t="shared" si="80"/>
        <v>0</v>
      </c>
      <c r="AW48" s="252">
        <f t="shared" si="81"/>
        <v>0</v>
      </c>
      <c r="AX48" s="252">
        <f t="shared" si="82"/>
        <v>0</v>
      </c>
      <c r="AY48" s="252">
        <f t="shared" si="83"/>
        <v>0</v>
      </c>
      <c r="AZ48" s="252">
        <f t="shared" si="84"/>
        <v>0</v>
      </c>
      <c r="BA48" s="252">
        <f t="shared" si="85"/>
        <v>0</v>
      </c>
      <c r="BB48" s="293">
        <f t="shared" si="49"/>
        <v>0</v>
      </c>
      <c r="BC48" s="293">
        <f t="shared" si="50"/>
        <v>0</v>
      </c>
      <c r="BD48" s="252">
        <f t="shared" si="86"/>
        <v>0</v>
      </c>
      <c r="BE48" s="267"/>
      <c r="BF48" s="267"/>
      <c r="BG48" s="267"/>
      <c r="BH48" s="267"/>
      <c r="BI48" s="267"/>
      <c r="BJ48" s="267"/>
      <c r="BK48" s="267"/>
      <c r="BL48" s="267"/>
    </row>
    <row r="49" spans="1:64">
      <c r="A49" s="597"/>
      <c r="B49" s="600"/>
      <c r="C49" s="251" t="s">
        <v>269</v>
      </c>
      <c r="D49" s="612"/>
      <c r="E49" s="251"/>
      <c r="F49" s="251"/>
      <c r="G49" s="251"/>
      <c r="H49" s="251"/>
      <c r="I49" s="251"/>
      <c r="J49" s="251"/>
      <c r="K49" s="251"/>
      <c r="L49" s="251"/>
      <c r="M49" s="251">
        <v>419</v>
      </c>
      <c r="N49" s="251"/>
      <c r="O49" s="251"/>
      <c r="P49" s="251"/>
      <c r="Q49" s="251"/>
      <c r="R49" s="251"/>
      <c r="S49" s="251"/>
      <c r="T49" s="251"/>
      <c r="U49" s="251"/>
      <c r="V49" s="251"/>
      <c r="W49" s="251"/>
      <c r="X49" s="251"/>
      <c r="Y49" s="251"/>
      <c r="Z49" s="251"/>
      <c r="AA49" s="251"/>
      <c r="AB49" s="251"/>
      <c r="AC49" s="289" t="s">
        <v>268</v>
      </c>
      <c r="AD49" s="288">
        <f t="shared" ref="AD49:AD57" si="87">IF(AC49="DIÁRIA",AE49,IF(AC49="2xDIA",(AE49*2),IF(AC49="3xDIA",(AE49*3),IF(AC49="4xDIA",(AE49*4),IF(AC49="5xDIA",(AE49*5),IF(AC49="6xDIA",(AE49*6),IF(AC49="SEMANAL",4.33,IF(AC49="2xSEMANA",8,IF(AC49="3xSEMANA",12,IF(AC49="QUINZENAL",2,IF(AC49="MENSAL",1,IF(AC49="BIMESTRAL",0.5,IF(AC49="TRIMESTRAL",0.33,IF(AC49="SEMESTRAL",0.17,0))))))))))))))</f>
        <v>2</v>
      </c>
      <c r="AE49" s="262">
        <f>'1. ABA DE CARREGAMENTO'!$B$90</f>
        <v>24</v>
      </c>
      <c r="AF49" s="612"/>
      <c r="AG49" s="252">
        <f t="shared" si="69"/>
        <v>0</v>
      </c>
      <c r="AH49" s="252">
        <f t="shared" si="70"/>
        <v>0</v>
      </c>
      <c r="AI49" s="252">
        <f t="shared" si="71"/>
        <v>0</v>
      </c>
      <c r="AJ49" s="252">
        <f t="shared" si="72"/>
        <v>0</v>
      </c>
      <c r="AK49" s="252">
        <f t="shared" si="73"/>
        <v>0</v>
      </c>
      <c r="AL49" s="257">
        <f t="shared" si="45"/>
        <v>0</v>
      </c>
      <c r="AM49" s="257">
        <f t="shared" si="46"/>
        <v>0</v>
      </c>
      <c r="AN49" s="252">
        <f t="shared" si="74"/>
        <v>0</v>
      </c>
      <c r="AO49" s="252">
        <f t="shared" si="75"/>
        <v>34.916666666666664</v>
      </c>
      <c r="AP49" s="257">
        <f t="shared" si="47"/>
        <v>0</v>
      </c>
      <c r="AQ49" s="257">
        <f t="shared" si="48"/>
        <v>0</v>
      </c>
      <c r="AR49" s="252">
        <f t="shared" si="76"/>
        <v>0</v>
      </c>
      <c r="AS49" s="252">
        <f t="shared" si="77"/>
        <v>0</v>
      </c>
      <c r="AT49" s="252">
        <f t="shared" si="78"/>
        <v>0</v>
      </c>
      <c r="AU49" s="252">
        <f t="shared" si="79"/>
        <v>0</v>
      </c>
      <c r="AV49" s="252">
        <f t="shared" si="80"/>
        <v>0</v>
      </c>
      <c r="AW49" s="252">
        <f t="shared" si="81"/>
        <v>0</v>
      </c>
      <c r="AX49" s="252">
        <f t="shared" si="82"/>
        <v>0</v>
      </c>
      <c r="AY49" s="252">
        <f t="shared" si="83"/>
        <v>0</v>
      </c>
      <c r="AZ49" s="252">
        <f t="shared" si="84"/>
        <v>0</v>
      </c>
      <c r="BA49" s="252">
        <f t="shared" si="85"/>
        <v>0</v>
      </c>
      <c r="BB49" s="293">
        <f t="shared" si="49"/>
        <v>0</v>
      </c>
      <c r="BC49" s="293">
        <f t="shared" si="50"/>
        <v>0</v>
      </c>
      <c r="BD49" s="252">
        <f t="shared" si="86"/>
        <v>0</v>
      </c>
      <c r="BE49" s="267"/>
      <c r="BF49" s="267"/>
      <c r="BG49" s="267"/>
      <c r="BH49" s="267"/>
      <c r="BI49" s="267"/>
      <c r="BJ49" s="267"/>
      <c r="BK49" s="267"/>
      <c r="BL49" s="267"/>
    </row>
    <row r="50" spans="1:64">
      <c r="A50" s="597"/>
      <c r="B50" s="600"/>
      <c r="C50" s="251" t="s">
        <v>270</v>
      </c>
      <c r="D50" s="612"/>
      <c r="E50" s="251"/>
      <c r="F50" s="251">
        <v>37.630000000000003</v>
      </c>
      <c r="G50" s="251"/>
      <c r="H50" s="251"/>
      <c r="I50" s="251"/>
      <c r="J50" s="251"/>
      <c r="K50" s="251"/>
      <c r="L50" s="251"/>
      <c r="M50" s="251"/>
      <c r="N50" s="251"/>
      <c r="O50" s="251"/>
      <c r="P50" s="251"/>
      <c r="Q50" s="251"/>
      <c r="R50" s="251"/>
      <c r="S50" s="251"/>
      <c r="T50" s="251"/>
      <c r="U50" s="251"/>
      <c r="V50" s="251"/>
      <c r="W50" s="251"/>
      <c r="X50" s="251"/>
      <c r="Y50" s="251"/>
      <c r="Z50" s="251"/>
      <c r="AA50" s="251"/>
      <c r="AB50" s="251"/>
      <c r="AC50" s="289" t="s">
        <v>247</v>
      </c>
      <c r="AD50" s="288">
        <f t="shared" si="87"/>
        <v>8</v>
      </c>
      <c r="AE50" s="262">
        <f>'1. ABA DE CARREGAMENTO'!$B$90</f>
        <v>24</v>
      </c>
      <c r="AF50" s="612"/>
      <c r="AG50" s="252">
        <f t="shared" si="69"/>
        <v>0</v>
      </c>
      <c r="AH50" s="252">
        <f t="shared" si="70"/>
        <v>12.543333333333335</v>
      </c>
      <c r="AI50" s="252">
        <f t="shared" si="71"/>
        <v>0</v>
      </c>
      <c r="AJ50" s="252">
        <f t="shared" si="72"/>
        <v>0</v>
      </c>
      <c r="AK50" s="252">
        <f t="shared" si="73"/>
        <v>0</v>
      </c>
      <c r="AL50" s="257">
        <f t="shared" si="45"/>
        <v>0</v>
      </c>
      <c r="AM50" s="257">
        <f t="shared" si="46"/>
        <v>0</v>
      </c>
      <c r="AN50" s="252">
        <f t="shared" si="74"/>
        <v>0</v>
      </c>
      <c r="AO50" s="252">
        <f t="shared" si="75"/>
        <v>0</v>
      </c>
      <c r="AP50" s="257">
        <f t="shared" si="47"/>
        <v>0</v>
      </c>
      <c r="AQ50" s="257">
        <f t="shared" si="48"/>
        <v>0</v>
      </c>
      <c r="AR50" s="252">
        <f t="shared" si="76"/>
        <v>0</v>
      </c>
      <c r="AS50" s="252">
        <f t="shared" si="77"/>
        <v>0</v>
      </c>
      <c r="AT50" s="252">
        <f t="shared" si="78"/>
        <v>0</v>
      </c>
      <c r="AU50" s="252">
        <f t="shared" si="79"/>
        <v>0</v>
      </c>
      <c r="AV50" s="252">
        <f t="shared" si="80"/>
        <v>0</v>
      </c>
      <c r="AW50" s="252">
        <f t="shared" si="81"/>
        <v>0</v>
      </c>
      <c r="AX50" s="252">
        <f t="shared" si="82"/>
        <v>0</v>
      </c>
      <c r="AY50" s="252">
        <f t="shared" si="83"/>
        <v>0</v>
      </c>
      <c r="AZ50" s="252">
        <f t="shared" si="84"/>
        <v>0</v>
      </c>
      <c r="BA50" s="252">
        <f t="shared" si="85"/>
        <v>0</v>
      </c>
      <c r="BB50" s="293">
        <f t="shared" si="49"/>
        <v>0</v>
      </c>
      <c r="BC50" s="293">
        <f t="shared" si="50"/>
        <v>0</v>
      </c>
      <c r="BD50" s="252">
        <f t="shared" si="86"/>
        <v>0</v>
      </c>
      <c r="BE50" s="267"/>
      <c r="BF50" s="267"/>
      <c r="BG50" s="267"/>
      <c r="BH50" s="267"/>
      <c r="BI50" s="267"/>
      <c r="BJ50" s="267"/>
      <c r="BK50" s="267"/>
      <c r="BL50" s="267"/>
    </row>
    <row r="51" spans="1:64">
      <c r="A51" s="597"/>
      <c r="B51" s="600"/>
      <c r="C51" s="251" t="s">
        <v>271</v>
      </c>
      <c r="D51" s="612"/>
      <c r="E51" s="251"/>
      <c r="F51" s="251">
        <v>13.44</v>
      </c>
      <c r="G51" s="251"/>
      <c r="H51" s="251"/>
      <c r="I51" s="251"/>
      <c r="J51" s="251"/>
      <c r="K51" s="251"/>
      <c r="L51" s="251"/>
      <c r="M51" s="251"/>
      <c r="N51" s="251"/>
      <c r="O51" s="251"/>
      <c r="P51" s="251"/>
      <c r="Q51" s="251"/>
      <c r="R51" s="251"/>
      <c r="S51" s="251"/>
      <c r="T51" s="251"/>
      <c r="U51" s="251"/>
      <c r="V51" s="251"/>
      <c r="W51" s="251"/>
      <c r="X51" s="251"/>
      <c r="Y51" s="251"/>
      <c r="Z51" s="251"/>
      <c r="AA51" s="251"/>
      <c r="AB51" s="251"/>
      <c r="AC51" s="289" t="s">
        <v>257</v>
      </c>
      <c r="AD51" s="288">
        <f t="shared" si="87"/>
        <v>24</v>
      </c>
      <c r="AE51" s="262">
        <f>'1. ABA DE CARREGAMENTO'!$B$90</f>
        <v>24</v>
      </c>
      <c r="AF51" s="612"/>
      <c r="AG51" s="252">
        <f t="shared" si="69"/>
        <v>0</v>
      </c>
      <c r="AH51" s="252">
        <f t="shared" si="70"/>
        <v>13.44</v>
      </c>
      <c r="AI51" s="252">
        <f t="shared" si="71"/>
        <v>0</v>
      </c>
      <c r="AJ51" s="252">
        <f t="shared" si="72"/>
        <v>0</v>
      </c>
      <c r="AK51" s="252">
        <f t="shared" si="73"/>
        <v>0</v>
      </c>
      <c r="AL51" s="257">
        <f t="shared" ref="AL51:AL80" si="88">(J51*AD51)/AE51</f>
        <v>0</v>
      </c>
      <c r="AM51" s="257">
        <f t="shared" ref="AM51:AM80" si="89">(K51*AD51)/AE51</f>
        <v>0</v>
      </c>
      <c r="AN51" s="252">
        <f t="shared" si="74"/>
        <v>0</v>
      </c>
      <c r="AO51" s="252">
        <f t="shared" si="75"/>
        <v>0</v>
      </c>
      <c r="AP51" s="257">
        <f t="shared" ref="AP51:AP80" si="90">(N51*AD51)/AE51</f>
        <v>0</v>
      </c>
      <c r="AQ51" s="257">
        <f t="shared" ref="AQ51:AQ80" si="91">(O51*AD51)/AE51</f>
        <v>0</v>
      </c>
      <c r="AR51" s="252">
        <f t="shared" si="76"/>
        <v>0</v>
      </c>
      <c r="AS51" s="252">
        <f t="shared" si="77"/>
        <v>0</v>
      </c>
      <c r="AT51" s="252">
        <f t="shared" si="78"/>
        <v>0</v>
      </c>
      <c r="AU51" s="252">
        <f t="shared" si="79"/>
        <v>0</v>
      </c>
      <c r="AV51" s="252">
        <f t="shared" si="80"/>
        <v>0</v>
      </c>
      <c r="AW51" s="252">
        <f t="shared" si="81"/>
        <v>0</v>
      </c>
      <c r="AX51" s="252">
        <f t="shared" si="82"/>
        <v>0</v>
      </c>
      <c r="AY51" s="252">
        <f t="shared" si="83"/>
        <v>0</v>
      </c>
      <c r="AZ51" s="252">
        <f t="shared" si="84"/>
        <v>0</v>
      </c>
      <c r="BA51" s="252">
        <f t="shared" si="85"/>
        <v>0</v>
      </c>
      <c r="BB51" s="293">
        <f t="shared" ref="BB51:BB80" si="92">(Z51*AD51)/AE51</f>
        <v>0</v>
      </c>
      <c r="BC51" s="293">
        <f t="shared" ref="BC51:BC80" si="93">(AA51*AD51)/AE51</f>
        <v>0</v>
      </c>
      <c r="BD51" s="252">
        <f t="shared" si="86"/>
        <v>0</v>
      </c>
      <c r="BE51" s="267"/>
      <c r="BF51" s="267"/>
      <c r="BG51" s="267"/>
      <c r="BH51" s="267"/>
      <c r="BI51" s="267"/>
      <c r="BJ51" s="267"/>
      <c r="BK51" s="267"/>
      <c r="BL51" s="267"/>
    </row>
    <row r="52" spans="1:64">
      <c r="A52" s="597"/>
      <c r="B52" s="600"/>
      <c r="C52" s="251" t="s">
        <v>248</v>
      </c>
      <c r="D52" s="612"/>
      <c r="E52" s="251"/>
      <c r="F52" s="251"/>
      <c r="G52" s="251"/>
      <c r="H52" s="251"/>
      <c r="I52" s="251"/>
      <c r="J52" s="251"/>
      <c r="K52" s="251"/>
      <c r="L52" s="251">
        <v>4.62</v>
      </c>
      <c r="M52" s="251"/>
      <c r="N52" s="251"/>
      <c r="O52" s="251"/>
      <c r="P52" s="251"/>
      <c r="Q52" s="251"/>
      <c r="R52" s="251"/>
      <c r="S52" s="251"/>
      <c r="T52" s="251"/>
      <c r="U52" s="251"/>
      <c r="V52" s="251"/>
      <c r="W52" s="251"/>
      <c r="X52" s="251"/>
      <c r="Y52" s="251"/>
      <c r="Z52" s="251"/>
      <c r="AA52" s="251"/>
      <c r="AB52" s="251"/>
      <c r="AC52" s="289" t="s">
        <v>257</v>
      </c>
      <c r="AD52" s="288">
        <f t="shared" si="87"/>
        <v>24</v>
      </c>
      <c r="AE52" s="262">
        <f>'1. ABA DE CARREGAMENTO'!$B$90</f>
        <v>24</v>
      </c>
      <c r="AF52" s="612"/>
      <c r="AG52" s="252">
        <f t="shared" si="69"/>
        <v>0</v>
      </c>
      <c r="AH52" s="252">
        <f t="shared" si="70"/>
        <v>0</v>
      </c>
      <c r="AI52" s="252">
        <f t="shared" si="71"/>
        <v>0</v>
      </c>
      <c r="AJ52" s="252">
        <f t="shared" si="72"/>
        <v>0</v>
      </c>
      <c r="AK52" s="252">
        <f t="shared" si="73"/>
        <v>0</v>
      </c>
      <c r="AL52" s="257">
        <f t="shared" si="88"/>
        <v>0</v>
      </c>
      <c r="AM52" s="257">
        <f t="shared" si="89"/>
        <v>0</v>
      </c>
      <c r="AN52" s="252">
        <f t="shared" si="74"/>
        <v>4.62</v>
      </c>
      <c r="AO52" s="252">
        <f t="shared" si="75"/>
        <v>0</v>
      </c>
      <c r="AP52" s="257">
        <f t="shared" si="90"/>
        <v>0</v>
      </c>
      <c r="AQ52" s="257">
        <f t="shared" si="91"/>
        <v>0</v>
      </c>
      <c r="AR52" s="252">
        <f t="shared" si="76"/>
        <v>0</v>
      </c>
      <c r="AS52" s="252">
        <f t="shared" si="77"/>
        <v>0</v>
      </c>
      <c r="AT52" s="252">
        <f t="shared" si="78"/>
        <v>0</v>
      </c>
      <c r="AU52" s="252">
        <f t="shared" si="79"/>
        <v>0</v>
      </c>
      <c r="AV52" s="252">
        <f t="shared" si="80"/>
        <v>0</v>
      </c>
      <c r="AW52" s="252">
        <f t="shared" si="81"/>
        <v>0</v>
      </c>
      <c r="AX52" s="252">
        <f t="shared" si="82"/>
        <v>0</v>
      </c>
      <c r="AY52" s="252">
        <f t="shared" si="83"/>
        <v>0</v>
      </c>
      <c r="AZ52" s="252">
        <f t="shared" si="84"/>
        <v>0</v>
      </c>
      <c r="BA52" s="252">
        <f t="shared" si="85"/>
        <v>0</v>
      </c>
      <c r="BB52" s="293">
        <f t="shared" si="92"/>
        <v>0</v>
      </c>
      <c r="BC52" s="293">
        <f t="shared" si="93"/>
        <v>0</v>
      </c>
      <c r="BD52" s="252">
        <f t="shared" si="86"/>
        <v>0</v>
      </c>
      <c r="BE52" s="267"/>
      <c r="BF52" s="267"/>
      <c r="BG52" s="267"/>
      <c r="BH52" s="267"/>
      <c r="BI52" s="267"/>
      <c r="BJ52" s="267"/>
      <c r="BK52" s="267"/>
      <c r="BL52" s="267"/>
    </row>
    <row r="53" spans="1:64">
      <c r="A53" s="597"/>
      <c r="B53" s="600"/>
      <c r="C53" s="251" t="s">
        <v>251</v>
      </c>
      <c r="D53" s="612"/>
      <c r="E53" s="251"/>
      <c r="F53" s="251"/>
      <c r="G53" s="251"/>
      <c r="H53" s="251"/>
      <c r="I53" s="251"/>
      <c r="J53" s="251"/>
      <c r="K53" s="251"/>
      <c r="L53" s="251"/>
      <c r="M53" s="251"/>
      <c r="N53" s="251"/>
      <c r="O53" s="251"/>
      <c r="P53" s="251"/>
      <c r="Q53" s="251"/>
      <c r="R53" s="251"/>
      <c r="S53" s="251"/>
      <c r="T53" s="251"/>
      <c r="U53" s="251"/>
      <c r="V53" s="251">
        <v>25.39</v>
      </c>
      <c r="W53" s="251"/>
      <c r="X53" s="251"/>
      <c r="Y53" s="251"/>
      <c r="Z53" s="251"/>
      <c r="AA53" s="251"/>
      <c r="AB53" s="251"/>
      <c r="AC53" s="289" t="s">
        <v>252</v>
      </c>
      <c r="AD53" s="288">
        <f t="shared" si="87"/>
        <v>0.17</v>
      </c>
      <c r="AE53" s="262">
        <f>'1. ABA DE CARREGAMENTO'!$B$90</f>
        <v>24</v>
      </c>
      <c r="AF53" s="612"/>
      <c r="AG53" s="252">
        <f t="shared" si="69"/>
        <v>0</v>
      </c>
      <c r="AH53" s="252">
        <f t="shared" si="70"/>
        <v>0</v>
      </c>
      <c r="AI53" s="252">
        <f t="shared" si="71"/>
        <v>0</v>
      </c>
      <c r="AJ53" s="252">
        <f t="shared" si="72"/>
        <v>0</v>
      </c>
      <c r="AK53" s="252">
        <f t="shared" si="73"/>
        <v>0</v>
      </c>
      <c r="AL53" s="257">
        <f t="shared" si="88"/>
        <v>0</v>
      </c>
      <c r="AM53" s="257">
        <f t="shared" si="89"/>
        <v>0</v>
      </c>
      <c r="AN53" s="252">
        <f t="shared" si="74"/>
        <v>0</v>
      </c>
      <c r="AO53" s="252">
        <f t="shared" si="75"/>
        <v>0</v>
      </c>
      <c r="AP53" s="257">
        <f t="shared" si="90"/>
        <v>0</v>
      </c>
      <c r="AQ53" s="257">
        <f t="shared" si="91"/>
        <v>0</v>
      </c>
      <c r="AR53" s="252">
        <f t="shared" si="76"/>
        <v>0</v>
      </c>
      <c r="AS53" s="252">
        <f t="shared" si="77"/>
        <v>0</v>
      </c>
      <c r="AT53" s="252">
        <f t="shared" si="78"/>
        <v>0</v>
      </c>
      <c r="AU53" s="252">
        <f t="shared" si="79"/>
        <v>0</v>
      </c>
      <c r="AV53" s="252">
        <f t="shared" si="80"/>
        <v>0</v>
      </c>
      <c r="AW53" s="252">
        <f t="shared" si="81"/>
        <v>0</v>
      </c>
      <c r="AX53" s="252">
        <f t="shared" si="82"/>
        <v>0.17984583333333334</v>
      </c>
      <c r="AY53" s="252">
        <f t="shared" si="83"/>
        <v>0</v>
      </c>
      <c r="AZ53" s="252">
        <f t="shared" si="84"/>
        <v>0</v>
      </c>
      <c r="BA53" s="252">
        <f t="shared" si="85"/>
        <v>0</v>
      </c>
      <c r="BB53" s="293">
        <f t="shared" si="92"/>
        <v>0</v>
      </c>
      <c r="BC53" s="293">
        <f t="shared" si="93"/>
        <v>0</v>
      </c>
      <c r="BD53" s="252">
        <f t="shared" si="86"/>
        <v>0</v>
      </c>
      <c r="BE53" s="267"/>
      <c r="BF53" s="267"/>
      <c r="BG53" s="267"/>
      <c r="BH53" s="267"/>
      <c r="BI53" s="267"/>
      <c r="BJ53" s="267"/>
      <c r="BK53" s="267"/>
      <c r="BL53" s="267"/>
    </row>
    <row r="54" spans="1:64">
      <c r="A54" s="597"/>
      <c r="B54" s="600"/>
      <c r="C54" s="251" t="s">
        <v>253</v>
      </c>
      <c r="D54" s="612"/>
      <c r="E54" s="251"/>
      <c r="F54" s="251"/>
      <c r="G54" s="251"/>
      <c r="H54" s="251"/>
      <c r="I54" s="251"/>
      <c r="J54" s="251"/>
      <c r="K54" s="251"/>
      <c r="L54" s="251"/>
      <c r="M54" s="251"/>
      <c r="N54" s="251"/>
      <c r="O54" s="251"/>
      <c r="P54" s="251"/>
      <c r="Q54" s="251"/>
      <c r="R54" s="251"/>
      <c r="S54" s="251"/>
      <c r="T54" s="251"/>
      <c r="U54" s="251"/>
      <c r="V54" s="251"/>
      <c r="W54" s="251">
        <v>71.069999999999993</v>
      </c>
      <c r="X54" s="251"/>
      <c r="Y54" s="251"/>
      <c r="Z54" s="251"/>
      <c r="AA54" s="251"/>
      <c r="AB54" s="251"/>
      <c r="AC54" s="289" t="s">
        <v>252</v>
      </c>
      <c r="AD54" s="288">
        <f t="shared" si="87"/>
        <v>0.17</v>
      </c>
      <c r="AE54" s="262">
        <f>'1. ABA DE CARREGAMENTO'!$B$90</f>
        <v>24</v>
      </c>
      <c r="AF54" s="612"/>
      <c r="AG54" s="252">
        <f t="shared" si="69"/>
        <v>0</v>
      </c>
      <c r="AH54" s="252">
        <f t="shared" si="70"/>
        <v>0</v>
      </c>
      <c r="AI54" s="252">
        <f t="shared" si="71"/>
        <v>0</v>
      </c>
      <c r="AJ54" s="252">
        <f t="shared" si="72"/>
        <v>0</v>
      </c>
      <c r="AK54" s="252">
        <f t="shared" si="73"/>
        <v>0</v>
      </c>
      <c r="AL54" s="257">
        <f t="shared" si="88"/>
        <v>0</v>
      </c>
      <c r="AM54" s="257">
        <f t="shared" si="89"/>
        <v>0</v>
      </c>
      <c r="AN54" s="252"/>
      <c r="AO54" s="252"/>
      <c r="AP54" s="257">
        <f t="shared" si="90"/>
        <v>0</v>
      </c>
      <c r="AQ54" s="257">
        <f t="shared" si="91"/>
        <v>0</v>
      </c>
      <c r="AR54" s="252">
        <f t="shared" si="76"/>
        <v>0</v>
      </c>
      <c r="AS54" s="252">
        <f t="shared" si="77"/>
        <v>0</v>
      </c>
      <c r="AT54" s="252">
        <f t="shared" si="78"/>
        <v>0</v>
      </c>
      <c r="AU54" s="252">
        <f t="shared" si="79"/>
        <v>0</v>
      </c>
      <c r="AV54" s="252">
        <f t="shared" si="80"/>
        <v>0</v>
      </c>
      <c r="AW54" s="252">
        <f t="shared" si="81"/>
        <v>0</v>
      </c>
      <c r="AX54" s="252">
        <f t="shared" si="82"/>
        <v>0</v>
      </c>
      <c r="AY54" s="252">
        <f t="shared" si="83"/>
        <v>0.50341249999999993</v>
      </c>
      <c r="AZ54" s="252">
        <f t="shared" si="84"/>
        <v>0</v>
      </c>
      <c r="BA54" s="252">
        <f t="shared" si="85"/>
        <v>0</v>
      </c>
      <c r="BB54" s="293">
        <f t="shared" si="92"/>
        <v>0</v>
      </c>
      <c r="BC54" s="293">
        <f t="shared" si="93"/>
        <v>0</v>
      </c>
      <c r="BD54" s="252"/>
      <c r="BE54" s="267"/>
      <c r="BF54" s="267"/>
      <c r="BG54" s="267"/>
      <c r="BH54" s="267"/>
      <c r="BI54" s="267"/>
      <c r="BJ54" s="267"/>
      <c r="BK54" s="267"/>
      <c r="BL54" s="267"/>
    </row>
    <row r="55" spans="1:64">
      <c r="A55" s="597"/>
      <c r="B55" s="600"/>
      <c r="C55" s="251" t="s">
        <v>45</v>
      </c>
      <c r="D55" s="612"/>
      <c r="E55" s="251"/>
      <c r="F55" s="255"/>
      <c r="G55" s="251"/>
      <c r="H55" s="251"/>
      <c r="I55" s="251"/>
      <c r="J55" s="251"/>
      <c r="K55" s="251"/>
      <c r="L55" s="251"/>
      <c r="M55" s="251"/>
      <c r="N55" s="251"/>
      <c r="O55" s="251"/>
      <c r="P55" s="251"/>
      <c r="Q55" s="251"/>
      <c r="R55" s="251"/>
      <c r="S55" s="251"/>
      <c r="T55" s="251"/>
      <c r="U55" s="251"/>
      <c r="V55" s="251"/>
      <c r="W55" s="251"/>
      <c r="X55" s="251"/>
      <c r="Y55" s="251"/>
      <c r="Z55" s="251"/>
      <c r="AA55" s="251">
        <v>50</v>
      </c>
      <c r="AB55" s="251"/>
      <c r="AC55" s="289" t="s">
        <v>263</v>
      </c>
      <c r="AD55" s="288">
        <f t="shared" si="87"/>
        <v>4.33</v>
      </c>
      <c r="AE55" s="262">
        <f>'1. ABA DE CARREGAMENTO'!$B$90</f>
        <v>24</v>
      </c>
      <c r="AF55" s="612"/>
      <c r="AG55" s="252">
        <f t="shared" si="69"/>
        <v>0</v>
      </c>
      <c r="AH55" s="252">
        <f t="shared" si="70"/>
        <v>0</v>
      </c>
      <c r="AI55" s="252">
        <f t="shared" si="71"/>
        <v>0</v>
      </c>
      <c r="AJ55" s="252">
        <f t="shared" si="72"/>
        <v>0</v>
      </c>
      <c r="AK55" s="252">
        <f t="shared" si="73"/>
        <v>0</v>
      </c>
      <c r="AL55" s="257">
        <f t="shared" si="88"/>
        <v>0</v>
      </c>
      <c r="AM55" s="257">
        <f t="shared" si="89"/>
        <v>0</v>
      </c>
      <c r="AN55" s="252">
        <f t="shared" ref="AN55:AN83" si="94">(L55*AD55)/AE55</f>
        <v>0</v>
      </c>
      <c r="AO55" s="252">
        <f t="shared" ref="AO55:AO83" si="95">(M55*AD55)/AE55</f>
        <v>0</v>
      </c>
      <c r="AP55" s="257">
        <f t="shared" si="90"/>
        <v>0</v>
      </c>
      <c r="AQ55" s="257">
        <f t="shared" si="91"/>
        <v>0</v>
      </c>
      <c r="AR55" s="252">
        <f t="shared" si="76"/>
        <v>0</v>
      </c>
      <c r="AS55" s="252">
        <f t="shared" si="77"/>
        <v>0</v>
      </c>
      <c r="AT55" s="252">
        <f t="shared" si="78"/>
        <v>0</v>
      </c>
      <c r="AU55" s="252">
        <f t="shared" si="79"/>
        <v>0</v>
      </c>
      <c r="AV55" s="252">
        <f t="shared" si="80"/>
        <v>0</v>
      </c>
      <c r="AW55" s="252">
        <f t="shared" si="81"/>
        <v>0</v>
      </c>
      <c r="AX55" s="252">
        <f t="shared" si="82"/>
        <v>0</v>
      </c>
      <c r="AY55" s="252">
        <f t="shared" si="83"/>
        <v>0</v>
      </c>
      <c r="AZ55" s="252">
        <f t="shared" si="84"/>
        <v>0</v>
      </c>
      <c r="BA55" s="252">
        <f t="shared" si="85"/>
        <v>0</v>
      </c>
      <c r="BB55" s="293">
        <f t="shared" si="92"/>
        <v>0</v>
      </c>
      <c r="BC55" s="293">
        <f t="shared" si="93"/>
        <v>9.0208333333333339</v>
      </c>
      <c r="BD55" s="252">
        <f t="shared" ref="BD55:BD60" si="96">(AB55*AD55)/AE55</f>
        <v>0</v>
      </c>
      <c r="BE55" s="267"/>
      <c r="BF55" s="267"/>
      <c r="BG55" s="267"/>
      <c r="BH55" s="267"/>
      <c r="BI55" s="267"/>
      <c r="BJ55" s="267"/>
      <c r="BK55" s="267"/>
      <c r="BL55" s="267"/>
    </row>
    <row r="56" spans="1:64">
      <c r="A56" s="597"/>
      <c r="B56" s="600"/>
      <c r="C56" s="251" t="s">
        <v>46</v>
      </c>
      <c r="D56" s="612"/>
      <c r="E56" s="251"/>
      <c r="F56" s="255"/>
      <c r="G56" s="251"/>
      <c r="H56" s="251"/>
      <c r="I56" s="251"/>
      <c r="J56" s="251"/>
      <c r="K56" s="251"/>
      <c r="L56" s="251"/>
      <c r="M56" s="251"/>
      <c r="N56" s="251"/>
      <c r="O56" s="251"/>
      <c r="P56" s="251"/>
      <c r="Q56" s="251"/>
      <c r="R56" s="251"/>
      <c r="S56" s="251"/>
      <c r="T56" s="251"/>
      <c r="U56" s="251"/>
      <c r="V56" s="251"/>
      <c r="W56" s="251"/>
      <c r="X56" s="251"/>
      <c r="Y56" s="251"/>
      <c r="Z56" s="251"/>
      <c r="AA56" s="251"/>
      <c r="AB56" s="251"/>
      <c r="AC56" s="289" t="s">
        <v>263</v>
      </c>
      <c r="AD56" s="288">
        <f>IF(AC56="DIÁRIA",AE56,IF(AC56="2xDIA",(AE56*2),IF(AC56="3xDIA",(AE56*3),IF(AC56="4xDIA",(AE56*4),IF(AC56="5xDIA",(AE56*5),IF(AC56="6xDIA",(AE56*6),IF(AC56="SEMANAL",4.33,IF(AC56="2xSEMANA",8,IF(AC56="3xSEMANA",12,IF(AC56="QUINZENAL",2,IF(AC56="MENSAL",1,IF(AC56="BIMESTRAL",0.5,IF(AC56="TRIMESTRAL",0.33,IF(AC56="SEMESTRAL",0.17,0))))))))))))))</f>
        <v>4.33</v>
      </c>
      <c r="AE56" s="262">
        <f>'1. ABA DE CARREGAMENTO'!$B$90</f>
        <v>24</v>
      </c>
      <c r="AF56" s="612"/>
      <c r="AG56" s="252">
        <f t="shared" si="69"/>
        <v>0</v>
      </c>
      <c r="AH56" s="252">
        <f t="shared" si="70"/>
        <v>0</v>
      </c>
      <c r="AI56" s="252">
        <f t="shared" si="71"/>
        <v>0</v>
      </c>
      <c r="AJ56" s="252">
        <f t="shared" si="72"/>
        <v>0</v>
      </c>
      <c r="AK56" s="252">
        <f t="shared" si="73"/>
        <v>0</v>
      </c>
      <c r="AL56" s="257">
        <f t="shared" si="88"/>
        <v>0</v>
      </c>
      <c r="AM56" s="257">
        <f t="shared" si="89"/>
        <v>0</v>
      </c>
      <c r="AN56" s="252">
        <f t="shared" si="94"/>
        <v>0</v>
      </c>
      <c r="AO56" s="252">
        <f t="shared" si="95"/>
        <v>0</v>
      </c>
      <c r="AP56" s="257">
        <f t="shared" si="90"/>
        <v>0</v>
      </c>
      <c r="AQ56" s="257">
        <f t="shared" si="91"/>
        <v>0</v>
      </c>
      <c r="AR56" s="252">
        <f t="shared" si="76"/>
        <v>0</v>
      </c>
      <c r="AS56" s="252">
        <f t="shared" si="77"/>
        <v>0</v>
      </c>
      <c r="AT56" s="252">
        <f t="shared" si="78"/>
        <v>0</v>
      </c>
      <c r="AU56" s="252">
        <f t="shared" si="79"/>
        <v>0</v>
      </c>
      <c r="AV56" s="252">
        <f t="shared" si="80"/>
        <v>0</v>
      </c>
      <c r="AW56" s="252">
        <f t="shared" si="81"/>
        <v>0</v>
      </c>
      <c r="AX56" s="252">
        <f t="shared" si="82"/>
        <v>0</v>
      </c>
      <c r="AY56" s="252">
        <f t="shared" si="83"/>
        <v>0</v>
      </c>
      <c r="AZ56" s="252">
        <f t="shared" si="84"/>
        <v>0</v>
      </c>
      <c r="BA56" s="252">
        <f t="shared" si="85"/>
        <v>0</v>
      </c>
      <c r="BB56" s="293">
        <f t="shared" si="92"/>
        <v>0</v>
      </c>
      <c r="BC56" s="293">
        <f t="shared" si="93"/>
        <v>0</v>
      </c>
      <c r="BD56" s="252">
        <f t="shared" si="96"/>
        <v>0</v>
      </c>
      <c r="BE56" s="267"/>
      <c r="BF56" s="267"/>
      <c r="BG56" s="267"/>
      <c r="BH56" s="267"/>
      <c r="BI56" s="267"/>
      <c r="BJ56" s="267"/>
      <c r="BK56" s="267"/>
      <c r="BL56" s="267"/>
    </row>
    <row r="57" spans="1:64">
      <c r="A57" s="598"/>
      <c r="B57" s="601"/>
      <c r="C57" s="251" t="s">
        <v>687</v>
      </c>
      <c r="D57" s="613"/>
      <c r="E57" s="251"/>
      <c r="F57" s="251"/>
      <c r="G57" s="251"/>
      <c r="H57" s="251"/>
      <c r="I57" s="251"/>
      <c r="J57" s="251"/>
      <c r="K57" s="251"/>
      <c r="L57" s="251"/>
      <c r="M57" s="251"/>
      <c r="N57" s="251"/>
      <c r="O57" s="251"/>
      <c r="P57" s="251"/>
      <c r="Q57" s="251"/>
      <c r="R57" s="251"/>
      <c r="S57" s="251"/>
      <c r="T57" s="251"/>
      <c r="U57" s="251"/>
      <c r="V57" s="251"/>
      <c r="W57" s="251"/>
      <c r="X57" s="251"/>
      <c r="Y57" s="251"/>
      <c r="Z57" s="251">
        <v>73.08</v>
      </c>
      <c r="AA57" s="251"/>
      <c r="AB57" s="251">
        <v>73.08</v>
      </c>
      <c r="AC57" s="289" t="s">
        <v>243</v>
      </c>
      <c r="AD57" s="288">
        <f t="shared" si="87"/>
        <v>72</v>
      </c>
      <c r="AE57" s="262">
        <f>'1. ABA DE CARREGAMENTO'!$B$90</f>
        <v>24</v>
      </c>
      <c r="AF57" s="613"/>
      <c r="AG57" s="252">
        <f t="shared" si="69"/>
        <v>0</v>
      </c>
      <c r="AH57" s="252">
        <f t="shared" si="70"/>
        <v>0</v>
      </c>
      <c r="AI57" s="252">
        <f t="shared" si="71"/>
        <v>0</v>
      </c>
      <c r="AJ57" s="252">
        <f t="shared" si="72"/>
        <v>0</v>
      </c>
      <c r="AK57" s="252">
        <f t="shared" si="73"/>
        <v>0</v>
      </c>
      <c r="AL57" s="257">
        <f t="shared" si="88"/>
        <v>0</v>
      </c>
      <c r="AM57" s="257">
        <f t="shared" si="89"/>
        <v>0</v>
      </c>
      <c r="AN57" s="252">
        <f t="shared" si="94"/>
        <v>0</v>
      </c>
      <c r="AO57" s="252">
        <f t="shared" si="95"/>
        <v>0</v>
      </c>
      <c r="AP57" s="257">
        <f t="shared" si="90"/>
        <v>0</v>
      </c>
      <c r="AQ57" s="257">
        <f t="shared" si="91"/>
        <v>0</v>
      </c>
      <c r="AR57" s="252">
        <f t="shared" si="76"/>
        <v>0</v>
      </c>
      <c r="AS57" s="252">
        <f t="shared" si="77"/>
        <v>0</v>
      </c>
      <c r="AT57" s="252">
        <f t="shared" si="78"/>
        <v>0</v>
      </c>
      <c r="AU57" s="252">
        <f t="shared" si="79"/>
        <v>0</v>
      </c>
      <c r="AV57" s="252">
        <f t="shared" si="80"/>
        <v>0</v>
      </c>
      <c r="AW57" s="252">
        <f t="shared" si="81"/>
        <v>0</v>
      </c>
      <c r="AX57" s="252">
        <f t="shared" si="82"/>
        <v>0</v>
      </c>
      <c r="AY57" s="252">
        <f t="shared" si="83"/>
        <v>0</v>
      </c>
      <c r="AZ57" s="252">
        <f t="shared" si="84"/>
        <v>0</v>
      </c>
      <c r="BA57" s="252">
        <f t="shared" si="85"/>
        <v>0</v>
      </c>
      <c r="BB57" s="293">
        <f t="shared" si="92"/>
        <v>219.24</v>
      </c>
      <c r="BC57" s="293">
        <f t="shared" si="93"/>
        <v>0</v>
      </c>
      <c r="BD57" s="252">
        <f t="shared" si="96"/>
        <v>219.24</v>
      </c>
      <c r="BE57" s="267"/>
      <c r="BF57" s="267"/>
      <c r="BG57" s="267"/>
      <c r="BH57" s="267"/>
      <c r="BI57" s="267"/>
      <c r="BJ57" s="267"/>
      <c r="BK57" s="267"/>
      <c r="BL57" s="267"/>
    </row>
    <row r="58" spans="1:64" ht="25.5">
      <c r="A58" s="575">
        <v>9</v>
      </c>
      <c r="B58" s="578" t="s">
        <v>273</v>
      </c>
      <c r="C58" s="247" t="s">
        <v>274</v>
      </c>
      <c r="D58" s="608">
        <f>SUM(E58:AB64)</f>
        <v>369.55999999999995</v>
      </c>
      <c r="E58" s="247"/>
      <c r="F58" s="247">
        <v>68</v>
      </c>
      <c r="G58" s="247"/>
      <c r="H58" s="247"/>
      <c r="I58" s="247"/>
      <c r="J58" s="247"/>
      <c r="K58" s="247"/>
      <c r="L58" s="247"/>
      <c r="M58" s="247"/>
      <c r="N58" s="247"/>
      <c r="O58" s="247"/>
      <c r="P58" s="247"/>
      <c r="Q58" s="247"/>
      <c r="R58" s="247"/>
      <c r="S58" s="247"/>
      <c r="T58" s="247"/>
      <c r="U58" s="247"/>
      <c r="V58" s="247"/>
      <c r="W58" s="247"/>
      <c r="X58" s="247"/>
      <c r="Y58" s="247"/>
      <c r="Z58" s="247"/>
      <c r="AA58" s="247"/>
      <c r="AB58" s="247"/>
      <c r="AC58" s="247" t="s">
        <v>257</v>
      </c>
      <c r="AD58" s="287">
        <f>IF(AC58="DIÁRIA",AE58,IF(AC58="2xDIA",(AE58*2),IF(AC58="3xDIA",(AE58*3),IF(AC58="4xDIA",(AE58*4),IF(AC58="5xDIA",(AE58*5),IF(AC58="6xDIA",(AE58*6),IF(AC58="SEMANAL",4.33,IF(AC58="2xSEMANA",8,IF(AC58="3xSEMANA",12,IF(AC58="QUINZENAL",2,IF(AC58="MENSAL",1,IF(AC58="BIMESTRAL",0.5,IF(AC58="TRIMESTRAL",0.33,IF(AC58="SEMESTRAL",0.17,0))))))))))))))</f>
        <v>24</v>
      </c>
      <c r="AE58" s="260">
        <f>'1. ABA DE CARREGAMENTO'!$B$90</f>
        <v>24</v>
      </c>
      <c r="AF58" s="608">
        <f>SUM(AG58:BD64)</f>
        <v>242.66070000000002</v>
      </c>
      <c r="AG58" s="248">
        <f t="shared" si="69"/>
        <v>0</v>
      </c>
      <c r="AH58" s="248">
        <f t="shared" si="70"/>
        <v>68</v>
      </c>
      <c r="AI58" s="248">
        <f t="shared" si="71"/>
        <v>0</v>
      </c>
      <c r="AJ58" s="248">
        <f t="shared" si="72"/>
        <v>0</v>
      </c>
      <c r="AK58" s="248">
        <f t="shared" si="73"/>
        <v>0</v>
      </c>
      <c r="AL58" s="248">
        <f t="shared" si="88"/>
        <v>0</v>
      </c>
      <c r="AM58" s="248">
        <f t="shared" si="89"/>
        <v>0</v>
      </c>
      <c r="AN58" s="248">
        <f t="shared" si="94"/>
        <v>0</v>
      </c>
      <c r="AO58" s="248">
        <f t="shared" si="95"/>
        <v>0</v>
      </c>
      <c r="AP58" s="248">
        <f t="shared" si="90"/>
        <v>0</v>
      </c>
      <c r="AQ58" s="248">
        <f t="shared" si="91"/>
        <v>0</v>
      </c>
      <c r="AR58" s="248">
        <f t="shared" si="76"/>
        <v>0</v>
      </c>
      <c r="AS58" s="248">
        <f t="shared" si="77"/>
        <v>0</v>
      </c>
      <c r="AT58" s="248">
        <f t="shared" si="78"/>
        <v>0</v>
      </c>
      <c r="AU58" s="248">
        <f t="shared" si="79"/>
        <v>0</v>
      </c>
      <c r="AV58" s="248">
        <f t="shared" si="80"/>
        <v>0</v>
      </c>
      <c r="AW58" s="248">
        <f t="shared" si="81"/>
        <v>0</v>
      </c>
      <c r="AX58" s="248">
        <f t="shared" si="82"/>
        <v>0</v>
      </c>
      <c r="AY58" s="248">
        <f t="shared" si="83"/>
        <v>0</v>
      </c>
      <c r="AZ58" s="248">
        <f t="shared" si="84"/>
        <v>0</v>
      </c>
      <c r="BA58" s="248">
        <f t="shared" si="85"/>
        <v>0</v>
      </c>
      <c r="BB58" s="248">
        <f t="shared" si="92"/>
        <v>0</v>
      </c>
      <c r="BC58" s="248">
        <f t="shared" si="93"/>
        <v>0</v>
      </c>
      <c r="BD58" s="248">
        <f t="shared" si="96"/>
        <v>0</v>
      </c>
      <c r="BE58" s="267"/>
      <c r="BF58" s="267"/>
      <c r="BG58" s="267"/>
      <c r="BH58" s="267"/>
      <c r="BI58" s="267"/>
      <c r="BJ58" s="267"/>
      <c r="BK58" s="267"/>
      <c r="BL58" s="267"/>
    </row>
    <row r="59" spans="1:64">
      <c r="A59" s="576"/>
      <c r="B59" s="579"/>
      <c r="C59" s="247" t="s">
        <v>275</v>
      </c>
      <c r="D59" s="609"/>
      <c r="E59" s="247"/>
      <c r="F59" s="249">
        <v>120</v>
      </c>
      <c r="G59" s="247"/>
      <c r="H59" s="247"/>
      <c r="I59" s="247"/>
      <c r="J59" s="247"/>
      <c r="K59" s="247"/>
      <c r="L59" s="247"/>
      <c r="M59" s="247"/>
      <c r="N59" s="247"/>
      <c r="O59" s="247"/>
      <c r="P59" s="247"/>
      <c r="Q59" s="247"/>
      <c r="R59" s="247"/>
      <c r="S59" s="247"/>
      <c r="T59" s="247"/>
      <c r="U59" s="247"/>
      <c r="V59" s="247"/>
      <c r="W59" s="247"/>
      <c r="X59" s="247"/>
      <c r="Y59" s="247"/>
      <c r="Z59" s="247"/>
      <c r="AA59" s="247"/>
      <c r="AB59" s="247"/>
      <c r="AC59" s="247" t="s">
        <v>257</v>
      </c>
      <c r="AD59" s="287">
        <f t="shared" ref="AD59:AD82" si="97">IF(AC59="DIÁRIA",AE59,IF(AC59="2xDIA",(AE59*2),IF(AC59="3xDIA",(AE59*3),IF(AC59="4xDIA",(AE59*4),IF(AC59="5xDIA",(AE59*5),IF(AC59="6xDIA",(AE59*6),IF(AC59="SEMANAL",4.33,IF(AC59="2xSEMANA",8,IF(AC59="3xSEMANA",12,IF(AC59="QUINZENAL",2,IF(AC59="MENSAL",1,IF(AC59="BIMESTRAL",0.5,IF(AC59="TRIMESTRAL",0.33,IF(AC59="SEMESTRAL",0.17,0))))))))))))))</f>
        <v>24</v>
      </c>
      <c r="AE59" s="260">
        <f>'1. ABA DE CARREGAMENTO'!$B$90</f>
        <v>24</v>
      </c>
      <c r="AF59" s="609"/>
      <c r="AG59" s="248">
        <f t="shared" si="69"/>
        <v>0</v>
      </c>
      <c r="AH59" s="248">
        <f t="shared" si="70"/>
        <v>120</v>
      </c>
      <c r="AI59" s="248">
        <f t="shared" si="71"/>
        <v>0</v>
      </c>
      <c r="AJ59" s="248">
        <f t="shared" si="72"/>
        <v>0</v>
      </c>
      <c r="AK59" s="248">
        <f t="shared" si="73"/>
        <v>0</v>
      </c>
      <c r="AL59" s="248">
        <f t="shared" si="88"/>
        <v>0</v>
      </c>
      <c r="AM59" s="248">
        <f t="shared" si="89"/>
        <v>0</v>
      </c>
      <c r="AN59" s="248">
        <f t="shared" si="94"/>
        <v>0</v>
      </c>
      <c r="AO59" s="248">
        <f t="shared" si="95"/>
        <v>0</v>
      </c>
      <c r="AP59" s="248">
        <f t="shared" si="90"/>
        <v>0</v>
      </c>
      <c r="AQ59" s="248">
        <f t="shared" si="91"/>
        <v>0</v>
      </c>
      <c r="AR59" s="248">
        <f t="shared" si="76"/>
        <v>0</v>
      </c>
      <c r="AS59" s="248">
        <f t="shared" si="77"/>
        <v>0</v>
      </c>
      <c r="AT59" s="248">
        <f t="shared" si="78"/>
        <v>0</v>
      </c>
      <c r="AU59" s="248">
        <f t="shared" si="79"/>
        <v>0</v>
      </c>
      <c r="AV59" s="248">
        <f t="shared" si="80"/>
        <v>0</v>
      </c>
      <c r="AW59" s="248">
        <f t="shared" si="81"/>
        <v>0</v>
      </c>
      <c r="AX59" s="248">
        <f t="shared" si="82"/>
        <v>0</v>
      </c>
      <c r="AY59" s="248">
        <f t="shared" si="83"/>
        <v>0</v>
      </c>
      <c r="AZ59" s="248">
        <f t="shared" si="84"/>
        <v>0</v>
      </c>
      <c r="BA59" s="248">
        <f t="shared" si="85"/>
        <v>0</v>
      </c>
      <c r="BB59" s="248">
        <f t="shared" si="92"/>
        <v>0</v>
      </c>
      <c r="BC59" s="248">
        <f t="shared" si="93"/>
        <v>0</v>
      </c>
      <c r="BD59" s="248">
        <f t="shared" si="96"/>
        <v>0</v>
      </c>
      <c r="BE59" s="267"/>
      <c r="BF59" s="267"/>
      <c r="BG59" s="267"/>
      <c r="BH59" s="267"/>
      <c r="BI59" s="267"/>
      <c r="BJ59" s="267"/>
      <c r="BK59" s="267"/>
      <c r="BL59" s="267"/>
    </row>
    <row r="60" spans="1:64">
      <c r="A60" s="576"/>
      <c r="B60" s="579"/>
      <c r="C60" s="247" t="s">
        <v>251</v>
      </c>
      <c r="D60" s="609"/>
      <c r="E60" s="247"/>
      <c r="F60" s="247"/>
      <c r="G60" s="247"/>
      <c r="H60" s="247"/>
      <c r="I60" s="247"/>
      <c r="J60" s="247"/>
      <c r="K60" s="247"/>
      <c r="L60" s="247"/>
      <c r="M60" s="247"/>
      <c r="N60" s="247"/>
      <c r="O60" s="247"/>
      <c r="P60" s="247"/>
      <c r="Q60" s="247"/>
      <c r="R60" s="247"/>
      <c r="S60" s="247"/>
      <c r="T60" s="247"/>
      <c r="U60" s="256"/>
      <c r="V60" s="249">
        <v>63.01</v>
      </c>
      <c r="W60" s="256"/>
      <c r="X60" s="247"/>
      <c r="Y60" s="247"/>
      <c r="Z60" s="247"/>
      <c r="AA60" s="247"/>
      <c r="AB60" s="247"/>
      <c r="AC60" s="247" t="s">
        <v>252</v>
      </c>
      <c r="AD60" s="287">
        <f t="shared" si="97"/>
        <v>0.17</v>
      </c>
      <c r="AE60" s="260">
        <f>'1. ABA DE CARREGAMENTO'!$B$90</f>
        <v>24</v>
      </c>
      <c r="AF60" s="609"/>
      <c r="AG60" s="248">
        <f t="shared" si="69"/>
        <v>0</v>
      </c>
      <c r="AH60" s="248">
        <f t="shared" si="70"/>
        <v>0</v>
      </c>
      <c r="AI60" s="248">
        <f t="shared" si="71"/>
        <v>0</v>
      </c>
      <c r="AJ60" s="248">
        <f t="shared" si="72"/>
        <v>0</v>
      </c>
      <c r="AK60" s="248">
        <f t="shared" si="73"/>
        <v>0</v>
      </c>
      <c r="AL60" s="248">
        <f t="shared" si="88"/>
        <v>0</v>
      </c>
      <c r="AM60" s="248">
        <f t="shared" si="89"/>
        <v>0</v>
      </c>
      <c r="AN60" s="248">
        <f t="shared" si="94"/>
        <v>0</v>
      </c>
      <c r="AO60" s="248">
        <f t="shared" si="95"/>
        <v>0</v>
      </c>
      <c r="AP60" s="248">
        <f t="shared" si="90"/>
        <v>0</v>
      </c>
      <c r="AQ60" s="248">
        <f t="shared" si="91"/>
        <v>0</v>
      </c>
      <c r="AR60" s="248">
        <f t="shared" si="76"/>
        <v>0</v>
      </c>
      <c r="AS60" s="248">
        <f t="shared" si="77"/>
        <v>0</v>
      </c>
      <c r="AT60" s="248">
        <f t="shared" si="78"/>
        <v>0</v>
      </c>
      <c r="AU60" s="248">
        <f t="shared" si="79"/>
        <v>0</v>
      </c>
      <c r="AV60" s="248">
        <f t="shared" si="80"/>
        <v>0</v>
      </c>
      <c r="AW60" s="248">
        <f t="shared" si="81"/>
        <v>0</v>
      </c>
      <c r="AX60" s="248">
        <f t="shared" si="82"/>
        <v>0.44632083333333333</v>
      </c>
      <c r="AY60" s="248">
        <f t="shared" si="83"/>
        <v>0</v>
      </c>
      <c r="AZ60" s="248">
        <f t="shared" si="84"/>
        <v>0</v>
      </c>
      <c r="BA60" s="248">
        <f t="shared" si="85"/>
        <v>0</v>
      </c>
      <c r="BB60" s="248">
        <f t="shared" si="92"/>
        <v>0</v>
      </c>
      <c r="BC60" s="248">
        <f t="shared" si="93"/>
        <v>0</v>
      </c>
      <c r="BD60" s="248">
        <f t="shared" si="96"/>
        <v>0</v>
      </c>
      <c r="BE60" s="267"/>
      <c r="BF60" s="267"/>
      <c r="BG60" s="267"/>
      <c r="BH60" s="267"/>
      <c r="BI60" s="267"/>
      <c r="BJ60" s="267"/>
      <c r="BK60" s="267"/>
      <c r="BL60" s="267"/>
    </row>
    <row r="61" spans="1:64">
      <c r="A61" s="576"/>
      <c r="B61" s="579"/>
      <c r="C61" s="247" t="s">
        <v>253</v>
      </c>
      <c r="D61" s="609"/>
      <c r="E61" s="247"/>
      <c r="F61" s="247"/>
      <c r="G61" s="247"/>
      <c r="H61" s="247"/>
      <c r="I61" s="247"/>
      <c r="J61" s="247"/>
      <c r="K61" s="247"/>
      <c r="L61" s="247"/>
      <c r="M61" s="247"/>
      <c r="N61" s="247"/>
      <c r="O61" s="247"/>
      <c r="P61" s="247"/>
      <c r="Q61" s="247"/>
      <c r="R61" s="247"/>
      <c r="S61" s="247"/>
      <c r="T61" s="247"/>
      <c r="U61" s="247"/>
      <c r="V61" s="247"/>
      <c r="W61" s="247">
        <v>106.76</v>
      </c>
      <c r="X61" s="247"/>
      <c r="Y61" s="247"/>
      <c r="Z61" s="247"/>
      <c r="AA61" s="247"/>
      <c r="AB61" s="247"/>
      <c r="AC61" s="247" t="s">
        <v>247</v>
      </c>
      <c r="AD61" s="287">
        <f t="shared" si="97"/>
        <v>8</v>
      </c>
      <c r="AE61" s="260">
        <f>'1. ABA DE CARREGAMENTO'!$B$90</f>
        <v>24</v>
      </c>
      <c r="AF61" s="609"/>
      <c r="AG61" s="248">
        <f t="shared" si="69"/>
        <v>0</v>
      </c>
      <c r="AH61" s="248">
        <f t="shared" si="70"/>
        <v>0</v>
      </c>
      <c r="AI61" s="248">
        <f t="shared" si="71"/>
        <v>0</v>
      </c>
      <c r="AJ61" s="248">
        <f t="shared" si="72"/>
        <v>0</v>
      </c>
      <c r="AK61" s="248">
        <f t="shared" si="73"/>
        <v>0</v>
      </c>
      <c r="AL61" s="248">
        <f t="shared" si="88"/>
        <v>0</v>
      </c>
      <c r="AM61" s="248">
        <f t="shared" si="89"/>
        <v>0</v>
      </c>
      <c r="AN61" s="248">
        <f t="shared" si="94"/>
        <v>0</v>
      </c>
      <c r="AO61" s="248">
        <f t="shared" si="95"/>
        <v>0</v>
      </c>
      <c r="AP61" s="248">
        <f t="shared" si="90"/>
        <v>0</v>
      </c>
      <c r="AQ61" s="248">
        <f t="shared" si="91"/>
        <v>0</v>
      </c>
      <c r="AR61" s="248">
        <f t="shared" si="76"/>
        <v>0</v>
      </c>
      <c r="AS61" s="248">
        <f t="shared" si="77"/>
        <v>0</v>
      </c>
      <c r="AT61" s="248">
        <f t="shared" si="78"/>
        <v>0</v>
      </c>
      <c r="AU61" s="248">
        <f t="shared" si="79"/>
        <v>0</v>
      </c>
      <c r="AV61" s="248">
        <f t="shared" si="80"/>
        <v>0</v>
      </c>
      <c r="AW61" s="248">
        <f t="shared" si="81"/>
        <v>0</v>
      </c>
      <c r="AX61" s="248">
        <f t="shared" si="82"/>
        <v>0</v>
      </c>
      <c r="AY61" s="248">
        <f t="shared" si="83"/>
        <v>35.586666666666666</v>
      </c>
      <c r="AZ61" s="248">
        <f t="shared" si="84"/>
        <v>0</v>
      </c>
      <c r="BA61" s="248">
        <f t="shared" si="85"/>
        <v>0</v>
      </c>
      <c r="BB61" s="248">
        <f t="shared" si="92"/>
        <v>0</v>
      </c>
      <c r="BC61" s="248">
        <f t="shared" si="93"/>
        <v>0</v>
      </c>
      <c r="BD61" s="248"/>
      <c r="BE61" s="267"/>
      <c r="BF61" s="267"/>
      <c r="BG61" s="267"/>
      <c r="BH61" s="267"/>
      <c r="BI61" s="267"/>
      <c r="BJ61" s="267"/>
      <c r="BK61" s="267"/>
      <c r="BL61" s="267"/>
    </row>
    <row r="62" spans="1:64">
      <c r="A62" s="576"/>
      <c r="B62" s="579"/>
      <c r="C62" s="247" t="s">
        <v>45</v>
      </c>
      <c r="D62" s="609"/>
      <c r="E62" s="247"/>
      <c r="F62" s="256"/>
      <c r="G62" s="247"/>
      <c r="H62" s="247"/>
      <c r="I62" s="247"/>
      <c r="J62" s="247"/>
      <c r="K62" s="247"/>
      <c r="L62" s="247"/>
      <c r="M62" s="247"/>
      <c r="N62" s="247"/>
      <c r="O62" s="247"/>
      <c r="P62" s="247"/>
      <c r="Q62" s="247"/>
      <c r="R62" s="247"/>
      <c r="S62" s="247"/>
      <c r="T62" s="247"/>
      <c r="U62" s="247"/>
      <c r="V62" s="247"/>
      <c r="W62" s="247"/>
      <c r="X62" s="247"/>
      <c r="Y62" s="247"/>
      <c r="Z62" s="250"/>
      <c r="AA62" s="249">
        <v>3.15</v>
      </c>
      <c r="AB62" s="250"/>
      <c r="AC62" s="247" t="s">
        <v>263</v>
      </c>
      <c r="AD62" s="287">
        <f t="shared" si="97"/>
        <v>4.33</v>
      </c>
      <c r="AE62" s="260">
        <f>'1. ABA DE CARREGAMENTO'!$B$90</f>
        <v>24</v>
      </c>
      <c r="AF62" s="609"/>
      <c r="AG62" s="248">
        <f t="shared" si="69"/>
        <v>0</v>
      </c>
      <c r="AH62" s="248">
        <f t="shared" si="70"/>
        <v>0</v>
      </c>
      <c r="AI62" s="248">
        <f t="shared" si="71"/>
        <v>0</v>
      </c>
      <c r="AJ62" s="248">
        <f t="shared" si="72"/>
        <v>0</v>
      </c>
      <c r="AK62" s="248">
        <f t="shared" si="73"/>
        <v>0</v>
      </c>
      <c r="AL62" s="248">
        <f t="shared" si="88"/>
        <v>0</v>
      </c>
      <c r="AM62" s="248">
        <f t="shared" si="89"/>
        <v>0</v>
      </c>
      <c r="AN62" s="248">
        <f t="shared" si="94"/>
        <v>0</v>
      </c>
      <c r="AO62" s="248">
        <f t="shared" si="95"/>
        <v>0</v>
      </c>
      <c r="AP62" s="248">
        <f t="shared" si="90"/>
        <v>0</v>
      </c>
      <c r="AQ62" s="248">
        <f t="shared" si="91"/>
        <v>0</v>
      </c>
      <c r="AR62" s="248">
        <f t="shared" si="76"/>
        <v>0</v>
      </c>
      <c r="AS62" s="248">
        <f t="shared" si="77"/>
        <v>0</v>
      </c>
      <c r="AT62" s="248">
        <f t="shared" si="78"/>
        <v>0</v>
      </c>
      <c r="AU62" s="248">
        <f t="shared" si="79"/>
        <v>0</v>
      </c>
      <c r="AV62" s="248">
        <f t="shared" si="80"/>
        <v>0</v>
      </c>
      <c r="AW62" s="248">
        <f t="shared" si="81"/>
        <v>0</v>
      </c>
      <c r="AX62" s="248">
        <f t="shared" si="82"/>
        <v>0</v>
      </c>
      <c r="AY62" s="248">
        <f t="shared" si="83"/>
        <v>0</v>
      </c>
      <c r="AZ62" s="248">
        <f t="shared" si="84"/>
        <v>0</v>
      </c>
      <c r="BA62" s="248">
        <f t="shared" si="85"/>
        <v>0</v>
      </c>
      <c r="BB62" s="248">
        <f t="shared" si="92"/>
        <v>0</v>
      </c>
      <c r="BC62" s="248">
        <f t="shared" si="93"/>
        <v>0.5683125</v>
      </c>
      <c r="BD62" s="248">
        <f t="shared" ref="BD62:BD70" si="98">(AB62*AD62)/AE62</f>
        <v>0</v>
      </c>
      <c r="BE62" s="267"/>
      <c r="BF62" s="267"/>
      <c r="BG62" s="267"/>
      <c r="BH62" s="267"/>
      <c r="BI62" s="267"/>
      <c r="BJ62" s="267"/>
      <c r="BK62" s="267"/>
      <c r="BL62" s="267"/>
    </row>
    <row r="63" spans="1:64">
      <c r="A63" s="576"/>
      <c r="B63" s="579"/>
      <c r="C63" s="247" t="s">
        <v>46</v>
      </c>
      <c r="D63" s="609"/>
      <c r="E63" s="247"/>
      <c r="F63" s="256"/>
      <c r="G63" s="247"/>
      <c r="H63" s="247"/>
      <c r="I63" s="247"/>
      <c r="J63" s="247"/>
      <c r="K63" s="247"/>
      <c r="L63" s="247"/>
      <c r="M63" s="247"/>
      <c r="N63" s="247"/>
      <c r="O63" s="247"/>
      <c r="P63" s="247"/>
      <c r="Q63" s="247"/>
      <c r="R63" s="247"/>
      <c r="S63" s="247"/>
      <c r="T63" s="247"/>
      <c r="U63" s="247"/>
      <c r="V63" s="247"/>
      <c r="W63" s="247"/>
      <c r="X63" s="247"/>
      <c r="Y63" s="247"/>
      <c r="Z63" s="249"/>
      <c r="AA63" s="250"/>
      <c r="AB63" s="249">
        <v>4.32</v>
      </c>
      <c r="AC63" s="247" t="s">
        <v>263</v>
      </c>
      <c r="AD63" s="287">
        <f t="shared" si="97"/>
        <v>4.33</v>
      </c>
      <c r="AE63" s="260">
        <f>'1. ABA DE CARREGAMENTO'!$B$90</f>
        <v>24</v>
      </c>
      <c r="AF63" s="609"/>
      <c r="AG63" s="248">
        <f t="shared" si="69"/>
        <v>0</v>
      </c>
      <c r="AH63" s="248">
        <f t="shared" si="70"/>
        <v>0</v>
      </c>
      <c r="AI63" s="248">
        <f t="shared" si="71"/>
        <v>0</v>
      </c>
      <c r="AJ63" s="248">
        <f t="shared" si="72"/>
        <v>0</v>
      </c>
      <c r="AK63" s="248">
        <f t="shared" si="73"/>
        <v>0</v>
      </c>
      <c r="AL63" s="248">
        <f t="shared" si="88"/>
        <v>0</v>
      </c>
      <c r="AM63" s="248">
        <f t="shared" si="89"/>
        <v>0</v>
      </c>
      <c r="AN63" s="248">
        <f t="shared" si="94"/>
        <v>0</v>
      </c>
      <c r="AO63" s="248">
        <f t="shared" si="95"/>
        <v>0</v>
      </c>
      <c r="AP63" s="248">
        <f t="shared" si="90"/>
        <v>0</v>
      </c>
      <c r="AQ63" s="248">
        <f t="shared" si="91"/>
        <v>0</v>
      </c>
      <c r="AR63" s="248">
        <f t="shared" si="76"/>
        <v>0</v>
      </c>
      <c r="AS63" s="248">
        <f t="shared" si="77"/>
        <v>0</v>
      </c>
      <c r="AT63" s="248">
        <f t="shared" si="78"/>
        <v>0</v>
      </c>
      <c r="AU63" s="248">
        <f t="shared" si="79"/>
        <v>0</v>
      </c>
      <c r="AV63" s="248">
        <f t="shared" si="80"/>
        <v>0</v>
      </c>
      <c r="AW63" s="248">
        <f t="shared" si="81"/>
        <v>0</v>
      </c>
      <c r="AX63" s="248">
        <f t="shared" si="82"/>
        <v>0</v>
      </c>
      <c r="AY63" s="248">
        <f t="shared" si="83"/>
        <v>0</v>
      </c>
      <c r="AZ63" s="248">
        <f t="shared" si="84"/>
        <v>0</v>
      </c>
      <c r="BA63" s="248">
        <f t="shared" si="85"/>
        <v>0</v>
      </c>
      <c r="BB63" s="248">
        <f t="shared" si="92"/>
        <v>0</v>
      </c>
      <c r="BC63" s="248">
        <f t="shared" si="93"/>
        <v>0</v>
      </c>
      <c r="BD63" s="248">
        <f t="shared" si="98"/>
        <v>0.77939999999999998</v>
      </c>
      <c r="BE63" s="267"/>
      <c r="BF63" s="267"/>
      <c r="BG63" s="267"/>
      <c r="BH63" s="267"/>
      <c r="BI63" s="267"/>
      <c r="BJ63" s="267"/>
      <c r="BK63" s="267"/>
      <c r="BL63" s="267"/>
    </row>
    <row r="64" spans="1:64">
      <c r="A64" s="577"/>
      <c r="B64" s="580"/>
      <c r="C64" s="247" t="s">
        <v>239</v>
      </c>
      <c r="D64" s="610"/>
      <c r="E64" s="247"/>
      <c r="F64" s="247"/>
      <c r="G64" s="247"/>
      <c r="H64" s="247"/>
      <c r="I64" s="247"/>
      <c r="J64" s="247"/>
      <c r="K64" s="247"/>
      <c r="L64" s="247"/>
      <c r="M64" s="247"/>
      <c r="N64" s="247"/>
      <c r="O64" s="247"/>
      <c r="P64" s="247"/>
      <c r="Q64" s="247"/>
      <c r="R64" s="247"/>
      <c r="S64" s="247"/>
      <c r="T64" s="247"/>
      <c r="U64" s="247"/>
      <c r="V64" s="247"/>
      <c r="W64" s="247"/>
      <c r="X64" s="247"/>
      <c r="Y64" s="247"/>
      <c r="Z64" s="249">
        <v>4.32</v>
      </c>
      <c r="AA64" s="250"/>
      <c r="AB64" s="250"/>
      <c r="AC64" s="247" t="s">
        <v>258</v>
      </c>
      <c r="AD64" s="287">
        <f t="shared" si="97"/>
        <v>96</v>
      </c>
      <c r="AE64" s="260">
        <f>'1. ABA DE CARREGAMENTO'!$B$90</f>
        <v>24</v>
      </c>
      <c r="AF64" s="610"/>
      <c r="AG64" s="248">
        <f t="shared" si="69"/>
        <v>0</v>
      </c>
      <c r="AH64" s="248">
        <f t="shared" si="70"/>
        <v>0</v>
      </c>
      <c r="AI64" s="248">
        <f t="shared" si="71"/>
        <v>0</v>
      </c>
      <c r="AJ64" s="248">
        <f t="shared" si="72"/>
        <v>0</v>
      </c>
      <c r="AK64" s="248">
        <f t="shared" si="73"/>
        <v>0</v>
      </c>
      <c r="AL64" s="248">
        <f t="shared" si="88"/>
        <v>0</v>
      </c>
      <c r="AM64" s="248">
        <f t="shared" si="89"/>
        <v>0</v>
      </c>
      <c r="AN64" s="248">
        <f t="shared" si="94"/>
        <v>0</v>
      </c>
      <c r="AO64" s="248">
        <f t="shared" si="95"/>
        <v>0</v>
      </c>
      <c r="AP64" s="248">
        <f t="shared" si="90"/>
        <v>0</v>
      </c>
      <c r="AQ64" s="248">
        <f t="shared" si="91"/>
        <v>0</v>
      </c>
      <c r="AR64" s="248">
        <f t="shared" si="76"/>
        <v>0</v>
      </c>
      <c r="AS64" s="248">
        <f t="shared" si="77"/>
        <v>0</v>
      </c>
      <c r="AT64" s="248">
        <f t="shared" si="78"/>
        <v>0</v>
      </c>
      <c r="AU64" s="248">
        <f t="shared" si="79"/>
        <v>0</v>
      </c>
      <c r="AV64" s="248">
        <f t="shared" si="80"/>
        <v>0</v>
      </c>
      <c r="AW64" s="248">
        <f t="shared" si="81"/>
        <v>0</v>
      </c>
      <c r="AX64" s="248">
        <f t="shared" si="82"/>
        <v>0</v>
      </c>
      <c r="AY64" s="248">
        <f t="shared" si="83"/>
        <v>0</v>
      </c>
      <c r="AZ64" s="248">
        <f t="shared" si="84"/>
        <v>0</v>
      </c>
      <c r="BA64" s="248">
        <f t="shared" si="85"/>
        <v>0</v>
      </c>
      <c r="BB64" s="248">
        <f t="shared" si="92"/>
        <v>17.28</v>
      </c>
      <c r="BC64" s="248">
        <f t="shared" si="93"/>
        <v>0</v>
      </c>
      <c r="BD64" s="248">
        <f t="shared" si="98"/>
        <v>0</v>
      </c>
      <c r="BE64" s="267"/>
      <c r="BF64" s="267"/>
      <c r="BG64" s="267"/>
      <c r="BH64" s="267"/>
      <c r="BI64" s="267"/>
      <c r="BJ64" s="267"/>
      <c r="BK64" s="267"/>
      <c r="BL64" s="267"/>
    </row>
    <row r="65" spans="1:64">
      <c r="A65" s="614">
        <v>11</v>
      </c>
      <c r="B65" s="617" t="s">
        <v>276</v>
      </c>
      <c r="C65" s="289" t="s">
        <v>277</v>
      </c>
      <c r="D65" s="620">
        <f>SUM(E65:AB74)</f>
        <v>2588.2800000000002</v>
      </c>
      <c r="E65" s="289"/>
      <c r="F65" s="290">
        <v>572.52</v>
      </c>
      <c r="G65" s="289"/>
      <c r="H65" s="289"/>
      <c r="I65" s="289"/>
      <c r="J65" s="289"/>
      <c r="K65" s="289"/>
      <c r="L65" s="289"/>
      <c r="M65" s="289"/>
      <c r="N65" s="289"/>
      <c r="O65" s="289"/>
      <c r="P65" s="289"/>
      <c r="Q65" s="289"/>
      <c r="R65" s="289"/>
      <c r="S65" s="289"/>
      <c r="T65" s="289"/>
      <c r="U65" s="291"/>
      <c r="V65" s="291"/>
      <c r="W65" s="291"/>
      <c r="X65" s="291"/>
      <c r="Y65" s="291"/>
      <c r="Z65" s="291"/>
      <c r="AA65" s="291"/>
      <c r="AB65" s="291"/>
      <c r="AC65" s="289" t="s">
        <v>257</v>
      </c>
      <c r="AD65" s="288">
        <f t="shared" si="97"/>
        <v>24</v>
      </c>
      <c r="AE65" s="292">
        <f>'1. ABA DE CARREGAMENTO'!$B$90</f>
        <v>24</v>
      </c>
      <c r="AF65" s="620">
        <f>SUM(AG65:BD74)</f>
        <v>1577.5673791666666</v>
      </c>
      <c r="AG65" s="293">
        <f t="shared" si="69"/>
        <v>0</v>
      </c>
      <c r="AH65" s="293">
        <f t="shared" si="70"/>
        <v>572.52</v>
      </c>
      <c r="AI65" s="293">
        <f t="shared" si="71"/>
        <v>0</v>
      </c>
      <c r="AJ65" s="293">
        <f t="shared" si="72"/>
        <v>0</v>
      </c>
      <c r="AK65" s="293">
        <f t="shared" si="73"/>
        <v>0</v>
      </c>
      <c r="AL65" s="293">
        <f t="shared" si="88"/>
        <v>0</v>
      </c>
      <c r="AM65" s="293">
        <f t="shared" si="89"/>
        <v>0</v>
      </c>
      <c r="AN65" s="293">
        <f t="shared" si="94"/>
        <v>0</v>
      </c>
      <c r="AO65" s="293">
        <f t="shared" si="95"/>
        <v>0</v>
      </c>
      <c r="AP65" s="293">
        <f t="shared" si="90"/>
        <v>0</v>
      </c>
      <c r="AQ65" s="293">
        <f t="shared" si="91"/>
        <v>0</v>
      </c>
      <c r="AR65" s="293">
        <f t="shared" si="76"/>
        <v>0</v>
      </c>
      <c r="AS65" s="293">
        <f t="shared" si="77"/>
        <v>0</v>
      </c>
      <c r="AT65" s="293">
        <f t="shared" si="78"/>
        <v>0</v>
      </c>
      <c r="AU65" s="293">
        <f t="shared" si="79"/>
        <v>0</v>
      </c>
      <c r="AV65" s="293">
        <f t="shared" si="80"/>
        <v>0</v>
      </c>
      <c r="AW65" s="293">
        <f t="shared" si="81"/>
        <v>0</v>
      </c>
      <c r="AX65" s="293">
        <f t="shared" si="82"/>
        <v>0</v>
      </c>
      <c r="AY65" s="293">
        <f t="shared" si="83"/>
        <v>0</v>
      </c>
      <c r="AZ65" s="293">
        <f t="shared" si="84"/>
        <v>0</v>
      </c>
      <c r="BA65" s="293">
        <f t="shared" si="85"/>
        <v>0</v>
      </c>
      <c r="BB65" s="293">
        <f t="shared" si="92"/>
        <v>0</v>
      </c>
      <c r="BC65" s="293">
        <f t="shared" si="93"/>
        <v>0</v>
      </c>
      <c r="BD65" s="293">
        <f t="shared" si="98"/>
        <v>0</v>
      </c>
      <c r="BE65" s="267"/>
      <c r="BF65" s="267"/>
      <c r="BG65" s="267"/>
      <c r="BH65" s="267"/>
      <c r="BI65" s="267"/>
      <c r="BJ65" s="267"/>
      <c r="BK65" s="267"/>
      <c r="BL65" s="267"/>
    </row>
    <row r="66" spans="1:64">
      <c r="A66" s="615"/>
      <c r="B66" s="618"/>
      <c r="C66" s="289" t="s">
        <v>278</v>
      </c>
      <c r="D66" s="621"/>
      <c r="E66" s="289"/>
      <c r="F66" s="289">
        <v>279.12</v>
      </c>
      <c r="G66" s="289"/>
      <c r="H66" s="289">
        <v>345.89</v>
      </c>
      <c r="I66" s="289"/>
      <c r="J66" s="289"/>
      <c r="K66" s="289"/>
      <c r="L66" s="289"/>
      <c r="M66" s="289"/>
      <c r="N66" s="289"/>
      <c r="O66" s="289"/>
      <c r="P66" s="289"/>
      <c r="Q66" s="289"/>
      <c r="R66" s="289"/>
      <c r="S66" s="289"/>
      <c r="T66" s="289"/>
      <c r="U66" s="291"/>
      <c r="V66" s="291"/>
      <c r="W66" s="291"/>
      <c r="X66" s="291"/>
      <c r="Y66" s="291"/>
      <c r="Z66" s="291"/>
      <c r="AA66" s="291"/>
      <c r="AB66" s="291"/>
      <c r="AC66" s="289" t="s">
        <v>263</v>
      </c>
      <c r="AD66" s="288">
        <f t="shared" si="97"/>
        <v>4.33</v>
      </c>
      <c r="AE66" s="292">
        <f>'1. ABA DE CARREGAMENTO'!$B$90</f>
        <v>24</v>
      </c>
      <c r="AF66" s="621"/>
      <c r="AG66" s="293">
        <f t="shared" si="69"/>
        <v>0</v>
      </c>
      <c r="AH66" s="293">
        <f t="shared" si="70"/>
        <v>50.357900000000001</v>
      </c>
      <c r="AI66" s="293">
        <f t="shared" si="71"/>
        <v>0</v>
      </c>
      <c r="AJ66" s="293">
        <f t="shared" si="72"/>
        <v>62.404320833333337</v>
      </c>
      <c r="AK66" s="293">
        <f t="shared" si="73"/>
        <v>0</v>
      </c>
      <c r="AL66" s="293">
        <f t="shared" si="88"/>
        <v>0</v>
      </c>
      <c r="AM66" s="293">
        <f t="shared" si="89"/>
        <v>0</v>
      </c>
      <c r="AN66" s="293">
        <f t="shared" si="94"/>
        <v>0</v>
      </c>
      <c r="AO66" s="293">
        <f t="shared" si="95"/>
        <v>0</v>
      </c>
      <c r="AP66" s="293">
        <f t="shared" si="90"/>
        <v>0</v>
      </c>
      <c r="AQ66" s="293">
        <f t="shared" si="91"/>
        <v>0</v>
      </c>
      <c r="AR66" s="293">
        <f t="shared" si="76"/>
        <v>0</v>
      </c>
      <c r="AS66" s="293">
        <f t="shared" si="77"/>
        <v>0</v>
      </c>
      <c r="AT66" s="293">
        <f t="shared" si="78"/>
        <v>0</v>
      </c>
      <c r="AU66" s="293">
        <f t="shared" si="79"/>
        <v>0</v>
      </c>
      <c r="AV66" s="293">
        <f t="shared" si="80"/>
        <v>0</v>
      </c>
      <c r="AW66" s="293">
        <f t="shared" si="81"/>
        <v>0</v>
      </c>
      <c r="AX66" s="293">
        <f t="shared" si="82"/>
        <v>0</v>
      </c>
      <c r="AY66" s="293">
        <f t="shared" si="83"/>
        <v>0</v>
      </c>
      <c r="AZ66" s="293">
        <f t="shared" si="84"/>
        <v>0</v>
      </c>
      <c r="BA66" s="293">
        <f t="shared" si="85"/>
        <v>0</v>
      </c>
      <c r="BB66" s="293">
        <f t="shared" si="92"/>
        <v>0</v>
      </c>
      <c r="BC66" s="293">
        <f t="shared" si="93"/>
        <v>0</v>
      </c>
      <c r="BD66" s="293">
        <f t="shared" si="98"/>
        <v>0</v>
      </c>
      <c r="BE66" s="267"/>
      <c r="BF66" s="267"/>
      <c r="BG66" s="267"/>
      <c r="BH66" s="267"/>
      <c r="BI66" s="267"/>
      <c r="BJ66" s="267"/>
      <c r="BK66" s="267"/>
      <c r="BL66" s="267"/>
    </row>
    <row r="67" spans="1:64">
      <c r="A67" s="615"/>
      <c r="B67" s="618"/>
      <c r="C67" s="289" t="s">
        <v>279</v>
      </c>
      <c r="D67" s="621"/>
      <c r="E67" s="289"/>
      <c r="F67" s="289">
        <v>46.61</v>
      </c>
      <c r="G67" s="289"/>
      <c r="H67" s="289"/>
      <c r="I67" s="289"/>
      <c r="J67" s="289"/>
      <c r="K67" s="289"/>
      <c r="L67" s="289"/>
      <c r="M67" s="289"/>
      <c r="N67" s="289"/>
      <c r="O67" s="289"/>
      <c r="P67" s="289"/>
      <c r="Q67" s="289"/>
      <c r="R67" s="289"/>
      <c r="S67" s="289"/>
      <c r="T67" s="289"/>
      <c r="U67" s="291"/>
      <c r="V67" s="291"/>
      <c r="W67" s="291"/>
      <c r="X67" s="291"/>
      <c r="Y67" s="291"/>
      <c r="Z67" s="291"/>
      <c r="AA67" s="291"/>
      <c r="AB67" s="291"/>
      <c r="AC67" s="289" t="s">
        <v>263</v>
      </c>
      <c r="AD67" s="288">
        <f>IF(AC67="DIÁRIA",AE67,IF(AC67="2xDIA",(AE67*2),IF(AC67="3xDIA",(AE67*3),IF(AC67="4xDIA",(AE67*4),IF(AC67="5xDIA",(AE67*5),IF(AC67="6xDIA",(AE67*6),IF(AC67="SEMANAL",4.33,IF(AC67="2xSEMANA",8,IF(AC67="3xSEMANA",12,IF(AC67="QUINZENAL",2,IF(AC67="MENSAL",1,IF(AC67="BIMESTRAL",0.5,IF(AC67="TRIMESTRAL",0.33,IF(AC67="SEMESTRAL",0.17,0))))))))))))))</f>
        <v>4.33</v>
      </c>
      <c r="AE67" s="292">
        <f>'1. ABA DE CARREGAMENTO'!$B$90</f>
        <v>24</v>
      </c>
      <c r="AF67" s="621"/>
      <c r="AG67" s="293">
        <f t="shared" ref="AG67:AG83" si="99">(E67*AD67)/AE67</f>
        <v>0</v>
      </c>
      <c r="AH67" s="293">
        <f t="shared" ref="AH67:AH83" si="100">(F67*AD67)/AE67</f>
        <v>8.4092208333333343</v>
      </c>
      <c r="AI67" s="293">
        <f t="shared" ref="AI67:AI83" si="101">(G67*AD67)/AE67</f>
        <v>0</v>
      </c>
      <c r="AJ67" s="293">
        <f t="shared" ref="AJ67:AJ83" si="102">(H67*AD67)/AE67</f>
        <v>0</v>
      </c>
      <c r="AK67" s="293">
        <f t="shared" ref="AK67:AK83" si="103">(I67*AD67)/AE67</f>
        <v>0</v>
      </c>
      <c r="AL67" s="293">
        <f t="shared" si="88"/>
        <v>0</v>
      </c>
      <c r="AM67" s="293">
        <f t="shared" si="89"/>
        <v>0</v>
      </c>
      <c r="AN67" s="293">
        <f t="shared" si="94"/>
        <v>0</v>
      </c>
      <c r="AO67" s="293">
        <f t="shared" si="95"/>
        <v>0</v>
      </c>
      <c r="AP67" s="293">
        <f t="shared" si="90"/>
        <v>0</v>
      </c>
      <c r="AQ67" s="293">
        <f t="shared" si="91"/>
        <v>0</v>
      </c>
      <c r="AR67" s="293">
        <f t="shared" ref="AR67:AR83" si="104">(P67*AD67)/AE67</f>
        <v>0</v>
      </c>
      <c r="AS67" s="293">
        <f t="shared" ref="AS67:AS83" si="105">(Q67*AD67)/AE67</f>
        <v>0</v>
      </c>
      <c r="AT67" s="293">
        <f t="shared" ref="AT67:AT83" si="106">(R67*AD67)/AE67</f>
        <v>0</v>
      </c>
      <c r="AU67" s="293">
        <f t="shared" ref="AU67:AU83" si="107">(S67*AD67)/AE67</f>
        <v>0</v>
      </c>
      <c r="AV67" s="293">
        <f t="shared" ref="AV67:AV83" si="108">(T67*AD67)/AE67</f>
        <v>0</v>
      </c>
      <c r="AW67" s="293">
        <f t="shared" ref="AW67:AW83" si="109">(U67*AD67)/AE67</f>
        <v>0</v>
      </c>
      <c r="AX67" s="293">
        <f t="shared" ref="AX67:AX83" si="110">(V67*AD67)/AE67</f>
        <v>0</v>
      </c>
      <c r="AY67" s="293">
        <f t="shared" ref="AY67:AY83" si="111">(W67*AD67)/AE67</f>
        <v>0</v>
      </c>
      <c r="AZ67" s="293">
        <f t="shared" ref="AZ67:AZ83" si="112">(X67*AD67)/AE67</f>
        <v>0</v>
      </c>
      <c r="BA67" s="293">
        <f t="shared" ref="BA67:BA83" si="113">(Y67*AD67)/AE67</f>
        <v>0</v>
      </c>
      <c r="BB67" s="293">
        <f t="shared" si="92"/>
        <v>0</v>
      </c>
      <c r="BC67" s="293">
        <f t="shared" si="93"/>
        <v>0</v>
      </c>
      <c r="BD67" s="293">
        <f t="shared" si="98"/>
        <v>0</v>
      </c>
      <c r="BE67" s="267"/>
      <c r="BF67" s="267"/>
      <c r="BG67" s="267"/>
      <c r="BH67" s="267"/>
      <c r="BI67" s="267"/>
      <c r="BJ67" s="267"/>
      <c r="BK67" s="267"/>
      <c r="BL67" s="267"/>
    </row>
    <row r="68" spans="1:64">
      <c r="A68" s="615"/>
      <c r="B68" s="618"/>
      <c r="C68" s="289" t="s">
        <v>280</v>
      </c>
      <c r="D68" s="621"/>
      <c r="E68" s="289"/>
      <c r="F68" s="289">
        <v>112.67</v>
      </c>
      <c r="G68" s="289"/>
      <c r="H68" s="289"/>
      <c r="I68" s="289"/>
      <c r="J68" s="289"/>
      <c r="K68" s="289"/>
      <c r="L68" s="289"/>
      <c r="M68" s="289"/>
      <c r="N68" s="289"/>
      <c r="O68" s="289"/>
      <c r="P68" s="289"/>
      <c r="Q68" s="289"/>
      <c r="R68" s="289"/>
      <c r="S68" s="289"/>
      <c r="T68" s="289"/>
      <c r="U68" s="291"/>
      <c r="V68" s="291"/>
      <c r="W68" s="291"/>
      <c r="X68" s="291"/>
      <c r="Y68" s="291"/>
      <c r="Z68" s="291"/>
      <c r="AA68" s="291"/>
      <c r="AB68" s="291"/>
      <c r="AC68" s="289" t="s">
        <v>247</v>
      </c>
      <c r="AD68" s="288">
        <f t="shared" si="97"/>
        <v>8</v>
      </c>
      <c r="AE68" s="292">
        <f>'1. ABA DE CARREGAMENTO'!$B$90</f>
        <v>24</v>
      </c>
      <c r="AF68" s="621"/>
      <c r="AG68" s="293">
        <f t="shared" si="99"/>
        <v>0</v>
      </c>
      <c r="AH68" s="293">
        <f t="shared" si="100"/>
        <v>37.556666666666665</v>
      </c>
      <c r="AI68" s="293">
        <f t="shared" si="101"/>
        <v>0</v>
      </c>
      <c r="AJ68" s="293">
        <f t="shared" si="102"/>
        <v>0</v>
      </c>
      <c r="AK68" s="293">
        <f t="shared" si="103"/>
        <v>0</v>
      </c>
      <c r="AL68" s="293">
        <f t="shared" si="88"/>
        <v>0</v>
      </c>
      <c r="AM68" s="293">
        <f t="shared" si="89"/>
        <v>0</v>
      </c>
      <c r="AN68" s="293">
        <f t="shared" si="94"/>
        <v>0</v>
      </c>
      <c r="AO68" s="293">
        <f t="shared" si="95"/>
        <v>0</v>
      </c>
      <c r="AP68" s="293">
        <f t="shared" si="90"/>
        <v>0</v>
      </c>
      <c r="AQ68" s="293">
        <f t="shared" si="91"/>
        <v>0</v>
      </c>
      <c r="AR68" s="293">
        <f t="shared" si="104"/>
        <v>0</v>
      </c>
      <c r="AS68" s="293">
        <f t="shared" si="105"/>
        <v>0</v>
      </c>
      <c r="AT68" s="293">
        <f t="shared" si="106"/>
        <v>0</v>
      </c>
      <c r="AU68" s="293">
        <f t="shared" si="107"/>
        <v>0</v>
      </c>
      <c r="AV68" s="293">
        <f t="shared" si="108"/>
        <v>0</v>
      </c>
      <c r="AW68" s="293">
        <f t="shared" si="109"/>
        <v>0</v>
      </c>
      <c r="AX68" s="293">
        <f t="shared" si="110"/>
        <v>0</v>
      </c>
      <c r="AY68" s="293">
        <f t="shared" si="111"/>
        <v>0</v>
      </c>
      <c r="AZ68" s="293">
        <f t="shared" si="112"/>
        <v>0</v>
      </c>
      <c r="BA68" s="293">
        <f t="shared" si="113"/>
        <v>0</v>
      </c>
      <c r="BB68" s="293">
        <f t="shared" si="92"/>
        <v>0</v>
      </c>
      <c r="BC68" s="293">
        <f t="shared" si="93"/>
        <v>0</v>
      </c>
      <c r="BD68" s="293">
        <f t="shared" si="98"/>
        <v>0</v>
      </c>
      <c r="BE68" s="267"/>
      <c r="BF68" s="267"/>
      <c r="BG68" s="267"/>
      <c r="BH68" s="267"/>
      <c r="BI68" s="267"/>
      <c r="BJ68" s="267"/>
      <c r="BK68" s="267"/>
      <c r="BL68" s="267"/>
    </row>
    <row r="69" spans="1:64">
      <c r="A69" s="615"/>
      <c r="B69" s="618"/>
      <c r="C69" s="289" t="s">
        <v>248</v>
      </c>
      <c r="D69" s="621"/>
      <c r="E69" s="289"/>
      <c r="F69" s="289"/>
      <c r="G69" s="289"/>
      <c r="H69" s="289"/>
      <c r="I69" s="289"/>
      <c r="J69" s="289"/>
      <c r="K69" s="289"/>
      <c r="L69" s="289">
        <v>68.89</v>
      </c>
      <c r="M69" s="289">
        <v>24.83</v>
      </c>
      <c r="N69" s="289"/>
      <c r="O69" s="289"/>
      <c r="P69" s="289"/>
      <c r="Q69" s="289"/>
      <c r="R69" s="289"/>
      <c r="S69" s="289"/>
      <c r="T69" s="289"/>
      <c r="U69" s="291"/>
      <c r="V69" s="291"/>
      <c r="W69" s="291"/>
      <c r="X69" s="291"/>
      <c r="Y69" s="291"/>
      <c r="Z69" s="291"/>
      <c r="AA69" s="291"/>
      <c r="AB69" s="291"/>
      <c r="AC69" s="289" t="s">
        <v>243</v>
      </c>
      <c r="AD69" s="288">
        <f t="shared" si="97"/>
        <v>72</v>
      </c>
      <c r="AE69" s="292">
        <f>'1. ABA DE CARREGAMENTO'!$B$90</f>
        <v>24</v>
      </c>
      <c r="AF69" s="621"/>
      <c r="AG69" s="293">
        <f t="shared" si="99"/>
        <v>0</v>
      </c>
      <c r="AH69" s="293">
        <f t="shared" si="100"/>
        <v>0</v>
      </c>
      <c r="AI69" s="293">
        <f t="shared" si="101"/>
        <v>0</v>
      </c>
      <c r="AJ69" s="293">
        <f t="shared" si="102"/>
        <v>0</v>
      </c>
      <c r="AK69" s="293">
        <f t="shared" si="103"/>
        <v>0</v>
      </c>
      <c r="AL69" s="293">
        <f t="shared" si="88"/>
        <v>0</v>
      </c>
      <c r="AM69" s="293">
        <f t="shared" si="89"/>
        <v>0</v>
      </c>
      <c r="AN69" s="293">
        <f t="shared" si="94"/>
        <v>206.67</v>
      </c>
      <c r="AO69" s="293">
        <f t="shared" si="95"/>
        <v>74.489999999999995</v>
      </c>
      <c r="AP69" s="293">
        <f t="shared" si="90"/>
        <v>0</v>
      </c>
      <c r="AQ69" s="293">
        <f t="shared" si="91"/>
        <v>0</v>
      </c>
      <c r="AR69" s="293">
        <f t="shared" si="104"/>
        <v>0</v>
      </c>
      <c r="AS69" s="293">
        <f t="shared" si="105"/>
        <v>0</v>
      </c>
      <c r="AT69" s="293">
        <f t="shared" si="106"/>
        <v>0</v>
      </c>
      <c r="AU69" s="293">
        <f t="shared" si="107"/>
        <v>0</v>
      </c>
      <c r="AV69" s="293">
        <f t="shared" si="108"/>
        <v>0</v>
      </c>
      <c r="AW69" s="293">
        <f t="shared" si="109"/>
        <v>0</v>
      </c>
      <c r="AX69" s="293">
        <f t="shared" si="110"/>
        <v>0</v>
      </c>
      <c r="AY69" s="293">
        <f t="shared" si="111"/>
        <v>0</v>
      </c>
      <c r="AZ69" s="293">
        <f t="shared" si="112"/>
        <v>0</v>
      </c>
      <c r="BA69" s="293">
        <f t="shared" si="113"/>
        <v>0</v>
      </c>
      <c r="BB69" s="293">
        <f t="shared" si="92"/>
        <v>0</v>
      </c>
      <c r="BC69" s="293">
        <f t="shared" si="93"/>
        <v>0</v>
      </c>
      <c r="BD69" s="293">
        <f t="shared" si="98"/>
        <v>0</v>
      </c>
      <c r="BE69" s="267"/>
      <c r="BF69" s="267"/>
      <c r="BG69" s="267"/>
      <c r="BH69" s="267"/>
      <c r="BI69" s="267"/>
      <c r="BJ69" s="267"/>
      <c r="BK69" s="267"/>
      <c r="BL69" s="267"/>
    </row>
    <row r="70" spans="1:64">
      <c r="A70" s="615"/>
      <c r="B70" s="618"/>
      <c r="C70" s="289" t="s">
        <v>251</v>
      </c>
      <c r="D70" s="621"/>
      <c r="E70" s="289"/>
      <c r="F70" s="289"/>
      <c r="G70" s="289"/>
      <c r="H70" s="289"/>
      <c r="I70" s="289"/>
      <c r="J70" s="289"/>
      <c r="K70" s="289"/>
      <c r="L70" s="289"/>
      <c r="M70" s="289"/>
      <c r="N70" s="289"/>
      <c r="O70" s="289"/>
      <c r="P70" s="289"/>
      <c r="Q70" s="289"/>
      <c r="R70" s="289"/>
      <c r="S70" s="289"/>
      <c r="T70" s="289"/>
      <c r="U70" s="291"/>
      <c r="V70" s="291">
        <v>365.36</v>
      </c>
      <c r="W70" s="291"/>
      <c r="X70" s="291"/>
      <c r="Y70" s="291"/>
      <c r="Z70" s="291"/>
      <c r="AA70" s="291"/>
      <c r="AB70" s="291"/>
      <c r="AC70" s="289" t="s">
        <v>252</v>
      </c>
      <c r="AD70" s="288">
        <f t="shared" si="97"/>
        <v>0.17</v>
      </c>
      <c r="AE70" s="292">
        <f>'1. ABA DE CARREGAMENTO'!$B$90</f>
        <v>24</v>
      </c>
      <c r="AF70" s="621"/>
      <c r="AG70" s="293">
        <f t="shared" si="99"/>
        <v>0</v>
      </c>
      <c r="AH70" s="293">
        <f t="shared" si="100"/>
        <v>0</v>
      </c>
      <c r="AI70" s="293">
        <f t="shared" si="101"/>
        <v>0</v>
      </c>
      <c r="AJ70" s="293">
        <f t="shared" si="102"/>
        <v>0</v>
      </c>
      <c r="AK70" s="293">
        <f t="shared" si="103"/>
        <v>0</v>
      </c>
      <c r="AL70" s="293">
        <f t="shared" si="88"/>
        <v>0</v>
      </c>
      <c r="AM70" s="293">
        <f t="shared" si="89"/>
        <v>0</v>
      </c>
      <c r="AN70" s="293">
        <f t="shared" si="94"/>
        <v>0</v>
      </c>
      <c r="AO70" s="293">
        <f t="shared" si="95"/>
        <v>0</v>
      </c>
      <c r="AP70" s="293">
        <f t="shared" si="90"/>
        <v>0</v>
      </c>
      <c r="AQ70" s="293">
        <f t="shared" si="91"/>
        <v>0</v>
      </c>
      <c r="AR70" s="293">
        <f t="shared" si="104"/>
        <v>0</v>
      </c>
      <c r="AS70" s="293">
        <f t="shared" si="105"/>
        <v>0</v>
      </c>
      <c r="AT70" s="293">
        <f t="shared" si="106"/>
        <v>0</v>
      </c>
      <c r="AU70" s="293">
        <f t="shared" si="107"/>
        <v>0</v>
      </c>
      <c r="AV70" s="293">
        <f t="shared" si="108"/>
        <v>0</v>
      </c>
      <c r="AW70" s="293">
        <f t="shared" si="109"/>
        <v>0</v>
      </c>
      <c r="AX70" s="293">
        <f t="shared" si="110"/>
        <v>2.587966666666667</v>
      </c>
      <c r="AY70" s="293">
        <f t="shared" si="111"/>
        <v>0</v>
      </c>
      <c r="AZ70" s="293">
        <f t="shared" si="112"/>
        <v>0</v>
      </c>
      <c r="BA70" s="293">
        <f t="shared" si="113"/>
        <v>0</v>
      </c>
      <c r="BB70" s="293">
        <f t="shared" si="92"/>
        <v>0</v>
      </c>
      <c r="BC70" s="293">
        <f t="shared" si="93"/>
        <v>0</v>
      </c>
      <c r="BD70" s="293">
        <f t="shared" si="98"/>
        <v>0</v>
      </c>
      <c r="BE70" s="267"/>
      <c r="BF70" s="267"/>
      <c r="BG70" s="267"/>
      <c r="BH70" s="267"/>
      <c r="BI70" s="267"/>
      <c r="BJ70" s="267"/>
      <c r="BK70" s="267"/>
      <c r="BL70" s="267"/>
    </row>
    <row r="71" spans="1:64">
      <c r="A71" s="615"/>
      <c r="B71" s="618"/>
      <c r="C71" s="289" t="s">
        <v>253</v>
      </c>
      <c r="D71" s="621"/>
      <c r="E71" s="289"/>
      <c r="F71" s="289"/>
      <c r="G71" s="289"/>
      <c r="H71" s="289"/>
      <c r="I71" s="289"/>
      <c r="J71" s="289"/>
      <c r="K71" s="289"/>
      <c r="L71" s="289"/>
      <c r="M71" s="289"/>
      <c r="N71" s="289"/>
      <c r="O71" s="289"/>
      <c r="P71" s="289"/>
      <c r="Q71" s="289"/>
      <c r="R71" s="289"/>
      <c r="S71" s="289"/>
      <c r="T71" s="289"/>
      <c r="U71" s="291"/>
      <c r="V71" s="291"/>
      <c r="W71" s="291">
        <v>575.16999999999996</v>
      </c>
      <c r="X71" s="291"/>
      <c r="Y71" s="291"/>
      <c r="Z71" s="291"/>
      <c r="AA71" s="291"/>
      <c r="AB71" s="291"/>
      <c r="AC71" s="289" t="s">
        <v>247</v>
      </c>
      <c r="AD71" s="288">
        <f t="shared" si="97"/>
        <v>8</v>
      </c>
      <c r="AE71" s="292">
        <f>'1. ABA DE CARREGAMENTO'!$B$90</f>
        <v>24</v>
      </c>
      <c r="AF71" s="621"/>
      <c r="AG71" s="293">
        <f t="shared" si="99"/>
        <v>0</v>
      </c>
      <c r="AH71" s="293">
        <f t="shared" si="100"/>
        <v>0</v>
      </c>
      <c r="AI71" s="293">
        <f t="shared" si="101"/>
        <v>0</v>
      </c>
      <c r="AJ71" s="293">
        <f t="shared" si="102"/>
        <v>0</v>
      </c>
      <c r="AK71" s="293">
        <f t="shared" si="103"/>
        <v>0</v>
      </c>
      <c r="AL71" s="293">
        <f t="shared" si="88"/>
        <v>0</v>
      </c>
      <c r="AM71" s="293">
        <f t="shared" si="89"/>
        <v>0</v>
      </c>
      <c r="AN71" s="293">
        <f t="shared" si="94"/>
        <v>0</v>
      </c>
      <c r="AO71" s="293">
        <f t="shared" si="95"/>
        <v>0</v>
      </c>
      <c r="AP71" s="293">
        <f t="shared" si="90"/>
        <v>0</v>
      </c>
      <c r="AQ71" s="293">
        <f t="shared" si="91"/>
        <v>0</v>
      </c>
      <c r="AR71" s="293">
        <f t="shared" si="104"/>
        <v>0</v>
      </c>
      <c r="AS71" s="293">
        <f t="shared" si="105"/>
        <v>0</v>
      </c>
      <c r="AT71" s="293">
        <f t="shared" si="106"/>
        <v>0</v>
      </c>
      <c r="AU71" s="293">
        <f t="shared" si="107"/>
        <v>0</v>
      </c>
      <c r="AV71" s="293">
        <f t="shared" si="108"/>
        <v>0</v>
      </c>
      <c r="AW71" s="293">
        <f t="shared" si="109"/>
        <v>0</v>
      </c>
      <c r="AX71" s="293">
        <f t="shared" si="110"/>
        <v>0</v>
      </c>
      <c r="AY71" s="293">
        <f t="shared" si="111"/>
        <v>191.72333333333333</v>
      </c>
      <c r="AZ71" s="293">
        <f t="shared" si="112"/>
        <v>0</v>
      </c>
      <c r="BA71" s="293">
        <f t="shared" si="113"/>
        <v>0</v>
      </c>
      <c r="BB71" s="293">
        <f t="shared" si="92"/>
        <v>0</v>
      </c>
      <c r="BC71" s="293">
        <f t="shared" si="93"/>
        <v>0</v>
      </c>
      <c r="BD71" s="293"/>
      <c r="BE71" s="267"/>
      <c r="BF71" s="267"/>
      <c r="BG71" s="267"/>
      <c r="BH71" s="267"/>
      <c r="BI71" s="267"/>
      <c r="BJ71" s="267"/>
      <c r="BK71" s="267"/>
      <c r="BL71" s="267"/>
    </row>
    <row r="72" spans="1:64">
      <c r="A72" s="615"/>
      <c r="B72" s="618"/>
      <c r="C72" s="289" t="s">
        <v>45</v>
      </c>
      <c r="D72" s="621"/>
      <c r="E72" s="289"/>
      <c r="F72" s="294"/>
      <c r="G72" s="289"/>
      <c r="H72" s="289"/>
      <c r="I72" s="289"/>
      <c r="J72" s="289"/>
      <c r="K72" s="289"/>
      <c r="L72" s="289"/>
      <c r="M72" s="289"/>
      <c r="N72" s="289"/>
      <c r="O72" s="289"/>
      <c r="P72" s="289"/>
      <c r="Q72" s="289"/>
      <c r="R72" s="289"/>
      <c r="S72" s="289"/>
      <c r="T72" s="289"/>
      <c r="U72" s="291"/>
      <c r="V72" s="291"/>
      <c r="W72" s="291"/>
      <c r="X72" s="291"/>
      <c r="Y72" s="291"/>
      <c r="Z72" s="291"/>
      <c r="AA72" s="291">
        <v>82</v>
      </c>
      <c r="AB72" s="291"/>
      <c r="AC72" s="289" t="s">
        <v>263</v>
      </c>
      <c r="AD72" s="288">
        <f t="shared" si="97"/>
        <v>4.33</v>
      </c>
      <c r="AE72" s="292">
        <f>'1. ABA DE CARREGAMENTO'!$B$90</f>
        <v>24</v>
      </c>
      <c r="AF72" s="621"/>
      <c r="AG72" s="293">
        <f t="shared" si="99"/>
        <v>0</v>
      </c>
      <c r="AH72" s="293">
        <f t="shared" si="100"/>
        <v>0</v>
      </c>
      <c r="AI72" s="293">
        <f t="shared" si="101"/>
        <v>0</v>
      </c>
      <c r="AJ72" s="293">
        <f t="shared" si="102"/>
        <v>0</v>
      </c>
      <c r="AK72" s="293">
        <f t="shared" si="103"/>
        <v>0</v>
      </c>
      <c r="AL72" s="293">
        <f t="shared" si="88"/>
        <v>0</v>
      </c>
      <c r="AM72" s="293">
        <f t="shared" si="89"/>
        <v>0</v>
      </c>
      <c r="AN72" s="293">
        <f t="shared" si="94"/>
        <v>0</v>
      </c>
      <c r="AO72" s="293">
        <f t="shared" si="95"/>
        <v>0</v>
      </c>
      <c r="AP72" s="293">
        <f t="shared" si="90"/>
        <v>0</v>
      </c>
      <c r="AQ72" s="293">
        <f t="shared" si="91"/>
        <v>0</v>
      </c>
      <c r="AR72" s="293">
        <f t="shared" si="104"/>
        <v>0</v>
      </c>
      <c r="AS72" s="293">
        <f t="shared" si="105"/>
        <v>0</v>
      </c>
      <c r="AT72" s="293">
        <f t="shared" si="106"/>
        <v>0</v>
      </c>
      <c r="AU72" s="293">
        <f t="shared" si="107"/>
        <v>0</v>
      </c>
      <c r="AV72" s="293">
        <f t="shared" si="108"/>
        <v>0</v>
      </c>
      <c r="AW72" s="293">
        <f t="shared" si="109"/>
        <v>0</v>
      </c>
      <c r="AX72" s="293">
        <f t="shared" si="110"/>
        <v>0</v>
      </c>
      <c r="AY72" s="293">
        <f t="shared" si="111"/>
        <v>0</v>
      </c>
      <c r="AZ72" s="293">
        <f t="shared" si="112"/>
        <v>0</v>
      </c>
      <c r="BA72" s="293">
        <f t="shared" si="113"/>
        <v>0</v>
      </c>
      <c r="BB72" s="293">
        <f t="shared" si="92"/>
        <v>0</v>
      </c>
      <c r="BC72" s="293">
        <f t="shared" si="93"/>
        <v>14.794166666666667</v>
      </c>
      <c r="BD72" s="293">
        <f t="shared" ref="BD72:BD78" si="114">(AB72*AD72)/AE72</f>
        <v>0</v>
      </c>
      <c r="BE72" s="267"/>
      <c r="BF72" s="267"/>
      <c r="BG72" s="267"/>
      <c r="BH72" s="267"/>
      <c r="BI72" s="267"/>
      <c r="BJ72" s="267"/>
      <c r="BK72" s="267"/>
      <c r="BL72" s="267"/>
    </row>
    <row r="73" spans="1:64">
      <c r="A73" s="615"/>
      <c r="B73" s="618"/>
      <c r="C73" s="289" t="s">
        <v>46</v>
      </c>
      <c r="D73" s="621"/>
      <c r="E73" s="289"/>
      <c r="F73" s="294"/>
      <c r="G73" s="289"/>
      <c r="H73" s="289"/>
      <c r="I73" s="289"/>
      <c r="J73" s="289"/>
      <c r="K73" s="289"/>
      <c r="L73" s="289"/>
      <c r="M73" s="289"/>
      <c r="N73" s="289"/>
      <c r="O73" s="289"/>
      <c r="P73" s="289"/>
      <c r="Q73" s="289"/>
      <c r="R73" s="289"/>
      <c r="S73" s="289"/>
      <c r="T73" s="289"/>
      <c r="U73" s="291"/>
      <c r="V73" s="291"/>
      <c r="W73" s="291"/>
      <c r="X73" s="291"/>
      <c r="Y73" s="291"/>
      <c r="Z73" s="291"/>
      <c r="AA73" s="291"/>
      <c r="AB73" s="291">
        <v>57.61</v>
      </c>
      <c r="AC73" s="289" t="s">
        <v>263</v>
      </c>
      <c r="AD73" s="288">
        <f t="shared" si="97"/>
        <v>4.33</v>
      </c>
      <c r="AE73" s="292">
        <f>'1. ABA DE CARREGAMENTO'!$B$90</f>
        <v>24</v>
      </c>
      <c r="AF73" s="621"/>
      <c r="AG73" s="293">
        <f t="shared" si="99"/>
        <v>0</v>
      </c>
      <c r="AH73" s="293">
        <f t="shared" si="100"/>
        <v>0</v>
      </c>
      <c r="AI73" s="293">
        <f t="shared" si="101"/>
        <v>0</v>
      </c>
      <c r="AJ73" s="293">
        <f t="shared" si="102"/>
        <v>0</v>
      </c>
      <c r="AK73" s="293">
        <f t="shared" si="103"/>
        <v>0</v>
      </c>
      <c r="AL73" s="293">
        <f t="shared" si="88"/>
        <v>0</v>
      </c>
      <c r="AM73" s="293">
        <f t="shared" si="89"/>
        <v>0</v>
      </c>
      <c r="AN73" s="293">
        <f t="shared" si="94"/>
        <v>0</v>
      </c>
      <c r="AO73" s="293">
        <f t="shared" si="95"/>
        <v>0</v>
      </c>
      <c r="AP73" s="293">
        <f t="shared" si="90"/>
        <v>0</v>
      </c>
      <c r="AQ73" s="293">
        <f t="shared" si="91"/>
        <v>0</v>
      </c>
      <c r="AR73" s="293">
        <f t="shared" si="104"/>
        <v>0</v>
      </c>
      <c r="AS73" s="293">
        <f t="shared" si="105"/>
        <v>0</v>
      </c>
      <c r="AT73" s="293">
        <f t="shared" si="106"/>
        <v>0</v>
      </c>
      <c r="AU73" s="293">
        <f t="shared" si="107"/>
        <v>0</v>
      </c>
      <c r="AV73" s="293">
        <f t="shared" si="108"/>
        <v>0</v>
      </c>
      <c r="AW73" s="293">
        <f t="shared" si="109"/>
        <v>0</v>
      </c>
      <c r="AX73" s="293">
        <f t="shared" si="110"/>
        <v>0</v>
      </c>
      <c r="AY73" s="293">
        <f t="shared" si="111"/>
        <v>0</v>
      </c>
      <c r="AZ73" s="293">
        <f t="shared" si="112"/>
        <v>0</v>
      </c>
      <c r="BA73" s="293">
        <f t="shared" si="113"/>
        <v>0</v>
      </c>
      <c r="BB73" s="293">
        <f t="shared" si="92"/>
        <v>0</v>
      </c>
      <c r="BC73" s="293">
        <f t="shared" si="93"/>
        <v>0</v>
      </c>
      <c r="BD73" s="293">
        <f t="shared" si="114"/>
        <v>10.393804166666667</v>
      </c>
      <c r="BE73" s="267"/>
      <c r="BF73" s="267"/>
      <c r="BG73" s="267"/>
      <c r="BH73" s="267"/>
      <c r="BI73" s="267"/>
      <c r="BJ73" s="267"/>
      <c r="BK73" s="267"/>
      <c r="BL73" s="267"/>
    </row>
    <row r="74" spans="1:64">
      <c r="A74" s="616"/>
      <c r="B74" s="619"/>
      <c r="C74" s="289" t="s">
        <v>239</v>
      </c>
      <c r="D74" s="622"/>
      <c r="E74" s="289"/>
      <c r="F74" s="289"/>
      <c r="G74" s="289"/>
      <c r="H74" s="289"/>
      <c r="I74" s="289"/>
      <c r="J74" s="289"/>
      <c r="K74" s="289"/>
      <c r="L74" s="289"/>
      <c r="M74" s="289"/>
      <c r="N74" s="289"/>
      <c r="O74" s="289"/>
      <c r="P74" s="289"/>
      <c r="Q74" s="289"/>
      <c r="R74" s="289"/>
      <c r="S74" s="289"/>
      <c r="T74" s="289"/>
      <c r="U74" s="291"/>
      <c r="V74" s="291"/>
      <c r="W74" s="291"/>
      <c r="X74" s="291"/>
      <c r="Y74" s="291"/>
      <c r="Z74" s="291">
        <v>57.61</v>
      </c>
      <c r="AA74" s="291"/>
      <c r="AB74" s="291"/>
      <c r="AC74" s="289" t="s">
        <v>245</v>
      </c>
      <c r="AD74" s="288">
        <f t="shared" si="97"/>
        <v>144</v>
      </c>
      <c r="AE74" s="292">
        <f>'1. ABA DE CARREGAMENTO'!$B$90</f>
        <v>24</v>
      </c>
      <c r="AF74" s="622"/>
      <c r="AG74" s="293">
        <f t="shared" si="99"/>
        <v>0</v>
      </c>
      <c r="AH74" s="293">
        <f t="shared" si="100"/>
        <v>0</v>
      </c>
      <c r="AI74" s="293">
        <f t="shared" si="101"/>
        <v>0</v>
      </c>
      <c r="AJ74" s="293">
        <f t="shared" si="102"/>
        <v>0</v>
      </c>
      <c r="AK74" s="293">
        <f t="shared" si="103"/>
        <v>0</v>
      </c>
      <c r="AL74" s="293">
        <f t="shared" si="88"/>
        <v>0</v>
      </c>
      <c r="AM74" s="293">
        <f t="shared" si="89"/>
        <v>0</v>
      </c>
      <c r="AN74" s="293">
        <f t="shared" si="94"/>
        <v>0</v>
      </c>
      <c r="AO74" s="293">
        <f t="shared" si="95"/>
        <v>0</v>
      </c>
      <c r="AP74" s="293">
        <f t="shared" si="90"/>
        <v>0</v>
      </c>
      <c r="AQ74" s="293">
        <f t="shared" si="91"/>
        <v>0</v>
      </c>
      <c r="AR74" s="293">
        <f t="shared" si="104"/>
        <v>0</v>
      </c>
      <c r="AS74" s="293">
        <f t="shared" si="105"/>
        <v>0</v>
      </c>
      <c r="AT74" s="293">
        <f t="shared" si="106"/>
        <v>0</v>
      </c>
      <c r="AU74" s="293">
        <f t="shared" si="107"/>
        <v>0</v>
      </c>
      <c r="AV74" s="293">
        <f t="shared" si="108"/>
        <v>0</v>
      </c>
      <c r="AW74" s="293">
        <f t="shared" si="109"/>
        <v>0</v>
      </c>
      <c r="AX74" s="293">
        <f t="shared" si="110"/>
        <v>0</v>
      </c>
      <c r="AY74" s="293">
        <f t="shared" si="111"/>
        <v>0</v>
      </c>
      <c r="AZ74" s="293">
        <f t="shared" si="112"/>
        <v>0</v>
      </c>
      <c r="BA74" s="293">
        <f t="shared" si="113"/>
        <v>0</v>
      </c>
      <c r="BB74" s="293">
        <f t="shared" si="92"/>
        <v>345.66</v>
      </c>
      <c r="BC74" s="293">
        <f t="shared" si="93"/>
        <v>0</v>
      </c>
      <c r="BD74" s="293">
        <f t="shared" si="114"/>
        <v>0</v>
      </c>
      <c r="BE74" s="267"/>
      <c r="BF74" s="267"/>
      <c r="BG74" s="267"/>
      <c r="BH74" s="267"/>
      <c r="BI74" s="267"/>
      <c r="BJ74" s="267"/>
      <c r="BK74" s="267"/>
      <c r="BL74" s="267"/>
    </row>
    <row r="75" spans="1:64" s="301" customFormat="1">
      <c r="A75" s="602">
        <v>12</v>
      </c>
      <c r="B75" s="605" t="s">
        <v>281</v>
      </c>
      <c r="C75" s="295" t="s">
        <v>282</v>
      </c>
      <c r="D75" s="623">
        <f>SUM(E75:AB82)</f>
        <v>1194.2</v>
      </c>
      <c r="E75" s="295"/>
      <c r="F75" s="261">
        <v>32</v>
      </c>
      <c r="G75" s="295"/>
      <c r="H75" s="295"/>
      <c r="I75" s="295"/>
      <c r="J75" s="295"/>
      <c r="K75" s="295"/>
      <c r="L75" s="295"/>
      <c r="M75" s="295"/>
      <c r="N75" s="295"/>
      <c r="O75" s="295"/>
      <c r="P75" s="295"/>
      <c r="Q75" s="295"/>
      <c r="R75" s="295"/>
      <c r="S75" s="295"/>
      <c r="T75" s="295"/>
      <c r="U75" s="296"/>
      <c r="V75" s="296"/>
      <c r="W75" s="296"/>
      <c r="X75" s="296"/>
      <c r="Y75" s="296"/>
      <c r="Z75" s="296"/>
      <c r="AA75" s="296"/>
      <c r="AB75" s="296"/>
      <c r="AC75" s="295" t="s">
        <v>257</v>
      </c>
      <c r="AD75" s="297">
        <f>IF(AC75="DIÁRIA",AE75,IF(AC75="2xDIA",(AE75*2),IF(AC75="3xDIA",(AE75*3),IF(AC75="4xDIA",(AE75*4),IF(AC75="5xDIA",(AE75*5),IF(AC75="6xDIA",(AE75*6),IF(AC75="SEMANAL",4.33,IF(AC75="2xSEMANA",8,IF(AC75="3xSEMANA",12,IF(AC75="QUINZENAL",2,IF(AC75="MENSAL",1,IF(AC75="BIMESTRAL",0.5,IF(AC75="TRIMESTRAL",0.33,IF(AC75="SEMESTRAL",0.17,0))))))))))))))</f>
        <v>24</v>
      </c>
      <c r="AE75" s="298">
        <f>'1. ABA DE CARREGAMENTO'!$B$90</f>
        <v>24</v>
      </c>
      <c r="AF75" s="623">
        <f>SUM(AG75:BD82)</f>
        <v>2653.3788999999997</v>
      </c>
      <c r="AG75" s="299">
        <f t="shared" si="99"/>
        <v>0</v>
      </c>
      <c r="AH75" s="299">
        <f t="shared" si="100"/>
        <v>32</v>
      </c>
      <c r="AI75" s="299">
        <f t="shared" si="101"/>
        <v>0</v>
      </c>
      <c r="AJ75" s="299">
        <f t="shared" si="102"/>
        <v>0</v>
      </c>
      <c r="AK75" s="299">
        <f t="shared" si="103"/>
        <v>0</v>
      </c>
      <c r="AL75" s="299">
        <f t="shared" si="88"/>
        <v>0</v>
      </c>
      <c r="AM75" s="299">
        <f t="shared" si="89"/>
        <v>0</v>
      </c>
      <c r="AN75" s="299">
        <f t="shared" si="94"/>
        <v>0</v>
      </c>
      <c r="AO75" s="299">
        <f t="shared" si="95"/>
        <v>0</v>
      </c>
      <c r="AP75" s="299">
        <f t="shared" si="90"/>
        <v>0</v>
      </c>
      <c r="AQ75" s="299">
        <f t="shared" si="91"/>
        <v>0</v>
      </c>
      <c r="AR75" s="299">
        <f t="shared" si="104"/>
        <v>0</v>
      </c>
      <c r="AS75" s="299">
        <f t="shared" si="105"/>
        <v>0</v>
      </c>
      <c r="AT75" s="299">
        <f t="shared" si="106"/>
        <v>0</v>
      </c>
      <c r="AU75" s="299">
        <f t="shared" si="107"/>
        <v>0</v>
      </c>
      <c r="AV75" s="299">
        <f t="shared" si="108"/>
        <v>0</v>
      </c>
      <c r="AW75" s="299">
        <f t="shared" si="109"/>
        <v>0</v>
      </c>
      <c r="AX75" s="299">
        <f t="shared" si="110"/>
        <v>0</v>
      </c>
      <c r="AY75" s="299">
        <f t="shared" si="111"/>
        <v>0</v>
      </c>
      <c r="AZ75" s="299">
        <f t="shared" si="112"/>
        <v>0</v>
      </c>
      <c r="BA75" s="299">
        <f t="shared" si="113"/>
        <v>0</v>
      </c>
      <c r="BB75" s="299">
        <f t="shared" si="92"/>
        <v>0</v>
      </c>
      <c r="BC75" s="299">
        <f t="shared" si="93"/>
        <v>0</v>
      </c>
      <c r="BD75" s="299">
        <f t="shared" si="114"/>
        <v>0</v>
      </c>
      <c r="BE75" s="300"/>
      <c r="BF75" s="300"/>
      <c r="BG75" s="300"/>
      <c r="BH75" s="300"/>
      <c r="BI75" s="300"/>
      <c r="BJ75" s="300"/>
      <c r="BK75" s="300"/>
      <c r="BL75" s="300"/>
    </row>
    <row r="76" spans="1:64" s="301" customFormat="1">
      <c r="A76" s="603"/>
      <c r="B76" s="606"/>
      <c r="C76" s="295" t="s">
        <v>283</v>
      </c>
      <c r="D76" s="624"/>
      <c r="E76" s="295"/>
      <c r="F76" s="261">
        <v>269.27999999999997</v>
      </c>
      <c r="G76" s="295"/>
      <c r="H76" s="295"/>
      <c r="I76" s="295"/>
      <c r="J76" s="295"/>
      <c r="K76" s="295"/>
      <c r="L76" s="295"/>
      <c r="M76" s="295"/>
      <c r="N76" s="295"/>
      <c r="O76" s="295"/>
      <c r="P76" s="295"/>
      <c r="Q76" s="295"/>
      <c r="R76" s="295"/>
      <c r="S76" s="295"/>
      <c r="T76" s="295"/>
      <c r="U76" s="296"/>
      <c r="V76" s="296"/>
      <c r="W76" s="296"/>
      <c r="X76" s="296"/>
      <c r="Y76" s="296"/>
      <c r="Z76" s="296"/>
      <c r="AA76" s="296"/>
      <c r="AB76" s="296"/>
      <c r="AC76" s="295" t="s">
        <v>254</v>
      </c>
      <c r="AD76" s="297">
        <f t="shared" si="97"/>
        <v>48</v>
      </c>
      <c r="AE76" s="298">
        <f>'1. ABA DE CARREGAMENTO'!$B$90</f>
        <v>24</v>
      </c>
      <c r="AF76" s="624"/>
      <c r="AG76" s="299">
        <f t="shared" si="99"/>
        <v>0</v>
      </c>
      <c r="AH76" s="299">
        <f t="shared" si="100"/>
        <v>538.55999999999995</v>
      </c>
      <c r="AI76" s="299">
        <f t="shared" si="101"/>
        <v>0</v>
      </c>
      <c r="AJ76" s="299">
        <f t="shared" si="102"/>
        <v>0</v>
      </c>
      <c r="AK76" s="299">
        <f t="shared" si="103"/>
        <v>0</v>
      </c>
      <c r="AL76" s="299">
        <f t="shared" si="88"/>
        <v>0</v>
      </c>
      <c r="AM76" s="299">
        <f t="shared" si="89"/>
        <v>0</v>
      </c>
      <c r="AN76" s="299">
        <f t="shared" si="94"/>
        <v>0</v>
      </c>
      <c r="AO76" s="299">
        <f t="shared" si="95"/>
        <v>0</v>
      </c>
      <c r="AP76" s="299">
        <f t="shared" si="90"/>
        <v>0</v>
      </c>
      <c r="AQ76" s="299">
        <f t="shared" si="91"/>
        <v>0</v>
      </c>
      <c r="AR76" s="299">
        <f t="shared" si="104"/>
        <v>0</v>
      </c>
      <c r="AS76" s="299">
        <f t="shared" si="105"/>
        <v>0</v>
      </c>
      <c r="AT76" s="299">
        <f t="shared" si="106"/>
        <v>0</v>
      </c>
      <c r="AU76" s="299">
        <f t="shared" si="107"/>
        <v>0</v>
      </c>
      <c r="AV76" s="299">
        <f t="shared" si="108"/>
        <v>0</v>
      </c>
      <c r="AW76" s="299">
        <f t="shared" si="109"/>
        <v>0</v>
      </c>
      <c r="AX76" s="299">
        <f t="shared" si="110"/>
        <v>0</v>
      </c>
      <c r="AY76" s="299">
        <f t="shared" si="111"/>
        <v>0</v>
      </c>
      <c r="AZ76" s="299">
        <f t="shared" si="112"/>
        <v>0</v>
      </c>
      <c r="BA76" s="299">
        <f t="shared" si="113"/>
        <v>0</v>
      </c>
      <c r="BB76" s="299">
        <f t="shared" si="92"/>
        <v>0</v>
      </c>
      <c r="BC76" s="299">
        <f t="shared" si="93"/>
        <v>0</v>
      </c>
      <c r="BD76" s="299">
        <f t="shared" si="114"/>
        <v>0</v>
      </c>
      <c r="BE76" s="300"/>
      <c r="BF76" s="300"/>
      <c r="BG76" s="300"/>
      <c r="BH76" s="300"/>
      <c r="BI76" s="300"/>
      <c r="BJ76" s="300"/>
      <c r="BK76" s="300"/>
      <c r="BL76" s="300"/>
    </row>
    <row r="77" spans="1:64" s="301" customFormat="1">
      <c r="A77" s="603"/>
      <c r="B77" s="606"/>
      <c r="C77" s="295" t="s">
        <v>284</v>
      </c>
      <c r="D77" s="624"/>
      <c r="E77" s="295"/>
      <c r="F77" s="295">
        <v>445.45</v>
      </c>
      <c r="G77" s="295"/>
      <c r="H77" s="295"/>
      <c r="I77" s="295"/>
      <c r="J77" s="295"/>
      <c r="K77" s="295"/>
      <c r="L77" s="295"/>
      <c r="M77" s="295">
        <v>35</v>
      </c>
      <c r="N77" s="295"/>
      <c r="O77" s="295"/>
      <c r="P77" s="295"/>
      <c r="Q77" s="295"/>
      <c r="R77" s="295"/>
      <c r="S77" s="295"/>
      <c r="T77" s="295"/>
      <c r="U77" s="296"/>
      <c r="V77" s="296"/>
      <c r="W77" s="296"/>
      <c r="X77" s="296"/>
      <c r="Y77" s="296"/>
      <c r="Z77" s="296"/>
      <c r="AA77" s="296"/>
      <c r="AB77" s="296"/>
      <c r="AC77" s="295" t="s">
        <v>258</v>
      </c>
      <c r="AD77" s="297">
        <f t="shared" si="97"/>
        <v>96</v>
      </c>
      <c r="AE77" s="298">
        <f>'1. ABA DE CARREGAMENTO'!$B$90</f>
        <v>24</v>
      </c>
      <c r="AF77" s="624"/>
      <c r="AG77" s="299">
        <f t="shared" si="99"/>
        <v>0</v>
      </c>
      <c r="AH77" s="299">
        <f t="shared" si="100"/>
        <v>1781.8</v>
      </c>
      <c r="AI77" s="299">
        <f t="shared" si="101"/>
        <v>0</v>
      </c>
      <c r="AJ77" s="299">
        <f t="shared" si="102"/>
        <v>0</v>
      </c>
      <c r="AK77" s="299">
        <f t="shared" si="103"/>
        <v>0</v>
      </c>
      <c r="AL77" s="299">
        <f t="shared" si="88"/>
        <v>0</v>
      </c>
      <c r="AM77" s="299">
        <f t="shared" si="89"/>
        <v>0</v>
      </c>
      <c r="AN77" s="299">
        <f t="shared" si="94"/>
        <v>0</v>
      </c>
      <c r="AO77" s="299">
        <f t="shared" si="95"/>
        <v>140</v>
      </c>
      <c r="AP77" s="299">
        <f t="shared" si="90"/>
        <v>0</v>
      </c>
      <c r="AQ77" s="299">
        <f t="shared" si="91"/>
        <v>0</v>
      </c>
      <c r="AR77" s="299">
        <f t="shared" si="104"/>
        <v>0</v>
      </c>
      <c r="AS77" s="299">
        <f t="shared" si="105"/>
        <v>0</v>
      </c>
      <c r="AT77" s="299">
        <f t="shared" si="106"/>
        <v>0</v>
      </c>
      <c r="AU77" s="299">
        <f t="shared" si="107"/>
        <v>0</v>
      </c>
      <c r="AV77" s="299">
        <f t="shared" si="108"/>
        <v>0</v>
      </c>
      <c r="AW77" s="299">
        <f t="shared" si="109"/>
        <v>0</v>
      </c>
      <c r="AX77" s="299">
        <f t="shared" si="110"/>
        <v>0</v>
      </c>
      <c r="AY77" s="299">
        <f t="shared" si="111"/>
        <v>0</v>
      </c>
      <c r="AZ77" s="299">
        <f t="shared" si="112"/>
        <v>0</v>
      </c>
      <c r="BA77" s="299">
        <f t="shared" si="113"/>
        <v>0</v>
      </c>
      <c r="BB77" s="299">
        <f t="shared" si="92"/>
        <v>0</v>
      </c>
      <c r="BC77" s="299">
        <f t="shared" si="93"/>
        <v>0</v>
      </c>
      <c r="BD77" s="299">
        <f t="shared" si="114"/>
        <v>0</v>
      </c>
      <c r="BE77" s="300"/>
      <c r="BF77" s="300"/>
      <c r="BG77" s="300"/>
      <c r="BH77" s="300"/>
      <c r="BI77" s="300"/>
      <c r="BJ77" s="300"/>
      <c r="BK77" s="300"/>
      <c r="BL77" s="300"/>
    </row>
    <row r="78" spans="1:64" s="301" customFormat="1">
      <c r="A78" s="603"/>
      <c r="B78" s="606"/>
      <c r="C78" s="295" t="s">
        <v>251</v>
      </c>
      <c r="D78" s="624"/>
      <c r="E78" s="295"/>
      <c r="F78" s="295"/>
      <c r="G78" s="295"/>
      <c r="H78" s="295"/>
      <c r="I78" s="295"/>
      <c r="J78" s="295"/>
      <c r="K78" s="295"/>
      <c r="L78" s="295"/>
      <c r="M78" s="295"/>
      <c r="N78" s="295"/>
      <c r="O78" s="295"/>
      <c r="P78" s="295"/>
      <c r="Q78" s="295"/>
      <c r="R78" s="295"/>
      <c r="S78" s="295"/>
      <c r="T78" s="295"/>
      <c r="U78" s="296"/>
      <c r="V78" s="296">
        <v>112.82</v>
      </c>
      <c r="W78" s="296"/>
      <c r="X78" s="296"/>
      <c r="Y78" s="296"/>
      <c r="Z78" s="296"/>
      <c r="AA78" s="296"/>
      <c r="AB78" s="296"/>
      <c r="AC78" s="295" t="s">
        <v>252</v>
      </c>
      <c r="AD78" s="297">
        <f t="shared" si="97"/>
        <v>0.17</v>
      </c>
      <c r="AE78" s="298">
        <f>'1. ABA DE CARREGAMENTO'!$B$90</f>
        <v>24</v>
      </c>
      <c r="AF78" s="624"/>
      <c r="AG78" s="299">
        <f t="shared" si="99"/>
        <v>0</v>
      </c>
      <c r="AH78" s="299">
        <f t="shared" si="100"/>
        <v>0</v>
      </c>
      <c r="AI78" s="299">
        <f t="shared" si="101"/>
        <v>0</v>
      </c>
      <c r="AJ78" s="299">
        <f t="shared" si="102"/>
        <v>0</v>
      </c>
      <c r="AK78" s="299">
        <f t="shared" si="103"/>
        <v>0</v>
      </c>
      <c r="AL78" s="299">
        <f t="shared" si="88"/>
        <v>0</v>
      </c>
      <c r="AM78" s="299">
        <f t="shared" si="89"/>
        <v>0</v>
      </c>
      <c r="AN78" s="299">
        <f t="shared" si="94"/>
        <v>0</v>
      </c>
      <c r="AO78" s="299">
        <f t="shared" si="95"/>
        <v>0</v>
      </c>
      <c r="AP78" s="299">
        <f t="shared" si="90"/>
        <v>0</v>
      </c>
      <c r="AQ78" s="299">
        <f t="shared" si="91"/>
        <v>0</v>
      </c>
      <c r="AR78" s="299">
        <f t="shared" si="104"/>
        <v>0</v>
      </c>
      <c r="AS78" s="299">
        <f t="shared" si="105"/>
        <v>0</v>
      </c>
      <c r="AT78" s="299">
        <f t="shared" si="106"/>
        <v>0</v>
      </c>
      <c r="AU78" s="299">
        <f t="shared" si="107"/>
        <v>0</v>
      </c>
      <c r="AV78" s="299">
        <f t="shared" si="108"/>
        <v>0</v>
      </c>
      <c r="AW78" s="299">
        <f t="shared" si="109"/>
        <v>0</v>
      </c>
      <c r="AX78" s="299">
        <f t="shared" si="110"/>
        <v>0.79914166666666675</v>
      </c>
      <c r="AY78" s="299">
        <f t="shared" si="111"/>
        <v>0</v>
      </c>
      <c r="AZ78" s="299">
        <f t="shared" si="112"/>
        <v>0</v>
      </c>
      <c r="BA78" s="299">
        <f t="shared" si="113"/>
        <v>0</v>
      </c>
      <c r="BB78" s="299">
        <f t="shared" si="92"/>
        <v>0</v>
      </c>
      <c r="BC78" s="299">
        <f t="shared" si="93"/>
        <v>0</v>
      </c>
      <c r="BD78" s="299">
        <f t="shared" si="114"/>
        <v>0</v>
      </c>
      <c r="BE78" s="300"/>
      <c r="BF78" s="300"/>
      <c r="BG78" s="300"/>
      <c r="BH78" s="300"/>
      <c r="BI78" s="300"/>
      <c r="BJ78" s="300"/>
      <c r="BK78" s="300"/>
      <c r="BL78" s="300"/>
    </row>
    <row r="79" spans="1:64" s="301" customFormat="1">
      <c r="A79" s="603"/>
      <c r="B79" s="606"/>
      <c r="C79" s="295" t="s">
        <v>253</v>
      </c>
      <c r="D79" s="624"/>
      <c r="E79" s="295"/>
      <c r="F79" s="295"/>
      <c r="G79" s="295"/>
      <c r="H79" s="295"/>
      <c r="I79" s="295"/>
      <c r="J79" s="295"/>
      <c r="K79" s="295"/>
      <c r="L79" s="295"/>
      <c r="M79" s="295"/>
      <c r="N79" s="295"/>
      <c r="O79" s="295"/>
      <c r="P79" s="295"/>
      <c r="Q79" s="295"/>
      <c r="R79" s="295"/>
      <c r="S79" s="295"/>
      <c r="T79" s="295"/>
      <c r="U79" s="296"/>
      <c r="V79" s="296"/>
      <c r="W79" s="296">
        <v>201.17</v>
      </c>
      <c r="X79" s="296"/>
      <c r="Y79" s="296"/>
      <c r="Z79" s="296"/>
      <c r="AA79" s="296"/>
      <c r="AB79" s="296"/>
      <c r="AC79" s="295" t="s">
        <v>247</v>
      </c>
      <c r="AD79" s="297">
        <f t="shared" si="97"/>
        <v>8</v>
      </c>
      <c r="AE79" s="298">
        <f>'1. ABA DE CARREGAMENTO'!$B$90</f>
        <v>24</v>
      </c>
      <c r="AF79" s="624"/>
      <c r="AG79" s="299">
        <f t="shared" si="99"/>
        <v>0</v>
      </c>
      <c r="AH79" s="299">
        <f t="shared" si="100"/>
        <v>0</v>
      </c>
      <c r="AI79" s="299">
        <f t="shared" si="101"/>
        <v>0</v>
      </c>
      <c r="AJ79" s="299">
        <f t="shared" si="102"/>
        <v>0</v>
      </c>
      <c r="AK79" s="299">
        <f t="shared" si="103"/>
        <v>0</v>
      </c>
      <c r="AL79" s="299">
        <f t="shared" si="88"/>
        <v>0</v>
      </c>
      <c r="AM79" s="299">
        <f t="shared" si="89"/>
        <v>0</v>
      </c>
      <c r="AN79" s="299">
        <f t="shared" si="94"/>
        <v>0</v>
      </c>
      <c r="AO79" s="299">
        <f t="shared" si="95"/>
        <v>0</v>
      </c>
      <c r="AP79" s="299">
        <f t="shared" si="90"/>
        <v>0</v>
      </c>
      <c r="AQ79" s="299">
        <f t="shared" si="91"/>
        <v>0</v>
      </c>
      <c r="AR79" s="299">
        <f t="shared" si="104"/>
        <v>0</v>
      </c>
      <c r="AS79" s="299">
        <f t="shared" si="105"/>
        <v>0</v>
      </c>
      <c r="AT79" s="299">
        <f t="shared" si="106"/>
        <v>0</v>
      </c>
      <c r="AU79" s="299">
        <f t="shared" si="107"/>
        <v>0</v>
      </c>
      <c r="AV79" s="299">
        <f t="shared" si="108"/>
        <v>0</v>
      </c>
      <c r="AW79" s="299">
        <f t="shared" si="109"/>
        <v>0</v>
      </c>
      <c r="AX79" s="299">
        <f t="shared" si="110"/>
        <v>0</v>
      </c>
      <c r="AY79" s="299">
        <f t="shared" si="111"/>
        <v>67.056666666666658</v>
      </c>
      <c r="AZ79" s="299">
        <f t="shared" si="112"/>
        <v>0</v>
      </c>
      <c r="BA79" s="299">
        <f t="shared" si="113"/>
        <v>0</v>
      </c>
      <c r="BB79" s="299">
        <f t="shared" si="92"/>
        <v>0</v>
      </c>
      <c r="BC79" s="299">
        <f t="shared" si="93"/>
        <v>0</v>
      </c>
      <c r="BD79" s="299"/>
      <c r="BE79" s="300"/>
      <c r="BF79" s="300"/>
      <c r="BG79" s="300"/>
      <c r="BH79" s="300"/>
      <c r="BI79" s="300"/>
      <c r="BJ79" s="300"/>
      <c r="BK79" s="300"/>
      <c r="BL79" s="300"/>
    </row>
    <row r="80" spans="1:64" s="301" customFormat="1">
      <c r="A80" s="603"/>
      <c r="B80" s="606"/>
      <c r="C80" s="295" t="s">
        <v>45</v>
      </c>
      <c r="D80" s="624"/>
      <c r="E80" s="295"/>
      <c r="F80" s="302"/>
      <c r="G80" s="295"/>
      <c r="H80" s="295"/>
      <c r="I80" s="295"/>
      <c r="J80" s="295"/>
      <c r="K80" s="295"/>
      <c r="L80" s="295"/>
      <c r="M80" s="295"/>
      <c r="N80" s="295"/>
      <c r="O80" s="295"/>
      <c r="P80" s="295"/>
      <c r="Q80" s="295"/>
      <c r="R80" s="295"/>
      <c r="S80" s="295"/>
      <c r="T80" s="295"/>
      <c r="U80" s="296"/>
      <c r="V80" s="296"/>
      <c r="W80" s="296"/>
      <c r="X80" s="296"/>
      <c r="Y80" s="296"/>
      <c r="Z80" s="296"/>
      <c r="AA80" s="296">
        <v>45</v>
      </c>
      <c r="AB80" s="296"/>
      <c r="AC80" s="295" t="s">
        <v>263</v>
      </c>
      <c r="AD80" s="297">
        <f t="shared" si="97"/>
        <v>4.33</v>
      </c>
      <c r="AE80" s="298">
        <f>'1. ABA DE CARREGAMENTO'!$B$90</f>
        <v>24</v>
      </c>
      <c r="AF80" s="624"/>
      <c r="AG80" s="299">
        <f t="shared" si="99"/>
        <v>0</v>
      </c>
      <c r="AH80" s="299">
        <f t="shared" si="100"/>
        <v>0</v>
      </c>
      <c r="AI80" s="299">
        <f t="shared" si="101"/>
        <v>0</v>
      </c>
      <c r="AJ80" s="299">
        <f t="shared" si="102"/>
        <v>0</v>
      </c>
      <c r="AK80" s="299">
        <f t="shared" si="103"/>
        <v>0</v>
      </c>
      <c r="AL80" s="299">
        <f t="shared" si="88"/>
        <v>0</v>
      </c>
      <c r="AM80" s="299">
        <f t="shared" si="89"/>
        <v>0</v>
      </c>
      <c r="AN80" s="299">
        <f t="shared" si="94"/>
        <v>0</v>
      </c>
      <c r="AO80" s="299">
        <f t="shared" si="95"/>
        <v>0</v>
      </c>
      <c r="AP80" s="299">
        <f t="shared" si="90"/>
        <v>0</v>
      </c>
      <c r="AQ80" s="299">
        <f t="shared" si="91"/>
        <v>0</v>
      </c>
      <c r="AR80" s="299">
        <f t="shared" si="104"/>
        <v>0</v>
      </c>
      <c r="AS80" s="299">
        <f t="shared" si="105"/>
        <v>0</v>
      </c>
      <c r="AT80" s="299">
        <f t="shared" si="106"/>
        <v>0</v>
      </c>
      <c r="AU80" s="299">
        <f t="shared" si="107"/>
        <v>0</v>
      </c>
      <c r="AV80" s="299">
        <f t="shared" si="108"/>
        <v>0</v>
      </c>
      <c r="AW80" s="299">
        <f t="shared" si="109"/>
        <v>0</v>
      </c>
      <c r="AX80" s="299">
        <f t="shared" si="110"/>
        <v>0</v>
      </c>
      <c r="AY80" s="299">
        <f t="shared" si="111"/>
        <v>0</v>
      </c>
      <c r="AZ80" s="299">
        <f t="shared" si="112"/>
        <v>0</v>
      </c>
      <c r="BA80" s="299">
        <f t="shared" si="113"/>
        <v>0</v>
      </c>
      <c r="BB80" s="299">
        <f t="shared" si="92"/>
        <v>0</v>
      </c>
      <c r="BC80" s="299">
        <f t="shared" si="93"/>
        <v>8.1187500000000004</v>
      </c>
      <c r="BD80" s="299">
        <f t="shared" ref="BD80:BD83" si="115">(AB80*AD80)/AE80</f>
        <v>0</v>
      </c>
      <c r="BE80" s="300"/>
      <c r="BF80" s="300"/>
      <c r="BG80" s="300"/>
      <c r="BH80" s="300"/>
      <c r="BI80" s="300"/>
      <c r="BJ80" s="300"/>
      <c r="BK80" s="300"/>
      <c r="BL80" s="300"/>
    </row>
    <row r="81" spans="1:64" s="301" customFormat="1">
      <c r="A81" s="603"/>
      <c r="B81" s="606"/>
      <c r="C81" s="295" t="s">
        <v>46</v>
      </c>
      <c r="D81" s="624"/>
      <c r="E81" s="295"/>
      <c r="F81" s="302"/>
      <c r="G81" s="295"/>
      <c r="H81" s="295"/>
      <c r="I81" s="295"/>
      <c r="J81" s="295"/>
      <c r="K81" s="295"/>
      <c r="L81" s="295"/>
      <c r="M81" s="295"/>
      <c r="N81" s="295"/>
      <c r="O81" s="295"/>
      <c r="P81" s="295"/>
      <c r="Q81" s="295"/>
      <c r="R81" s="295"/>
      <c r="S81" s="295"/>
      <c r="T81" s="295"/>
      <c r="U81" s="296"/>
      <c r="V81" s="296"/>
      <c r="W81" s="296"/>
      <c r="X81" s="296"/>
      <c r="Y81" s="296"/>
      <c r="Z81" s="296"/>
      <c r="AA81" s="296"/>
      <c r="AB81" s="296">
        <v>26.74</v>
      </c>
      <c r="AC81" s="295" t="s">
        <v>263</v>
      </c>
      <c r="AD81" s="297">
        <f t="shared" si="97"/>
        <v>4.33</v>
      </c>
      <c r="AE81" s="298">
        <f>'1. ABA DE CARREGAMENTO'!$B$90</f>
        <v>24</v>
      </c>
      <c r="AF81" s="624"/>
      <c r="AG81" s="299">
        <f t="shared" si="99"/>
        <v>0</v>
      </c>
      <c r="AH81" s="299">
        <f t="shared" si="100"/>
        <v>0</v>
      </c>
      <c r="AI81" s="299">
        <f t="shared" si="101"/>
        <v>0</v>
      </c>
      <c r="AJ81" s="299">
        <f t="shared" si="102"/>
        <v>0</v>
      </c>
      <c r="AK81" s="299">
        <f t="shared" si="103"/>
        <v>0</v>
      </c>
      <c r="AL81" s="299">
        <f t="shared" ref="AL81:AL83" si="116">(J81*AD81)/AE81</f>
        <v>0</v>
      </c>
      <c r="AM81" s="299">
        <f t="shared" ref="AM81:AM83" si="117">(K81*AD81)/AE81</f>
        <v>0</v>
      </c>
      <c r="AN81" s="299">
        <f t="shared" si="94"/>
        <v>0</v>
      </c>
      <c r="AO81" s="299">
        <f t="shared" si="95"/>
        <v>0</v>
      </c>
      <c r="AP81" s="299">
        <f t="shared" ref="AP81:AP83" si="118">(N81*AD81)/AE81</f>
        <v>0</v>
      </c>
      <c r="AQ81" s="299">
        <f t="shared" ref="AQ81:AQ83" si="119">(O81*AD81)/AE81</f>
        <v>0</v>
      </c>
      <c r="AR81" s="299">
        <f t="shared" si="104"/>
        <v>0</v>
      </c>
      <c r="AS81" s="299">
        <f t="shared" si="105"/>
        <v>0</v>
      </c>
      <c r="AT81" s="299">
        <f t="shared" si="106"/>
        <v>0</v>
      </c>
      <c r="AU81" s="299">
        <f t="shared" si="107"/>
        <v>0</v>
      </c>
      <c r="AV81" s="299">
        <f t="shared" si="108"/>
        <v>0</v>
      </c>
      <c r="AW81" s="299">
        <f t="shared" si="109"/>
        <v>0</v>
      </c>
      <c r="AX81" s="299">
        <f t="shared" si="110"/>
        <v>0</v>
      </c>
      <c r="AY81" s="299">
        <f t="shared" si="111"/>
        <v>0</v>
      </c>
      <c r="AZ81" s="299">
        <f t="shared" si="112"/>
        <v>0</v>
      </c>
      <c r="BA81" s="299">
        <f t="shared" si="113"/>
        <v>0</v>
      </c>
      <c r="BB81" s="299">
        <f t="shared" ref="BB81:BB83" si="120">(Z81*AD81)/AE81</f>
        <v>0</v>
      </c>
      <c r="BC81" s="299">
        <f t="shared" ref="BC81:BC83" si="121">(AA81*AD81)/AE81</f>
        <v>0</v>
      </c>
      <c r="BD81" s="299">
        <f t="shared" si="115"/>
        <v>4.8243416666666663</v>
      </c>
      <c r="BE81" s="300"/>
      <c r="BF81" s="300"/>
      <c r="BG81" s="300"/>
      <c r="BH81" s="300"/>
      <c r="BI81" s="300"/>
      <c r="BJ81" s="300"/>
      <c r="BK81" s="300"/>
      <c r="BL81" s="300"/>
    </row>
    <row r="82" spans="1:64" s="301" customFormat="1">
      <c r="A82" s="604"/>
      <c r="B82" s="607"/>
      <c r="C82" s="295" t="s">
        <v>239</v>
      </c>
      <c r="D82" s="625"/>
      <c r="E82" s="295"/>
      <c r="F82" s="295"/>
      <c r="G82" s="295"/>
      <c r="H82" s="295"/>
      <c r="I82" s="295"/>
      <c r="J82" s="295"/>
      <c r="K82" s="295"/>
      <c r="L82" s="295"/>
      <c r="M82" s="295"/>
      <c r="N82" s="295"/>
      <c r="O82" s="295"/>
      <c r="P82" s="295"/>
      <c r="Q82" s="295"/>
      <c r="R82" s="295"/>
      <c r="S82" s="295"/>
      <c r="T82" s="295"/>
      <c r="U82" s="296"/>
      <c r="V82" s="296"/>
      <c r="W82" s="296"/>
      <c r="X82" s="296"/>
      <c r="Y82" s="296"/>
      <c r="Z82" s="296">
        <v>26.74</v>
      </c>
      <c r="AA82" s="296"/>
      <c r="AB82" s="296"/>
      <c r="AC82" s="295" t="s">
        <v>243</v>
      </c>
      <c r="AD82" s="297">
        <f t="shared" si="97"/>
        <v>72</v>
      </c>
      <c r="AE82" s="298">
        <f>'1. ABA DE CARREGAMENTO'!$B$90</f>
        <v>24</v>
      </c>
      <c r="AF82" s="625"/>
      <c r="AG82" s="299">
        <f t="shared" si="99"/>
        <v>0</v>
      </c>
      <c r="AH82" s="299">
        <f t="shared" si="100"/>
        <v>0</v>
      </c>
      <c r="AI82" s="299">
        <f t="shared" si="101"/>
        <v>0</v>
      </c>
      <c r="AJ82" s="299">
        <f t="shared" si="102"/>
        <v>0</v>
      </c>
      <c r="AK82" s="299">
        <f t="shared" si="103"/>
        <v>0</v>
      </c>
      <c r="AL82" s="299">
        <f t="shared" si="116"/>
        <v>0</v>
      </c>
      <c r="AM82" s="299">
        <f t="shared" si="117"/>
        <v>0</v>
      </c>
      <c r="AN82" s="299">
        <f t="shared" si="94"/>
        <v>0</v>
      </c>
      <c r="AO82" s="299">
        <f t="shared" si="95"/>
        <v>0</v>
      </c>
      <c r="AP82" s="299">
        <f t="shared" si="118"/>
        <v>0</v>
      </c>
      <c r="AQ82" s="299">
        <f t="shared" si="119"/>
        <v>0</v>
      </c>
      <c r="AR82" s="299">
        <f t="shared" si="104"/>
        <v>0</v>
      </c>
      <c r="AS82" s="299">
        <f t="shared" si="105"/>
        <v>0</v>
      </c>
      <c r="AT82" s="299">
        <f t="shared" si="106"/>
        <v>0</v>
      </c>
      <c r="AU82" s="299">
        <f t="shared" si="107"/>
        <v>0</v>
      </c>
      <c r="AV82" s="299">
        <f t="shared" si="108"/>
        <v>0</v>
      </c>
      <c r="AW82" s="299">
        <f t="shared" si="109"/>
        <v>0</v>
      </c>
      <c r="AX82" s="299">
        <f t="shared" si="110"/>
        <v>0</v>
      </c>
      <c r="AY82" s="299">
        <f t="shared" si="111"/>
        <v>0</v>
      </c>
      <c r="AZ82" s="299">
        <f t="shared" si="112"/>
        <v>0</v>
      </c>
      <c r="BA82" s="299">
        <f t="shared" si="113"/>
        <v>0</v>
      </c>
      <c r="BB82" s="299">
        <f t="shared" si="120"/>
        <v>80.22</v>
      </c>
      <c r="BC82" s="299">
        <f t="shared" si="121"/>
        <v>0</v>
      </c>
      <c r="BD82" s="299">
        <f t="shared" si="115"/>
        <v>0</v>
      </c>
      <c r="BE82" s="300"/>
      <c r="BF82" s="300"/>
      <c r="BG82" s="300"/>
      <c r="BH82" s="300"/>
      <c r="BI82" s="300"/>
      <c r="BJ82" s="300"/>
      <c r="BK82" s="300"/>
      <c r="BL82" s="300"/>
    </row>
    <row r="83" spans="1:64" ht="25.5">
      <c r="A83" s="303">
        <v>13</v>
      </c>
      <c r="B83" s="289" t="s">
        <v>285</v>
      </c>
      <c r="C83" s="289" t="s">
        <v>286</v>
      </c>
      <c r="D83" s="293">
        <f>SUM(E83:AB83)</f>
        <v>800</v>
      </c>
      <c r="E83" s="289"/>
      <c r="F83" s="294"/>
      <c r="G83" s="289"/>
      <c r="H83" s="289"/>
      <c r="I83" s="289"/>
      <c r="J83" s="289"/>
      <c r="K83" s="289"/>
      <c r="L83" s="289"/>
      <c r="M83" s="289"/>
      <c r="N83" s="289"/>
      <c r="O83" s="289"/>
      <c r="P83" s="289">
        <v>800</v>
      </c>
      <c r="Q83" s="289"/>
      <c r="R83" s="289"/>
      <c r="S83" s="289"/>
      <c r="T83" s="289"/>
      <c r="U83" s="289"/>
      <c r="V83" s="289"/>
      <c r="W83" s="289"/>
      <c r="X83" s="289"/>
      <c r="Y83" s="289"/>
      <c r="Z83" s="289"/>
      <c r="AA83" s="289"/>
      <c r="AB83" s="289"/>
      <c r="AC83" s="289" t="s">
        <v>247</v>
      </c>
      <c r="AD83" s="288">
        <f>IF(AC83="DIÁRIA",AE83,IF(AC83="2xDIA",(AE83*2),IF(AC83="3xDIA",(AE83*3),IF(AC83="4xDIA",(AE83*4),IF(AC83="5xDIA",(AE83*5),IF(AC83="6xDIA",(AE83*6),IF(AC83="SEMANAL",4.33,IF(AC83="2xSEMANA",8,IF(AC83="3xSEMANA",12,IF(AC83="QUINZENAL",2,IF(AC83="MENSAL",1,IF(AC83="BIMESTRAL",0.5,IF(AC83="TRIMESTRAL",0.33,IF(AC83="SEMESTRAL",0.17,0))))))))))))))</f>
        <v>8</v>
      </c>
      <c r="AE83" s="292">
        <f>'1. ABA DE CARREGAMENTO'!$B$90</f>
        <v>24</v>
      </c>
      <c r="AF83" s="293">
        <f>SUM(AG83:BD83)</f>
        <v>266.66666666666669</v>
      </c>
      <c r="AG83" s="293">
        <f t="shared" si="99"/>
        <v>0</v>
      </c>
      <c r="AH83" s="293">
        <f t="shared" si="100"/>
        <v>0</v>
      </c>
      <c r="AI83" s="293">
        <f t="shared" si="101"/>
        <v>0</v>
      </c>
      <c r="AJ83" s="293">
        <f t="shared" si="102"/>
        <v>0</v>
      </c>
      <c r="AK83" s="293">
        <f t="shared" si="103"/>
        <v>0</v>
      </c>
      <c r="AL83" s="293">
        <f t="shared" si="116"/>
        <v>0</v>
      </c>
      <c r="AM83" s="293">
        <f t="shared" si="117"/>
        <v>0</v>
      </c>
      <c r="AN83" s="293">
        <f t="shared" si="94"/>
        <v>0</v>
      </c>
      <c r="AO83" s="293">
        <f t="shared" si="95"/>
        <v>0</v>
      </c>
      <c r="AP83" s="293">
        <f t="shared" si="118"/>
        <v>0</v>
      </c>
      <c r="AQ83" s="293">
        <f t="shared" si="119"/>
        <v>0</v>
      </c>
      <c r="AR83" s="293">
        <f t="shared" si="104"/>
        <v>266.66666666666669</v>
      </c>
      <c r="AS83" s="293">
        <f t="shared" si="105"/>
        <v>0</v>
      </c>
      <c r="AT83" s="293">
        <f t="shared" si="106"/>
        <v>0</v>
      </c>
      <c r="AU83" s="293">
        <f t="shared" si="107"/>
        <v>0</v>
      </c>
      <c r="AV83" s="293">
        <f t="shared" si="108"/>
        <v>0</v>
      </c>
      <c r="AW83" s="293">
        <f t="shared" si="109"/>
        <v>0</v>
      </c>
      <c r="AX83" s="293">
        <f t="shared" si="110"/>
        <v>0</v>
      </c>
      <c r="AY83" s="293">
        <f t="shared" si="111"/>
        <v>0</v>
      </c>
      <c r="AZ83" s="293">
        <f t="shared" si="112"/>
        <v>0</v>
      </c>
      <c r="BA83" s="293">
        <f t="shared" si="113"/>
        <v>0</v>
      </c>
      <c r="BB83" s="293">
        <f t="shared" si="120"/>
        <v>0</v>
      </c>
      <c r="BC83" s="293">
        <f t="shared" si="121"/>
        <v>0</v>
      </c>
      <c r="BD83" s="293">
        <f t="shared" si="115"/>
        <v>0</v>
      </c>
      <c r="BE83" s="267"/>
      <c r="BF83" s="267"/>
      <c r="BG83" s="267"/>
      <c r="BH83" s="267"/>
      <c r="BI83" s="267"/>
      <c r="BJ83" s="267"/>
      <c r="BK83" s="267"/>
      <c r="BL83" s="267"/>
    </row>
    <row r="84" spans="1:64">
      <c r="A84" s="268" t="s">
        <v>200</v>
      </c>
      <c r="B84" s="268"/>
      <c r="C84" s="268"/>
      <c r="D84" s="269">
        <f t="shared" ref="D84:I84" si="122">SUM(D5:D83)</f>
        <v>29917.850000000002</v>
      </c>
      <c r="E84" s="269">
        <f t="shared" si="122"/>
        <v>2775.7900000000004</v>
      </c>
      <c r="F84" s="269">
        <f t="shared" si="122"/>
        <v>6880.4499999999989</v>
      </c>
      <c r="G84" s="269">
        <f t="shared" si="122"/>
        <v>1262.23</v>
      </c>
      <c r="H84" s="269">
        <f t="shared" si="122"/>
        <v>345.89</v>
      </c>
      <c r="I84" s="269">
        <f t="shared" si="122"/>
        <v>586.84</v>
      </c>
      <c r="J84" s="269"/>
      <c r="K84" s="269"/>
      <c r="L84" s="269">
        <f t="shared" ref="L84:Y84" si="123">SUM(L5:L83)</f>
        <v>2859.83</v>
      </c>
      <c r="M84" s="269">
        <f t="shared" si="123"/>
        <v>605.78000000000009</v>
      </c>
      <c r="N84" s="269">
        <f t="shared" si="123"/>
        <v>0</v>
      </c>
      <c r="O84" s="269">
        <f t="shared" si="123"/>
        <v>0</v>
      </c>
      <c r="P84" s="269">
        <f t="shared" si="123"/>
        <v>1835.34</v>
      </c>
      <c r="Q84" s="269">
        <f t="shared" si="123"/>
        <v>0</v>
      </c>
      <c r="R84" s="269">
        <f t="shared" si="123"/>
        <v>0</v>
      </c>
      <c r="S84" s="269">
        <f t="shared" si="123"/>
        <v>0</v>
      </c>
      <c r="T84" s="269">
        <f t="shared" si="123"/>
        <v>0</v>
      </c>
      <c r="U84" s="269">
        <f t="shared" si="123"/>
        <v>486.70000000000005</v>
      </c>
      <c r="V84" s="269">
        <f t="shared" si="123"/>
        <v>2693.1100000000006</v>
      </c>
      <c r="W84" s="269">
        <f t="shared" si="123"/>
        <v>5186.1500000000005</v>
      </c>
      <c r="X84" s="269">
        <f t="shared" si="123"/>
        <v>0</v>
      </c>
      <c r="Y84" s="269">
        <f t="shared" si="123"/>
        <v>122.84</v>
      </c>
      <c r="Z84" s="269"/>
      <c r="AA84" s="269"/>
      <c r="AB84" s="269">
        <f t="shared" ref="AB84:BD84" si="124">SUM(AB5:AB83)</f>
        <v>954.19000000000017</v>
      </c>
      <c r="AC84" s="269">
        <f t="shared" si="124"/>
        <v>0</v>
      </c>
      <c r="AD84" s="269">
        <f t="shared" si="124"/>
        <v>2342.6299999999997</v>
      </c>
      <c r="AE84" s="269">
        <f t="shared" si="124"/>
        <v>1896</v>
      </c>
      <c r="AF84" s="269">
        <f t="shared" si="124"/>
        <v>35233.9175875</v>
      </c>
      <c r="AG84" s="269">
        <f t="shared" si="124"/>
        <v>3971.2366666666671</v>
      </c>
      <c r="AH84" s="269">
        <f t="shared" si="124"/>
        <v>12988.157120833335</v>
      </c>
      <c r="AI84" s="269">
        <f t="shared" si="124"/>
        <v>1262.23</v>
      </c>
      <c r="AJ84" s="269">
        <f t="shared" si="124"/>
        <v>62.404320833333337</v>
      </c>
      <c r="AK84" s="269">
        <f t="shared" si="124"/>
        <v>586.84</v>
      </c>
      <c r="AL84" s="269">
        <f t="shared" si="124"/>
        <v>0</v>
      </c>
      <c r="AM84" s="269">
        <f t="shared" si="124"/>
        <v>0</v>
      </c>
      <c r="AN84" s="269">
        <f t="shared" si="124"/>
        <v>7158.9499999999989</v>
      </c>
      <c r="AO84" s="269">
        <f t="shared" si="124"/>
        <v>312.88166666666666</v>
      </c>
      <c r="AP84" s="269">
        <f t="shared" si="124"/>
        <v>0</v>
      </c>
      <c r="AQ84" s="269">
        <f t="shared" si="124"/>
        <v>0</v>
      </c>
      <c r="AR84" s="269">
        <f t="shared" si="124"/>
        <v>784.33666666666659</v>
      </c>
      <c r="AS84" s="269">
        <f t="shared" si="124"/>
        <v>0</v>
      </c>
      <c r="AT84" s="269">
        <f t="shared" si="124"/>
        <v>0</v>
      </c>
      <c r="AU84" s="269">
        <f t="shared" si="124"/>
        <v>0</v>
      </c>
      <c r="AV84" s="269">
        <f t="shared" si="124"/>
        <v>0</v>
      </c>
      <c r="AW84" s="269">
        <f t="shared" si="124"/>
        <v>3.4474583333333335</v>
      </c>
      <c r="AX84" s="269">
        <f t="shared" si="124"/>
        <v>19.076195833333333</v>
      </c>
      <c r="AY84" s="269">
        <f t="shared" si="124"/>
        <v>1705.5300791666664</v>
      </c>
      <c r="AZ84" s="269">
        <f t="shared" si="124"/>
        <v>0</v>
      </c>
      <c r="BA84" s="269">
        <f t="shared" si="124"/>
        <v>737.04</v>
      </c>
      <c r="BB84" s="269">
        <f t="shared" si="124"/>
        <v>4836.2599999999993</v>
      </c>
      <c r="BC84" s="269">
        <f t="shared" si="124"/>
        <v>427.32048333333336</v>
      </c>
      <c r="BD84" s="269">
        <f t="shared" si="124"/>
        <v>378.20692916666667</v>
      </c>
      <c r="BE84" s="267"/>
      <c r="BF84" s="267"/>
      <c r="BG84" s="267"/>
      <c r="BH84" s="267"/>
      <c r="BI84" s="267"/>
      <c r="BJ84" s="267"/>
      <c r="BK84" s="267"/>
      <c r="BL84" s="267"/>
    </row>
  </sheetData>
  <sheetProtection selectLockedCells="1" selectUnlockedCells="1"/>
  <mergeCells count="58">
    <mergeCell ref="AF47:AF57"/>
    <mergeCell ref="AF58:AF64"/>
    <mergeCell ref="AF65:AF74"/>
    <mergeCell ref="AF75:AF82"/>
    <mergeCell ref="D58:D64"/>
    <mergeCell ref="D65:D74"/>
    <mergeCell ref="D75:D82"/>
    <mergeCell ref="AF5:AF14"/>
    <mergeCell ref="AF15:AF20"/>
    <mergeCell ref="AF21:AF28"/>
    <mergeCell ref="AF29:AF36"/>
    <mergeCell ref="AF37:AF46"/>
    <mergeCell ref="A75:A82"/>
    <mergeCell ref="B75:B82"/>
    <mergeCell ref="D5:D14"/>
    <mergeCell ref="D15:D20"/>
    <mergeCell ref="D21:D28"/>
    <mergeCell ref="D29:D36"/>
    <mergeCell ref="D37:D46"/>
    <mergeCell ref="D47:D57"/>
    <mergeCell ref="A47:A57"/>
    <mergeCell ref="B47:B57"/>
    <mergeCell ref="A58:A64"/>
    <mergeCell ref="B58:B64"/>
    <mergeCell ref="A65:A74"/>
    <mergeCell ref="B65:B74"/>
    <mergeCell ref="A29:A36"/>
    <mergeCell ref="B29:B36"/>
    <mergeCell ref="A37:A46"/>
    <mergeCell ref="B37:B46"/>
    <mergeCell ref="A15:A20"/>
    <mergeCell ref="B15:B20"/>
    <mergeCell ref="A21:A28"/>
    <mergeCell ref="B21:B28"/>
    <mergeCell ref="AC1:AJ1"/>
    <mergeCell ref="AK1:BD1"/>
    <mergeCell ref="AC2:AC4"/>
    <mergeCell ref="AD2:AD4"/>
    <mergeCell ref="AE2:AE4"/>
    <mergeCell ref="AG3:AN3"/>
    <mergeCell ref="AO3:AV3"/>
    <mergeCell ref="AW3:AY3"/>
    <mergeCell ref="BB3:BD3"/>
    <mergeCell ref="AF2:BD2"/>
    <mergeCell ref="Z3:AB3"/>
    <mergeCell ref="E2:AB2"/>
    <mergeCell ref="E1:S1"/>
    <mergeCell ref="T1:AB1"/>
    <mergeCell ref="A5:A14"/>
    <mergeCell ref="B5:B14"/>
    <mergeCell ref="E3:L3"/>
    <mergeCell ref="M3:T3"/>
    <mergeCell ref="U3:W3"/>
    <mergeCell ref="A1:D1"/>
    <mergeCell ref="A2:A4"/>
    <mergeCell ref="B2:B4"/>
    <mergeCell ref="C2:C4"/>
    <mergeCell ref="D2:D4"/>
  </mergeCells>
  <pageMargins left="0.51181102362204722" right="0.51181102362204722" top="0.39370078740157483" bottom="0.59055118110236227" header="0.31496062992125984" footer="0.31496062992125984"/>
  <pageSetup paperSize="9" scale="41" fitToWidth="0" fitToHeight="0" orientation="landscape" useFirstPageNumber="1" r:id="rId1"/>
  <headerFooter>
    <oddFooter>&amp;L&amp;F - &amp;A&amp;CPágina &amp;P de &amp;N</oddFooter>
  </headerFooter>
  <colBreaks count="1" manualBreakCount="1">
    <brk id="27" max="83" man="1"/>
  </colBreaks>
  <extLst>
    <ext xmlns:x14="http://schemas.microsoft.com/office/spreadsheetml/2009/9/main" uri="{CCE6A557-97BC-4b89-ADB6-D9C93CAAB3DF}">
      <x14:dataValidations xmlns:xm="http://schemas.microsoft.com/office/excel/2006/main" count="1">
        <x14:dataValidation type="list" allowBlank="1" showInputMessage="1" showErrorMessage="1">
          <x14:formula1>
            <xm:f>Planilha1!$H$9:$H$22</xm:f>
          </x14:formula1>
          <xm:sqref>AC5:AC83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MK1008"/>
  <sheetViews>
    <sheetView showGridLines="0" view="pageBreakPreview" zoomScale="60" zoomScaleNormal="100" workbookViewId="0">
      <selection activeCell="B19" sqref="B19:C19"/>
    </sheetView>
  </sheetViews>
  <sheetFormatPr defaultColWidth="9" defaultRowHeight="12.75"/>
  <cols>
    <col min="1" max="1" width="26.140625" style="33" customWidth="1"/>
    <col min="2" max="2" width="20" style="33" customWidth="1"/>
    <col min="3" max="3" width="14" style="33" customWidth="1"/>
    <col min="4" max="4" width="14.28515625" style="33" customWidth="1"/>
    <col min="5" max="5" width="16" style="33" customWidth="1"/>
    <col min="6" max="6" width="13.7109375" style="33" customWidth="1"/>
    <col min="7" max="7" width="16.28515625" style="33" customWidth="1"/>
    <col min="8" max="8" width="13.5703125" style="33" customWidth="1"/>
    <col min="9" max="9" width="5.85546875" style="33" customWidth="1"/>
    <col min="10" max="10" width="13.5703125" style="33" customWidth="1"/>
    <col min="11" max="11" width="4.7109375" style="33" customWidth="1"/>
    <col min="12" max="12" width="8.140625" style="33" customWidth="1"/>
    <col min="13" max="13" width="4.42578125" style="33" customWidth="1"/>
    <col min="14" max="14" width="11.140625" style="33" customWidth="1"/>
    <col min="15" max="15" width="18" style="33" customWidth="1"/>
    <col min="16" max="16" width="9.5703125" style="33" customWidth="1"/>
    <col min="17" max="17" width="11.7109375" style="33" customWidth="1"/>
    <col min="18" max="19" width="9.140625" style="33" customWidth="1"/>
    <col min="20" max="26" width="8" style="33" customWidth="1"/>
    <col min="27" max="1025" width="14.42578125" style="33" customWidth="1"/>
  </cols>
  <sheetData>
    <row r="1" spans="1:26" ht="20.25">
      <c r="A1" s="639" t="s">
        <v>0</v>
      </c>
      <c r="B1" s="640"/>
      <c r="C1" s="640"/>
      <c r="D1" s="640"/>
      <c r="E1" s="640"/>
      <c r="F1" s="640"/>
      <c r="G1" s="640"/>
      <c r="H1" s="640"/>
      <c r="I1" s="640"/>
      <c r="J1" s="640"/>
      <c r="K1" s="640"/>
      <c r="L1" s="640"/>
      <c r="M1" s="640"/>
      <c r="N1" s="640"/>
      <c r="O1" s="640"/>
      <c r="P1" s="641"/>
      <c r="Q1" s="177"/>
      <c r="R1" s="177"/>
      <c r="S1" s="177"/>
      <c r="T1" s="177"/>
      <c r="U1" s="177"/>
      <c r="V1" s="177"/>
      <c r="W1" s="177"/>
      <c r="X1" s="177"/>
      <c r="Y1" s="177"/>
      <c r="Z1" s="177"/>
    </row>
    <row r="2" spans="1:26" ht="18">
      <c r="A2" s="642" t="s">
        <v>1</v>
      </c>
      <c r="B2" s="643"/>
      <c r="C2" s="643"/>
      <c r="D2" s="643"/>
      <c r="E2" s="643"/>
      <c r="F2" s="643"/>
      <c r="G2" s="643"/>
      <c r="H2" s="643"/>
      <c r="I2" s="643"/>
      <c r="J2" s="643"/>
      <c r="K2" s="643"/>
      <c r="L2" s="643"/>
      <c r="M2" s="643"/>
      <c r="N2" s="643"/>
      <c r="O2" s="643"/>
      <c r="P2" s="644"/>
      <c r="Q2" s="177"/>
      <c r="R2" s="177"/>
      <c r="S2" s="177"/>
      <c r="T2" s="177"/>
      <c r="U2" s="177"/>
      <c r="V2" s="177"/>
      <c r="W2" s="177"/>
      <c r="X2" s="177"/>
      <c r="Y2" s="177"/>
      <c r="Z2" s="177"/>
    </row>
    <row r="3" spans="1:26" ht="15.75">
      <c r="A3" s="645" t="s">
        <v>2</v>
      </c>
      <c r="B3" s="646"/>
      <c r="C3" s="646"/>
      <c r="D3" s="646"/>
      <c r="E3" s="646"/>
      <c r="F3" s="646"/>
      <c r="G3" s="646"/>
      <c r="H3" s="646"/>
      <c r="I3" s="646"/>
      <c r="J3" s="646"/>
      <c r="K3" s="646"/>
      <c r="L3" s="646"/>
      <c r="M3" s="646"/>
      <c r="N3" s="646"/>
      <c r="O3" s="646"/>
      <c r="P3" s="647"/>
      <c r="Q3" s="177"/>
      <c r="R3" s="177"/>
      <c r="S3" s="177"/>
      <c r="T3" s="177"/>
      <c r="U3" s="177"/>
      <c r="V3" s="177"/>
      <c r="W3" s="177"/>
      <c r="X3" s="177"/>
      <c r="Y3" s="177"/>
      <c r="Z3" s="177"/>
    </row>
    <row r="4" spans="1:26" ht="15.75">
      <c r="A4" s="648" t="str">
        <f>'1. ABA DE CARREGAMENTO'!A4</f>
        <v>CAMPUS ALEGRETE</v>
      </c>
      <c r="B4" s="649"/>
      <c r="C4" s="649"/>
      <c r="D4" s="649"/>
      <c r="E4" s="649"/>
      <c r="F4" s="649"/>
      <c r="G4" s="649"/>
      <c r="H4" s="649"/>
      <c r="I4" s="649"/>
      <c r="J4" s="649"/>
      <c r="K4" s="649"/>
      <c r="L4" s="649"/>
      <c r="M4" s="649"/>
      <c r="N4" s="649"/>
      <c r="O4" s="649"/>
      <c r="P4" s="650"/>
      <c r="Q4" s="177"/>
      <c r="R4" s="177"/>
      <c r="S4" s="177"/>
      <c r="T4" s="177"/>
      <c r="U4" s="177"/>
      <c r="V4" s="177"/>
      <c r="W4" s="177"/>
      <c r="X4" s="177"/>
      <c r="Y4" s="177"/>
      <c r="Z4" s="177"/>
    </row>
    <row r="5" spans="1:26" ht="20.25" customHeight="1">
      <c r="A5" s="651" t="s">
        <v>287</v>
      </c>
      <c r="B5" s="652"/>
      <c r="C5" s="652"/>
      <c r="D5" s="652"/>
      <c r="E5" s="652"/>
      <c r="F5" s="652"/>
      <c r="G5" s="652"/>
      <c r="H5" s="652"/>
      <c r="I5" s="652"/>
      <c r="J5" s="652"/>
      <c r="K5" s="652"/>
      <c r="L5" s="652"/>
      <c r="M5" s="652"/>
      <c r="N5" s="652"/>
      <c r="O5" s="652"/>
      <c r="P5" s="653"/>
      <c r="Q5" s="177"/>
      <c r="R5" s="177"/>
      <c r="S5" s="177"/>
      <c r="T5" s="177"/>
      <c r="U5" s="177"/>
      <c r="V5" s="177"/>
      <c r="W5" s="177"/>
      <c r="X5" s="177"/>
      <c r="Y5" s="177"/>
      <c r="Z5" s="177"/>
    </row>
    <row r="6" spans="1:26">
      <c r="A6" s="150"/>
      <c r="B6" s="150"/>
      <c r="C6" s="151"/>
      <c r="D6" s="151"/>
      <c r="E6" s="151"/>
      <c r="F6" s="151"/>
      <c r="G6" s="151"/>
      <c r="H6" s="151"/>
      <c r="I6" s="151"/>
      <c r="J6" s="151"/>
      <c r="K6" s="151"/>
      <c r="L6" s="151"/>
      <c r="M6" s="151"/>
      <c r="N6" s="151"/>
      <c r="O6" s="151"/>
      <c r="P6" s="151"/>
      <c r="Q6" s="242"/>
      <c r="R6" s="242"/>
      <c r="S6" s="242"/>
      <c r="T6" s="242"/>
      <c r="U6" s="242"/>
      <c r="V6" s="242"/>
      <c r="W6" s="242"/>
      <c r="X6" s="242"/>
      <c r="Y6" s="242"/>
      <c r="Z6" s="242"/>
    </row>
    <row r="7" spans="1:26" ht="122.25" customHeight="1">
      <c r="A7" s="208" t="s">
        <v>21</v>
      </c>
      <c r="B7" s="208" t="s">
        <v>22</v>
      </c>
      <c r="C7" s="209" t="s">
        <v>288</v>
      </c>
      <c r="D7" s="209" t="s">
        <v>289</v>
      </c>
      <c r="E7" s="209" t="s">
        <v>290</v>
      </c>
      <c r="F7" s="209" t="s">
        <v>291</v>
      </c>
      <c r="G7" s="209" t="s">
        <v>292</v>
      </c>
      <c r="H7" s="209" t="s">
        <v>293</v>
      </c>
      <c r="I7" s="634" t="s">
        <v>294</v>
      </c>
      <c r="J7" s="634"/>
      <c r="K7" s="634"/>
      <c r="L7" s="634"/>
      <c r="M7" s="634"/>
      <c r="N7" s="634"/>
      <c r="O7" s="634"/>
      <c r="P7" s="634"/>
      <c r="Q7" s="177"/>
      <c r="R7" s="177"/>
      <c r="S7" s="177"/>
      <c r="T7" s="177"/>
      <c r="U7" s="177"/>
      <c r="V7" s="177"/>
      <c r="W7" s="177"/>
      <c r="X7" s="177"/>
      <c r="Y7" s="177"/>
      <c r="Z7" s="177"/>
    </row>
    <row r="8" spans="1:26" ht="38.25">
      <c r="A8" s="628" t="s">
        <v>24</v>
      </c>
      <c r="B8" s="210" t="s">
        <v>25</v>
      </c>
      <c r="C8" s="156">
        <f>'1. ABA DE CARREGAMENTO'!$C$22</f>
        <v>1200</v>
      </c>
      <c r="D8" s="211">
        <f>'3. Áreas AL'!AG84-'3. Áreas AL'!AG75-'3. Áreas AL'!AG76</f>
        <v>3971.2366666666671</v>
      </c>
      <c r="E8" s="212">
        <f t="shared" ref="E8:E25" si="0">D8/C8</f>
        <v>3.3093638888888894</v>
      </c>
      <c r="F8" s="213">
        <f t="shared" ref="F8:F26" si="1">TRUNC(E8,0)</f>
        <v>3</v>
      </c>
      <c r="G8" s="212">
        <f t="shared" ref="G8:G26" si="2">E8-F8</f>
        <v>0.30936388888888944</v>
      </c>
      <c r="H8" s="212">
        <f t="shared" ref="H8:H26" si="3">G8*$C$28*60</f>
        <v>148.49466666666694</v>
      </c>
      <c r="I8" s="182">
        <f t="shared" ref="I8:I26" si="4">F8</f>
        <v>3</v>
      </c>
      <c r="J8" s="231" t="s">
        <v>295</v>
      </c>
      <c r="K8" s="182">
        <f t="shared" ref="K8:K24" si="5">$C$32</f>
        <v>0</v>
      </c>
      <c r="L8" s="231" t="s">
        <v>296</v>
      </c>
      <c r="M8" s="182">
        <v>1</v>
      </c>
      <c r="N8" s="231" t="s">
        <v>297</v>
      </c>
      <c r="O8" s="184">
        <f t="shared" ref="O8:O26" si="6">H8</f>
        <v>148.49466666666694</v>
      </c>
      <c r="P8" s="231" t="s">
        <v>298</v>
      </c>
      <c r="Q8" s="175"/>
      <c r="R8" s="243"/>
      <c r="S8" s="195"/>
      <c r="T8" s="195"/>
      <c r="U8" s="195"/>
      <c r="V8" s="195"/>
      <c r="W8" s="195"/>
      <c r="X8" s="195"/>
      <c r="Y8" s="195"/>
      <c r="Z8" s="195"/>
    </row>
    <row r="9" spans="1:26" ht="38.25" customHeight="1">
      <c r="A9" s="628"/>
      <c r="B9" s="210" t="s">
        <v>26</v>
      </c>
      <c r="C9" s="156">
        <f>'1. ABA DE CARREGAMENTO'!$C$23</f>
        <v>1200</v>
      </c>
      <c r="D9" s="211">
        <f>'3. Áreas AL'!AH84</f>
        <v>12988.157120833335</v>
      </c>
      <c r="E9" s="212">
        <f t="shared" si="0"/>
        <v>10.823464267361112</v>
      </c>
      <c r="F9" s="213">
        <f t="shared" si="1"/>
        <v>10</v>
      </c>
      <c r="G9" s="212">
        <f t="shared" si="2"/>
        <v>0.82346426736111233</v>
      </c>
      <c r="H9" s="212">
        <f t="shared" si="3"/>
        <v>395.26284833333392</v>
      </c>
      <c r="I9" s="182">
        <f t="shared" si="4"/>
        <v>10</v>
      </c>
      <c r="J9" s="231" t="s">
        <v>295</v>
      </c>
      <c r="K9" s="182">
        <f t="shared" si="5"/>
        <v>0</v>
      </c>
      <c r="L9" s="231" t="s">
        <v>296</v>
      </c>
      <c r="M9" s="182">
        <v>1</v>
      </c>
      <c r="N9" s="231" t="s">
        <v>297</v>
      </c>
      <c r="O9" s="184">
        <f t="shared" si="6"/>
        <v>395.26284833333392</v>
      </c>
      <c r="P9" s="231" t="s">
        <v>298</v>
      </c>
      <c r="Q9" s="195"/>
      <c r="R9" s="195"/>
      <c r="S9" s="195"/>
      <c r="T9" s="195"/>
      <c r="U9" s="195"/>
      <c r="V9" s="195"/>
      <c r="W9" s="195"/>
      <c r="X9" s="195"/>
      <c r="Y9" s="195"/>
      <c r="Z9" s="195"/>
    </row>
    <row r="10" spans="1:26" ht="38.25" customHeight="1">
      <c r="A10" s="628"/>
      <c r="B10" s="210" t="s">
        <v>27</v>
      </c>
      <c r="C10" s="156">
        <f>'1. ABA DE CARREGAMENTO'!$C$24</f>
        <v>450</v>
      </c>
      <c r="D10" s="211">
        <f>'3. Áreas AL'!AI84</f>
        <v>1262.23</v>
      </c>
      <c r="E10" s="212">
        <f t="shared" si="0"/>
        <v>2.8049555555555554</v>
      </c>
      <c r="F10" s="213">
        <f t="shared" si="1"/>
        <v>2</v>
      </c>
      <c r="G10" s="212">
        <f t="shared" si="2"/>
        <v>0.80495555555555542</v>
      </c>
      <c r="H10" s="212">
        <f t="shared" si="3"/>
        <v>386.37866666666662</v>
      </c>
      <c r="I10" s="182">
        <f t="shared" si="4"/>
        <v>2</v>
      </c>
      <c r="J10" s="231" t="s">
        <v>295</v>
      </c>
      <c r="K10" s="182">
        <f t="shared" si="5"/>
        <v>0</v>
      </c>
      <c r="L10" s="231" t="s">
        <v>296</v>
      </c>
      <c r="M10" s="182">
        <v>1</v>
      </c>
      <c r="N10" s="231" t="s">
        <v>297</v>
      </c>
      <c r="O10" s="184">
        <f t="shared" si="6"/>
        <v>386.37866666666662</v>
      </c>
      <c r="P10" s="231" t="s">
        <v>298</v>
      </c>
      <c r="Q10" s="195"/>
      <c r="R10" s="195"/>
      <c r="S10" s="195"/>
      <c r="T10" s="195"/>
      <c r="U10" s="195"/>
      <c r="V10" s="195"/>
      <c r="W10" s="195"/>
      <c r="X10" s="195"/>
      <c r="Y10" s="195"/>
      <c r="Z10" s="195"/>
    </row>
    <row r="11" spans="1:26" ht="38.25" customHeight="1">
      <c r="A11" s="628"/>
      <c r="B11" s="214" t="s">
        <v>28</v>
      </c>
      <c r="C11" s="156">
        <f>'1. ABA DE CARREGAMENTO'!$C$25</f>
        <v>2500</v>
      </c>
      <c r="D11" s="211">
        <f>'3. Áreas AL'!AJ84</f>
        <v>62.404320833333337</v>
      </c>
      <c r="E11" s="212">
        <f t="shared" si="0"/>
        <v>2.4961728333333336E-2</v>
      </c>
      <c r="F11" s="213">
        <f t="shared" si="1"/>
        <v>0</v>
      </c>
      <c r="G11" s="212">
        <f t="shared" si="2"/>
        <v>2.4961728333333336E-2</v>
      </c>
      <c r="H11" s="212">
        <f t="shared" si="3"/>
        <v>11.981629600000002</v>
      </c>
      <c r="I11" s="182">
        <f t="shared" si="4"/>
        <v>0</v>
      </c>
      <c r="J11" s="231" t="s">
        <v>295</v>
      </c>
      <c r="K11" s="182">
        <f t="shared" si="5"/>
        <v>0</v>
      </c>
      <c r="L11" s="231" t="s">
        <v>296</v>
      </c>
      <c r="M11" s="182">
        <v>1</v>
      </c>
      <c r="N11" s="231" t="s">
        <v>297</v>
      </c>
      <c r="O11" s="184">
        <f t="shared" si="6"/>
        <v>11.981629600000002</v>
      </c>
      <c r="P11" s="231" t="s">
        <v>298</v>
      </c>
      <c r="Q11" s="195"/>
      <c r="R11" s="195"/>
      <c r="S11" s="195"/>
      <c r="T11" s="195"/>
      <c r="U11" s="195"/>
      <c r="V11" s="195"/>
      <c r="W11" s="195"/>
      <c r="X11" s="195"/>
      <c r="Y11" s="195"/>
      <c r="Z11" s="195"/>
    </row>
    <row r="12" spans="1:26" ht="38.25" customHeight="1">
      <c r="A12" s="628"/>
      <c r="B12" s="210" t="s">
        <v>29</v>
      </c>
      <c r="C12" s="156">
        <f>'1. ABA DE CARREGAMENTO'!$C$26</f>
        <v>1800</v>
      </c>
      <c r="D12" s="211">
        <f>'3. Áreas AL'!AK84</f>
        <v>586.84</v>
      </c>
      <c r="E12" s="212">
        <f t="shared" si="0"/>
        <v>0.32602222222222221</v>
      </c>
      <c r="F12" s="213">
        <f t="shared" si="1"/>
        <v>0</v>
      </c>
      <c r="G12" s="212">
        <f t="shared" si="2"/>
        <v>0.32602222222222221</v>
      </c>
      <c r="H12" s="215">
        <f t="shared" si="3"/>
        <v>156.49066666666667</v>
      </c>
      <c r="I12" s="182">
        <f t="shared" si="4"/>
        <v>0</v>
      </c>
      <c r="J12" s="231" t="s">
        <v>295</v>
      </c>
      <c r="K12" s="182">
        <f t="shared" si="5"/>
        <v>0</v>
      </c>
      <c r="L12" s="231" t="s">
        <v>296</v>
      </c>
      <c r="M12" s="182">
        <v>1</v>
      </c>
      <c r="N12" s="231" t="s">
        <v>297</v>
      </c>
      <c r="O12" s="182">
        <f t="shared" si="6"/>
        <v>156.49066666666667</v>
      </c>
      <c r="P12" s="231" t="s">
        <v>298</v>
      </c>
      <c r="Q12" s="195"/>
      <c r="R12" s="195"/>
      <c r="S12" s="195"/>
      <c r="T12" s="195"/>
      <c r="U12" s="195"/>
      <c r="V12" s="195"/>
      <c r="W12" s="195"/>
      <c r="X12" s="195"/>
      <c r="Y12" s="195"/>
      <c r="Z12" s="195"/>
    </row>
    <row r="13" spans="1:26" ht="38.25" customHeight="1">
      <c r="A13" s="628"/>
      <c r="B13" s="214" t="s">
        <v>299</v>
      </c>
      <c r="C13" s="156">
        <f>'1. ABA DE CARREGAMENTO'!$C$27</f>
        <v>1500</v>
      </c>
      <c r="D13" s="211">
        <f>'3. Áreas AL'!AN84</f>
        <v>7158.9499999999989</v>
      </c>
      <c r="E13" s="212">
        <f t="shared" si="0"/>
        <v>4.7726333333333324</v>
      </c>
      <c r="F13" s="213">
        <f t="shared" si="1"/>
        <v>4</v>
      </c>
      <c r="G13" s="212">
        <f t="shared" si="2"/>
        <v>0.77263333333333239</v>
      </c>
      <c r="H13" s="212">
        <f t="shared" si="3"/>
        <v>370.86399999999958</v>
      </c>
      <c r="I13" s="182">
        <f t="shared" si="4"/>
        <v>4</v>
      </c>
      <c r="J13" s="231" t="s">
        <v>295</v>
      </c>
      <c r="K13" s="182">
        <f t="shared" si="5"/>
        <v>0</v>
      </c>
      <c r="L13" s="231" t="s">
        <v>296</v>
      </c>
      <c r="M13" s="182">
        <v>1</v>
      </c>
      <c r="N13" s="231" t="s">
        <v>297</v>
      </c>
      <c r="O13" s="184">
        <f t="shared" si="6"/>
        <v>370.86399999999958</v>
      </c>
      <c r="P13" s="231" t="s">
        <v>298</v>
      </c>
      <c r="Q13" s="195"/>
      <c r="R13" s="195"/>
      <c r="S13" s="195"/>
      <c r="T13" s="195"/>
      <c r="U13" s="195"/>
      <c r="V13" s="195"/>
      <c r="W13" s="195"/>
      <c r="X13" s="195"/>
      <c r="Y13" s="195"/>
      <c r="Z13" s="195"/>
    </row>
    <row r="14" spans="1:26" ht="54" customHeight="1">
      <c r="A14" s="628"/>
      <c r="B14" s="214" t="s">
        <v>31</v>
      </c>
      <c r="C14" s="156">
        <f>'1. ABA DE CARREGAMENTO'!$C$28</f>
        <v>1200</v>
      </c>
      <c r="D14" s="211">
        <f>'3. Áreas AL'!AG75+'3. Áreas AL'!AG76</f>
        <v>0</v>
      </c>
      <c r="E14" s="212">
        <f t="shared" si="0"/>
        <v>0</v>
      </c>
      <c r="F14" s="213">
        <f t="shared" si="1"/>
        <v>0</v>
      </c>
      <c r="G14" s="212">
        <f t="shared" si="2"/>
        <v>0</v>
      </c>
      <c r="H14" s="215">
        <f t="shared" si="3"/>
        <v>0</v>
      </c>
      <c r="I14" s="182">
        <f t="shared" si="4"/>
        <v>0</v>
      </c>
      <c r="J14" s="231" t="s">
        <v>295</v>
      </c>
      <c r="K14" s="182">
        <f t="shared" si="5"/>
        <v>0</v>
      </c>
      <c r="L14" s="231" t="s">
        <v>296</v>
      </c>
      <c r="M14" s="182">
        <v>1</v>
      </c>
      <c r="N14" s="231" t="s">
        <v>297</v>
      </c>
      <c r="O14" s="182">
        <f t="shared" si="6"/>
        <v>0</v>
      </c>
      <c r="P14" s="231" t="s">
        <v>298</v>
      </c>
      <c r="Q14" s="195"/>
      <c r="R14" s="195"/>
      <c r="S14" s="195"/>
      <c r="T14" s="195"/>
      <c r="U14" s="195"/>
      <c r="V14" s="195"/>
      <c r="W14" s="195"/>
      <c r="X14" s="195"/>
      <c r="Y14" s="195"/>
      <c r="Z14" s="195"/>
    </row>
    <row r="15" spans="1:26" ht="38.25" hidden="1" customHeight="1">
      <c r="A15" s="628"/>
      <c r="B15" s="214" t="s">
        <v>226</v>
      </c>
      <c r="C15" s="156">
        <f>'1. ABA DE CARREGAMENTO'!C29</f>
        <v>800</v>
      </c>
      <c r="D15" s="211">
        <f>'3. Áreas AL'!AL84</f>
        <v>0</v>
      </c>
      <c r="E15" s="212">
        <f t="shared" si="0"/>
        <v>0</v>
      </c>
      <c r="F15" s="213">
        <f t="shared" si="1"/>
        <v>0</v>
      </c>
      <c r="G15" s="212">
        <f t="shared" si="2"/>
        <v>0</v>
      </c>
      <c r="H15" s="212">
        <f t="shared" si="3"/>
        <v>0</v>
      </c>
      <c r="I15" s="182">
        <f t="shared" si="4"/>
        <v>0</v>
      </c>
      <c r="J15" s="231" t="s">
        <v>295</v>
      </c>
      <c r="K15" s="182">
        <f t="shared" si="5"/>
        <v>0</v>
      </c>
      <c r="L15" s="231" t="s">
        <v>296</v>
      </c>
      <c r="M15" s="182">
        <v>1</v>
      </c>
      <c r="N15" s="231" t="s">
        <v>297</v>
      </c>
      <c r="O15" s="184">
        <f t="shared" si="6"/>
        <v>0</v>
      </c>
      <c r="P15" s="231" t="s">
        <v>298</v>
      </c>
      <c r="Q15" s="195"/>
      <c r="R15" s="195"/>
      <c r="S15" s="195"/>
      <c r="T15" s="195"/>
      <c r="U15" s="195"/>
      <c r="V15" s="195"/>
      <c r="W15" s="195"/>
      <c r="X15" s="195"/>
      <c r="Y15" s="195"/>
      <c r="Z15" s="195"/>
    </row>
    <row r="16" spans="1:26" ht="38.25" hidden="1" customHeight="1">
      <c r="A16" s="628"/>
      <c r="B16" s="214" t="s">
        <v>33</v>
      </c>
      <c r="C16" s="156">
        <f>'1. ABA DE CARREGAMENTO'!C30</f>
        <v>450</v>
      </c>
      <c r="D16" s="211">
        <f>'3. Áreas AL'!AM84</f>
        <v>0</v>
      </c>
      <c r="E16" s="212">
        <f t="shared" si="0"/>
        <v>0</v>
      </c>
      <c r="F16" s="213">
        <f t="shared" si="1"/>
        <v>0</v>
      </c>
      <c r="G16" s="212">
        <f t="shared" si="2"/>
        <v>0</v>
      </c>
      <c r="H16" s="212">
        <f t="shared" si="3"/>
        <v>0</v>
      </c>
      <c r="I16" s="182">
        <f t="shared" si="4"/>
        <v>0</v>
      </c>
      <c r="J16" s="231" t="s">
        <v>295</v>
      </c>
      <c r="K16" s="182">
        <f t="shared" si="5"/>
        <v>0</v>
      </c>
      <c r="L16" s="231" t="s">
        <v>296</v>
      </c>
      <c r="M16" s="182">
        <v>1</v>
      </c>
      <c r="N16" s="231" t="s">
        <v>297</v>
      </c>
      <c r="O16" s="184">
        <f t="shared" si="6"/>
        <v>0</v>
      </c>
      <c r="P16" s="231" t="s">
        <v>298</v>
      </c>
      <c r="Q16" s="195"/>
      <c r="R16" s="195"/>
      <c r="S16" s="195"/>
      <c r="T16" s="195"/>
      <c r="U16" s="195"/>
      <c r="V16" s="195"/>
      <c r="W16" s="195"/>
      <c r="X16" s="195"/>
      <c r="Y16" s="195"/>
      <c r="Z16" s="195"/>
    </row>
    <row r="17" spans="1:26" ht="38.25" customHeight="1">
      <c r="A17" s="629" t="s">
        <v>34</v>
      </c>
      <c r="B17" s="166" t="s">
        <v>35</v>
      </c>
      <c r="C17" s="156">
        <f>'1. ABA DE CARREGAMENTO'!$C$31</f>
        <v>2700</v>
      </c>
      <c r="D17" s="168">
        <f>'3. Áreas AL'!AO84</f>
        <v>312.88166666666666</v>
      </c>
      <c r="E17" s="169">
        <f t="shared" si="0"/>
        <v>0.1158820987654321</v>
      </c>
      <c r="F17" s="170">
        <f t="shared" si="1"/>
        <v>0</v>
      </c>
      <c r="G17" s="169">
        <f t="shared" si="2"/>
        <v>0.1158820987654321</v>
      </c>
      <c r="H17" s="169">
        <f t="shared" si="3"/>
        <v>55.623407407407406</v>
      </c>
      <c r="I17" s="182">
        <f t="shared" si="4"/>
        <v>0</v>
      </c>
      <c r="J17" s="188" t="s">
        <v>295</v>
      </c>
      <c r="K17" s="182">
        <f t="shared" si="5"/>
        <v>0</v>
      </c>
      <c r="L17" s="188" t="s">
        <v>296</v>
      </c>
      <c r="M17" s="182">
        <v>1</v>
      </c>
      <c r="N17" s="188" t="s">
        <v>297</v>
      </c>
      <c r="O17" s="184">
        <f t="shared" si="6"/>
        <v>55.623407407407406</v>
      </c>
      <c r="P17" s="188" t="s">
        <v>298</v>
      </c>
      <c r="Q17" s="195"/>
      <c r="R17" s="195"/>
      <c r="S17" s="195"/>
      <c r="T17" s="195"/>
      <c r="U17" s="195"/>
      <c r="V17" s="195"/>
      <c r="W17" s="195"/>
      <c r="X17" s="195"/>
      <c r="Y17" s="195"/>
      <c r="Z17" s="195"/>
    </row>
    <row r="18" spans="1:26" ht="38.25" customHeight="1">
      <c r="A18" s="629"/>
      <c r="B18" s="166" t="s">
        <v>229</v>
      </c>
      <c r="C18" s="156">
        <f>'1. ABA DE CARREGAMENTO'!C32</f>
        <v>800</v>
      </c>
      <c r="D18" s="168">
        <f>'3. Áreas AL'!AP84</f>
        <v>0</v>
      </c>
      <c r="E18" s="169">
        <f t="shared" si="0"/>
        <v>0</v>
      </c>
      <c r="F18" s="170">
        <f t="shared" si="1"/>
        <v>0</v>
      </c>
      <c r="G18" s="169">
        <f t="shared" si="2"/>
        <v>0</v>
      </c>
      <c r="H18" s="169">
        <f t="shared" si="3"/>
        <v>0</v>
      </c>
      <c r="I18" s="182">
        <f t="shared" si="4"/>
        <v>0</v>
      </c>
      <c r="J18" s="188" t="s">
        <v>295</v>
      </c>
      <c r="K18" s="182">
        <f t="shared" si="5"/>
        <v>0</v>
      </c>
      <c r="L18" s="188" t="s">
        <v>296</v>
      </c>
      <c r="M18" s="182">
        <v>1</v>
      </c>
      <c r="N18" s="188" t="s">
        <v>297</v>
      </c>
      <c r="O18" s="184">
        <f t="shared" si="6"/>
        <v>0</v>
      </c>
      <c r="P18" s="188" t="s">
        <v>298</v>
      </c>
      <c r="Q18" s="195"/>
      <c r="R18" s="195"/>
      <c r="S18" s="195"/>
      <c r="T18" s="195"/>
      <c r="U18" s="195"/>
      <c r="V18" s="195"/>
      <c r="W18" s="195"/>
      <c r="X18" s="195"/>
      <c r="Y18" s="195"/>
      <c r="Z18" s="195"/>
    </row>
    <row r="19" spans="1:26" ht="38.25" customHeight="1">
      <c r="A19" s="629"/>
      <c r="B19" s="166" t="s">
        <v>230</v>
      </c>
      <c r="C19" s="156">
        <f>'1. ABA DE CARREGAMENTO'!C33</f>
        <v>450</v>
      </c>
      <c r="D19" s="168">
        <f>'3. Áreas AL'!AQ84</f>
        <v>0</v>
      </c>
      <c r="E19" s="169">
        <f t="shared" si="0"/>
        <v>0</v>
      </c>
      <c r="F19" s="170">
        <f t="shared" si="1"/>
        <v>0</v>
      </c>
      <c r="G19" s="169">
        <f t="shared" si="2"/>
        <v>0</v>
      </c>
      <c r="H19" s="216">
        <f t="shared" si="3"/>
        <v>0</v>
      </c>
      <c r="I19" s="182">
        <f t="shared" si="4"/>
        <v>0</v>
      </c>
      <c r="J19" s="188" t="s">
        <v>295</v>
      </c>
      <c r="K19" s="182">
        <f t="shared" si="5"/>
        <v>0</v>
      </c>
      <c r="L19" s="188" t="s">
        <v>296</v>
      </c>
      <c r="M19" s="182">
        <v>1</v>
      </c>
      <c r="N19" s="188" t="s">
        <v>297</v>
      </c>
      <c r="O19" s="182">
        <f t="shared" si="6"/>
        <v>0</v>
      </c>
      <c r="P19" s="188" t="s">
        <v>298</v>
      </c>
      <c r="Q19" s="195"/>
      <c r="R19" s="195"/>
      <c r="S19" s="195"/>
      <c r="T19" s="195"/>
      <c r="U19" s="195"/>
      <c r="V19" s="195"/>
      <c r="W19" s="195"/>
      <c r="X19" s="195"/>
      <c r="Y19" s="195"/>
      <c r="Z19" s="195"/>
    </row>
    <row r="20" spans="1:26" ht="38.25" customHeight="1">
      <c r="A20" s="629"/>
      <c r="B20" s="166" t="s">
        <v>38</v>
      </c>
      <c r="C20" s="156">
        <f>'1. ABA DE CARREGAMENTO'!$C$34</f>
        <v>9000</v>
      </c>
      <c r="D20" s="168">
        <f>'3. Áreas AL'!AR84</f>
        <v>784.33666666666659</v>
      </c>
      <c r="E20" s="169">
        <f t="shared" si="0"/>
        <v>8.7148518518518514E-2</v>
      </c>
      <c r="F20" s="170">
        <f t="shared" si="1"/>
        <v>0</v>
      </c>
      <c r="G20" s="169">
        <f t="shared" si="2"/>
        <v>8.7148518518518514E-2</v>
      </c>
      <c r="H20" s="169">
        <f t="shared" si="3"/>
        <v>41.831288888888885</v>
      </c>
      <c r="I20" s="182">
        <f t="shared" si="4"/>
        <v>0</v>
      </c>
      <c r="J20" s="188" t="s">
        <v>295</v>
      </c>
      <c r="K20" s="182">
        <f t="shared" si="5"/>
        <v>0</v>
      </c>
      <c r="L20" s="188" t="s">
        <v>296</v>
      </c>
      <c r="M20" s="182">
        <v>1</v>
      </c>
      <c r="N20" s="188" t="s">
        <v>297</v>
      </c>
      <c r="O20" s="184">
        <f t="shared" si="6"/>
        <v>41.831288888888885</v>
      </c>
      <c r="P20" s="188" t="s">
        <v>298</v>
      </c>
      <c r="Q20" s="195"/>
      <c r="R20" s="195"/>
      <c r="S20" s="195"/>
      <c r="T20" s="195"/>
      <c r="U20" s="195"/>
      <c r="V20" s="195"/>
      <c r="W20" s="195"/>
      <c r="X20" s="195"/>
      <c r="Y20" s="195"/>
      <c r="Z20" s="195"/>
    </row>
    <row r="21" spans="1:26" ht="38.25" customHeight="1">
      <c r="A21" s="629"/>
      <c r="B21" s="166" t="s">
        <v>39</v>
      </c>
      <c r="C21" s="156">
        <f>'1. ABA DE CARREGAMENTO'!$C$35</f>
        <v>2700</v>
      </c>
      <c r="D21" s="168">
        <f>'3. Áreas AL'!AS84</f>
        <v>0</v>
      </c>
      <c r="E21" s="169">
        <f t="shared" si="0"/>
        <v>0</v>
      </c>
      <c r="F21" s="170">
        <f t="shared" si="1"/>
        <v>0</v>
      </c>
      <c r="G21" s="169">
        <f t="shared" si="2"/>
        <v>0</v>
      </c>
      <c r="H21" s="217">
        <f t="shared" si="3"/>
        <v>0</v>
      </c>
      <c r="I21" s="182">
        <f t="shared" si="4"/>
        <v>0</v>
      </c>
      <c r="J21" s="188" t="s">
        <v>295</v>
      </c>
      <c r="K21" s="182">
        <f t="shared" si="5"/>
        <v>0</v>
      </c>
      <c r="L21" s="188" t="s">
        <v>296</v>
      </c>
      <c r="M21" s="182">
        <v>1</v>
      </c>
      <c r="N21" s="188" t="s">
        <v>297</v>
      </c>
      <c r="O21" s="232">
        <f t="shared" si="6"/>
        <v>0</v>
      </c>
      <c r="P21" s="188" t="s">
        <v>298</v>
      </c>
      <c r="Q21" s="195"/>
      <c r="R21" s="195"/>
      <c r="S21" s="195"/>
      <c r="T21" s="195"/>
      <c r="U21" s="195"/>
      <c r="V21" s="195"/>
      <c r="W21" s="195"/>
      <c r="X21" s="195"/>
      <c r="Y21" s="195"/>
      <c r="Z21" s="195"/>
    </row>
    <row r="22" spans="1:26" ht="38.25" customHeight="1">
      <c r="A22" s="629"/>
      <c r="B22" s="166" t="s">
        <v>40</v>
      </c>
      <c r="C22" s="156">
        <f>'1. ABA DE CARREGAMENTO'!$C$36</f>
        <v>2700</v>
      </c>
      <c r="D22" s="168">
        <f>'3. Áreas AL'!AT84</f>
        <v>0</v>
      </c>
      <c r="E22" s="169">
        <f t="shared" si="0"/>
        <v>0</v>
      </c>
      <c r="F22" s="170">
        <f t="shared" si="1"/>
        <v>0</v>
      </c>
      <c r="G22" s="169">
        <f t="shared" si="2"/>
        <v>0</v>
      </c>
      <c r="H22" s="217">
        <f t="shared" si="3"/>
        <v>0</v>
      </c>
      <c r="I22" s="182">
        <f t="shared" si="4"/>
        <v>0</v>
      </c>
      <c r="J22" s="188" t="s">
        <v>295</v>
      </c>
      <c r="K22" s="182">
        <f t="shared" si="5"/>
        <v>0</v>
      </c>
      <c r="L22" s="188" t="s">
        <v>296</v>
      </c>
      <c r="M22" s="182">
        <v>1</v>
      </c>
      <c r="N22" s="188" t="s">
        <v>297</v>
      </c>
      <c r="O22" s="232">
        <f t="shared" si="6"/>
        <v>0</v>
      </c>
      <c r="P22" s="188" t="s">
        <v>298</v>
      </c>
      <c r="Q22" s="195"/>
      <c r="R22" s="195"/>
      <c r="S22" s="195"/>
      <c r="T22" s="195"/>
      <c r="U22" s="195"/>
      <c r="V22" s="195"/>
      <c r="W22" s="195"/>
      <c r="X22" s="195"/>
      <c r="Y22" s="195"/>
      <c r="Z22" s="195"/>
    </row>
    <row r="23" spans="1:26" ht="38.25" customHeight="1">
      <c r="A23" s="629"/>
      <c r="B23" s="166" t="s">
        <v>41</v>
      </c>
      <c r="C23" s="156">
        <f>'1. ABA DE CARREGAMENTO'!$C$37</f>
        <v>2700</v>
      </c>
      <c r="D23" s="168">
        <f>'3. Áreas AL'!AU84</f>
        <v>0</v>
      </c>
      <c r="E23" s="169">
        <f t="shared" si="0"/>
        <v>0</v>
      </c>
      <c r="F23" s="170">
        <f t="shared" si="1"/>
        <v>0</v>
      </c>
      <c r="G23" s="169">
        <f t="shared" si="2"/>
        <v>0</v>
      </c>
      <c r="H23" s="217">
        <f t="shared" si="3"/>
        <v>0</v>
      </c>
      <c r="I23" s="182">
        <f t="shared" si="4"/>
        <v>0</v>
      </c>
      <c r="J23" s="188" t="s">
        <v>295</v>
      </c>
      <c r="K23" s="182">
        <f t="shared" si="5"/>
        <v>0</v>
      </c>
      <c r="L23" s="188" t="s">
        <v>296</v>
      </c>
      <c r="M23" s="182">
        <v>1</v>
      </c>
      <c r="N23" s="188" t="s">
        <v>297</v>
      </c>
      <c r="O23" s="232">
        <f t="shared" si="6"/>
        <v>0</v>
      </c>
      <c r="P23" s="188" t="s">
        <v>298</v>
      </c>
      <c r="Q23" s="195"/>
      <c r="R23" s="195"/>
      <c r="S23" s="195"/>
      <c r="T23" s="195"/>
      <c r="U23" s="195"/>
      <c r="V23" s="195"/>
      <c r="W23" s="195"/>
      <c r="X23" s="195"/>
      <c r="Y23" s="195"/>
      <c r="Z23" s="195"/>
    </row>
    <row r="24" spans="1:26" ht="38.25" customHeight="1">
      <c r="A24" s="629"/>
      <c r="B24" s="166" t="s">
        <v>42</v>
      </c>
      <c r="C24" s="156">
        <f>'1. ABA DE CARREGAMENTO'!$C$38</f>
        <v>100000</v>
      </c>
      <c r="D24" s="168">
        <f>'3. Áreas AL'!AV84</f>
        <v>0</v>
      </c>
      <c r="E24" s="169">
        <f t="shared" si="0"/>
        <v>0</v>
      </c>
      <c r="F24" s="170">
        <f t="shared" si="1"/>
        <v>0</v>
      </c>
      <c r="G24" s="169">
        <f t="shared" si="2"/>
        <v>0</v>
      </c>
      <c r="H24" s="169">
        <f t="shared" si="3"/>
        <v>0</v>
      </c>
      <c r="I24" s="182">
        <f t="shared" si="4"/>
        <v>0</v>
      </c>
      <c r="J24" s="188" t="s">
        <v>295</v>
      </c>
      <c r="K24" s="182">
        <f t="shared" si="5"/>
        <v>0</v>
      </c>
      <c r="L24" s="188" t="s">
        <v>296</v>
      </c>
      <c r="M24" s="182">
        <v>1</v>
      </c>
      <c r="N24" s="188" t="s">
        <v>297</v>
      </c>
      <c r="O24" s="184">
        <f t="shared" si="6"/>
        <v>0</v>
      </c>
      <c r="P24" s="188" t="s">
        <v>298</v>
      </c>
      <c r="Q24" s="195"/>
      <c r="R24" s="195"/>
      <c r="S24" s="195"/>
      <c r="T24" s="195"/>
      <c r="U24" s="195"/>
      <c r="V24" s="195"/>
      <c r="W24" s="195"/>
      <c r="X24" s="195"/>
      <c r="Y24" s="195"/>
      <c r="Z24" s="195"/>
    </row>
    <row r="25" spans="1:26" ht="38.25" customHeight="1">
      <c r="A25" s="218" t="s">
        <v>53</v>
      </c>
      <c r="B25" s="219" t="s">
        <v>54</v>
      </c>
      <c r="C25" s="220">
        <f>'1. ABA DE CARREGAMENTO'!$C$46</f>
        <v>450</v>
      </c>
      <c r="D25" s="221">
        <f>'3. Áreas AL'!BA84</f>
        <v>737.04</v>
      </c>
      <c r="E25" s="222">
        <f t="shared" si="0"/>
        <v>1.6378666666666666</v>
      </c>
      <c r="F25" s="223">
        <f t="shared" si="1"/>
        <v>1</v>
      </c>
      <c r="G25" s="222">
        <f t="shared" si="2"/>
        <v>0.63786666666666658</v>
      </c>
      <c r="H25" s="222">
        <f t="shared" si="3"/>
        <v>306.17599999999993</v>
      </c>
      <c r="I25" s="233">
        <f t="shared" si="4"/>
        <v>1</v>
      </c>
      <c r="J25" s="234" t="s">
        <v>295</v>
      </c>
      <c r="K25" s="233">
        <f>$C$28</f>
        <v>8</v>
      </c>
      <c r="L25" s="234" t="s">
        <v>296</v>
      </c>
      <c r="M25" s="233">
        <v>1</v>
      </c>
      <c r="N25" s="234" t="s">
        <v>297</v>
      </c>
      <c r="O25" s="235">
        <f t="shared" si="6"/>
        <v>306.17599999999993</v>
      </c>
      <c r="P25" s="234" t="s">
        <v>298</v>
      </c>
      <c r="Q25" s="195"/>
      <c r="R25" s="195"/>
      <c r="S25" s="195"/>
      <c r="T25" s="195"/>
      <c r="U25" s="195"/>
      <c r="V25" s="195"/>
      <c r="W25" s="195"/>
      <c r="X25" s="195"/>
      <c r="Y25" s="195"/>
      <c r="Z25" s="195"/>
    </row>
    <row r="26" spans="1:26" ht="52.5" customHeight="1">
      <c r="A26" s="635" t="s">
        <v>300</v>
      </c>
      <c r="B26" s="635"/>
      <c r="C26" s="635"/>
      <c r="D26" s="224">
        <f>SUM(D8:D25)</f>
        <v>27864.076441666668</v>
      </c>
      <c r="E26" s="104">
        <f>SUM(E8:E25)</f>
        <v>23.902298279645063</v>
      </c>
      <c r="F26" s="225">
        <f t="shared" si="1"/>
        <v>23</v>
      </c>
      <c r="G26" s="104">
        <f t="shared" si="2"/>
        <v>0.90229827964506271</v>
      </c>
      <c r="H26" s="226">
        <f t="shared" si="3"/>
        <v>433.1031742296301</v>
      </c>
      <c r="I26" s="236">
        <f t="shared" si="4"/>
        <v>23</v>
      </c>
      <c r="J26" s="237" t="s">
        <v>295</v>
      </c>
      <c r="K26" s="238">
        <f>$C$28</f>
        <v>8</v>
      </c>
      <c r="L26" s="237" t="s">
        <v>296</v>
      </c>
      <c r="M26" s="239">
        <v>1</v>
      </c>
      <c r="N26" s="237" t="s">
        <v>297</v>
      </c>
      <c r="O26" s="236">
        <f t="shared" si="6"/>
        <v>433.1031742296301</v>
      </c>
      <c r="P26" s="237" t="s">
        <v>298</v>
      </c>
      <c r="Q26" s="196"/>
      <c r="R26" s="197"/>
      <c r="S26" s="195"/>
      <c r="T26" s="195"/>
      <c r="U26" s="195"/>
      <c r="V26" s="195"/>
      <c r="W26" s="195"/>
      <c r="X26" s="195"/>
      <c r="Y26" s="195"/>
      <c r="Z26" s="195"/>
    </row>
    <row r="27" spans="1:26" ht="15.75" customHeight="1">
      <c r="A27" s="175"/>
      <c r="B27" s="175"/>
      <c r="C27" s="175"/>
      <c r="D27" s="176"/>
      <c r="E27" s="177"/>
      <c r="F27" s="178"/>
      <c r="G27" s="177"/>
      <c r="H27" s="177"/>
      <c r="I27" s="192"/>
      <c r="J27" s="193"/>
      <c r="K27" s="194"/>
      <c r="L27" s="193"/>
      <c r="M27" s="194"/>
      <c r="N27" s="193"/>
      <c r="O27" s="192"/>
      <c r="P27" s="193"/>
      <c r="Q27" s="195"/>
      <c r="R27" s="195"/>
      <c r="S27" s="195"/>
      <c r="T27" s="195"/>
      <c r="U27" s="195"/>
      <c r="V27" s="195"/>
      <c r="W27" s="195"/>
      <c r="X27" s="195"/>
      <c r="Y27" s="195"/>
      <c r="Z27" s="195"/>
    </row>
    <row r="28" spans="1:26" ht="20.25" customHeight="1">
      <c r="A28" s="636" t="s">
        <v>301</v>
      </c>
      <c r="B28" s="636"/>
      <c r="C28" s="227">
        <v>8</v>
      </c>
      <c r="D28" s="228" t="s">
        <v>302</v>
      </c>
      <c r="E28" s="637" t="s">
        <v>303</v>
      </c>
      <c r="F28" s="637"/>
      <c r="G28" s="637"/>
      <c r="H28" s="637"/>
      <c r="I28" s="637"/>
      <c r="J28" s="637"/>
      <c r="K28" s="637"/>
      <c r="L28" s="638">
        <f>F26+G26</f>
        <v>23.902298279645063</v>
      </c>
      <c r="M28" s="638"/>
      <c r="N28" s="638"/>
      <c r="O28" s="638"/>
      <c r="P28" s="638"/>
      <c r="Q28" s="195"/>
      <c r="R28" s="195"/>
      <c r="S28" s="195"/>
      <c r="T28" s="195"/>
      <c r="U28" s="195"/>
      <c r="V28" s="195"/>
      <c r="W28" s="195"/>
      <c r="X28" s="195"/>
      <c r="Y28" s="195"/>
      <c r="Z28" s="195"/>
    </row>
    <row r="29" spans="1:26" ht="18.75" customHeight="1">
      <c r="A29" s="630" t="s">
        <v>304</v>
      </c>
      <c r="B29" s="630"/>
      <c r="C29" s="630"/>
      <c r="D29" s="630"/>
      <c r="E29" s="630"/>
      <c r="F29" s="630"/>
      <c r="G29" s="630"/>
      <c r="H29" s="630"/>
      <c r="I29" s="630"/>
      <c r="J29" s="630"/>
      <c r="K29" s="630"/>
      <c r="L29" s="630"/>
      <c r="M29" s="630"/>
      <c r="N29" s="630"/>
      <c r="O29" s="630"/>
      <c r="P29" s="630"/>
      <c r="Q29" s="195"/>
      <c r="R29" s="195"/>
      <c r="S29" s="195"/>
      <c r="T29" s="195"/>
      <c r="U29" s="195"/>
      <c r="V29" s="195"/>
      <c r="W29" s="195"/>
      <c r="X29" s="195"/>
      <c r="Y29" s="195"/>
      <c r="Z29" s="195"/>
    </row>
    <row r="30" spans="1:26" ht="18.75" customHeight="1">
      <c r="A30" s="631" t="s">
        <v>305</v>
      </c>
      <c r="B30" s="631"/>
      <c r="C30" s="631"/>
      <c r="D30" s="631"/>
      <c r="E30" s="631"/>
      <c r="F30" s="631"/>
      <c r="G30" s="631"/>
      <c r="H30" s="631"/>
      <c r="I30" s="631"/>
      <c r="J30" s="631"/>
      <c r="K30" s="631"/>
      <c r="L30" s="631"/>
      <c r="M30" s="631"/>
      <c r="N30" s="631"/>
      <c r="O30" s="631"/>
      <c r="P30" s="631"/>
      <c r="Q30" s="192"/>
      <c r="R30" s="192"/>
      <c r="S30" s="192"/>
      <c r="T30" s="192"/>
      <c r="U30" s="192"/>
      <c r="V30" s="192"/>
      <c r="W30" s="192"/>
      <c r="X30" s="192"/>
      <c r="Y30" s="192"/>
      <c r="Z30" s="192"/>
    </row>
    <row r="31" spans="1:26" ht="35.25" customHeight="1">
      <c r="A31" s="632" t="s">
        <v>306</v>
      </c>
      <c r="B31" s="632"/>
      <c r="C31" s="632"/>
      <c r="D31" s="632"/>
      <c r="E31" s="632"/>
      <c r="F31" s="632"/>
      <c r="G31" s="632"/>
      <c r="H31" s="632"/>
      <c r="I31" s="632"/>
      <c r="J31" s="632"/>
      <c r="K31" s="632"/>
      <c r="L31" s="632"/>
      <c r="M31" s="632"/>
      <c r="N31" s="632"/>
      <c r="O31" s="632"/>
      <c r="P31" s="632"/>
      <c r="Q31" s="198"/>
      <c r="R31" s="198"/>
      <c r="S31" s="198"/>
      <c r="T31" s="192"/>
      <c r="U31" s="192"/>
      <c r="V31" s="192"/>
      <c r="W31" s="192"/>
      <c r="X31" s="192"/>
      <c r="Y31" s="192"/>
      <c r="Z31" s="192"/>
    </row>
    <row r="32" spans="1:26" ht="18.75" customHeight="1">
      <c r="A32" s="632"/>
      <c r="B32" s="632"/>
      <c r="C32" s="632"/>
      <c r="D32" s="632"/>
      <c r="E32" s="632"/>
      <c r="F32" s="632"/>
      <c r="G32" s="632"/>
      <c r="H32" s="632"/>
      <c r="I32" s="632"/>
      <c r="J32" s="632"/>
      <c r="K32" s="632"/>
      <c r="L32" s="632"/>
      <c r="M32" s="632"/>
      <c r="N32" s="632"/>
      <c r="O32" s="632"/>
      <c r="P32" s="632"/>
      <c r="Q32" s="198"/>
      <c r="R32" s="198"/>
      <c r="S32" s="198"/>
      <c r="T32" s="192"/>
      <c r="U32" s="192"/>
      <c r="V32" s="192"/>
      <c r="W32" s="192"/>
      <c r="X32" s="192"/>
      <c r="Y32" s="192"/>
      <c r="Z32" s="192"/>
    </row>
    <row r="33" spans="1:26" ht="36" customHeight="1">
      <c r="A33" s="633" t="s">
        <v>307</v>
      </c>
      <c r="B33" s="633"/>
      <c r="C33" s="633"/>
      <c r="D33" s="633"/>
      <c r="E33" s="633"/>
      <c r="F33" s="633"/>
      <c r="G33" s="633"/>
      <c r="H33" s="633"/>
      <c r="I33" s="633"/>
      <c r="J33" s="633"/>
      <c r="K33" s="633"/>
      <c r="L33" s="633"/>
      <c r="M33" s="633"/>
      <c r="N33" s="633"/>
      <c r="O33" s="633"/>
      <c r="P33" s="633"/>
      <c r="Q33" s="198"/>
      <c r="R33" s="198"/>
      <c r="S33" s="198"/>
      <c r="T33" s="192"/>
      <c r="U33" s="192"/>
      <c r="V33" s="192"/>
      <c r="W33" s="192"/>
      <c r="X33" s="192"/>
      <c r="Y33" s="192"/>
      <c r="Z33" s="192"/>
    </row>
    <row r="34" spans="1:26" ht="18" customHeight="1">
      <c r="A34" s="229"/>
      <c r="B34" s="198"/>
      <c r="C34" s="198"/>
      <c r="D34" s="198"/>
      <c r="E34" s="230"/>
      <c r="F34" s="198"/>
      <c r="G34" s="230"/>
      <c r="H34" s="230"/>
      <c r="I34" s="198"/>
      <c r="J34" s="198"/>
      <c r="K34" s="198"/>
      <c r="L34" s="198"/>
      <c r="M34" s="198"/>
      <c r="N34" s="198"/>
      <c r="O34" s="198"/>
      <c r="P34" s="240"/>
      <c r="Q34" s="198"/>
      <c r="R34" s="198"/>
      <c r="S34" s="198"/>
      <c r="T34" s="192"/>
      <c r="U34" s="192"/>
      <c r="V34" s="192"/>
      <c r="W34" s="192"/>
      <c r="X34" s="192"/>
      <c r="Y34" s="192"/>
      <c r="Z34" s="192"/>
    </row>
    <row r="35" spans="1:26" ht="18" customHeight="1">
      <c r="A35" s="229"/>
      <c r="B35" s="198"/>
      <c r="C35" s="198"/>
      <c r="D35" s="198"/>
      <c r="E35" s="230"/>
      <c r="F35" s="198"/>
      <c r="G35" s="230"/>
      <c r="H35" s="230"/>
      <c r="I35" s="198"/>
      <c r="J35" s="198"/>
      <c r="K35" s="198"/>
      <c r="L35" s="198"/>
      <c r="M35" s="198"/>
      <c r="N35" s="198"/>
      <c r="O35" s="198"/>
      <c r="P35" s="240"/>
      <c r="Q35" s="198"/>
      <c r="R35" s="198"/>
      <c r="S35" s="198"/>
      <c r="T35" s="192"/>
      <c r="U35" s="192"/>
      <c r="V35" s="192"/>
      <c r="W35" s="192"/>
      <c r="X35" s="192"/>
      <c r="Y35" s="192"/>
      <c r="Z35" s="192"/>
    </row>
    <row r="36" spans="1:26" ht="18.75" customHeight="1">
      <c r="A36" s="626" t="s">
        <v>308</v>
      </c>
      <c r="B36" s="626"/>
      <c r="C36" s="626"/>
      <c r="D36" s="626"/>
      <c r="E36" s="626"/>
      <c r="F36" s="626"/>
      <c r="G36" s="626"/>
      <c r="H36" s="626"/>
      <c r="I36" s="626"/>
      <c r="J36" s="626"/>
      <c r="K36" s="626"/>
      <c r="L36" s="626"/>
      <c r="M36" s="626"/>
      <c r="N36" s="626"/>
      <c r="O36" s="626"/>
      <c r="P36" s="626"/>
      <c r="Q36" s="244"/>
      <c r="R36" s="244"/>
      <c r="S36" s="244"/>
      <c r="T36" s="192"/>
      <c r="U36" s="192"/>
      <c r="V36" s="192"/>
      <c r="W36" s="192"/>
      <c r="X36" s="192"/>
      <c r="Y36" s="192"/>
      <c r="Z36" s="192"/>
    </row>
    <row r="37" spans="1:26" ht="18.75" customHeight="1">
      <c r="A37" s="627" t="s">
        <v>309</v>
      </c>
      <c r="B37" s="627"/>
      <c r="C37" s="627"/>
      <c r="D37" s="627"/>
      <c r="E37" s="627"/>
      <c r="F37" s="627"/>
      <c r="G37" s="627"/>
      <c r="H37" s="627"/>
      <c r="I37" s="627"/>
      <c r="J37" s="627"/>
      <c r="K37" s="627"/>
      <c r="L37" s="627"/>
      <c r="M37" s="627"/>
      <c r="N37" s="627"/>
      <c r="O37" s="627"/>
      <c r="P37" s="241"/>
      <c r="Q37" s="198"/>
      <c r="R37" s="198"/>
      <c r="S37" s="198"/>
      <c r="T37" s="192"/>
      <c r="U37" s="192"/>
      <c r="V37" s="192"/>
      <c r="W37" s="192"/>
      <c r="X37" s="192"/>
      <c r="Y37" s="192"/>
      <c r="Z37" s="192"/>
    </row>
    <row r="38" spans="1:26" ht="12.75" customHeight="1"/>
    <row r="39" spans="1:26" ht="12.75" customHeight="1"/>
    <row r="40" spans="1:26" ht="12.75" customHeight="1"/>
    <row r="41" spans="1:26" ht="12.75" customHeight="1"/>
    <row r="42" spans="1:26" ht="12.75" customHeight="1"/>
    <row r="43" spans="1:26" ht="12.75" customHeight="1"/>
    <row r="44" spans="1:26" ht="12.75" customHeight="1"/>
    <row r="45" spans="1:26" ht="12.75" customHeight="1"/>
    <row r="46" spans="1:26" ht="12.75" customHeight="1"/>
    <row r="47" spans="1:26" ht="12.75" customHeight="1"/>
    <row r="48" spans="1:26"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row r="1008" ht="12.75" customHeight="1"/>
  </sheetData>
  <sheetProtection selectLockedCells="1" selectUnlockedCells="1"/>
  <mergeCells count="19">
    <mergeCell ref="A1:P1"/>
    <mergeCell ref="A2:P2"/>
    <mergeCell ref="A3:P3"/>
    <mergeCell ref="A4:P4"/>
    <mergeCell ref="A5:P5"/>
    <mergeCell ref="I7:P7"/>
    <mergeCell ref="A26:C26"/>
    <mergeCell ref="A28:B28"/>
    <mergeCell ref="E28:K28"/>
    <mergeCell ref="L28:P28"/>
    <mergeCell ref="A36:P36"/>
    <mergeCell ref="A37:O37"/>
    <mergeCell ref="A8:A16"/>
    <mergeCell ref="A17:A24"/>
    <mergeCell ref="A29:P29"/>
    <mergeCell ref="A30:P30"/>
    <mergeCell ref="A31:P31"/>
    <mergeCell ref="A32:P32"/>
    <mergeCell ref="A33:P33"/>
  </mergeCells>
  <printOptions horizontalCentered="1"/>
  <pageMargins left="0" right="0" top="0" bottom="0" header="0" footer="0.51181102362204722"/>
  <pageSetup paperSize="9" scale="65" pageOrder="overThenDown" orientation="landscape" useFirstPageNumber="1" r:id="rId1"/>
  <headerFooter>
    <oddHeader>&amp;R&amp;P de &amp;N</oddHeader>
    <oddFooter>&amp;L&amp;F - &amp;A&amp;CPágina &amp;P de &amp;N</oddFooter>
  </headerFooter>
  <rowBreaks count="1" manualBreakCount="1">
    <brk id="24" max="15"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MK1007"/>
  <sheetViews>
    <sheetView showGridLines="0" topLeftCell="A3" zoomScaleNormal="100" workbookViewId="0">
      <selection activeCell="B19" sqref="B19:C19"/>
    </sheetView>
  </sheetViews>
  <sheetFormatPr defaultColWidth="9" defaultRowHeight="12.75"/>
  <cols>
    <col min="1" max="1" width="17.85546875" style="33" customWidth="1"/>
    <col min="2" max="2" width="19.140625" style="33" customWidth="1"/>
    <col min="3" max="3" width="14.28515625" style="33" customWidth="1"/>
    <col min="4" max="5" width="15.140625" style="33" customWidth="1"/>
    <col min="6" max="6" width="14.140625" style="33" customWidth="1"/>
    <col min="7" max="7" width="13.42578125" style="33" customWidth="1"/>
    <col min="8" max="8" width="14.28515625" style="33" customWidth="1"/>
    <col min="9" max="9" width="8" style="33" customWidth="1"/>
    <col min="10" max="10" width="12.140625" style="33" customWidth="1"/>
    <col min="11" max="11" width="8" style="33" customWidth="1"/>
    <col min="12" max="12" width="8.85546875" style="33" customWidth="1"/>
    <col min="13" max="13" width="8" style="33" customWidth="1"/>
    <col min="14" max="14" width="11.28515625" style="33" customWidth="1"/>
    <col min="15" max="15" width="20.7109375" style="33" customWidth="1"/>
    <col min="16" max="26" width="8" style="33" customWidth="1"/>
    <col min="27" max="1025" width="14.42578125" style="33" customWidth="1"/>
  </cols>
  <sheetData>
    <row r="1" spans="1:26" ht="20.25">
      <c r="A1" s="661" t="s">
        <v>0</v>
      </c>
      <c r="B1" s="661"/>
      <c r="C1" s="661"/>
      <c r="D1" s="661"/>
      <c r="E1" s="661"/>
      <c r="F1" s="661"/>
      <c r="G1" s="661"/>
      <c r="H1" s="661"/>
      <c r="I1" s="661"/>
      <c r="J1" s="661"/>
      <c r="K1" s="661"/>
      <c r="L1" s="661"/>
      <c r="M1" s="661"/>
      <c r="N1" s="661"/>
      <c r="O1" s="661"/>
      <c r="P1" s="661"/>
    </row>
    <row r="2" spans="1:26" ht="18">
      <c r="A2" s="643" t="s">
        <v>1</v>
      </c>
      <c r="B2" s="643"/>
      <c r="C2" s="643"/>
      <c r="D2" s="643"/>
      <c r="E2" s="643"/>
      <c r="F2" s="643"/>
      <c r="G2" s="643"/>
      <c r="H2" s="643"/>
      <c r="I2" s="643"/>
      <c r="J2" s="643"/>
      <c r="K2" s="643"/>
      <c r="L2" s="643"/>
      <c r="M2" s="643"/>
      <c r="N2" s="643"/>
      <c r="O2" s="643"/>
      <c r="P2" s="643"/>
    </row>
    <row r="3" spans="1:26" ht="15.75">
      <c r="A3" s="646" t="s">
        <v>2</v>
      </c>
      <c r="B3" s="646"/>
      <c r="C3" s="646"/>
      <c r="D3" s="646"/>
      <c r="E3" s="646"/>
      <c r="F3" s="646"/>
      <c r="G3" s="646"/>
      <c r="H3" s="646"/>
      <c r="I3" s="646"/>
      <c r="J3" s="646"/>
      <c r="K3" s="646"/>
      <c r="L3" s="646"/>
      <c r="M3" s="646"/>
      <c r="N3" s="646"/>
      <c r="O3" s="646"/>
      <c r="P3" s="646"/>
    </row>
    <row r="4" spans="1:26" ht="15.75">
      <c r="A4" s="649" t="str">
        <f>'1. ABA DE CARREGAMENTO'!A4</f>
        <v>CAMPUS ALEGRETE</v>
      </c>
      <c r="B4" s="649"/>
      <c r="C4" s="649"/>
      <c r="D4" s="649"/>
      <c r="E4" s="649"/>
      <c r="F4" s="649"/>
      <c r="G4" s="649"/>
      <c r="H4" s="649"/>
      <c r="I4" s="649"/>
      <c r="J4" s="649"/>
      <c r="K4" s="649"/>
      <c r="L4" s="649"/>
      <c r="M4" s="649"/>
      <c r="N4" s="649"/>
      <c r="O4" s="649"/>
      <c r="P4" s="649"/>
    </row>
    <row r="5" spans="1:26" ht="20.25" customHeight="1">
      <c r="A5" s="662" t="s">
        <v>287</v>
      </c>
      <c r="B5" s="662"/>
      <c r="C5" s="662"/>
      <c r="D5" s="662"/>
      <c r="E5" s="662"/>
      <c r="F5" s="662"/>
      <c r="G5" s="662"/>
      <c r="H5" s="662"/>
      <c r="I5" s="662"/>
      <c r="J5" s="662"/>
      <c r="K5" s="662"/>
      <c r="L5" s="662"/>
      <c r="M5" s="662"/>
      <c r="N5" s="662"/>
      <c r="O5" s="662"/>
      <c r="P5" s="662"/>
    </row>
    <row r="6" spans="1:26">
      <c r="A6" s="150"/>
      <c r="B6" s="150"/>
      <c r="C6" s="151"/>
      <c r="D6" s="151"/>
      <c r="E6" s="151"/>
      <c r="F6" s="151"/>
      <c r="G6" s="151"/>
      <c r="H6" s="151"/>
      <c r="I6" s="151"/>
      <c r="J6" s="151"/>
      <c r="K6" s="151"/>
      <c r="L6" s="151"/>
      <c r="M6" s="151"/>
      <c r="N6" s="151"/>
      <c r="O6" s="151"/>
      <c r="P6" s="151"/>
    </row>
    <row r="7" spans="1:26" ht="140.25" customHeight="1">
      <c r="A7" s="152" t="s">
        <v>21</v>
      </c>
      <c r="B7" s="152" t="s">
        <v>22</v>
      </c>
      <c r="C7" s="181" t="s">
        <v>310</v>
      </c>
      <c r="D7" s="181" t="s">
        <v>311</v>
      </c>
      <c r="E7" s="181" t="s">
        <v>290</v>
      </c>
      <c r="F7" s="181" t="s">
        <v>291</v>
      </c>
      <c r="G7" s="181" t="s">
        <v>292</v>
      </c>
      <c r="H7" s="181" t="s">
        <v>293</v>
      </c>
      <c r="I7" s="657" t="s">
        <v>294</v>
      </c>
      <c r="J7" s="657"/>
      <c r="K7" s="657"/>
      <c r="L7" s="657"/>
      <c r="M7" s="657"/>
      <c r="N7" s="657"/>
      <c r="O7" s="657"/>
      <c r="P7" s="657"/>
    </row>
    <row r="8" spans="1:26" ht="51" customHeight="1">
      <c r="A8" s="656" t="s">
        <v>222</v>
      </c>
      <c r="B8" s="199" t="s">
        <v>312</v>
      </c>
      <c r="C8" s="156">
        <f>'1. ABA DE CARREGAMENTO'!$C$39</f>
        <v>300</v>
      </c>
      <c r="D8" s="200">
        <f>'3. Áreas AL'!BB84</f>
        <v>4836.2599999999993</v>
      </c>
      <c r="E8" s="158">
        <f>D8/C8</f>
        <v>16.120866666666664</v>
      </c>
      <c r="F8" s="159">
        <f>TRUNC(E8,0)</f>
        <v>16</v>
      </c>
      <c r="G8" s="158">
        <f>E8-F8</f>
        <v>0.12086666666666446</v>
      </c>
      <c r="H8" s="158">
        <f>G8*$C$13*60</f>
        <v>58.01599999999894</v>
      </c>
      <c r="I8" s="182">
        <f>F8</f>
        <v>16</v>
      </c>
      <c r="J8" s="183" t="s">
        <v>295</v>
      </c>
      <c r="K8" s="182">
        <v>8</v>
      </c>
      <c r="L8" s="183" t="s">
        <v>296</v>
      </c>
      <c r="M8" s="182">
        <v>1</v>
      </c>
      <c r="N8" s="183" t="s">
        <v>297</v>
      </c>
      <c r="O8" s="184">
        <f>H8</f>
        <v>58.01599999999894</v>
      </c>
      <c r="P8" s="183" t="s">
        <v>298</v>
      </c>
    </row>
    <row r="9" spans="1:26" ht="51" customHeight="1">
      <c r="A9" s="656"/>
      <c r="B9" s="199" t="s">
        <v>226</v>
      </c>
      <c r="C9" s="156">
        <f>'1. ABA DE CARREGAMENTO'!C40</f>
        <v>800</v>
      </c>
      <c r="D9" s="200">
        <f>'3. Áreas AL'!BC84</f>
        <v>427.32048333333336</v>
      </c>
      <c r="E9" s="158">
        <f>D9/C9</f>
        <v>0.53415060416666671</v>
      </c>
      <c r="F9" s="159">
        <f>TRUNC(E9,0)</f>
        <v>0</v>
      </c>
      <c r="G9" s="158">
        <f>E9-F9</f>
        <v>0.53415060416666671</v>
      </c>
      <c r="H9" s="158">
        <f>G9*$C$13*60</f>
        <v>256.39229</v>
      </c>
      <c r="I9" s="182">
        <f>F9</f>
        <v>0</v>
      </c>
      <c r="J9" s="183" t="s">
        <v>295</v>
      </c>
      <c r="K9" s="182">
        <v>8</v>
      </c>
      <c r="L9" s="183" t="s">
        <v>296</v>
      </c>
      <c r="M9" s="182">
        <v>1</v>
      </c>
      <c r="N9" s="183" t="s">
        <v>297</v>
      </c>
      <c r="O9" s="184">
        <f>H9</f>
        <v>256.39229</v>
      </c>
      <c r="P9" s="183" t="s">
        <v>298</v>
      </c>
    </row>
    <row r="10" spans="1:26" ht="51" customHeight="1">
      <c r="A10" s="656"/>
      <c r="B10" s="199" t="s">
        <v>33</v>
      </c>
      <c r="C10" s="156">
        <f>'1. ABA DE CARREGAMENTO'!C41</f>
        <v>450</v>
      </c>
      <c r="D10" s="200">
        <f>'3. Áreas AL'!BD84</f>
        <v>378.20692916666667</v>
      </c>
      <c r="E10" s="158">
        <f>D10/C10</f>
        <v>0.84045984259259254</v>
      </c>
      <c r="F10" s="159">
        <f>TRUNC(E10,0)</f>
        <v>0</v>
      </c>
      <c r="G10" s="158">
        <f>E10-F10</f>
        <v>0.84045984259259254</v>
      </c>
      <c r="H10" s="201">
        <f>G10*$C$13*60</f>
        <v>403.42072444444443</v>
      </c>
      <c r="I10" s="182">
        <f>F10</f>
        <v>0</v>
      </c>
      <c r="J10" s="183" t="s">
        <v>295</v>
      </c>
      <c r="K10" s="182">
        <v>8</v>
      </c>
      <c r="L10" s="183" t="s">
        <v>296</v>
      </c>
      <c r="M10" s="182">
        <v>1</v>
      </c>
      <c r="N10" s="183" t="s">
        <v>297</v>
      </c>
      <c r="O10" s="182">
        <f>H10</f>
        <v>403.42072444444443</v>
      </c>
      <c r="P10" s="183" t="s">
        <v>298</v>
      </c>
    </row>
    <row r="11" spans="1:26" ht="51" customHeight="1">
      <c r="A11" s="658" t="s">
        <v>313</v>
      </c>
      <c r="B11" s="658"/>
      <c r="C11" s="658"/>
      <c r="D11" s="202">
        <f>SUM(D8:D10)</f>
        <v>5641.7874124999989</v>
      </c>
      <c r="E11" s="203">
        <f>SUM(E8:E10)</f>
        <v>17.495477113425924</v>
      </c>
      <c r="F11" s="204">
        <f>SUM(F8:F10)</f>
        <v>16</v>
      </c>
      <c r="G11" s="203">
        <f>SUM(G8:G10)</f>
        <v>1.4954771134259237</v>
      </c>
      <c r="H11" s="174">
        <f>G11*$C$13*60</f>
        <v>717.82901444444337</v>
      </c>
      <c r="I11" s="191">
        <f>SUM(I8:I10)</f>
        <v>16</v>
      </c>
      <c r="J11" s="205" t="s">
        <v>295</v>
      </c>
      <c r="K11" s="206">
        <f>$C$13</f>
        <v>8</v>
      </c>
      <c r="L11" s="205" t="s">
        <v>296</v>
      </c>
      <c r="M11" s="207">
        <v>1</v>
      </c>
      <c r="N11" s="205" t="s">
        <v>297</v>
      </c>
      <c r="O11" s="207">
        <f>H11</f>
        <v>717.82901444444337</v>
      </c>
      <c r="P11" s="205" t="s">
        <v>298</v>
      </c>
    </row>
    <row r="12" spans="1:26" ht="15.75" customHeight="1">
      <c r="A12" s="175"/>
      <c r="B12" s="175"/>
      <c r="C12" s="175"/>
      <c r="D12" s="176"/>
      <c r="E12" s="177"/>
      <c r="F12" s="178"/>
      <c r="G12" s="177"/>
      <c r="H12" s="177"/>
      <c r="I12" s="192"/>
      <c r="J12" s="193"/>
      <c r="K12" s="194"/>
      <c r="L12" s="193"/>
      <c r="M12" s="194"/>
      <c r="N12" s="193"/>
      <c r="O12" s="192"/>
      <c r="P12" s="193"/>
    </row>
    <row r="13" spans="1:26" ht="43.5" customHeight="1">
      <c r="A13" s="659" t="s">
        <v>301</v>
      </c>
      <c r="B13" s="659"/>
      <c r="C13" s="179">
        <v>8</v>
      </c>
      <c r="D13" s="204" t="s">
        <v>302</v>
      </c>
      <c r="E13" s="659" t="s">
        <v>303</v>
      </c>
      <c r="F13" s="659"/>
      <c r="G13" s="659"/>
      <c r="H13" s="659"/>
      <c r="I13" s="659"/>
      <c r="J13" s="659"/>
      <c r="K13" s="659"/>
      <c r="L13" s="660">
        <f>F11+G11</f>
        <v>17.495477113425924</v>
      </c>
      <c r="M13" s="660"/>
      <c r="N13" s="660"/>
      <c r="O13" s="660"/>
      <c r="P13" s="660"/>
    </row>
    <row r="14" spans="1:26" ht="18" customHeight="1">
      <c r="A14" s="654" t="s">
        <v>304</v>
      </c>
      <c r="B14" s="654"/>
      <c r="C14" s="654"/>
      <c r="D14" s="654"/>
      <c r="E14" s="654"/>
      <c r="F14" s="654"/>
      <c r="G14" s="654"/>
      <c r="H14" s="654"/>
      <c r="I14" s="654"/>
      <c r="J14" s="654"/>
      <c r="K14" s="654"/>
      <c r="L14" s="654"/>
      <c r="M14" s="654"/>
      <c r="N14" s="654"/>
      <c r="O14" s="654"/>
      <c r="P14" s="654"/>
      <c r="Q14" s="99"/>
      <c r="R14" s="99"/>
      <c r="S14" s="99"/>
      <c r="T14" s="99"/>
      <c r="U14" s="99"/>
      <c r="V14" s="99"/>
      <c r="W14" s="99"/>
      <c r="X14" s="99"/>
      <c r="Y14" s="99"/>
      <c r="Z14" s="99"/>
    </row>
    <row r="15" spans="1:26" ht="18" customHeight="1">
      <c r="A15" s="631" t="s">
        <v>305</v>
      </c>
      <c r="B15" s="631"/>
      <c r="C15" s="631"/>
      <c r="D15" s="631"/>
      <c r="E15" s="631"/>
      <c r="F15" s="631"/>
      <c r="G15" s="631"/>
      <c r="H15" s="631"/>
      <c r="I15" s="631"/>
      <c r="J15" s="631"/>
      <c r="K15" s="631"/>
      <c r="L15" s="631"/>
      <c r="M15" s="631"/>
      <c r="N15" s="631"/>
      <c r="O15" s="631"/>
      <c r="P15" s="631"/>
    </row>
    <row r="16" spans="1:26" ht="40.5" customHeight="1">
      <c r="A16" s="632" t="s">
        <v>306</v>
      </c>
      <c r="B16" s="632"/>
      <c r="C16" s="632"/>
      <c r="D16" s="632"/>
      <c r="E16" s="632"/>
      <c r="F16" s="632"/>
      <c r="G16" s="632"/>
      <c r="H16" s="632"/>
      <c r="I16" s="632"/>
      <c r="J16" s="632"/>
      <c r="K16" s="632"/>
      <c r="L16" s="632"/>
      <c r="M16" s="632"/>
      <c r="N16" s="632"/>
      <c r="O16" s="632"/>
      <c r="P16" s="632"/>
    </row>
    <row r="17" spans="1:16" ht="18" customHeight="1">
      <c r="A17" s="655"/>
      <c r="B17" s="655"/>
      <c r="C17" s="655"/>
      <c r="D17" s="655"/>
      <c r="E17" s="655"/>
      <c r="F17" s="655"/>
      <c r="G17" s="655"/>
      <c r="H17" s="655"/>
      <c r="I17" s="655"/>
      <c r="J17" s="655"/>
      <c r="K17" s="655"/>
      <c r="L17" s="655"/>
      <c r="M17" s="655"/>
      <c r="N17" s="655"/>
      <c r="O17" s="655"/>
      <c r="P17" s="655"/>
    </row>
    <row r="18" spans="1:16" ht="33.75" customHeight="1"/>
    <row r="19" spans="1:16" ht="12.75" customHeight="1"/>
    <row r="20" spans="1:16" ht="12.75" customHeight="1"/>
    <row r="21" spans="1:16" ht="12.75" customHeight="1"/>
    <row r="22" spans="1:16" ht="12.75" customHeight="1"/>
    <row r="23" spans="1:16" ht="12.75" customHeight="1"/>
    <row r="24" spans="1:16" ht="12.75" customHeight="1"/>
    <row r="25" spans="1:16" ht="12.75" customHeight="1"/>
    <row r="26" spans="1:16" ht="12.75" customHeight="1"/>
    <row r="27" spans="1:16" ht="12.75" customHeight="1"/>
    <row r="28" spans="1:16" ht="12.75" customHeight="1"/>
    <row r="29" spans="1:16" ht="12.75" customHeight="1"/>
    <row r="30" spans="1:16" ht="12.75" customHeight="1"/>
    <row r="31" spans="1:16" ht="12.75" customHeight="1"/>
    <row r="32" spans="1:16"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row r="1006" ht="12.75" customHeight="1"/>
    <row r="1007" ht="12.75" customHeight="1"/>
  </sheetData>
  <sheetProtection selectLockedCells="1" selectUnlockedCells="1"/>
  <mergeCells count="15">
    <mergeCell ref="A1:P1"/>
    <mergeCell ref="A2:P2"/>
    <mergeCell ref="A3:P3"/>
    <mergeCell ref="A4:P4"/>
    <mergeCell ref="A5:P5"/>
    <mergeCell ref="I7:P7"/>
    <mergeCell ref="A11:C11"/>
    <mergeCell ref="A13:B13"/>
    <mergeCell ref="E13:K13"/>
    <mergeCell ref="L13:P13"/>
    <mergeCell ref="A14:P14"/>
    <mergeCell ref="A15:P15"/>
    <mergeCell ref="A16:P16"/>
    <mergeCell ref="A17:P17"/>
    <mergeCell ref="A8:A10"/>
  </mergeCells>
  <printOptions horizontalCentered="1"/>
  <pageMargins left="0" right="0" top="0.39370078740157483" bottom="0" header="0" footer="0.51181102362204722"/>
  <pageSetup paperSize="9" scale="65" orientation="landscape" useFirstPageNumber="1" r:id="rId1"/>
  <headerFooter>
    <oddHeader>&amp;R&amp;P de &amp;N</oddHeader>
    <oddFooter>&amp;L&amp;F - &amp;A&amp;CPágina &amp;P de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MK1005"/>
  <sheetViews>
    <sheetView showGridLines="0" zoomScaleNormal="100" workbookViewId="0">
      <selection activeCell="A19" sqref="A19:P19"/>
    </sheetView>
  </sheetViews>
  <sheetFormatPr defaultColWidth="9" defaultRowHeight="12.75"/>
  <cols>
    <col min="1" max="1" width="18" style="33" customWidth="1"/>
    <col min="2" max="2" width="17" style="33" customWidth="1"/>
    <col min="3" max="3" width="14.140625" style="33" customWidth="1"/>
    <col min="4" max="4" width="14.5703125" style="33" customWidth="1"/>
    <col min="5" max="5" width="16" style="33" customWidth="1"/>
    <col min="6" max="6" width="14" style="33" customWidth="1"/>
    <col min="7" max="7" width="15.28515625" style="33" customWidth="1"/>
    <col min="8" max="8" width="14.42578125" style="33" customWidth="1"/>
    <col min="9" max="9" width="8" style="33" customWidth="1"/>
    <col min="10" max="10" width="12.42578125" style="33" customWidth="1"/>
    <col min="11" max="11" width="8" style="33" customWidth="1"/>
    <col min="12" max="12" width="9.7109375" style="33" customWidth="1"/>
    <col min="13" max="13" width="8" style="33" customWidth="1"/>
    <col min="14" max="14" width="10.7109375" style="33" customWidth="1"/>
    <col min="15" max="15" width="18.42578125" style="33" customWidth="1"/>
    <col min="16" max="26" width="8" style="33" customWidth="1"/>
    <col min="27" max="1025" width="14.42578125" style="33" customWidth="1"/>
  </cols>
  <sheetData>
    <row r="1" spans="1:19" ht="20.25">
      <c r="A1" s="639" t="s">
        <v>0</v>
      </c>
      <c r="B1" s="640"/>
      <c r="C1" s="640"/>
      <c r="D1" s="640"/>
      <c r="E1" s="640"/>
      <c r="F1" s="640"/>
      <c r="G1" s="640"/>
      <c r="H1" s="640"/>
      <c r="I1" s="640"/>
      <c r="J1" s="640"/>
      <c r="K1" s="640"/>
      <c r="L1" s="640"/>
      <c r="M1" s="640"/>
      <c r="N1" s="640"/>
      <c r="O1" s="640"/>
      <c r="P1" s="641"/>
    </row>
    <row r="2" spans="1:19" ht="18">
      <c r="A2" s="642" t="s">
        <v>1</v>
      </c>
      <c r="B2" s="643"/>
      <c r="C2" s="643"/>
      <c r="D2" s="643"/>
      <c r="E2" s="643"/>
      <c r="F2" s="643"/>
      <c r="G2" s="643"/>
      <c r="H2" s="643"/>
      <c r="I2" s="643"/>
      <c r="J2" s="643"/>
      <c r="K2" s="643"/>
      <c r="L2" s="643"/>
      <c r="M2" s="643"/>
      <c r="N2" s="643"/>
      <c r="O2" s="643"/>
      <c r="P2" s="644"/>
    </row>
    <row r="3" spans="1:19" ht="15.75">
      <c r="A3" s="645" t="s">
        <v>2</v>
      </c>
      <c r="B3" s="646"/>
      <c r="C3" s="646"/>
      <c r="D3" s="646"/>
      <c r="E3" s="646"/>
      <c r="F3" s="646"/>
      <c r="G3" s="646"/>
      <c r="H3" s="646"/>
      <c r="I3" s="646"/>
      <c r="J3" s="646"/>
      <c r="K3" s="646"/>
      <c r="L3" s="646"/>
      <c r="M3" s="646"/>
      <c r="N3" s="646"/>
      <c r="O3" s="646"/>
      <c r="P3" s="647"/>
    </row>
    <row r="4" spans="1:19" ht="15.75">
      <c r="A4" s="648" t="str">
        <f>'1. ABA DE CARREGAMENTO'!A4</f>
        <v>CAMPUS ALEGRETE</v>
      </c>
      <c r="B4" s="649"/>
      <c r="C4" s="649"/>
      <c r="D4" s="649"/>
      <c r="E4" s="649"/>
      <c r="F4" s="649"/>
      <c r="G4" s="649"/>
      <c r="H4" s="649"/>
      <c r="I4" s="649"/>
      <c r="J4" s="649"/>
      <c r="K4" s="649"/>
      <c r="L4" s="649"/>
      <c r="M4" s="649"/>
      <c r="N4" s="649"/>
      <c r="O4" s="649"/>
      <c r="P4" s="650"/>
    </row>
    <row r="5" spans="1:19" ht="20.25" customHeight="1">
      <c r="A5" s="651" t="s">
        <v>287</v>
      </c>
      <c r="B5" s="652"/>
      <c r="C5" s="652"/>
      <c r="D5" s="652"/>
      <c r="E5" s="652"/>
      <c r="F5" s="652"/>
      <c r="G5" s="652"/>
      <c r="H5" s="652"/>
      <c r="I5" s="652"/>
      <c r="J5" s="652"/>
      <c r="K5" s="652"/>
      <c r="L5" s="652"/>
      <c r="M5" s="652"/>
      <c r="N5" s="652"/>
      <c r="O5" s="652"/>
      <c r="P5" s="653"/>
    </row>
    <row r="6" spans="1:19">
      <c r="A6" s="150"/>
      <c r="B6" s="150"/>
      <c r="C6" s="151"/>
      <c r="D6" s="151"/>
      <c r="E6" s="151"/>
      <c r="F6" s="151"/>
      <c r="G6" s="151"/>
      <c r="H6" s="151"/>
      <c r="I6" s="151"/>
      <c r="J6" s="151"/>
      <c r="K6" s="151"/>
      <c r="L6" s="151"/>
      <c r="M6" s="151"/>
      <c r="N6" s="151"/>
      <c r="O6" s="151"/>
      <c r="P6" s="151"/>
    </row>
    <row r="7" spans="1:19" ht="140.25" customHeight="1">
      <c r="A7" s="152" t="s">
        <v>21</v>
      </c>
      <c r="B7" s="153" t="s">
        <v>22</v>
      </c>
      <c r="C7" s="154" t="s">
        <v>314</v>
      </c>
      <c r="D7" s="154" t="s">
        <v>311</v>
      </c>
      <c r="E7" s="154" t="s">
        <v>290</v>
      </c>
      <c r="F7" s="154" t="s">
        <v>291</v>
      </c>
      <c r="G7" s="154" t="s">
        <v>292</v>
      </c>
      <c r="H7" s="154" t="s">
        <v>293</v>
      </c>
      <c r="I7" s="657" t="s">
        <v>294</v>
      </c>
      <c r="J7" s="657"/>
      <c r="K7" s="657"/>
      <c r="L7" s="657"/>
      <c r="M7" s="657"/>
      <c r="N7" s="657"/>
      <c r="O7" s="657"/>
      <c r="P7" s="657"/>
      <c r="Q7" s="177"/>
      <c r="R7" s="177"/>
      <c r="S7" s="177"/>
    </row>
    <row r="8" spans="1:19" ht="51" customHeight="1">
      <c r="A8" s="666" t="s">
        <v>315</v>
      </c>
      <c r="B8" s="155" t="s">
        <v>316</v>
      </c>
      <c r="C8" s="156">
        <f>'1. ABA DE CARREGAMENTO'!$C$42</f>
        <v>160</v>
      </c>
      <c r="D8" s="157">
        <f>'3. Áreas AL'!AW84</f>
        <v>3.4474583333333335</v>
      </c>
      <c r="E8" s="158">
        <f>D8/C8</f>
        <v>2.1546614583333335E-2</v>
      </c>
      <c r="F8" s="159">
        <f>TRUNC(E8,0)</f>
        <v>0</v>
      </c>
      <c r="G8" s="158">
        <f>E8-F8</f>
        <v>2.1546614583333335E-2</v>
      </c>
      <c r="H8" s="158">
        <f>G8*$C$14*60</f>
        <v>10.342375000000001</v>
      </c>
      <c r="I8" s="182">
        <f>F8</f>
        <v>0</v>
      </c>
      <c r="J8" s="183" t="s">
        <v>295</v>
      </c>
      <c r="K8" s="182">
        <v>8</v>
      </c>
      <c r="L8" s="183" t="s">
        <v>296</v>
      </c>
      <c r="M8" s="182">
        <v>1</v>
      </c>
      <c r="N8" s="183" t="s">
        <v>297</v>
      </c>
      <c r="O8" s="184">
        <f>H8</f>
        <v>10.342375000000001</v>
      </c>
      <c r="P8" s="183" t="s">
        <v>298</v>
      </c>
      <c r="Q8" s="195"/>
      <c r="R8" s="195"/>
      <c r="S8" s="195"/>
    </row>
    <row r="9" spans="1:19" ht="51" customHeight="1">
      <c r="A9" s="666"/>
      <c r="B9" s="155" t="s">
        <v>317</v>
      </c>
      <c r="C9" s="156">
        <f>'1. ABA DE CARREGAMENTO'!$C$43</f>
        <v>380</v>
      </c>
      <c r="D9" s="157">
        <f>'3. Áreas AL'!AX84</f>
        <v>19.076195833333333</v>
      </c>
      <c r="E9" s="158">
        <f>D9/C9</f>
        <v>5.020051535087719E-2</v>
      </c>
      <c r="F9" s="159">
        <f>TRUNC(E9,0)</f>
        <v>0</v>
      </c>
      <c r="G9" s="158">
        <f>E9-F9</f>
        <v>5.020051535087719E-2</v>
      </c>
      <c r="H9" s="158">
        <f>G9*$C$14*60</f>
        <v>24.09624736842105</v>
      </c>
      <c r="I9" s="182">
        <f>F9</f>
        <v>0</v>
      </c>
      <c r="J9" s="183" t="s">
        <v>295</v>
      </c>
      <c r="K9" s="182">
        <v>8</v>
      </c>
      <c r="L9" s="183" t="s">
        <v>296</v>
      </c>
      <c r="M9" s="182">
        <v>1</v>
      </c>
      <c r="N9" s="183" t="s">
        <v>297</v>
      </c>
      <c r="O9" s="184">
        <f>H9</f>
        <v>24.09624736842105</v>
      </c>
      <c r="P9" s="183" t="s">
        <v>298</v>
      </c>
      <c r="Q9" s="195"/>
      <c r="R9" s="195"/>
      <c r="S9" s="195"/>
    </row>
    <row r="10" spans="1:19" ht="51" customHeight="1">
      <c r="A10" s="666"/>
      <c r="B10" s="160" t="s">
        <v>50</v>
      </c>
      <c r="C10" s="161">
        <f>'1. ABA DE CARREGAMENTO'!$C$44</f>
        <v>380</v>
      </c>
      <c r="D10" s="162">
        <f>'3. Áreas AL'!AY84</f>
        <v>1705.5300791666664</v>
      </c>
      <c r="E10" s="163">
        <f>D10/C10</f>
        <v>4.4882370504385953</v>
      </c>
      <c r="F10" s="164">
        <f>TRUNC(E10,0)</f>
        <v>4</v>
      </c>
      <c r="G10" s="163">
        <f>E10-F10</f>
        <v>0.48823705043859533</v>
      </c>
      <c r="H10" s="163">
        <f>G10*$C$14*60</f>
        <v>234.35378421052576</v>
      </c>
      <c r="I10" s="185">
        <f>F10</f>
        <v>4</v>
      </c>
      <c r="J10" s="186" t="s">
        <v>295</v>
      </c>
      <c r="K10" s="185">
        <v>8</v>
      </c>
      <c r="L10" s="186" t="s">
        <v>296</v>
      </c>
      <c r="M10" s="185">
        <v>1</v>
      </c>
      <c r="N10" s="186" t="s">
        <v>297</v>
      </c>
      <c r="O10" s="187">
        <f>H10</f>
        <v>234.35378421052576</v>
      </c>
      <c r="P10" s="186" t="s">
        <v>298</v>
      </c>
      <c r="Q10" s="195"/>
      <c r="R10" s="195"/>
      <c r="S10" s="195"/>
    </row>
    <row r="11" spans="1:19" ht="51" customHeight="1">
      <c r="A11" s="165" t="s">
        <v>51</v>
      </c>
      <c r="B11" s="166" t="s">
        <v>52</v>
      </c>
      <c r="C11" s="167">
        <f>'1. ABA DE CARREGAMENTO'!$C$45</f>
        <v>160</v>
      </c>
      <c r="D11" s="168">
        <f>'3. Áreas AL'!AZ84</f>
        <v>0</v>
      </c>
      <c r="E11" s="169">
        <f>D11/C11</f>
        <v>0</v>
      </c>
      <c r="F11" s="170">
        <f>TRUNC(E11,0)</f>
        <v>0</v>
      </c>
      <c r="G11" s="169">
        <f>E11-F11</f>
        <v>0</v>
      </c>
      <c r="H11" s="169">
        <f>G11*$C$14*60</f>
        <v>0</v>
      </c>
      <c r="I11" s="182">
        <f>F11</f>
        <v>0</v>
      </c>
      <c r="J11" s="188" t="s">
        <v>295</v>
      </c>
      <c r="K11" s="182">
        <v>8</v>
      </c>
      <c r="L11" s="188" t="s">
        <v>296</v>
      </c>
      <c r="M11" s="182">
        <v>1</v>
      </c>
      <c r="N11" s="188" t="s">
        <v>297</v>
      </c>
      <c r="O11" s="184">
        <f>H11</f>
        <v>0</v>
      </c>
      <c r="P11" s="188" t="s">
        <v>298</v>
      </c>
      <c r="Q11" s="195"/>
      <c r="R11" s="195"/>
      <c r="S11" s="195"/>
    </row>
    <row r="12" spans="1:19" ht="51" customHeight="1">
      <c r="A12" s="659" t="s">
        <v>318</v>
      </c>
      <c r="B12" s="659"/>
      <c r="C12" s="659"/>
      <c r="D12" s="171">
        <f>SUM(D8:D11)</f>
        <v>1728.053733333333</v>
      </c>
      <c r="E12" s="172">
        <f>SUM(E8:E11)</f>
        <v>4.5599841803728056</v>
      </c>
      <c r="F12" s="173">
        <f>TRUNC(E12,0)</f>
        <v>4</v>
      </c>
      <c r="G12" s="172">
        <f>E12-F12</f>
        <v>0.55998418037280562</v>
      </c>
      <c r="H12" s="174">
        <f>G12*$C$14*60</f>
        <v>268.79240657894672</v>
      </c>
      <c r="I12" s="189">
        <f>F12</f>
        <v>4</v>
      </c>
      <c r="J12" s="190" t="s">
        <v>295</v>
      </c>
      <c r="K12" s="191">
        <f>$C$14</f>
        <v>8</v>
      </c>
      <c r="L12" s="190" t="s">
        <v>296</v>
      </c>
      <c r="M12" s="189">
        <v>1</v>
      </c>
      <c r="N12" s="190" t="s">
        <v>297</v>
      </c>
      <c r="O12" s="189">
        <f>H12</f>
        <v>268.79240657894672</v>
      </c>
      <c r="P12" s="190" t="s">
        <v>298</v>
      </c>
      <c r="Q12" s="196"/>
      <c r="R12" s="197"/>
      <c r="S12" s="195"/>
    </row>
    <row r="13" spans="1:19" ht="15.75" customHeight="1">
      <c r="A13" s="175"/>
      <c r="B13" s="175"/>
      <c r="C13" s="175"/>
      <c r="D13" s="176"/>
      <c r="E13" s="177"/>
      <c r="F13" s="178"/>
      <c r="G13" s="177"/>
      <c r="H13" s="177"/>
      <c r="I13" s="192"/>
      <c r="J13" s="193"/>
      <c r="K13" s="194"/>
      <c r="L13" s="193"/>
      <c r="M13" s="194"/>
      <c r="N13" s="193"/>
      <c r="O13" s="192"/>
      <c r="P13" s="193"/>
      <c r="Q13" s="195"/>
      <c r="R13" s="195"/>
      <c r="S13" s="195"/>
    </row>
    <row r="14" spans="1:19" ht="19.5" customHeight="1">
      <c r="A14" s="664" t="s">
        <v>301</v>
      </c>
      <c r="B14" s="664"/>
      <c r="C14" s="179">
        <v>8</v>
      </c>
      <c r="D14" s="180" t="s">
        <v>302</v>
      </c>
      <c r="E14" s="665" t="s">
        <v>303</v>
      </c>
      <c r="F14" s="665"/>
      <c r="G14" s="665"/>
      <c r="H14" s="665"/>
      <c r="I14" s="665"/>
      <c r="J14" s="665"/>
      <c r="K14" s="665"/>
      <c r="L14" s="660">
        <f>F12+G12</f>
        <v>4.5599841803728056</v>
      </c>
      <c r="M14" s="660"/>
      <c r="N14" s="660"/>
      <c r="O14" s="660"/>
      <c r="P14" s="660"/>
      <c r="Q14" s="195"/>
      <c r="R14" s="195"/>
      <c r="S14" s="195"/>
    </row>
    <row r="15" spans="1:19" ht="18" customHeight="1">
      <c r="A15" s="657" t="s">
        <v>304</v>
      </c>
      <c r="B15" s="657"/>
      <c r="C15" s="657"/>
      <c r="D15" s="657"/>
      <c r="E15" s="657"/>
      <c r="F15" s="657"/>
      <c r="G15" s="657"/>
      <c r="H15" s="657"/>
      <c r="I15" s="657"/>
      <c r="J15" s="657"/>
      <c r="K15" s="657"/>
      <c r="L15" s="657"/>
      <c r="M15" s="657"/>
      <c r="N15" s="657"/>
      <c r="O15" s="657"/>
      <c r="P15" s="657"/>
      <c r="Q15" s="195"/>
      <c r="R15" s="195"/>
      <c r="S15" s="195"/>
    </row>
    <row r="16" spans="1:19" ht="18" customHeight="1">
      <c r="A16" s="631" t="s">
        <v>305</v>
      </c>
      <c r="B16" s="631"/>
      <c r="C16" s="631"/>
      <c r="D16" s="631"/>
      <c r="E16" s="631"/>
      <c r="F16" s="631"/>
      <c r="G16" s="631"/>
      <c r="H16" s="631"/>
      <c r="I16" s="631"/>
      <c r="J16" s="631"/>
      <c r="K16" s="631"/>
      <c r="L16" s="631"/>
      <c r="M16" s="631"/>
      <c r="N16" s="631"/>
      <c r="O16" s="631"/>
      <c r="P16" s="631"/>
      <c r="Q16" s="192"/>
      <c r="R16" s="192"/>
      <c r="S16" s="192"/>
    </row>
    <row r="17" spans="1:19" ht="57" customHeight="1">
      <c r="A17" s="632" t="s">
        <v>306</v>
      </c>
      <c r="B17" s="632"/>
      <c r="C17" s="632"/>
      <c r="D17" s="632"/>
      <c r="E17" s="632"/>
      <c r="F17" s="632"/>
      <c r="G17" s="632"/>
      <c r="H17" s="632"/>
      <c r="I17" s="632"/>
      <c r="J17" s="632"/>
      <c r="K17" s="632"/>
      <c r="L17" s="632"/>
      <c r="M17" s="632"/>
      <c r="N17" s="632"/>
      <c r="O17" s="632"/>
      <c r="P17" s="632"/>
      <c r="Q17" s="198"/>
      <c r="R17" s="198"/>
      <c r="S17" s="198"/>
    </row>
    <row r="18" spans="1:19" ht="40.5" customHeight="1">
      <c r="A18" s="633" t="s">
        <v>319</v>
      </c>
      <c r="B18" s="633"/>
      <c r="C18" s="633"/>
      <c r="D18" s="633"/>
      <c r="E18" s="633"/>
      <c r="F18" s="633"/>
      <c r="G18" s="633"/>
      <c r="H18" s="633"/>
      <c r="I18" s="633"/>
      <c r="J18" s="633"/>
      <c r="K18" s="633"/>
      <c r="L18" s="633"/>
      <c r="M18" s="633"/>
      <c r="N18" s="633"/>
      <c r="O18" s="633"/>
      <c r="P18" s="633"/>
      <c r="Q18" s="198"/>
      <c r="R18" s="198"/>
      <c r="S18" s="198"/>
    </row>
    <row r="19" spans="1:19" ht="49.5" customHeight="1">
      <c r="A19" s="663" t="s">
        <v>320</v>
      </c>
      <c r="B19" s="663"/>
      <c r="C19" s="663"/>
      <c r="D19" s="663"/>
      <c r="E19" s="663"/>
      <c r="F19" s="663"/>
      <c r="G19" s="663"/>
      <c r="H19" s="663"/>
      <c r="I19" s="663"/>
      <c r="J19" s="663"/>
      <c r="K19" s="663"/>
      <c r="L19" s="663"/>
      <c r="M19" s="663"/>
      <c r="N19" s="663"/>
      <c r="O19" s="663"/>
      <c r="P19" s="663"/>
      <c r="Q19" s="198"/>
      <c r="R19" s="198"/>
      <c r="S19" s="198"/>
    </row>
    <row r="20" spans="1:19" ht="18" customHeight="1"/>
    <row r="21" spans="1:19" ht="18" customHeight="1"/>
    <row r="22" spans="1:19" ht="18" customHeight="1"/>
    <row r="23" spans="1:19" ht="18" customHeight="1"/>
    <row r="24" spans="1:19" ht="18" customHeight="1"/>
    <row r="25" spans="1:19" ht="18" customHeight="1"/>
    <row r="26" spans="1:19" ht="18" customHeight="1"/>
    <row r="27" spans="1:19" ht="18" customHeight="1"/>
    <row r="28" spans="1:19" ht="12.75" customHeight="1"/>
    <row r="29" spans="1:19" ht="12.75" customHeight="1"/>
    <row r="30" spans="1:19" ht="12.75" customHeight="1"/>
    <row r="31" spans="1:19" ht="12.75" customHeight="1"/>
    <row r="32" spans="1:19"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row r="1001" ht="12.75" customHeight="1"/>
    <row r="1002" ht="12.75" customHeight="1"/>
    <row r="1003" ht="12.75" customHeight="1"/>
    <row r="1004" ht="12.75" customHeight="1"/>
    <row r="1005" ht="12.75" customHeight="1"/>
  </sheetData>
  <sheetProtection selectLockedCells="1" selectUnlockedCells="1"/>
  <mergeCells count="16">
    <mergeCell ref="A1:P1"/>
    <mergeCell ref="A2:P2"/>
    <mergeCell ref="A3:P3"/>
    <mergeCell ref="A4:P4"/>
    <mergeCell ref="A5:P5"/>
    <mergeCell ref="I7:P7"/>
    <mergeCell ref="A12:C12"/>
    <mergeCell ref="A14:B14"/>
    <mergeCell ref="E14:K14"/>
    <mergeCell ref="L14:P14"/>
    <mergeCell ref="A8:A10"/>
    <mergeCell ref="A15:P15"/>
    <mergeCell ref="A16:P16"/>
    <mergeCell ref="A17:P17"/>
    <mergeCell ref="A18:P18"/>
    <mergeCell ref="A19:P19"/>
  </mergeCells>
  <printOptions horizontalCentered="1"/>
  <pageMargins left="0" right="0" top="0.39370078740157483" bottom="0" header="0" footer="0.51181102362204722"/>
  <pageSetup paperSize="9" scale="71" pageOrder="overThenDown" orientation="landscape" useFirstPageNumber="1" r:id="rId1"/>
  <headerFooter>
    <oddHeader>&amp;R&amp;P de &amp;N</oddHeader>
    <oddFooter>&amp;L&amp;F - &amp;A&amp;CPágina &amp;P de &amp;N</oddFooter>
  </headerFooter>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MK991"/>
  <sheetViews>
    <sheetView showGridLines="0" topLeftCell="A64" zoomScaleNormal="100" workbookViewId="0">
      <selection activeCell="B19" sqref="B19:G19"/>
    </sheetView>
  </sheetViews>
  <sheetFormatPr defaultColWidth="9" defaultRowHeight="12.75"/>
  <cols>
    <col min="1" max="1" width="17.28515625" style="33" customWidth="1"/>
    <col min="2" max="2" width="8" style="33" customWidth="1"/>
    <col min="3" max="3" width="17.28515625" style="33" customWidth="1"/>
    <col min="4" max="7" width="15.42578125" style="33" customWidth="1"/>
    <col min="8" max="8" width="12.28515625" style="33" customWidth="1"/>
    <col min="9" max="9" width="22.140625" style="33" customWidth="1"/>
    <col min="10" max="10" width="21.5703125" style="33" customWidth="1"/>
    <col min="11" max="11" width="11.140625" style="33" customWidth="1"/>
    <col min="12" max="12" width="11.28515625" style="33" customWidth="1"/>
    <col min="13" max="26" width="8" style="33" customWidth="1"/>
    <col min="27" max="1025" width="14.42578125" style="33" customWidth="1"/>
  </cols>
  <sheetData>
    <row r="1" spans="1:26" ht="20.25">
      <c r="A1" s="639" t="s">
        <v>0</v>
      </c>
      <c r="B1" s="640"/>
      <c r="C1" s="640"/>
      <c r="D1" s="640"/>
      <c r="E1" s="640"/>
      <c r="F1" s="640"/>
      <c r="G1" s="640"/>
      <c r="H1" s="640"/>
      <c r="I1" s="640"/>
      <c r="J1" s="641"/>
    </row>
    <row r="2" spans="1:26" ht="18">
      <c r="A2" s="642" t="s">
        <v>1</v>
      </c>
      <c r="B2" s="643"/>
      <c r="C2" s="643"/>
      <c r="D2" s="643"/>
      <c r="E2" s="643"/>
      <c r="F2" s="643"/>
      <c r="G2" s="643"/>
      <c r="H2" s="643"/>
      <c r="I2" s="643"/>
      <c r="J2" s="644"/>
    </row>
    <row r="3" spans="1:26" ht="15.75">
      <c r="A3" s="645" t="s">
        <v>2</v>
      </c>
      <c r="B3" s="646"/>
      <c r="C3" s="646"/>
      <c r="D3" s="646"/>
      <c r="E3" s="646"/>
      <c r="F3" s="646"/>
      <c r="G3" s="646"/>
      <c r="H3" s="646"/>
      <c r="I3" s="646"/>
      <c r="J3" s="647"/>
    </row>
    <row r="4" spans="1:26" ht="15.75">
      <c r="A4" s="648" t="str">
        <f>'1. ABA DE CARREGAMENTO'!A4</f>
        <v>CAMPUS ALEGRETE</v>
      </c>
      <c r="B4" s="649"/>
      <c r="C4" s="649"/>
      <c r="D4" s="649"/>
      <c r="E4" s="649"/>
      <c r="F4" s="649"/>
      <c r="G4" s="649"/>
      <c r="H4" s="649"/>
      <c r="I4" s="649"/>
      <c r="J4" s="650"/>
    </row>
    <row r="5" spans="1:26" ht="20.25" customHeight="1">
      <c r="A5" s="651" t="s">
        <v>321</v>
      </c>
      <c r="B5" s="652"/>
      <c r="C5" s="652"/>
      <c r="D5" s="652"/>
      <c r="E5" s="652"/>
      <c r="F5" s="652"/>
      <c r="G5" s="652"/>
      <c r="H5" s="652"/>
      <c r="I5" s="652"/>
      <c r="J5" s="653"/>
      <c r="K5" s="53"/>
      <c r="L5" s="53"/>
      <c r="M5" s="53"/>
      <c r="N5" s="53"/>
      <c r="O5" s="53"/>
      <c r="P5" s="53"/>
      <c r="Q5" s="53"/>
      <c r="R5" s="53"/>
      <c r="S5" s="53"/>
      <c r="T5" s="53"/>
      <c r="U5" s="53"/>
      <c r="V5" s="53"/>
      <c r="W5" s="53"/>
      <c r="X5" s="53"/>
      <c r="Y5" s="53"/>
      <c r="Z5" s="53"/>
    </row>
    <row r="6" spans="1:26" ht="9.9499999999999993" customHeight="1"/>
    <row r="7" spans="1:26" ht="20.25" customHeight="1">
      <c r="A7" s="792" t="s">
        <v>723</v>
      </c>
      <c r="B7" s="792"/>
      <c r="C7" s="792"/>
      <c r="D7" s="792"/>
      <c r="E7" s="792"/>
      <c r="F7" s="792"/>
      <c r="G7" s="792"/>
      <c r="H7" s="792"/>
      <c r="I7" s="792"/>
      <c r="J7" s="792"/>
    </row>
    <row r="8" spans="1:26" ht="9.9499999999999993" customHeight="1"/>
    <row r="9" spans="1:26" ht="15" customHeight="1">
      <c r="A9" s="669" t="s">
        <v>322</v>
      </c>
      <c r="B9" s="669"/>
      <c r="C9" s="669"/>
      <c r="D9" s="793" t="s">
        <v>323</v>
      </c>
      <c r="E9" s="793"/>
      <c r="F9" s="793"/>
      <c r="G9" s="793"/>
      <c r="H9" s="793"/>
      <c r="I9" s="794" t="str">
        <f>'1. ABA DE CARREGAMENTO'!A4</f>
        <v>CAMPUS ALEGRETE</v>
      </c>
      <c r="J9" s="794"/>
    </row>
    <row r="10" spans="1:26" ht="15" customHeight="1">
      <c r="A10" s="669"/>
      <c r="B10" s="669"/>
      <c r="C10" s="669"/>
      <c r="D10" s="795" t="s">
        <v>324</v>
      </c>
      <c r="E10" s="795"/>
      <c r="F10" s="795"/>
      <c r="G10" s="111">
        <f>'4. Cál. mão obra limpeza geral'!D26</f>
        <v>27864.076441666668</v>
      </c>
      <c r="H10" s="112" t="s">
        <v>325</v>
      </c>
      <c r="I10" s="796" t="s">
        <v>326</v>
      </c>
      <c r="J10" s="796"/>
    </row>
    <row r="11" spans="1:26" ht="18.75" customHeight="1">
      <c r="A11" s="37" t="s">
        <v>327</v>
      </c>
      <c r="B11" s="784" t="str">
        <f>'1. ABA DE CARREGAMENTO'!B11</f>
        <v>23243.000810/2021-41</v>
      </c>
      <c r="C11" s="784"/>
      <c r="D11" s="37" t="s">
        <v>328</v>
      </c>
      <c r="E11" s="785" t="str">
        <f>'1. ABA DE CARREGAMENTO'!B12</f>
        <v>33 / 2021</v>
      </c>
      <c r="F11" s="785"/>
      <c r="G11" s="37" t="s">
        <v>13</v>
      </c>
      <c r="H11" s="38">
        <f ca="1">'1. ABA DE CARREGAMENTO'!B13</f>
        <v>44609</v>
      </c>
      <c r="I11" s="54" t="s">
        <v>14</v>
      </c>
      <c r="J11" s="55" t="str">
        <f>'1. ABA DE CARREGAMENTO'!B14</f>
        <v>09h (Horário de Brasília - DF)</v>
      </c>
    </row>
    <row r="12" spans="1:26" ht="18.75" customHeight="1">
      <c r="A12" s="39" t="s">
        <v>15</v>
      </c>
      <c r="B12" s="786" t="str">
        <f>'1. ABA DE CARREGAMENTO'!B15</f>
        <v>IFFARROUPILHA (Planilha da Administração)</v>
      </c>
      <c r="C12" s="786"/>
      <c r="D12" s="786"/>
      <c r="E12" s="786"/>
      <c r="F12" s="786"/>
      <c r="G12" s="786"/>
      <c r="H12" s="40" t="s">
        <v>329</v>
      </c>
      <c r="I12" s="787" t="str">
        <f>'1. ABA DE CARREGAMENTO'!B16</f>
        <v>10.662.072/0001/58</v>
      </c>
      <c r="J12" s="787"/>
    </row>
    <row r="13" spans="1:26" ht="18.75" customHeight="1">
      <c r="A13" s="39" t="s">
        <v>330</v>
      </c>
      <c r="B13" s="786">
        <f>'1. ABA DE CARREGAMENTO'!B17</f>
        <v>0</v>
      </c>
      <c r="C13" s="786"/>
      <c r="D13" s="786"/>
      <c r="E13" s="39" t="s">
        <v>331</v>
      </c>
      <c r="F13" s="788">
        <f>'1. ABA DE CARREGAMENTO'!B18</f>
        <v>0</v>
      </c>
      <c r="G13" s="788"/>
      <c r="H13" s="39" t="s">
        <v>332</v>
      </c>
      <c r="I13" s="789">
        <f>'1. ABA DE CARREGAMENTO'!B19</f>
        <v>0</v>
      </c>
      <c r="J13" s="789"/>
    </row>
    <row r="14" spans="1:26">
      <c r="A14" s="790" t="str">
        <f>IF('1. ABA DE CARREGAMENTO'!B15="","PLANILHA CUSTOS E FORMAÇÃO DE PREÇOS DA ADMINISTRAÇÃO DO","")</f>
        <v/>
      </c>
      <c r="B14" s="790"/>
      <c r="C14" s="790"/>
      <c r="D14" s="790"/>
      <c r="E14" s="790"/>
      <c r="F14" s="790"/>
      <c r="G14" s="790"/>
      <c r="H14" s="791" t="str">
        <f>IF('1. ABA DE CARREGAMENTO'!B15="",'1. ABA DE CARREGAMENTO'!A4,"")</f>
        <v/>
      </c>
      <c r="I14" s="791"/>
      <c r="J14" s="791"/>
    </row>
    <row r="15" spans="1:26" ht="14.25" customHeight="1">
      <c r="A15" s="669" t="s">
        <v>722</v>
      </c>
      <c r="B15" s="669"/>
      <c r="C15" s="669"/>
      <c r="D15" s="669"/>
      <c r="E15" s="669"/>
      <c r="F15" s="669"/>
      <c r="G15" s="669"/>
      <c r="H15" s="42">
        <f>'1. ABA DE CARREGAMENTO'!B51</f>
        <v>1</v>
      </c>
      <c r="I15" s="781" t="str">
        <f>IF(H15=1,"LUCRO REAL",IF(H15=2,"LUCRO PRESUMIDO",IF(H15=3,"SIMPLES-Anexo III",IF(H15=4,"SIMPLES-Anexo IV",IF(H15=5,"LUCRO REAL - PIS/COFINS Não Cumulativo","RT Inválido")))))</f>
        <v>LUCRO REAL</v>
      </c>
      <c r="J15" s="781"/>
    </row>
    <row r="16" spans="1:26" ht="9.9499999999999993" customHeight="1">
      <c r="A16" s="43"/>
      <c r="B16" s="43"/>
      <c r="C16" s="43"/>
      <c r="D16" s="43"/>
      <c r="E16" s="43"/>
      <c r="F16" s="43"/>
      <c r="G16" s="43"/>
      <c r="H16" s="43"/>
      <c r="I16" s="43"/>
      <c r="J16" s="43"/>
      <c r="K16" s="53"/>
      <c r="L16" s="53"/>
      <c r="M16" s="53"/>
      <c r="N16" s="53"/>
      <c r="O16" s="53"/>
      <c r="P16" s="53"/>
      <c r="Q16" s="53"/>
      <c r="R16" s="53"/>
      <c r="S16" s="53"/>
      <c r="T16" s="53"/>
      <c r="U16" s="53"/>
      <c r="V16" s="53"/>
      <c r="W16" s="53"/>
      <c r="X16" s="53"/>
      <c r="Y16" s="53"/>
      <c r="Z16" s="53"/>
    </row>
    <row r="17" spans="1:26" ht="15" customHeight="1">
      <c r="A17" s="753" t="s">
        <v>333</v>
      </c>
      <c r="B17" s="753"/>
      <c r="C17" s="753"/>
      <c r="D17" s="753"/>
      <c r="E17" s="753"/>
      <c r="F17" s="753"/>
      <c r="G17" s="753"/>
      <c r="H17" s="753"/>
      <c r="I17" s="753"/>
      <c r="J17" s="753"/>
    </row>
    <row r="18" spans="1:26" ht="16.5" customHeight="1">
      <c r="A18" s="44" t="s">
        <v>334</v>
      </c>
      <c r="B18" s="749" t="s">
        <v>335</v>
      </c>
      <c r="C18" s="749"/>
      <c r="D18" s="749"/>
      <c r="E18" s="749"/>
      <c r="F18" s="749"/>
      <c r="G18" s="749"/>
      <c r="H18" s="782">
        <f ca="1">'1. ABA DE CARREGAMENTO'!B54</f>
        <v>44609</v>
      </c>
      <c r="I18" s="782"/>
      <c r="J18" s="782"/>
    </row>
    <row r="19" spans="1:26" ht="16.5" customHeight="1">
      <c r="A19" s="44" t="s">
        <v>336</v>
      </c>
      <c r="B19" s="749" t="s">
        <v>60</v>
      </c>
      <c r="C19" s="749"/>
      <c r="D19" s="749"/>
      <c r="E19" s="749"/>
      <c r="F19" s="749"/>
      <c r="G19" s="749"/>
      <c r="H19" s="783" t="str">
        <f>'1. ABA DE CARREGAMENTO'!B55</f>
        <v>Alegrete/RS</v>
      </c>
      <c r="I19" s="783"/>
      <c r="J19" s="783"/>
    </row>
    <row r="20" spans="1:26" ht="24" customHeight="1">
      <c r="A20" s="44" t="s">
        <v>337</v>
      </c>
      <c r="B20" s="749" t="s">
        <v>338</v>
      </c>
      <c r="C20" s="749"/>
      <c r="D20" s="749"/>
      <c r="E20" s="749"/>
      <c r="F20" s="749"/>
      <c r="G20" s="749"/>
      <c r="H20" s="783" t="str">
        <f>'1. ABA DE CARREGAMENTO'!B56</f>
        <v xml:space="preserve">CCT Sindasseio 2022/2022 - Registro no MTE: RS005021/2022 </v>
      </c>
      <c r="I20" s="783"/>
      <c r="J20" s="783"/>
    </row>
    <row r="21" spans="1:26" ht="16.5" customHeight="1">
      <c r="A21" s="44" t="s">
        <v>339</v>
      </c>
      <c r="B21" s="749" t="s">
        <v>340</v>
      </c>
      <c r="C21" s="749"/>
      <c r="D21" s="749"/>
      <c r="E21" s="749"/>
      <c r="F21" s="749"/>
      <c r="G21" s="749"/>
      <c r="H21" s="779">
        <f>'1. ABA DE CARREGAMENTO'!B57</f>
        <v>20</v>
      </c>
      <c r="I21" s="779"/>
      <c r="J21" s="779"/>
    </row>
    <row r="22" spans="1:26" ht="9.9499999999999993" customHeight="1">
      <c r="A22" s="43"/>
      <c r="B22" s="43"/>
      <c r="C22" s="43"/>
      <c r="D22" s="43"/>
      <c r="E22" s="43"/>
      <c r="F22" s="43"/>
      <c r="G22" s="43"/>
      <c r="H22" s="43"/>
      <c r="I22" s="43"/>
      <c r="J22" s="43"/>
      <c r="K22" s="53"/>
      <c r="L22" s="53"/>
      <c r="M22" s="53"/>
      <c r="N22" s="53"/>
      <c r="O22" s="53"/>
      <c r="P22" s="53"/>
      <c r="Q22" s="53"/>
      <c r="R22" s="53"/>
      <c r="S22" s="53"/>
      <c r="T22" s="53"/>
      <c r="U22" s="53"/>
      <c r="V22" s="53"/>
      <c r="W22" s="53"/>
      <c r="X22" s="53"/>
      <c r="Y22" s="53"/>
      <c r="Z22" s="53"/>
    </row>
    <row r="23" spans="1:26" ht="15" customHeight="1">
      <c r="A23" s="753" t="s">
        <v>341</v>
      </c>
      <c r="B23" s="753"/>
      <c r="C23" s="753"/>
      <c r="D23" s="753"/>
      <c r="E23" s="753"/>
      <c r="F23" s="753"/>
      <c r="G23" s="753"/>
      <c r="H23" s="753"/>
      <c r="I23" s="753"/>
      <c r="J23" s="753"/>
    </row>
    <row r="24" spans="1:26" ht="29.25" customHeight="1">
      <c r="A24" s="780" t="s">
        <v>342</v>
      </c>
      <c r="B24" s="780"/>
      <c r="C24" s="780"/>
      <c r="D24" s="780"/>
      <c r="E24" s="780"/>
      <c r="F24" s="780"/>
      <c r="G24" s="780" t="s">
        <v>343</v>
      </c>
      <c r="H24" s="780"/>
      <c r="I24" s="780" t="s">
        <v>344</v>
      </c>
      <c r="J24" s="780"/>
    </row>
    <row r="25" spans="1:26" ht="29.25" customHeight="1">
      <c r="A25" s="705" t="s">
        <v>345</v>
      </c>
      <c r="B25" s="705"/>
      <c r="C25" s="705"/>
      <c r="D25" s="705"/>
      <c r="E25" s="705"/>
      <c r="F25" s="705"/>
      <c r="G25" s="776" t="s">
        <v>346</v>
      </c>
      <c r="H25" s="776"/>
      <c r="I25" s="778">
        <f>'4. Cál. mão obra limpeza geral'!D8</f>
        <v>3971.2366666666671</v>
      </c>
      <c r="J25" s="778"/>
    </row>
    <row r="26" spans="1:26" ht="29.25" customHeight="1">
      <c r="A26" s="705" t="s">
        <v>347</v>
      </c>
      <c r="B26" s="705"/>
      <c r="C26" s="705"/>
      <c r="D26" s="705"/>
      <c r="E26" s="705"/>
      <c r="F26" s="705"/>
      <c r="G26" s="776" t="s">
        <v>346</v>
      </c>
      <c r="H26" s="776"/>
      <c r="I26" s="778">
        <f>'4. Cál. mão obra limpeza geral'!D9</f>
        <v>12988.157120833335</v>
      </c>
      <c r="J26" s="778"/>
    </row>
    <row r="27" spans="1:26" ht="29.25" customHeight="1">
      <c r="A27" s="705" t="s">
        <v>348</v>
      </c>
      <c r="B27" s="705"/>
      <c r="C27" s="705"/>
      <c r="D27" s="705"/>
      <c r="E27" s="705"/>
      <c r="F27" s="705"/>
      <c r="G27" s="776" t="s">
        <v>346</v>
      </c>
      <c r="H27" s="776"/>
      <c r="I27" s="778">
        <f>'4. Cál. mão obra limpeza geral'!D10</f>
        <v>1262.23</v>
      </c>
      <c r="J27" s="778"/>
    </row>
    <row r="28" spans="1:26" ht="29.25" customHeight="1">
      <c r="A28" s="705" t="s">
        <v>349</v>
      </c>
      <c r="B28" s="705"/>
      <c r="C28" s="705"/>
      <c r="D28" s="705"/>
      <c r="E28" s="705"/>
      <c r="F28" s="705"/>
      <c r="G28" s="776" t="s">
        <v>346</v>
      </c>
      <c r="H28" s="776"/>
      <c r="I28" s="778">
        <f>'4. Cál. mão obra limpeza geral'!D11</f>
        <v>62.404320833333337</v>
      </c>
      <c r="J28" s="778"/>
    </row>
    <row r="29" spans="1:26" ht="29.25" customHeight="1">
      <c r="A29" s="705" t="s">
        <v>350</v>
      </c>
      <c r="B29" s="705"/>
      <c r="C29" s="705"/>
      <c r="D29" s="705"/>
      <c r="E29" s="705"/>
      <c r="F29" s="705"/>
      <c r="G29" s="776" t="s">
        <v>346</v>
      </c>
      <c r="H29" s="776"/>
      <c r="I29" s="778">
        <f>'4. Cál. mão obra limpeza geral'!D12</f>
        <v>586.84</v>
      </c>
      <c r="J29" s="778"/>
    </row>
    <row r="30" spans="1:26" ht="29.25" customHeight="1">
      <c r="A30" s="705" t="s">
        <v>351</v>
      </c>
      <c r="B30" s="705"/>
      <c r="C30" s="705"/>
      <c r="D30" s="705"/>
      <c r="E30" s="705"/>
      <c r="F30" s="705"/>
      <c r="G30" s="776" t="s">
        <v>346</v>
      </c>
      <c r="H30" s="776"/>
      <c r="I30" s="778">
        <f>'4. Cál. mão obra limpeza geral'!D13</f>
        <v>7158.9499999999989</v>
      </c>
      <c r="J30" s="778"/>
    </row>
    <row r="31" spans="1:26" ht="29.25" customHeight="1">
      <c r="A31" s="705" t="s">
        <v>352</v>
      </c>
      <c r="B31" s="705"/>
      <c r="C31" s="705"/>
      <c r="D31" s="705"/>
      <c r="E31" s="705"/>
      <c r="F31" s="705"/>
      <c r="G31" s="776" t="s">
        <v>346</v>
      </c>
      <c r="H31" s="776"/>
      <c r="I31" s="778">
        <f>'4. Cál. mão obra limpeza geral'!D14</f>
        <v>0</v>
      </c>
      <c r="J31" s="778"/>
    </row>
    <row r="32" spans="1:26" ht="29.25" customHeight="1">
      <c r="A32" s="705" t="s">
        <v>353</v>
      </c>
      <c r="B32" s="705"/>
      <c r="C32" s="705"/>
      <c r="D32" s="705"/>
      <c r="E32" s="705"/>
      <c r="F32" s="705"/>
      <c r="G32" s="776" t="s">
        <v>346</v>
      </c>
      <c r="H32" s="776"/>
      <c r="I32" s="777">
        <f>'4. Cál. mão obra limpeza geral'!D15</f>
        <v>0</v>
      </c>
      <c r="J32" s="777"/>
    </row>
    <row r="33" spans="1:10" ht="29.25" customHeight="1">
      <c r="A33" s="705" t="s">
        <v>354</v>
      </c>
      <c r="B33" s="705"/>
      <c r="C33" s="705"/>
      <c r="D33" s="705"/>
      <c r="E33" s="705"/>
      <c r="F33" s="705"/>
      <c r="G33" s="776" t="s">
        <v>346</v>
      </c>
      <c r="H33" s="776"/>
      <c r="I33" s="777">
        <f>'4. Cál. mão obra limpeza geral'!D16</f>
        <v>0</v>
      </c>
      <c r="J33" s="777"/>
    </row>
    <row r="34" spans="1:10" ht="29.25" customHeight="1">
      <c r="A34" s="772" t="s">
        <v>355</v>
      </c>
      <c r="B34" s="772"/>
      <c r="C34" s="772"/>
      <c r="D34" s="772"/>
      <c r="E34" s="772"/>
      <c r="F34" s="772"/>
      <c r="G34" s="772"/>
      <c r="H34" s="772"/>
      <c r="I34" s="771">
        <f>SUM(I25:J33)</f>
        <v>26029.818108333333</v>
      </c>
      <c r="J34" s="771"/>
    </row>
    <row r="35" spans="1:10" ht="29.25" customHeight="1">
      <c r="A35" s="705" t="s">
        <v>356</v>
      </c>
      <c r="B35" s="705"/>
      <c r="C35" s="705"/>
      <c r="D35" s="705"/>
      <c r="E35" s="705"/>
      <c r="F35" s="705"/>
      <c r="G35" s="776" t="s">
        <v>346</v>
      </c>
      <c r="H35" s="776"/>
      <c r="I35" s="777">
        <f>'4. Cál. mão obra limpeza geral'!D17</f>
        <v>312.88166666666666</v>
      </c>
      <c r="J35" s="777"/>
    </row>
    <row r="36" spans="1:10" ht="29.25" customHeight="1">
      <c r="A36" s="705" t="s">
        <v>357</v>
      </c>
      <c r="B36" s="705"/>
      <c r="C36" s="705"/>
      <c r="D36" s="705"/>
      <c r="E36" s="705"/>
      <c r="F36" s="705"/>
      <c r="G36" s="776" t="s">
        <v>346</v>
      </c>
      <c r="H36" s="776"/>
      <c r="I36" s="777">
        <f>'4. Cál. mão obra limpeza geral'!D18</f>
        <v>0</v>
      </c>
      <c r="J36" s="777"/>
    </row>
    <row r="37" spans="1:10" ht="29.25" customHeight="1">
      <c r="A37" s="705" t="s">
        <v>358</v>
      </c>
      <c r="B37" s="705"/>
      <c r="C37" s="705"/>
      <c r="D37" s="705"/>
      <c r="E37" s="705"/>
      <c r="F37" s="705"/>
      <c r="G37" s="776" t="s">
        <v>346</v>
      </c>
      <c r="H37" s="776"/>
      <c r="I37" s="777">
        <f>'4. Cál. mão obra limpeza geral'!D19</f>
        <v>0</v>
      </c>
      <c r="J37" s="777"/>
    </row>
    <row r="38" spans="1:10" ht="29.25" customHeight="1">
      <c r="A38" s="705" t="s">
        <v>359</v>
      </c>
      <c r="B38" s="705"/>
      <c r="C38" s="705"/>
      <c r="D38" s="705"/>
      <c r="E38" s="705"/>
      <c r="F38" s="705"/>
      <c r="G38" s="776" t="s">
        <v>346</v>
      </c>
      <c r="H38" s="776"/>
      <c r="I38" s="777">
        <f>'4. Cál. mão obra limpeza geral'!D20</f>
        <v>784.33666666666659</v>
      </c>
      <c r="J38" s="777"/>
    </row>
    <row r="39" spans="1:10" ht="29.25" customHeight="1">
      <c r="A39" s="705" t="s">
        <v>360</v>
      </c>
      <c r="B39" s="705"/>
      <c r="C39" s="705"/>
      <c r="D39" s="705"/>
      <c r="E39" s="705"/>
      <c r="F39" s="705"/>
      <c r="G39" s="776" t="s">
        <v>346</v>
      </c>
      <c r="H39" s="776"/>
      <c r="I39" s="777">
        <f>'4. Cál. mão obra limpeza geral'!D21</f>
        <v>0</v>
      </c>
      <c r="J39" s="777"/>
    </row>
    <row r="40" spans="1:10" ht="29.25" customHeight="1">
      <c r="A40" s="705" t="s">
        <v>361</v>
      </c>
      <c r="B40" s="705"/>
      <c r="C40" s="705"/>
      <c r="D40" s="705"/>
      <c r="E40" s="705"/>
      <c r="F40" s="705"/>
      <c r="G40" s="776" t="s">
        <v>346</v>
      </c>
      <c r="H40" s="776"/>
      <c r="I40" s="777">
        <f>'4. Cál. mão obra limpeza geral'!D22</f>
        <v>0</v>
      </c>
      <c r="J40" s="777"/>
    </row>
    <row r="41" spans="1:10" ht="29.25" customHeight="1">
      <c r="A41" s="705" t="s">
        <v>362</v>
      </c>
      <c r="B41" s="705"/>
      <c r="C41" s="705"/>
      <c r="D41" s="705"/>
      <c r="E41" s="705"/>
      <c r="F41" s="705"/>
      <c r="G41" s="776" t="s">
        <v>346</v>
      </c>
      <c r="H41" s="776"/>
      <c r="I41" s="777">
        <f>'4. Cál. mão obra limpeza geral'!D23</f>
        <v>0</v>
      </c>
      <c r="J41" s="777"/>
    </row>
    <row r="42" spans="1:10" ht="29.25" customHeight="1">
      <c r="A42" s="705" t="s">
        <v>363</v>
      </c>
      <c r="B42" s="705"/>
      <c r="C42" s="705"/>
      <c r="D42" s="705"/>
      <c r="E42" s="705"/>
      <c r="F42" s="705"/>
      <c r="G42" s="776" t="s">
        <v>346</v>
      </c>
      <c r="H42" s="776"/>
      <c r="I42" s="777">
        <f>'4. Cál. mão obra limpeza geral'!D24</f>
        <v>0</v>
      </c>
      <c r="J42" s="777"/>
    </row>
    <row r="43" spans="1:10" ht="29.25" customHeight="1">
      <c r="A43" s="772" t="s">
        <v>364</v>
      </c>
      <c r="B43" s="772"/>
      <c r="C43" s="772"/>
      <c r="D43" s="772"/>
      <c r="E43" s="772"/>
      <c r="F43" s="772"/>
      <c r="G43" s="772"/>
      <c r="H43" s="772"/>
      <c r="I43" s="771">
        <f>SUM(I35:J42)</f>
        <v>1097.2183333333332</v>
      </c>
      <c r="J43" s="771"/>
    </row>
    <row r="44" spans="1:10" ht="29.25" customHeight="1">
      <c r="A44" s="700" t="s">
        <v>365</v>
      </c>
      <c r="B44" s="700"/>
      <c r="C44" s="700"/>
      <c r="D44" s="700"/>
      <c r="E44" s="700"/>
      <c r="F44" s="700"/>
      <c r="G44" s="768" t="s">
        <v>346</v>
      </c>
      <c r="H44" s="768"/>
      <c r="I44" s="769">
        <f>'4. Cál. mão obra limpeza geral'!D25</f>
        <v>737.04</v>
      </c>
      <c r="J44" s="769"/>
    </row>
    <row r="45" spans="1:10" ht="29.25" customHeight="1">
      <c r="A45" s="770" t="s">
        <v>366</v>
      </c>
      <c r="B45" s="770"/>
      <c r="C45" s="770"/>
      <c r="D45" s="770"/>
      <c r="E45" s="770"/>
      <c r="F45" s="770"/>
      <c r="G45" s="770"/>
      <c r="H45" s="770"/>
      <c r="I45" s="771">
        <f>I44</f>
        <v>737.04</v>
      </c>
      <c r="J45" s="771"/>
    </row>
    <row r="46" spans="1:10" ht="29.25" customHeight="1">
      <c r="A46" s="700" t="s">
        <v>367</v>
      </c>
      <c r="B46" s="700"/>
      <c r="C46" s="700"/>
      <c r="D46" s="700"/>
      <c r="E46" s="700"/>
      <c r="F46" s="700"/>
      <c r="G46" s="768" t="s">
        <v>346</v>
      </c>
      <c r="H46" s="768"/>
      <c r="I46" s="769">
        <v>0</v>
      </c>
      <c r="J46" s="769"/>
    </row>
    <row r="47" spans="1:10" ht="29.25" customHeight="1">
      <c r="A47" s="770" t="s">
        <v>368</v>
      </c>
      <c r="B47" s="770"/>
      <c r="C47" s="770"/>
      <c r="D47" s="770"/>
      <c r="E47" s="770"/>
      <c r="F47" s="770"/>
      <c r="G47" s="770"/>
      <c r="H47" s="770"/>
      <c r="I47" s="771">
        <v>0</v>
      </c>
      <c r="J47" s="771"/>
    </row>
    <row r="48" spans="1:10" ht="29.25" customHeight="1">
      <c r="A48" s="772" t="s">
        <v>369</v>
      </c>
      <c r="B48" s="772"/>
      <c r="C48" s="772"/>
      <c r="D48" s="772"/>
      <c r="E48" s="772"/>
      <c r="F48" s="772"/>
      <c r="G48" s="772"/>
      <c r="H48" s="772"/>
      <c r="I48" s="773">
        <f>I47+I45+I43+I34</f>
        <v>27864.076441666664</v>
      </c>
      <c r="J48" s="773"/>
    </row>
    <row r="49" spans="1:10" ht="9.9499999999999993" customHeight="1">
      <c r="A49" s="774"/>
      <c r="B49" s="774"/>
      <c r="C49" s="774"/>
      <c r="D49" s="774"/>
      <c r="E49" s="774"/>
      <c r="F49" s="774"/>
      <c r="G49" s="774"/>
      <c r="H49" s="774"/>
      <c r="I49" s="774"/>
      <c r="J49" s="774"/>
    </row>
    <row r="50" spans="1:10" ht="19.5" customHeight="1">
      <c r="A50" s="775" t="s">
        <v>370</v>
      </c>
      <c r="B50" s="775"/>
      <c r="C50" s="775"/>
      <c r="D50" s="775"/>
      <c r="E50" s="775"/>
      <c r="F50" s="775"/>
      <c r="G50" s="775"/>
      <c r="H50" s="775"/>
      <c r="I50" s="775"/>
      <c r="J50" s="775"/>
    </row>
    <row r="51" spans="1:10">
      <c r="A51" s="670" t="s">
        <v>371</v>
      </c>
      <c r="B51" s="670"/>
      <c r="C51" s="670"/>
      <c r="D51" s="670"/>
      <c r="E51" s="670"/>
      <c r="F51" s="670"/>
      <c r="G51" s="670"/>
      <c r="H51" s="670"/>
      <c r="I51" s="670"/>
      <c r="J51" s="670"/>
    </row>
    <row r="52" spans="1:10" ht="23.25" customHeight="1">
      <c r="A52" s="753" t="s">
        <v>372</v>
      </c>
      <c r="B52" s="753"/>
      <c r="C52" s="753"/>
      <c r="D52" s="753"/>
      <c r="E52" s="753"/>
      <c r="F52" s="753"/>
      <c r="G52" s="753"/>
      <c r="H52" s="753"/>
      <c r="I52" s="753"/>
      <c r="J52" s="753"/>
    </row>
    <row r="53" spans="1:10" ht="23.25" customHeight="1">
      <c r="A53" s="45">
        <v>1</v>
      </c>
      <c r="B53" s="760" t="s">
        <v>65</v>
      </c>
      <c r="C53" s="760"/>
      <c r="D53" s="760"/>
      <c r="E53" s="760"/>
      <c r="F53" s="760"/>
      <c r="G53" s="760"/>
      <c r="H53" s="766" t="str">
        <f>'1. ABA DE CARREGAMENTO'!B60</f>
        <v>Limpeza, Asseio e Conservação</v>
      </c>
      <c r="I53" s="766"/>
      <c r="J53" s="766"/>
    </row>
    <row r="54" spans="1:10" ht="23.25" customHeight="1">
      <c r="A54" s="45">
        <v>2</v>
      </c>
      <c r="B54" s="760" t="s">
        <v>67</v>
      </c>
      <c r="C54" s="760"/>
      <c r="D54" s="760"/>
      <c r="E54" s="760"/>
      <c r="F54" s="760"/>
      <c r="G54" s="760"/>
      <c r="H54" s="766">
        <f>'1. ABA DE CARREGAMENTO'!C61</f>
        <v>5143</v>
      </c>
      <c r="I54" s="766"/>
      <c r="J54" s="766"/>
    </row>
    <row r="55" spans="1:10" ht="23.25" customHeight="1">
      <c r="A55" s="45">
        <v>3</v>
      </c>
      <c r="B55" s="760" t="s">
        <v>69</v>
      </c>
      <c r="C55" s="760"/>
      <c r="D55" s="760"/>
      <c r="E55" s="760"/>
      <c r="F55" s="760"/>
      <c r="G55" s="760"/>
      <c r="H55" s="767">
        <f>'1. ABA DE CARREGAMENTO'!C63</f>
        <v>1314.09</v>
      </c>
      <c r="I55" s="767"/>
      <c r="J55" s="767"/>
    </row>
    <row r="56" spans="1:10" ht="23.25" customHeight="1">
      <c r="A56" s="45">
        <v>4</v>
      </c>
      <c r="B56" s="760" t="s">
        <v>70</v>
      </c>
      <c r="C56" s="760"/>
      <c r="D56" s="760"/>
      <c r="E56" s="760"/>
      <c r="F56" s="760"/>
      <c r="G56" s="760"/>
      <c r="H56" s="766" t="str">
        <f>'1. ABA DE CARREGAMENTO'!C64</f>
        <v>Servente de Limpeza</v>
      </c>
      <c r="I56" s="766"/>
      <c r="J56" s="766"/>
    </row>
    <row r="57" spans="1:10" ht="23.25" customHeight="1">
      <c r="A57" s="45">
        <v>5</v>
      </c>
      <c r="B57" s="760" t="s">
        <v>72</v>
      </c>
      <c r="C57" s="760"/>
      <c r="D57" s="760"/>
      <c r="E57" s="760"/>
      <c r="F57" s="760"/>
      <c r="G57" s="760"/>
      <c r="H57" s="761">
        <f>'1. ABA DE CARREGAMENTO'!C65</f>
        <v>44197</v>
      </c>
      <c r="I57" s="761"/>
      <c r="J57" s="761"/>
    </row>
    <row r="58" spans="1:10" ht="12.75" customHeight="1">
      <c r="A58" s="113" t="s">
        <v>373</v>
      </c>
      <c r="B58" s="762" t="s">
        <v>374</v>
      </c>
      <c r="C58" s="762"/>
      <c r="D58" s="762"/>
      <c r="E58" s="762"/>
      <c r="F58" s="762"/>
      <c r="G58" s="762"/>
      <c r="H58" s="762"/>
      <c r="I58" s="762"/>
      <c r="J58" s="762"/>
    </row>
    <row r="59" spans="1:10" ht="9.9499999999999993" customHeight="1">
      <c r="A59" s="114"/>
      <c r="B59" s="115"/>
      <c r="C59" s="115"/>
      <c r="D59" s="115"/>
      <c r="E59" s="115"/>
      <c r="F59" s="115"/>
      <c r="G59" s="115"/>
      <c r="H59" s="115"/>
      <c r="I59" s="115"/>
      <c r="J59" s="116"/>
    </row>
    <row r="60" spans="1:10" ht="15" customHeight="1">
      <c r="A60" s="753" t="s">
        <v>375</v>
      </c>
      <c r="B60" s="753"/>
      <c r="C60" s="753"/>
      <c r="D60" s="753"/>
      <c r="E60" s="753"/>
      <c r="F60" s="753"/>
      <c r="G60" s="753"/>
      <c r="H60" s="753"/>
      <c r="I60" s="753"/>
      <c r="J60" s="753"/>
    </row>
    <row r="61" spans="1:10" ht="22.5" customHeight="1">
      <c r="A61" s="35">
        <v>1</v>
      </c>
      <c r="B61" s="753" t="s">
        <v>376</v>
      </c>
      <c r="C61" s="753"/>
      <c r="D61" s="753"/>
      <c r="E61" s="753"/>
      <c r="F61" s="753"/>
      <c r="G61" s="753"/>
      <c r="H61" s="753"/>
      <c r="I61" s="56" t="s">
        <v>377</v>
      </c>
      <c r="J61" s="35" t="s">
        <v>378</v>
      </c>
    </row>
    <row r="62" spans="1:10" ht="27.75" customHeight="1">
      <c r="A62" s="44" t="s">
        <v>334</v>
      </c>
      <c r="B62" s="749" t="s">
        <v>379</v>
      </c>
      <c r="C62" s="749"/>
      <c r="D62" s="749"/>
      <c r="E62" s="326">
        <f>'1. ABA DE CARREGAMENTO'!C68</f>
        <v>44</v>
      </c>
      <c r="F62" s="313" t="s">
        <v>380</v>
      </c>
      <c r="G62" s="763" t="str">
        <f>'1. ABA DE CARREGAMENTO'!B62</f>
        <v>Cláusula Quarta da CCT 2022/2022</v>
      </c>
      <c r="H62" s="763"/>
      <c r="I62" s="763"/>
      <c r="J62" s="57">
        <f>H55/44*'1. ABA DE CARREGAMENTO'!C68</f>
        <v>1314.09</v>
      </c>
    </row>
    <row r="63" spans="1:10" ht="22.5" customHeight="1">
      <c r="A63" s="44" t="s">
        <v>336</v>
      </c>
      <c r="B63" s="764" t="s">
        <v>381</v>
      </c>
      <c r="C63" s="764"/>
      <c r="D63" s="765" t="str">
        <f>'1. ABA DE CARREGAMENTO'!B69</f>
        <v>Cláusula Décima Sétima da CCT 2022/2022</v>
      </c>
      <c r="E63" s="765"/>
      <c r="F63" s="765"/>
      <c r="G63" s="765"/>
      <c r="H63" s="765"/>
      <c r="I63" s="58">
        <f>'1. ABA DE CARREGAMENTO'!C71</f>
        <v>0.2</v>
      </c>
      <c r="J63" s="57">
        <f>ROUND(I63*J62,2)</f>
        <v>262.82</v>
      </c>
    </row>
    <row r="64" spans="1:10" ht="22.5" customHeight="1">
      <c r="A64" s="44" t="s">
        <v>337</v>
      </c>
      <c r="B64" s="749" t="s">
        <v>382</v>
      </c>
      <c r="C64" s="749"/>
      <c r="D64" s="749"/>
      <c r="E64" s="749"/>
      <c r="F64" s="749"/>
      <c r="G64" s="749"/>
      <c r="H64" s="749"/>
      <c r="I64" s="749"/>
      <c r="J64" s="57">
        <v>0</v>
      </c>
    </row>
    <row r="65" spans="1:11" ht="22.5" customHeight="1">
      <c r="A65" s="697" t="s">
        <v>383</v>
      </c>
      <c r="B65" s="697"/>
      <c r="C65" s="697"/>
      <c r="D65" s="697"/>
      <c r="E65" s="697"/>
      <c r="F65" s="697"/>
      <c r="G65" s="697"/>
      <c r="H65" s="697"/>
      <c r="I65" s="697"/>
      <c r="J65" s="59">
        <f>SUM(J62:J64)</f>
        <v>1576.9099999999999</v>
      </c>
    </row>
    <row r="66" spans="1:11" ht="24.75" customHeight="1">
      <c r="A66" s="47" t="s">
        <v>384</v>
      </c>
      <c r="B66" s="755" t="s">
        <v>385</v>
      </c>
      <c r="C66" s="755"/>
      <c r="D66" s="755"/>
      <c r="E66" s="755"/>
      <c r="F66" s="755"/>
      <c r="G66" s="755"/>
      <c r="H66" s="755"/>
      <c r="I66" s="755"/>
      <c r="J66" s="755"/>
    </row>
    <row r="67" spans="1:11" ht="9.9499999999999993" customHeight="1">
      <c r="A67" s="117"/>
      <c r="B67" s="118"/>
      <c r="C67" s="115"/>
      <c r="D67" s="115"/>
      <c r="E67" s="115"/>
      <c r="F67" s="115"/>
      <c r="G67" s="115"/>
      <c r="H67" s="115"/>
      <c r="I67" s="115"/>
      <c r="J67" s="116"/>
    </row>
    <row r="68" spans="1:11" ht="15" customHeight="1">
      <c r="A68" s="753" t="s">
        <v>386</v>
      </c>
      <c r="B68" s="753"/>
      <c r="C68" s="753"/>
      <c r="D68" s="753"/>
      <c r="E68" s="753"/>
      <c r="F68" s="753"/>
      <c r="G68" s="753"/>
      <c r="H68" s="753"/>
      <c r="I68" s="753"/>
      <c r="J68" s="753"/>
    </row>
    <row r="69" spans="1:11" ht="18" customHeight="1">
      <c r="A69" s="48" t="s">
        <v>387</v>
      </c>
      <c r="B69" s="748" t="s">
        <v>388</v>
      </c>
      <c r="C69" s="748"/>
      <c r="D69" s="748"/>
      <c r="E69" s="748"/>
      <c r="F69" s="748"/>
      <c r="G69" s="748"/>
      <c r="H69" s="748"/>
      <c r="I69" s="748"/>
      <c r="J69" s="48" t="s">
        <v>389</v>
      </c>
      <c r="K69" s="130"/>
    </row>
    <row r="70" spans="1:11" ht="18" customHeight="1">
      <c r="A70" s="49" t="s">
        <v>334</v>
      </c>
      <c r="B70" s="677" t="s">
        <v>390</v>
      </c>
      <c r="C70" s="677"/>
      <c r="D70" s="677"/>
      <c r="E70" s="677"/>
      <c r="F70" s="677"/>
      <c r="G70" s="677"/>
      <c r="H70" s="677"/>
      <c r="I70" s="677"/>
      <c r="J70" s="60">
        <f>ROUND($J$65/12,2)</f>
        <v>131.41</v>
      </c>
    </row>
    <row r="71" spans="1:11" ht="41.25" customHeight="1">
      <c r="A71" s="49" t="s">
        <v>336</v>
      </c>
      <c r="B71" s="749" t="s">
        <v>725</v>
      </c>
      <c r="C71" s="749"/>
      <c r="D71" s="749"/>
      <c r="E71" s="749"/>
      <c r="F71" s="749"/>
      <c r="G71" s="749"/>
      <c r="H71" s="749"/>
      <c r="I71" s="749"/>
      <c r="J71" s="60">
        <f>ROUND(J65*3.025%,2)</f>
        <v>47.7</v>
      </c>
    </row>
    <row r="72" spans="1:11" ht="18" customHeight="1">
      <c r="A72" s="731" t="s">
        <v>391</v>
      </c>
      <c r="B72" s="731"/>
      <c r="C72" s="731"/>
      <c r="D72" s="731"/>
      <c r="E72" s="731"/>
      <c r="F72" s="731"/>
      <c r="G72" s="731"/>
      <c r="H72" s="731"/>
      <c r="I72" s="731"/>
      <c r="J72" s="61">
        <f>SUM(J70:J71)</f>
        <v>179.11</v>
      </c>
    </row>
    <row r="73" spans="1:11" ht="22.5" customHeight="1">
      <c r="A73" s="47" t="s">
        <v>392</v>
      </c>
      <c r="B73" s="755" t="s">
        <v>688</v>
      </c>
      <c r="C73" s="755"/>
      <c r="D73" s="755"/>
      <c r="E73" s="755"/>
      <c r="F73" s="755"/>
      <c r="G73" s="755"/>
      <c r="H73" s="755"/>
      <c r="I73" s="755"/>
      <c r="J73" s="755"/>
    </row>
    <row r="74" spans="1:11" ht="9.9499999999999993" customHeight="1">
      <c r="A74" s="119"/>
      <c r="B74" s="120"/>
      <c r="C74" s="121"/>
      <c r="D74" s="121"/>
      <c r="E74" s="121"/>
      <c r="F74" s="121"/>
      <c r="G74" s="121"/>
      <c r="H74" s="121"/>
      <c r="I74" s="121"/>
      <c r="J74" s="131"/>
    </row>
    <row r="75" spans="1:11" ht="30" customHeight="1">
      <c r="A75" s="35" t="s">
        <v>394</v>
      </c>
      <c r="B75" s="753" t="s">
        <v>395</v>
      </c>
      <c r="C75" s="753"/>
      <c r="D75" s="753"/>
      <c r="E75" s="753"/>
      <c r="F75" s="753"/>
      <c r="G75" s="753"/>
      <c r="H75" s="753"/>
      <c r="I75" s="753"/>
      <c r="J75" s="753"/>
    </row>
    <row r="76" spans="1:11" ht="22.5" customHeight="1">
      <c r="A76" s="48"/>
      <c r="B76" s="748" t="s">
        <v>396</v>
      </c>
      <c r="C76" s="748"/>
      <c r="D76" s="748"/>
      <c r="E76" s="748"/>
      <c r="F76" s="748"/>
      <c r="G76" s="748"/>
      <c r="H76" s="748"/>
      <c r="I76" s="35" t="s">
        <v>377</v>
      </c>
      <c r="J76" s="35" t="s">
        <v>389</v>
      </c>
    </row>
    <row r="77" spans="1:11" ht="18" customHeight="1">
      <c r="A77" s="49" t="s">
        <v>334</v>
      </c>
      <c r="B77" s="677" t="s">
        <v>82</v>
      </c>
      <c r="C77" s="677"/>
      <c r="D77" s="677"/>
      <c r="E77" s="677"/>
      <c r="F77" s="677"/>
      <c r="G77" s="677"/>
      <c r="H77" s="677"/>
      <c r="I77" s="62">
        <f>'1. ABA DE CARREGAMENTO'!C78</f>
        <v>0.2</v>
      </c>
      <c r="J77" s="60">
        <f>ROUND((J65+J72)*I77,2)</f>
        <v>351.2</v>
      </c>
    </row>
    <row r="78" spans="1:11" ht="18" customHeight="1">
      <c r="A78" s="49" t="s">
        <v>336</v>
      </c>
      <c r="B78" s="677" t="s">
        <v>83</v>
      </c>
      <c r="C78" s="677"/>
      <c r="D78" s="677"/>
      <c r="E78" s="677"/>
      <c r="F78" s="677"/>
      <c r="G78" s="677"/>
      <c r="H78" s="677"/>
      <c r="I78" s="62">
        <f>IF($H$15=1,'1. ABA DE CARREGAMENTO'!C79,IF($H$15=2,'1. ABA DE CARREGAMENTO'!C79,0))</f>
        <v>2.5000000000000001E-2</v>
      </c>
      <c r="J78" s="60">
        <f>ROUND((J65+J72)*I78,2)</f>
        <v>43.9</v>
      </c>
    </row>
    <row r="79" spans="1:11" ht="18" customHeight="1">
      <c r="A79" s="49" t="s">
        <v>337</v>
      </c>
      <c r="B79" s="759" t="s">
        <v>84</v>
      </c>
      <c r="C79" s="759"/>
      <c r="D79" s="759"/>
      <c r="E79" s="50" t="s">
        <v>397</v>
      </c>
      <c r="F79" s="51">
        <f>'1. ABA DE CARREGAMENTO'!$B$74</f>
        <v>0.03</v>
      </c>
      <c r="G79" s="50" t="s">
        <v>398</v>
      </c>
      <c r="H79" s="52">
        <f>'1. ABA DE CARREGAMENTO'!$B$75</f>
        <v>1</v>
      </c>
      <c r="I79" s="62">
        <f>'1. ABA DE CARREGAMENTO'!C80</f>
        <v>0.03</v>
      </c>
      <c r="J79" s="60">
        <f>ROUND((J65+J72)*I79,2)</f>
        <v>52.68</v>
      </c>
    </row>
    <row r="80" spans="1:11" ht="18" customHeight="1">
      <c r="A80" s="49" t="s">
        <v>339</v>
      </c>
      <c r="B80" s="677" t="s">
        <v>85</v>
      </c>
      <c r="C80" s="677"/>
      <c r="D80" s="677"/>
      <c r="E80" s="677"/>
      <c r="F80" s="677"/>
      <c r="G80" s="677"/>
      <c r="H80" s="677"/>
      <c r="I80" s="62">
        <f>IF($H$15=1,'1. ABA DE CARREGAMENTO'!C81,IF($H$15=2,'1. ABA DE CARREGAMENTO'!C81,0))</f>
        <v>1.4999999999999999E-2</v>
      </c>
      <c r="J80" s="60">
        <f>ROUND((J65+J72)*I80,2)</f>
        <v>26.34</v>
      </c>
    </row>
    <row r="81" spans="1:10" ht="18" customHeight="1">
      <c r="A81" s="49" t="s">
        <v>399</v>
      </c>
      <c r="B81" s="677" t="s">
        <v>86</v>
      </c>
      <c r="C81" s="677"/>
      <c r="D81" s="677"/>
      <c r="E81" s="677"/>
      <c r="F81" s="677"/>
      <c r="G81" s="677"/>
      <c r="H81" s="677"/>
      <c r="I81" s="62">
        <f>IF($H$15=1,'1. ABA DE CARREGAMENTO'!C82,IF($H$15=2,'1. ABA DE CARREGAMENTO'!C82,0))</f>
        <v>0.01</v>
      </c>
      <c r="J81" s="60">
        <f>ROUND((J65+J72)*I81,2)</f>
        <v>17.559999999999999</v>
      </c>
    </row>
    <row r="82" spans="1:10" ht="18" customHeight="1">
      <c r="A82" s="49" t="s">
        <v>400</v>
      </c>
      <c r="B82" s="677" t="s">
        <v>87</v>
      </c>
      <c r="C82" s="677"/>
      <c r="D82" s="677"/>
      <c r="E82" s="677"/>
      <c r="F82" s="677"/>
      <c r="G82" s="677"/>
      <c r="H82" s="677"/>
      <c r="I82" s="62">
        <f>IF($H$15=1,'1. ABA DE CARREGAMENTO'!C83,IF($H$15=2,'1. ABA DE CARREGAMENTO'!C83,0))</f>
        <v>6.0000000000000001E-3</v>
      </c>
      <c r="J82" s="60">
        <f>ROUND((J65+J72)*I82,2)</f>
        <v>10.54</v>
      </c>
    </row>
    <row r="83" spans="1:10" ht="18" customHeight="1">
      <c r="A83" s="49" t="s">
        <v>401</v>
      </c>
      <c r="B83" s="677" t="s">
        <v>88</v>
      </c>
      <c r="C83" s="677"/>
      <c r="D83" s="677"/>
      <c r="E83" s="677"/>
      <c r="F83" s="677"/>
      <c r="G83" s="677"/>
      <c r="H83" s="677"/>
      <c r="I83" s="62">
        <f>IF($H$15=1,'1. ABA DE CARREGAMENTO'!C84,IF($H$15=2,'1. ABA DE CARREGAMENTO'!C84,0))</f>
        <v>2E-3</v>
      </c>
      <c r="J83" s="60">
        <f>ROUND((J65+J72)*I83,2)</f>
        <v>3.51</v>
      </c>
    </row>
    <row r="84" spans="1:10" ht="18" customHeight="1">
      <c r="A84" s="49" t="s">
        <v>402</v>
      </c>
      <c r="B84" s="677" t="s">
        <v>89</v>
      </c>
      <c r="C84" s="677"/>
      <c r="D84" s="677"/>
      <c r="E84" s="677"/>
      <c r="F84" s="677"/>
      <c r="G84" s="677"/>
      <c r="H84" s="677"/>
      <c r="I84" s="62">
        <f>'1. ABA DE CARREGAMENTO'!C85</f>
        <v>0.08</v>
      </c>
      <c r="J84" s="60">
        <f>ROUND((J65+J72)*I84,2)</f>
        <v>140.47999999999999</v>
      </c>
    </row>
    <row r="85" spans="1:10" ht="18" customHeight="1">
      <c r="A85" s="731" t="s">
        <v>403</v>
      </c>
      <c r="B85" s="731"/>
      <c r="C85" s="731"/>
      <c r="D85" s="731"/>
      <c r="E85" s="731"/>
      <c r="F85" s="731"/>
      <c r="G85" s="731"/>
      <c r="H85" s="731"/>
      <c r="I85" s="63">
        <f>SUM(I77:I84)</f>
        <v>0.36800000000000005</v>
      </c>
      <c r="J85" s="61">
        <f>SUM(J77:J84)</f>
        <v>646.20999999999992</v>
      </c>
    </row>
    <row r="86" spans="1:10" ht="19.5" customHeight="1">
      <c r="A86" s="47" t="s">
        <v>393</v>
      </c>
      <c r="B86" s="755" t="s">
        <v>405</v>
      </c>
      <c r="C86" s="755"/>
      <c r="D86" s="755"/>
      <c r="E86" s="755"/>
      <c r="F86" s="755"/>
      <c r="G86" s="755"/>
      <c r="H86" s="755"/>
      <c r="I86" s="755"/>
      <c r="J86" s="755"/>
    </row>
    <row r="87" spans="1:10" ht="18" customHeight="1">
      <c r="A87" s="64" t="s">
        <v>404</v>
      </c>
      <c r="B87" s="732" t="s">
        <v>407</v>
      </c>
      <c r="C87" s="732"/>
      <c r="D87" s="732"/>
      <c r="E87" s="732"/>
      <c r="F87" s="732"/>
      <c r="G87" s="732"/>
      <c r="H87" s="732"/>
      <c r="I87" s="732"/>
      <c r="J87" s="732"/>
    </row>
    <row r="88" spans="1:10" ht="9.9499999999999993" customHeight="1">
      <c r="A88" s="122"/>
      <c r="B88" s="123"/>
      <c r="C88" s="124"/>
      <c r="D88" s="124"/>
      <c r="E88" s="124"/>
      <c r="F88" s="124"/>
      <c r="G88" s="124"/>
      <c r="H88" s="124"/>
      <c r="I88" s="124"/>
      <c r="J88" s="132"/>
    </row>
    <row r="89" spans="1:10" ht="24.75" customHeight="1">
      <c r="A89" s="65" t="s">
        <v>408</v>
      </c>
      <c r="B89" s="753" t="s">
        <v>409</v>
      </c>
      <c r="C89" s="753"/>
      <c r="D89" s="753"/>
      <c r="E89" s="753"/>
      <c r="F89" s="753"/>
      <c r="G89" s="753"/>
      <c r="H89" s="753"/>
      <c r="I89" s="753"/>
      <c r="J89" s="753"/>
    </row>
    <row r="90" spans="1:10" ht="24.75" customHeight="1">
      <c r="A90" s="48"/>
      <c r="B90" s="748" t="s">
        <v>409</v>
      </c>
      <c r="C90" s="748"/>
      <c r="D90" s="748"/>
      <c r="E90" s="748"/>
      <c r="F90" s="748"/>
      <c r="G90" s="748"/>
      <c r="H90" s="748"/>
      <c r="I90" s="748"/>
      <c r="J90" s="35" t="s">
        <v>389</v>
      </c>
    </row>
    <row r="91" spans="1:10" ht="24.75" customHeight="1">
      <c r="A91" s="674" t="s">
        <v>334</v>
      </c>
      <c r="B91" s="677" t="s">
        <v>410</v>
      </c>
      <c r="C91" s="677"/>
      <c r="D91" s="677"/>
      <c r="E91" s="677"/>
      <c r="F91" s="677"/>
      <c r="G91" s="677"/>
      <c r="H91" s="677"/>
      <c r="I91" s="677"/>
      <c r="J91" s="676">
        <f>IF(ROUND((I94*I92*I93)-(J62*0.06),2)&lt;0,0,ROUND((I94*I92*I93)-(J62*0.06),2))*1+(I92*I93*21.726-0.06*J62)*0</f>
        <v>89.15</v>
      </c>
    </row>
    <row r="92" spans="1:10" ht="24.75" customHeight="1">
      <c r="A92" s="674"/>
      <c r="B92" s="757" t="s">
        <v>411</v>
      </c>
      <c r="C92" s="757"/>
      <c r="D92" s="757"/>
      <c r="E92" s="757"/>
      <c r="F92" s="757"/>
      <c r="G92" s="757"/>
      <c r="H92" s="757"/>
      <c r="I92" s="74">
        <f>'1. ABA DE CARREGAMENTO'!$B$88</f>
        <v>3.5</v>
      </c>
      <c r="J92" s="676"/>
    </row>
    <row r="93" spans="1:10" ht="24.75" customHeight="1">
      <c r="A93" s="674"/>
      <c r="B93" s="757" t="s">
        <v>412</v>
      </c>
      <c r="C93" s="757"/>
      <c r="D93" s="757"/>
      <c r="E93" s="757"/>
      <c r="F93" s="757"/>
      <c r="G93" s="757"/>
      <c r="H93" s="757"/>
      <c r="I93" s="75">
        <f>'1. ABA DE CARREGAMENTO'!$B$89</f>
        <v>2</v>
      </c>
      <c r="J93" s="676"/>
    </row>
    <row r="94" spans="1:10" ht="24.75" customHeight="1">
      <c r="A94" s="674"/>
      <c r="B94" s="757" t="s">
        <v>413</v>
      </c>
      <c r="C94" s="757"/>
      <c r="D94" s="757"/>
      <c r="E94" s="757"/>
      <c r="F94" s="757"/>
      <c r="G94" s="757"/>
      <c r="H94" s="757"/>
      <c r="I94" s="75">
        <f>'1. ABA DE CARREGAMENTO'!$B$90</f>
        <v>24</v>
      </c>
      <c r="J94" s="676"/>
    </row>
    <row r="95" spans="1:10" ht="24.75" customHeight="1">
      <c r="A95" s="674"/>
      <c r="B95" s="757" t="s">
        <v>414</v>
      </c>
      <c r="C95" s="757"/>
      <c r="D95" s="757"/>
      <c r="E95" s="757"/>
      <c r="F95" s="757"/>
      <c r="G95" s="757"/>
      <c r="H95" s="757"/>
      <c r="I95" s="78">
        <f>'1. ABA DE CARREGAMENTO'!B91</f>
        <v>0.06</v>
      </c>
      <c r="J95" s="676"/>
    </row>
    <row r="96" spans="1:10" ht="24.75" customHeight="1">
      <c r="A96" s="674" t="s">
        <v>336</v>
      </c>
      <c r="B96" s="758" t="s">
        <v>689</v>
      </c>
      <c r="C96" s="758"/>
      <c r="D96" s="758"/>
      <c r="E96" s="66" t="str">
        <f>'1. ABA DE CARREGAMENTO'!B94</f>
        <v xml:space="preserve">CCT Sindasseio 2022/2022 - Registro no MTE: RS005021/2022 </v>
      </c>
      <c r="F96" s="67"/>
      <c r="G96" s="67"/>
      <c r="H96" s="67"/>
      <c r="I96" s="76"/>
      <c r="J96" s="676">
        <f>ROUND((I97*I98)-((I97*I98)*I99),2)</f>
        <v>392.3</v>
      </c>
    </row>
    <row r="97" spans="1:10" ht="24.75" customHeight="1">
      <c r="A97" s="674"/>
      <c r="B97" s="757" t="s">
        <v>415</v>
      </c>
      <c r="C97" s="757"/>
      <c r="D97" s="757"/>
      <c r="E97" s="757"/>
      <c r="F97" s="757"/>
      <c r="G97" s="757"/>
      <c r="H97" s="757"/>
      <c r="I97" s="77">
        <f>'1. ABA DE CARREGAMENTO'!B95</f>
        <v>20.18</v>
      </c>
      <c r="J97" s="676"/>
    </row>
    <row r="98" spans="1:10" ht="24.75" customHeight="1">
      <c r="A98" s="674"/>
      <c r="B98" s="757" t="s">
        <v>416</v>
      </c>
      <c r="C98" s="757"/>
      <c r="D98" s="757"/>
      <c r="E98" s="757"/>
      <c r="F98" s="757"/>
      <c r="G98" s="757"/>
      <c r="H98" s="757"/>
      <c r="I98" s="75">
        <f>'1. ABA DE CARREGAMENTO'!B97</f>
        <v>24</v>
      </c>
      <c r="J98" s="676"/>
    </row>
    <row r="99" spans="1:10" ht="24.75" customHeight="1">
      <c r="A99" s="674"/>
      <c r="B99" s="757" t="s">
        <v>417</v>
      </c>
      <c r="C99" s="757"/>
      <c r="D99" s="757"/>
      <c r="E99" s="757"/>
      <c r="F99" s="757"/>
      <c r="G99" s="757"/>
      <c r="H99" s="757"/>
      <c r="I99" s="78">
        <f>'1. ABA DE CARREGAMENTO'!B96</f>
        <v>0.19</v>
      </c>
      <c r="J99" s="676"/>
    </row>
    <row r="100" spans="1:10" ht="24.75" customHeight="1">
      <c r="A100" s="49" t="s">
        <v>337</v>
      </c>
      <c r="B100" s="758" t="s">
        <v>418</v>
      </c>
      <c r="C100" s="758"/>
      <c r="D100" s="758"/>
      <c r="E100" s="66" t="str">
        <f>'1. ABA DE CARREGAMENTO'!B100</f>
        <v>Cláusula Vigésima Nona da CCT 2022/2022</v>
      </c>
      <c r="F100" s="67"/>
      <c r="G100" s="67"/>
      <c r="H100" s="67"/>
      <c r="I100" s="76"/>
      <c r="J100" s="79">
        <f>'1. ABA DE CARREGAMENTO'!C100</f>
        <v>17.32</v>
      </c>
    </row>
    <row r="101" spans="1:10" ht="24.75" customHeight="1">
      <c r="A101" s="49" t="s">
        <v>339</v>
      </c>
      <c r="B101" s="677" t="s">
        <v>419</v>
      </c>
      <c r="C101" s="677"/>
      <c r="D101" s="677"/>
      <c r="E101" s="677"/>
      <c r="F101" s="677"/>
      <c r="G101" s="677"/>
      <c r="H101" s="677"/>
      <c r="I101" s="677"/>
      <c r="J101" s="80">
        <v>0</v>
      </c>
    </row>
    <row r="102" spans="1:10" ht="24.75" customHeight="1">
      <c r="A102" s="731" t="s">
        <v>420</v>
      </c>
      <c r="B102" s="731"/>
      <c r="C102" s="731"/>
      <c r="D102" s="731"/>
      <c r="E102" s="731"/>
      <c r="F102" s="731"/>
      <c r="G102" s="731"/>
      <c r="H102" s="731"/>
      <c r="I102" s="731"/>
      <c r="J102" s="61">
        <f>SUM(J91:J100)</f>
        <v>498.77000000000004</v>
      </c>
    </row>
    <row r="103" spans="1:10">
      <c r="A103" s="64" t="s">
        <v>406</v>
      </c>
      <c r="B103" s="732" t="s">
        <v>422</v>
      </c>
      <c r="C103" s="732"/>
      <c r="D103" s="732"/>
      <c r="E103" s="732"/>
      <c r="F103" s="732"/>
      <c r="G103" s="732"/>
      <c r="H103" s="732"/>
      <c r="I103" s="732"/>
      <c r="J103" s="732"/>
    </row>
    <row r="104" spans="1:10" ht="12.75" customHeight="1">
      <c r="A104" s="47" t="s">
        <v>421</v>
      </c>
      <c r="B104" s="755" t="s">
        <v>424</v>
      </c>
      <c r="C104" s="755"/>
      <c r="D104" s="755"/>
      <c r="E104" s="755"/>
      <c r="F104" s="755"/>
      <c r="G104" s="755"/>
      <c r="H104" s="755"/>
      <c r="I104" s="755"/>
      <c r="J104" s="755"/>
    </row>
    <row r="105" spans="1:10" ht="9.9499999999999993" customHeight="1">
      <c r="A105" s="68"/>
      <c r="B105" s="69"/>
      <c r="C105" s="69"/>
      <c r="D105" s="69"/>
      <c r="E105" s="69"/>
      <c r="F105" s="69"/>
      <c r="G105" s="69"/>
      <c r="H105" s="69"/>
      <c r="I105" s="69"/>
      <c r="J105" s="69"/>
    </row>
    <row r="106" spans="1:10" ht="21.75" customHeight="1">
      <c r="A106" s="753" t="s">
        <v>425</v>
      </c>
      <c r="B106" s="753"/>
      <c r="C106" s="753"/>
      <c r="D106" s="753"/>
      <c r="E106" s="753"/>
      <c r="F106" s="753"/>
      <c r="G106" s="753"/>
      <c r="H106" s="753"/>
      <c r="I106" s="753"/>
      <c r="J106" s="753"/>
    </row>
    <row r="107" spans="1:10" ht="21.75" customHeight="1">
      <c r="A107" s="35" t="s">
        <v>426</v>
      </c>
      <c r="B107" s="753" t="s">
        <v>427</v>
      </c>
      <c r="C107" s="753"/>
      <c r="D107" s="753"/>
      <c r="E107" s="753"/>
      <c r="F107" s="753"/>
      <c r="G107" s="753"/>
      <c r="H107" s="753"/>
      <c r="I107" s="753"/>
      <c r="J107" s="35" t="s">
        <v>389</v>
      </c>
    </row>
    <row r="108" spans="1:10" ht="21.75" customHeight="1">
      <c r="A108" s="44" t="s">
        <v>428</v>
      </c>
      <c r="B108" s="756" t="s">
        <v>429</v>
      </c>
      <c r="C108" s="756"/>
      <c r="D108" s="756"/>
      <c r="E108" s="756"/>
      <c r="F108" s="756"/>
      <c r="G108" s="756"/>
      <c r="H108" s="756"/>
      <c r="I108" s="756"/>
      <c r="J108" s="80">
        <f>J72</f>
        <v>179.11</v>
      </c>
    </row>
    <row r="109" spans="1:10" ht="21.75" customHeight="1">
      <c r="A109" s="44" t="s">
        <v>394</v>
      </c>
      <c r="B109" s="756" t="s">
        <v>430</v>
      </c>
      <c r="C109" s="756"/>
      <c r="D109" s="756"/>
      <c r="E109" s="756"/>
      <c r="F109" s="756"/>
      <c r="G109" s="756"/>
      <c r="H109" s="756"/>
      <c r="I109" s="756"/>
      <c r="J109" s="80">
        <f>J85</f>
        <v>646.20999999999992</v>
      </c>
    </row>
    <row r="110" spans="1:10" ht="21.75" customHeight="1">
      <c r="A110" s="44" t="s">
        <v>431</v>
      </c>
      <c r="B110" s="756" t="s">
        <v>432</v>
      </c>
      <c r="C110" s="756"/>
      <c r="D110" s="756"/>
      <c r="E110" s="756"/>
      <c r="F110" s="756"/>
      <c r="G110" s="756"/>
      <c r="H110" s="756"/>
      <c r="I110" s="756"/>
      <c r="J110" s="80">
        <f>J102</f>
        <v>498.77000000000004</v>
      </c>
    </row>
    <row r="111" spans="1:10" ht="21.75" customHeight="1">
      <c r="A111" s="697" t="s">
        <v>433</v>
      </c>
      <c r="B111" s="697"/>
      <c r="C111" s="697"/>
      <c r="D111" s="697"/>
      <c r="E111" s="697"/>
      <c r="F111" s="697"/>
      <c r="G111" s="697"/>
      <c r="H111" s="697"/>
      <c r="I111" s="697"/>
      <c r="J111" s="81">
        <f>SUM(J108+J109+J110)</f>
        <v>1324.09</v>
      </c>
    </row>
    <row r="112" spans="1:10" ht="9.9499999999999993" customHeight="1">
      <c r="A112" s="125"/>
      <c r="B112" s="125"/>
      <c r="C112" s="125"/>
      <c r="D112" s="125"/>
      <c r="E112" s="125"/>
      <c r="F112" s="125"/>
      <c r="G112" s="125"/>
      <c r="H112" s="125"/>
      <c r="I112" s="125"/>
      <c r="J112" s="133"/>
    </row>
    <row r="113" spans="1:10" ht="18.75" customHeight="1">
      <c r="A113" s="753" t="s">
        <v>434</v>
      </c>
      <c r="B113" s="753"/>
      <c r="C113" s="753"/>
      <c r="D113" s="753"/>
      <c r="E113" s="753"/>
      <c r="F113" s="753"/>
      <c r="G113" s="753"/>
      <c r="H113" s="753"/>
      <c r="I113" s="753"/>
      <c r="J113" s="753"/>
    </row>
    <row r="114" spans="1:10" ht="18.75" customHeight="1">
      <c r="A114" s="48"/>
      <c r="B114" s="748" t="s">
        <v>427</v>
      </c>
      <c r="C114" s="748"/>
      <c r="D114" s="748"/>
      <c r="E114" s="748"/>
      <c r="F114" s="748"/>
      <c r="G114" s="748"/>
      <c r="H114" s="748"/>
      <c r="I114" s="748"/>
      <c r="J114" s="48" t="s">
        <v>435</v>
      </c>
    </row>
    <row r="115" spans="1:10" ht="18.75" customHeight="1">
      <c r="A115" s="49" t="s">
        <v>334</v>
      </c>
      <c r="B115" s="749" t="s">
        <v>436</v>
      </c>
      <c r="C115" s="749"/>
      <c r="D115" s="749"/>
      <c r="E115" s="749"/>
      <c r="F115" s="749"/>
      <c r="G115" s="749"/>
      <c r="H115" s="749"/>
      <c r="I115" s="749"/>
      <c r="J115" s="60">
        <f>ROUND((($J$65/12)+($J$70/12)+($J$65/12/12)+($J$71/12))*(30/30)*0.05,2)</f>
        <v>7.86</v>
      </c>
    </row>
    <row r="116" spans="1:10" ht="18.75" customHeight="1">
      <c r="A116" s="49" t="s">
        <v>336</v>
      </c>
      <c r="B116" s="749" t="s">
        <v>437</v>
      </c>
      <c r="C116" s="749"/>
      <c r="D116" s="749"/>
      <c r="E116" s="749"/>
      <c r="F116" s="749"/>
      <c r="G116" s="749"/>
      <c r="H116" s="749"/>
      <c r="I116" s="749"/>
      <c r="J116" s="60">
        <f>ROUND($J$115*I84,2)</f>
        <v>0.63</v>
      </c>
    </row>
    <row r="117" spans="1:10" ht="18.75" customHeight="1">
      <c r="A117" s="49" t="s">
        <v>337</v>
      </c>
      <c r="B117" s="749" t="s">
        <v>438</v>
      </c>
      <c r="C117" s="749"/>
      <c r="D117" s="749"/>
      <c r="E117" s="749"/>
      <c r="F117" s="749"/>
      <c r="G117" s="749"/>
      <c r="H117" s="749"/>
      <c r="I117" s="749"/>
      <c r="J117" s="60">
        <f>ROUND(0.08*0.4*($J$65+$J$70+$J$71)*0.05,2)</f>
        <v>2.81</v>
      </c>
    </row>
    <row r="118" spans="1:10" ht="18.75" customHeight="1">
      <c r="A118" s="49" t="s">
        <v>339</v>
      </c>
      <c r="B118" s="749" t="s">
        <v>439</v>
      </c>
      <c r="C118" s="749"/>
      <c r="D118" s="749"/>
      <c r="E118" s="749"/>
      <c r="F118" s="749"/>
      <c r="G118" s="749"/>
      <c r="H118" s="749"/>
      <c r="I118" s="749"/>
      <c r="J118" s="60">
        <f>ROUND(((($J$65/30)*7)/$H$21)*1,2)</f>
        <v>18.399999999999999</v>
      </c>
    </row>
    <row r="119" spans="1:10" ht="18.75" customHeight="1">
      <c r="A119" s="49" t="s">
        <v>399</v>
      </c>
      <c r="B119" s="749" t="s">
        <v>440</v>
      </c>
      <c r="C119" s="749"/>
      <c r="D119" s="749"/>
      <c r="E119" s="749"/>
      <c r="F119" s="749"/>
      <c r="G119" s="749"/>
      <c r="H119" s="749"/>
      <c r="I119" s="749"/>
      <c r="J119" s="60">
        <f>ROUND($I$85*J118,2)</f>
        <v>6.77</v>
      </c>
    </row>
    <row r="120" spans="1:10" ht="18.75" customHeight="1">
      <c r="A120" s="49" t="s">
        <v>400</v>
      </c>
      <c r="B120" s="749" t="s">
        <v>441</v>
      </c>
      <c r="C120" s="749"/>
      <c r="D120" s="749"/>
      <c r="E120" s="749"/>
      <c r="F120" s="749"/>
      <c r="G120" s="749"/>
      <c r="H120" s="749"/>
      <c r="I120" s="749"/>
      <c r="J120" s="60">
        <f>ROUND(0.08*0.4*($J$65+$J$70+$J$71)*0.9,2)</f>
        <v>50.57</v>
      </c>
    </row>
    <row r="121" spans="1:10" ht="18.75" customHeight="1">
      <c r="A121" s="731" t="s">
        <v>442</v>
      </c>
      <c r="B121" s="731"/>
      <c r="C121" s="731"/>
      <c r="D121" s="731"/>
      <c r="E121" s="731"/>
      <c r="F121" s="731"/>
      <c r="G121" s="731"/>
      <c r="H121" s="731"/>
      <c r="I121" s="731"/>
      <c r="J121" s="61">
        <f>SUM(J115:J120)</f>
        <v>87.039999999999992</v>
      </c>
    </row>
    <row r="122" spans="1:10" ht="9.9499999999999993" customHeight="1">
      <c r="A122" s="126"/>
      <c r="B122" s="126"/>
      <c r="C122" s="126"/>
      <c r="D122" s="126"/>
      <c r="E122" s="126"/>
      <c r="F122" s="126"/>
      <c r="G122" s="126"/>
      <c r="H122" s="126"/>
      <c r="I122" s="126"/>
      <c r="J122" s="134"/>
    </row>
    <row r="123" spans="1:10" ht="25.5" customHeight="1">
      <c r="A123" s="753" t="s">
        <v>443</v>
      </c>
      <c r="B123" s="753"/>
      <c r="C123" s="753"/>
      <c r="D123" s="753"/>
      <c r="E123" s="753"/>
      <c r="F123" s="753"/>
      <c r="G123" s="753"/>
      <c r="H123" s="753"/>
      <c r="I123" s="753"/>
      <c r="J123" s="753"/>
    </row>
    <row r="124" spans="1:10" ht="25.5" customHeight="1">
      <c r="A124" s="753" t="s">
        <v>444</v>
      </c>
      <c r="B124" s="753"/>
      <c r="C124" s="753"/>
      <c r="D124" s="753"/>
      <c r="E124" s="753"/>
      <c r="F124" s="753"/>
      <c r="G124" s="753"/>
      <c r="H124" s="753"/>
      <c r="I124" s="753"/>
      <c r="J124" s="753"/>
    </row>
    <row r="125" spans="1:10" ht="27.75" customHeight="1">
      <c r="A125" s="753" t="s">
        <v>445</v>
      </c>
      <c r="B125" s="753"/>
      <c r="C125" s="71">
        <f>J65</f>
        <v>1576.9099999999999</v>
      </c>
      <c r="D125" s="753" t="s">
        <v>446</v>
      </c>
      <c r="E125" s="753"/>
      <c r="F125" s="71">
        <f>J111-J96-J91</f>
        <v>842.64</v>
      </c>
      <c r="G125" s="753" t="s">
        <v>447</v>
      </c>
      <c r="H125" s="753"/>
      <c r="I125" s="71">
        <f>J121</f>
        <v>87.039999999999992</v>
      </c>
      <c r="J125" s="83">
        <f>ROUND((J65+(J111-J96-J91)+J121),2)</f>
        <v>2506.59</v>
      </c>
    </row>
    <row r="126" spans="1:10" ht="25.5" customHeight="1">
      <c r="A126" s="753" t="s">
        <v>448</v>
      </c>
      <c r="B126" s="753"/>
      <c r="C126" s="753"/>
      <c r="D126" s="753"/>
      <c r="E126" s="753"/>
      <c r="F126" s="753"/>
      <c r="G126" s="753" t="s">
        <v>449</v>
      </c>
      <c r="H126" s="753"/>
      <c r="I126" s="753"/>
      <c r="J126" s="84">
        <f>ROUND(J125/30,2)</f>
        <v>83.55</v>
      </c>
    </row>
    <row r="127" spans="1:10" ht="9.9499999999999993" customHeight="1">
      <c r="A127" s="127"/>
      <c r="B127" s="128"/>
      <c r="C127" s="128"/>
      <c r="D127" s="128"/>
      <c r="E127" s="128"/>
      <c r="F127" s="129"/>
      <c r="G127" s="127"/>
      <c r="H127" s="128"/>
      <c r="I127" s="129"/>
      <c r="J127" s="135"/>
    </row>
    <row r="128" spans="1:10" ht="18.75" customHeight="1">
      <c r="A128" s="72" t="s">
        <v>450</v>
      </c>
      <c r="B128" s="748" t="s">
        <v>451</v>
      </c>
      <c r="C128" s="748"/>
      <c r="D128" s="748"/>
      <c r="E128" s="748"/>
      <c r="F128" s="748"/>
      <c r="G128" s="748"/>
      <c r="H128" s="748"/>
      <c r="I128" s="748"/>
      <c r="J128" s="72" t="s">
        <v>389</v>
      </c>
    </row>
    <row r="129" spans="1:11" ht="39" customHeight="1">
      <c r="A129" s="73" t="s">
        <v>334</v>
      </c>
      <c r="B129" s="749" t="s">
        <v>726</v>
      </c>
      <c r="C129" s="749"/>
      <c r="D129" s="749"/>
      <c r="E129" s="749"/>
      <c r="F129" s="749"/>
      <c r="G129" s="749"/>
      <c r="H129" s="749"/>
      <c r="I129" s="749"/>
      <c r="J129" s="60">
        <f>ROUND(J65*9.075%,2)</f>
        <v>143.1</v>
      </c>
      <c r="K129" s="142"/>
    </row>
    <row r="130" spans="1:11" ht="18.75" customHeight="1">
      <c r="A130" s="73" t="s">
        <v>336</v>
      </c>
      <c r="B130" s="677" t="s">
        <v>452</v>
      </c>
      <c r="C130" s="677"/>
      <c r="D130" s="677"/>
      <c r="E130" s="677"/>
      <c r="F130" s="677"/>
      <c r="G130" s="677"/>
      <c r="H130" s="677"/>
      <c r="I130" s="677"/>
      <c r="J130" s="85">
        <f>ROUND((($J$125/30)*1)/12,2)</f>
        <v>6.96</v>
      </c>
    </row>
    <row r="131" spans="1:11" ht="18.75" customHeight="1">
      <c r="A131" s="73" t="s">
        <v>337</v>
      </c>
      <c r="B131" s="677" t="s">
        <v>453</v>
      </c>
      <c r="C131" s="677"/>
      <c r="D131" s="677"/>
      <c r="E131" s="677"/>
      <c r="F131" s="677"/>
      <c r="G131" s="677"/>
      <c r="H131" s="677"/>
      <c r="I131" s="677"/>
      <c r="J131" s="85">
        <f>ROUND((($J$125/30)*5)/12*0.015,2)</f>
        <v>0.52</v>
      </c>
    </row>
    <row r="132" spans="1:11" ht="18.75" customHeight="1">
      <c r="A132" s="73" t="s">
        <v>339</v>
      </c>
      <c r="B132" s="677" t="s">
        <v>454</v>
      </c>
      <c r="C132" s="677"/>
      <c r="D132" s="677"/>
      <c r="E132" s="677"/>
      <c r="F132" s="677"/>
      <c r="G132" s="677"/>
      <c r="H132" s="677"/>
      <c r="I132" s="677"/>
      <c r="J132" s="86">
        <f>ROUND(((($J$125/30)*15)/12)*0.0078,2)</f>
        <v>0.81</v>
      </c>
      <c r="K132" s="142"/>
    </row>
    <row r="133" spans="1:11" ht="18.75" customHeight="1">
      <c r="A133" s="73" t="s">
        <v>399</v>
      </c>
      <c r="B133" s="677" t="s">
        <v>455</v>
      </c>
      <c r="C133" s="677"/>
      <c r="D133" s="677"/>
      <c r="E133" s="677"/>
      <c r="F133" s="677"/>
      <c r="G133" s="677"/>
      <c r="H133" s="677"/>
      <c r="I133" s="677"/>
      <c r="J133" s="60">
        <f>ROUND((((J65+J65/3)/12+(J85+J102-J96-J91+J121))*4/12)*0.02,2)</f>
        <v>6.17</v>
      </c>
    </row>
    <row r="134" spans="1:11" ht="18.75" customHeight="1">
      <c r="A134" s="73" t="s">
        <v>400</v>
      </c>
      <c r="B134" s="677" t="s">
        <v>456</v>
      </c>
      <c r="C134" s="677"/>
      <c r="D134" s="677"/>
      <c r="E134" s="677"/>
      <c r="F134" s="677"/>
      <c r="G134" s="677"/>
      <c r="H134" s="677"/>
      <c r="I134" s="677"/>
      <c r="J134" s="86">
        <f>ROUND(((($J$125/30)*5)/12),2)</f>
        <v>34.81</v>
      </c>
    </row>
    <row r="135" spans="1:11" ht="18.75" customHeight="1">
      <c r="A135" s="731" t="s">
        <v>457</v>
      </c>
      <c r="B135" s="731"/>
      <c r="C135" s="731"/>
      <c r="D135" s="731"/>
      <c r="E135" s="731"/>
      <c r="F135" s="731"/>
      <c r="G135" s="731"/>
      <c r="H135" s="731"/>
      <c r="I135" s="731"/>
      <c r="J135" s="87">
        <f>SUM(J129:J134)</f>
        <v>192.37</v>
      </c>
    </row>
    <row r="136" spans="1:11" ht="9.9499999999999993" customHeight="1">
      <c r="A136" s="752"/>
      <c r="B136" s="752"/>
      <c r="C136" s="752"/>
      <c r="D136" s="752"/>
      <c r="E136" s="752"/>
      <c r="F136" s="752"/>
      <c r="G136" s="752"/>
      <c r="H136" s="752"/>
      <c r="I136" s="752"/>
      <c r="J136" s="752"/>
    </row>
    <row r="137" spans="1:11" ht="18.75" customHeight="1">
      <c r="A137" s="35" t="s">
        <v>458</v>
      </c>
      <c r="B137" s="753" t="s">
        <v>459</v>
      </c>
      <c r="C137" s="753"/>
      <c r="D137" s="753"/>
      <c r="E137" s="753"/>
      <c r="F137" s="753"/>
      <c r="G137" s="753"/>
      <c r="H137" s="753"/>
      <c r="I137" s="753"/>
      <c r="J137" s="35" t="s">
        <v>389</v>
      </c>
    </row>
    <row r="138" spans="1:11" ht="18.75" customHeight="1">
      <c r="A138" s="49" t="s">
        <v>334</v>
      </c>
      <c r="B138" s="677" t="s">
        <v>460</v>
      </c>
      <c r="C138" s="677"/>
      <c r="D138" s="677"/>
      <c r="E138" s="677"/>
      <c r="F138" s="677"/>
      <c r="G138" s="677"/>
      <c r="H138" s="677"/>
      <c r="I138" s="677"/>
      <c r="J138" s="60">
        <v>0</v>
      </c>
    </row>
    <row r="139" spans="1:11" ht="18.75" customHeight="1">
      <c r="A139" s="731" t="s">
        <v>461</v>
      </c>
      <c r="B139" s="731"/>
      <c r="C139" s="731"/>
      <c r="D139" s="731"/>
      <c r="E139" s="731"/>
      <c r="F139" s="731"/>
      <c r="G139" s="731"/>
      <c r="H139" s="731"/>
      <c r="I139" s="731"/>
      <c r="J139" s="61">
        <f>SUM(J138)</f>
        <v>0</v>
      </c>
    </row>
    <row r="140" spans="1:11" ht="6" customHeight="1">
      <c r="A140" s="754"/>
      <c r="B140" s="754"/>
      <c r="C140" s="754"/>
      <c r="D140" s="754"/>
      <c r="E140" s="754"/>
      <c r="F140" s="754"/>
      <c r="G140" s="754"/>
      <c r="H140" s="754"/>
      <c r="I140" s="754"/>
      <c r="J140" s="754"/>
    </row>
    <row r="141" spans="1:11" ht="16.5" customHeight="1">
      <c r="A141" s="753" t="s">
        <v>462</v>
      </c>
      <c r="B141" s="753"/>
      <c r="C141" s="753"/>
      <c r="D141" s="753"/>
      <c r="E141" s="753"/>
      <c r="F141" s="753"/>
      <c r="G141" s="753"/>
      <c r="H141" s="753"/>
      <c r="I141" s="753"/>
      <c r="J141" s="753"/>
    </row>
    <row r="142" spans="1:11" ht="16.5" customHeight="1">
      <c r="A142" s="35" t="s">
        <v>463</v>
      </c>
      <c r="B142" s="753" t="s">
        <v>427</v>
      </c>
      <c r="C142" s="753"/>
      <c r="D142" s="753"/>
      <c r="E142" s="753"/>
      <c r="F142" s="753"/>
      <c r="G142" s="753"/>
      <c r="H142" s="753"/>
      <c r="I142" s="753"/>
      <c r="J142" s="88" t="s">
        <v>389</v>
      </c>
    </row>
    <row r="143" spans="1:11" ht="16.5" customHeight="1">
      <c r="A143" s="44" t="s">
        <v>450</v>
      </c>
      <c r="B143" s="749" t="s">
        <v>451</v>
      </c>
      <c r="C143" s="749"/>
      <c r="D143" s="749"/>
      <c r="E143" s="749"/>
      <c r="F143" s="749"/>
      <c r="G143" s="749"/>
      <c r="H143" s="749"/>
      <c r="I143" s="749"/>
      <c r="J143" s="60">
        <f>J135</f>
        <v>192.37</v>
      </c>
    </row>
    <row r="144" spans="1:11" ht="16.5" customHeight="1">
      <c r="A144" s="44" t="s">
        <v>464</v>
      </c>
      <c r="B144" s="749" t="s">
        <v>459</v>
      </c>
      <c r="C144" s="749"/>
      <c r="D144" s="749"/>
      <c r="E144" s="749"/>
      <c r="F144" s="749"/>
      <c r="G144" s="749"/>
      <c r="H144" s="749"/>
      <c r="I144" s="749"/>
      <c r="J144" s="60">
        <f>J139</f>
        <v>0</v>
      </c>
    </row>
    <row r="145" spans="1:10" ht="16.5" customHeight="1">
      <c r="A145" s="697" t="s">
        <v>465</v>
      </c>
      <c r="B145" s="697"/>
      <c r="C145" s="697"/>
      <c r="D145" s="697"/>
      <c r="E145" s="697"/>
      <c r="F145" s="697"/>
      <c r="G145" s="697"/>
      <c r="H145" s="697"/>
      <c r="I145" s="697"/>
      <c r="J145" s="61">
        <f>SUM(J143+J144)</f>
        <v>192.37</v>
      </c>
    </row>
    <row r="146" spans="1:10" ht="21.75" customHeight="1">
      <c r="A146" s="64" t="s">
        <v>423</v>
      </c>
      <c r="B146" s="755" t="s">
        <v>467</v>
      </c>
      <c r="C146" s="755"/>
      <c r="D146" s="755"/>
      <c r="E146" s="755"/>
      <c r="F146" s="755"/>
      <c r="G146" s="755"/>
      <c r="H146" s="755"/>
      <c r="I146" s="755"/>
      <c r="J146" s="755"/>
    </row>
    <row r="147" spans="1:10" ht="6" customHeight="1">
      <c r="A147" s="136"/>
      <c r="B147" s="118"/>
      <c r="C147" s="115"/>
      <c r="D147" s="115"/>
      <c r="E147" s="115"/>
      <c r="F147" s="115"/>
      <c r="G147" s="115"/>
      <c r="H147" s="115"/>
      <c r="I147" s="115"/>
      <c r="J147" s="116"/>
    </row>
    <row r="148" spans="1:10" ht="24.75" customHeight="1">
      <c r="A148" s="753" t="s">
        <v>468</v>
      </c>
      <c r="B148" s="753"/>
      <c r="C148" s="753"/>
      <c r="D148" s="753"/>
      <c r="E148" s="753"/>
      <c r="F148" s="753"/>
      <c r="G148" s="753"/>
      <c r="H148" s="753"/>
      <c r="I148" s="753"/>
      <c r="J148" s="753"/>
    </row>
    <row r="149" spans="1:10" ht="24.75" customHeight="1">
      <c r="A149" s="48"/>
      <c r="B149" s="748" t="s">
        <v>427</v>
      </c>
      <c r="C149" s="748"/>
      <c r="D149" s="748"/>
      <c r="E149" s="748"/>
      <c r="F149" s="748"/>
      <c r="G149" s="748"/>
      <c r="H149" s="748"/>
      <c r="I149" s="748"/>
      <c r="J149" s="48" t="s">
        <v>389</v>
      </c>
    </row>
    <row r="150" spans="1:10" ht="24.75" customHeight="1">
      <c r="A150" s="49" t="s">
        <v>334</v>
      </c>
      <c r="B150" s="677" t="s">
        <v>469</v>
      </c>
      <c r="C150" s="677"/>
      <c r="D150" s="677"/>
      <c r="E150" s="677"/>
      <c r="F150" s="677"/>
      <c r="G150" s="677"/>
      <c r="H150" s="677"/>
      <c r="I150" s="677"/>
      <c r="J150" s="60">
        <f>'2. INSUMOS'!F91</f>
        <v>69.038333333333341</v>
      </c>
    </row>
    <row r="151" spans="1:10" ht="24.75" customHeight="1">
      <c r="A151" s="49" t="s">
        <v>336</v>
      </c>
      <c r="B151" s="677" t="s">
        <v>470</v>
      </c>
      <c r="C151" s="677"/>
      <c r="D151" s="677"/>
      <c r="E151" s="677"/>
      <c r="F151" s="677"/>
      <c r="G151" s="677"/>
      <c r="H151" s="677"/>
      <c r="I151" s="677"/>
      <c r="J151" s="80">
        <f>'2. INSUMOS'!F87</f>
        <v>413.46755534575993</v>
      </c>
    </row>
    <row r="152" spans="1:10" ht="24.75" customHeight="1">
      <c r="A152" s="49" t="s">
        <v>337</v>
      </c>
      <c r="B152" s="677" t="s">
        <v>471</v>
      </c>
      <c r="C152" s="677"/>
      <c r="D152" s="677"/>
      <c r="E152" s="677"/>
      <c r="F152" s="677"/>
      <c r="G152" s="677"/>
      <c r="H152" s="677"/>
      <c r="I152" s="677"/>
      <c r="J152" s="80">
        <f>'2. INSUMOS'!F89</f>
        <v>0.35860465826950028</v>
      </c>
    </row>
    <row r="153" spans="1:10" ht="24.75" customHeight="1">
      <c r="A153" s="49" t="s">
        <v>339</v>
      </c>
      <c r="B153" s="677" t="s">
        <v>472</v>
      </c>
      <c r="C153" s="677"/>
      <c r="D153" s="677"/>
      <c r="E153" s="677"/>
      <c r="F153" s="677"/>
      <c r="G153" s="677"/>
      <c r="H153" s="677"/>
      <c r="I153" s="677"/>
      <c r="J153" s="80" t="s">
        <v>473</v>
      </c>
    </row>
    <row r="154" spans="1:10" ht="24.75" customHeight="1">
      <c r="A154" s="731" t="s">
        <v>474</v>
      </c>
      <c r="B154" s="731"/>
      <c r="C154" s="731"/>
      <c r="D154" s="731"/>
      <c r="E154" s="731"/>
      <c r="F154" s="731"/>
      <c r="G154" s="731"/>
      <c r="H154" s="731"/>
      <c r="I154" s="731"/>
      <c r="J154" s="81">
        <f>SUM(J150:J153)</f>
        <v>482.86449333736277</v>
      </c>
    </row>
    <row r="155" spans="1:10">
      <c r="A155" s="64" t="s">
        <v>466</v>
      </c>
      <c r="B155" s="732" t="s">
        <v>476</v>
      </c>
      <c r="C155" s="732"/>
      <c r="D155" s="732"/>
      <c r="E155" s="732"/>
      <c r="F155" s="732"/>
      <c r="G155" s="732"/>
      <c r="H155" s="732"/>
      <c r="I155" s="732"/>
      <c r="J155" s="732"/>
    </row>
    <row r="156" spans="1:10" ht="6" customHeight="1">
      <c r="A156" s="752"/>
      <c r="B156" s="752"/>
      <c r="C156" s="752"/>
      <c r="D156" s="752"/>
      <c r="E156" s="752"/>
      <c r="F156" s="752"/>
      <c r="G156" s="752"/>
      <c r="H156" s="752"/>
      <c r="I156" s="752"/>
      <c r="J156" s="752"/>
    </row>
    <row r="157" spans="1:10" ht="15" customHeight="1">
      <c r="A157" s="753" t="s">
        <v>477</v>
      </c>
      <c r="B157" s="753"/>
      <c r="C157" s="753"/>
      <c r="D157" s="753"/>
      <c r="E157" s="753"/>
      <c r="F157" s="753"/>
      <c r="G157" s="753"/>
      <c r="H157" s="753"/>
      <c r="I157" s="753"/>
      <c r="J157" s="753"/>
    </row>
    <row r="158" spans="1:10" ht="19.5" customHeight="1">
      <c r="A158" s="48"/>
      <c r="B158" s="748" t="s">
        <v>478</v>
      </c>
      <c r="C158" s="748"/>
      <c r="D158" s="748"/>
      <c r="E158" s="748"/>
      <c r="F158" s="748"/>
      <c r="G158" s="748"/>
      <c r="H158" s="748"/>
      <c r="I158" s="35" t="s">
        <v>377</v>
      </c>
      <c r="J158" s="91" t="s">
        <v>389</v>
      </c>
    </row>
    <row r="159" spans="1:10" ht="45" customHeight="1">
      <c r="A159" s="749" t="s">
        <v>479</v>
      </c>
      <c r="B159" s="749"/>
      <c r="C159" s="749"/>
      <c r="D159" s="749"/>
      <c r="E159" s="749"/>
      <c r="F159" s="749"/>
      <c r="G159" s="749"/>
      <c r="H159" s="749"/>
      <c r="I159" s="749"/>
      <c r="J159" s="79">
        <f>SUM(J65+J111+J121+J145+J154)</f>
        <v>3663.2744933373624</v>
      </c>
    </row>
    <row r="160" spans="1:10" ht="15.75">
      <c r="A160" s="89" t="s">
        <v>334</v>
      </c>
      <c r="B160" s="750" t="s">
        <v>480</v>
      </c>
      <c r="C160" s="750"/>
      <c r="D160" s="750"/>
      <c r="E160" s="750"/>
      <c r="F160" s="750"/>
      <c r="G160" s="750"/>
      <c r="H160" s="750"/>
      <c r="I160" s="92">
        <f>'1. ABA DE CARREGAMENTO'!$B$103</f>
        <v>0.06</v>
      </c>
      <c r="J160" s="61">
        <f>ROUND(I160*J159,2)</f>
        <v>219.8</v>
      </c>
    </row>
    <row r="161" spans="1:12" ht="42.75" customHeight="1">
      <c r="A161" s="749" t="s">
        <v>481</v>
      </c>
      <c r="B161" s="749"/>
      <c r="C161" s="749"/>
      <c r="D161" s="749"/>
      <c r="E161" s="749"/>
      <c r="F161" s="749"/>
      <c r="G161" s="749"/>
      <c r="H161" s="749"/>
      <c r="I161" s="749"/>
      <c r="J161" s="79">
        <f>SUM(J65+J111+J121+J145+J154+J160)</f>
        <v>3883.0744933373626</v>
      </c>
    </row>
    <row r="162" spans="1:12" ht="15.75">
      <c r="A162" s="89" t="s">
        <v>336</v>
      </c>
      <c r="B162" s="750" t="s">
        <v>102</v>
      </c>
      <c r="C162" s="750"/>
      <c r="D162" s="750"/>
      <c r="E162" s="750"/>
      <c r="F162" s="750"/>
      <c r="G162" s="750"/>
      <c r="H162" s="750"/>
      <c r="I162" s="92">
        <f>'1. ABA DE CARREGAMENTO'!$B$104</f>
        <v>6.7900000000000002E-2</v>
      </c>
      <c r="J162" s="61">
        <f>ROUND(I162*J161,2)</f>
        <v>263.66000000000003</v>
      </c>
    </row>
    <row r="163" spans="1:12" ht="39" customHeight="1">
      <c r="A163" s="749" t="s">
        <v>482</v>
      </c>
      <c r="B163" s="749"/>
      <c r="C163" s="749"/>
      <c r="D163" s="749"/>
      <c r="E163" s="749"/>
      <c r="F163" s="749"/>
      <c r="G163" s="749"/>
      <c r="H163" s="749"/>
      <c r="I163" s="749"/>
      <c r="J163" s="79">
        <f>SUM(J65+J111+J121+J145+J154+J160+J162)</f>
        <v>4146.7344933373624</v>
      </c>
    </row>
    <row r="164" spans="1:12" ht="15.75">
      <c r="A164" s="89" t="s">
        <v>337</v>
      </c>
      <c r="B164" s="750" t="s">
        <v>483</v>
      </c>
      <c r="C164" s="750"/>
      <c r="D164" s="750"/>
      <c r="E164" s="750"/>
      <c r="F164" s="750"/>
      <c r="G164" s="750"/>
      <c r="H164" s="750"/>
      <c r="I164" s="92">
        <f>SUM(I165:I168)</f>
        <v>0.1225</v>
      </c>
      <c r="J164" s="61">
        <f>SUM(J165:J168)</f>
        <v>578.89</v>
      </c>
      <c r="K164" s="751"/>
      <c r="L164" s="751"/>
    </row>
    <row r="165" spans="1:12">
      <c r="A165" s="674" t="s">
        <v>484</v>
      </c>
      <c r="B165" s="677" t="s">
        <v>485</v>
      </c>
      <c r="C165" s="677"/>
      <c r="D165" s="677"/>
      <c r="E165" s="677"/>
      <c r="F165" s="677" t="s">
        <v>104</v>
      </c>
      <c r="G165" s="677"/>
      <c r="H165" s="677"/>
      <c r="I165" s="51">
        <f>IF(H15=1,0.0165,IF(H15=2,0.0065,IF(H15=3,'1. ABA DE CARREGAMENTO'!B108,IF(H15=4,'1. ABA DE CARREGAMENTO'!B108,IF(H15=5,'1. ABA DE CARREGAMENTO'!B112,"RT Indefinido")))))</f>
        <v>1.6500000000000001E-2</v>
      </c>
      <c r="J165" s="79">
        <f>ROUND(($J$163/(1-$I$164))*I165,2)</f>
        <v>77.97</v>
      </c>
      <c r="K165" s="93"/>
      <c r="L165" s="94"/>
    </row>
    <row r="166" spans="1:12">
      <c r="A166" s="674"/>
      <c r="B166" s="677"/>
      <c r="C166" s="677"/>
      <c r="D166" s="677"/>
      <c r="E166" s="677"/>
      <c r="F166" s="677" t="s">
        <v>105</v>
      </c>
      <c r="G166" s="677"/>
      <c r="H166" s="677"/>
      <c r="I166" s="51">
        <f>IF(H15=1,0.076,IF(H15=2,0.03,IF(H15=3,'1. ABA DE CARREGAMENTO'!B109,IF(H15=4,'1. ABA DE CARREGAMENTO'!B109,IF(H15=5,'1. ABA DE CARREGAMENTO'!B113,"RT Indefinido")))))</f>
        <v>7.5999999999999998E-2</v>
      </c>
      <c r="J166" s="79">
        <f>ROUND(($J$163/(1-$I$164))*I166,2)</f>
        <v>359.15</v>
      </c>
      <c r="K166" s="93"/>
      <c r="L166" s="94"/>
    </row>
    <row r="167" spans="1:12">
      <c r="A167" s="49" t="s">
        <v>486</v>
      </c>
      <c r="B167" s="677" t="s">
        <v>487</v>
      </c>
      <c r="C167" s="677"/>
      <c r="D167" s="677"/>
      <c r="E167" s="677"/>
      <c r="F167" s="677" t="s">
        <v>488</v>
      </c>
      <c r="G167" s="677"/>
      <c r="H167" s="677"/>
      <c r="I167" s="51">
        <v>0</v>
      </c>
      <c r="J167" s="60">
        <v>0</v>
      </c>
      <c r="K167" s="93"/>
      <c r="L167" s="94"/>
    </row>
    <row r="168" spans="1:12">
      <c r="A168" s="49" t="s">
        <v>489</v>
      </c>
      <c r="B168" s="677" t="s">
        <v>490</v>
      </c>
      <c r="C168" s="677"/>
      <c r="D168" s="677"/>
      <c r="E168" s="677"/>
      <c r="F168" s="677" t="s">
        <v>491</v>
      </c>
      <c r="G168" s="677"/>
      <c r="H168" s="677"/>
      <c r="I168" s="51">
        <f>'1. ABA DE CARREGAMENTO'!$B$105</f>
        <v>0.03</v>
      </c>
      <c r="J168" s="79">
        <f>ROUND(($J$163/(1-$I$164))*I168,2)</f>
        <v>141.77000000000001</v>
      </c>
    </row>
    <row r="169" spans="1:12">
      <c r="A169" s="731" t="s">
        <v>492</v>
      </c>
      <c r="B169" s="731"/>
      <c r="C169" s="731"/>
      <c r="D169" s="731"/>
      <c r="E169" s="731"/>
      <c r="F169" s="731"/>
      <c r="G169" s="731"/>
      <c r="H169" s="731"/>
      <c r="I169" s="731"/>
      <c r="J169" s="61">
        <f>SUM(J160+J162+J164)</f>
        <v>1062.3499999999999</v>
      </c>
    </row>
    <row r="170" spans="1:12">
      <c r="A170" s="64" t="s">
        <v>475</v>
      </c>
      <c r="B170" s="732" t="s">
        <v>494</v>
      </c>
      <c r="C170" s="732"/>
      <c r="D170" s="732"/>
      <c r="E170" s="732"/>
      <c r="F170" s="732"/>
      <c r="G170" s="732"/>
      <c r="H170" s="732"/>
      <c r="I170" s="732"/>
      <c r="J170" s="732"/>
    </row>
    <row r="171" spans="1:12" ht="12.75" customHeight="1">
      <c r="A171" s="675" t="s">
        <v>493</v>
      </c>
      <c r="B171" s="678" t="s">
        <v>495</v>
      </c>
      <c r="C171" s="679"/>
      <c r="D171" s="733" t="s">
        <v>699</v>
      </c>
      <c r="E171" s="734"/>
      <c r="F171" s="734"/>
      <c r="G171" s="739" t="s">
        <v>700</v>
      </c>
      <c r="H171" s="740"/>
      <c r="I171" s="373"/>
      <c r="J171" s="745"/>
    </row>
    <row r="172" spans="1:12" ht="12.75" customHeight="1">
      <c r="A172" s="675"/>
      <c r="B172" s="680"/>
      <c r="C172" s="681"/>
      <c r="D172" s="735"/>
      <c r="E172" s="736"/>
      <c r="F172" s="736"/>
      <c r="G172" s="741"/>
      <c r="H172" s="742"/>
      <c r="I172" s="374"/>
      <c r="J172" s="746"/>
    </row>
    <row r="173" spans="1:12" ht="12.75" customHeight="1">
      <c r="A173" s="675"/>
      <c r="B173" s="682"/>
      <c r="C173" s="683"/>
      <c r="D173" s="737"/>
      <c r="E173" s="738"/>
      <c r="F173" s="738"/>
      <c r="G173" s="743"/>
      <c r="H173" s="744"/>
      <c r="I173" s="375"/>
      <c r="J173" s="747"/>
    </row>
    <row r="174" spans="1:12" ht="18.75" customHeight="1">
      <c r="A174" s="137"/>
      <c r="B174" s="138"/>
      <c r="C174" s="139"/>
      <c r="D174" s="140"/>
      <c r="E174" s="140"/>
      <c r="F174" s="140"/>
      <c r="G174" s="140"/>
      <c r="H174" s="140"/>
      <c r="I174" s="140"/>
      <c r="J174" s="140"/>
    </row>
    <row r="175" spans="1:12" ht="15.75" customHeight="1">
      <c r="A175" s="727" t="s">
        <v>496</v>
      </c>
      <c r="B175" s="727"/>
      <c r="C175" s="727"/>
      <c r="D175" s="727"/>
      <c r="E175" s="727"/>
      <c r="F175" s="727"/>
      <c r="G175" s="727"/>
      <c r="H175" s="727"/>
      <c r="I175" s="727"/>
      <c r="J175" s="727"/>
    </row>
    <row r="176" spans="1:12" ht="18.75" customHeight="1">
      <c r="A176" s="728" t="s">
        <v>497</v>
      </c>
      <c r="B176" s="728"/>
      <c r="C176" s="728"/>
      <c r="D176" s="728"/>
      <c r="E176" s="728"/>
      <c r="F176" s="728"/>
      <c r="G176" s="728"/>
      <c r="H176" s="728"/>
      <c r="I176" s="728"/>
      <c r="J176" s="42" t="s">
        <v>389</v>
      </c>
    </row>
    <row r="177" spans="1:10" ht="18.75" customHeight="1">
      <c r="A177" s="90" t="s">
        <v>334</v>
      </c>
      <c r="B177" s="729" t="s">
        <v>498</v>
      </c>
      <c r="C177" s="729"/>
      <c r="D177" s="729"/>
      <c r="E177" s="729"/>
      <c r="F177" s="729"/>
      <c r="G177" s="729"/>
      <c r="H177" s="729"/>
      <c r="I177" s="729"/>
      <c r="J177" s="80">
        <f>J65</f>
        <v>1576.9099999999999</v>
      </c>
    </row>
    <row r="178" spans="1:10" ht="18.75" customHeight="1">
      <c r="A178" s="90" t="s">
        <v>336</v>
      </c>
      <c r="B178" s="729" t="s">
        <v>499</v>
      </c>
      <c r="C178" s="729"/>
      <c r="D178" s="729"/>
      <c r="E178" s="729"/>
      <c r="F178" s="729"/>
      <c r="G178" s="729"/>
      <c r="H178" s="729"/>
      <c r="I178" s="729"/>
      <c r="J178" s="80">
        <f>J111</f>
        <v>1324.09</v>
      </c>
    </row>
    <row r="179" spans="1:10" ht="18.75" customHeight="1">
      <c r="A179" s="90" t="s">
        <v>337</v>
      </c>
      <c r="B179" s="729" t="s">
        <v>500</v>
      </c>
      <c r="C179" s="729"/>
      <c r="D179" s="729"/>
      <c r="E179" s="729"/>
      <c r="F179" s="729"/>
      <c r="G179" s="729"/>
      <c r="H179" s="729"/>
      <c r="I179" s="729"/>
      <c r="J179" s="80">
        <f>J121</f>
        <v>87.039999999999992</v>
      </c>
    </row>
    <row r="180" spans="1:10" ht="18.75" customHeight="1">
      <c r="A180" s="90" t="s">
        <v>339</v>
      </c>
      <c r="B180" s="729" t="s">
        <v>501</v>
      </c>
      <c r="C180" s="729"/>
      <c r="D180" s="729"/>
      <c r="E180" s="729"/>
      <c r="F180" s="729"/>
      <c r="G180" s="729"/>
      <c r="H180" s="729"/>
      <c r="I180" s="729"/>
      <c r="J180" s="80">
        <f>J145</f>
        <v>192.37</v>
      </c>
    </row>
    <row r="181" spans="1:10" ht="18.75" customHeight="1">
      <c r="A181" s="90" t="s">
        <v>399</v>
      </c>
      <c r="B181" s="729" t="s">
        <v>502</v>
      </c>
      <c r="C181" s="729"/>
      <c r="D181" s="729"/>
      <c r="E181" s="729"/>
      <c r="F181" s="729"/>
      <c r="G181" s="729"/>
      <c r="H181" s="729"/>
      <c r="I181" s="729"/>
      <c r="J181" s="80">
        <f>J154</f>
        <v>482.86449333736277</v>
      </c>
    </row>
    <row r="182" spans="1:10" ht="18.75" customHeight="1">
      <c r="A182" s="730" t="s">
        <v>503</v>
      </c>
      <c r="B182" s="730"/>
      <c r="C182" s="730"/>
      <c r="D182" s="730"/>
      <c r="E182" s="730"/>
      <c r="F182" s="730"/>
      <c r="G182" s="730"/>
      <c r="H182" s="730"/>
      <c r="I182" s="730"/>
      <c r="J182" s="81">
        <f>SUM(J177:J181)</f>
        <v>3663.2744933373624</v>
      </c>
    </row>
    <row r="183" spans="1:10" ht="18.75" customHeight="1">
      <c r="A183" s="90" t="s">
        <v>400</v>
      </c>
      <c r="B183" s="729" t="s">
        <v>504</v>
      </c>
      <c r="C183" s="729"/>
      <c r="D183" s="729"/>
      <c r="E183" s="729"/>
      <c r="F183" s="729"/>
      <c r="G183" s="729"/>
      <c r="H183" s="729"/>
      <c r="I183" s="729"/>
      <c r="J183" s="80">
        <f>J169</f>
        <v>1062.3499999999999</v>
      </c>
    </row>
    <row r="184" spans="1:10" ht="18.75" customHeight="1">
      <c r="A184" s="725" t="s">
        <v>505</v>
      </c>
      <c r="B184" s="725"/>
      <c r="C184" s="725"/>
      <c r="D184" s="725"/>
      <c r="E184" s="725"/>
      <c r="F184" s="725"/>
      <c r="G184" s="725"/>
      <c r="H184" s="304">
        <f>'1. ABA DE CARREGAMENTO'!C68</f>
        <v>44</v>
      </c>
      <c r="I184" s="95" t="s">
        <v>380</v>
      </c>
      <c r="J184" s="81">
        <f>SUM(J182:J183)</f>
        <v>4725.6244933373619</v>
      </c>
    </row>
    <row r="185" spans="1:10" ht="9.9499999999999993" customHeight="1">
      <c r="A185" s="141"/>
      <c r="B185" s="141"/>
      <c r="C185" s="141"/>
      <c r="D185" s="141"/>
      <c r="E185" s="141"/>
      <c r="F185" s="141"/>
      <c r="G185" s="141"/>
      <c r="H185" s="141"/>
      <c r="I185" s="141"/>
      <c r="J185" s="133"/>
    </row>
    <row r="186" spans="1:10" ht="15.75">
      <c r="A186" s="699" t="s">
        <v>506</v>
      </c>
      <c r="B186" s="699"/>
      <c r="C186" s="699"/>
      <c r="D186" s="699"/>
      <c r="E186" s="699"/>
      <c r="F186" s="699"/>
      <c r="G186" s="699"/>
      <c r="H186" s="699"/>
      <c r="I186" s="699"/>
      <c r="J186" s="699"/>
    </row>
    <row r="187" spans="1:10" ht="18" customHeight="1">
      <c r="A187" s="726" t="s">
        <v>507</v>
      </c>
      <c r="B187" s="726"/>
      <c r="C187" s="726"/>
      <c r="D187" s="726"/>
      <c r="E187" s="726"/>
      <c r="F187" s="726"/>
      <c r="G187" s="726"/>
      <c r="H187" s="726"/>
      <c r="I187" s="726"/>
      <c r="J187" s="726"/>
    </row>
    <row r="188" spans="1:10" ht="18" customHeight="1">
      <c r="A188" s="721" t="s">
        <v>508</v>
      </c>
      <c r="B188" s="721"/>
      <c r="C188" s="721"/>
      <c r="D188" s="721"/>
      <c r="E188" s="721"/>
      <c r="F188" s="721"/>
      <c r="G188" s="721"/>
      <c r="H188" s="721"/>
      <c r="I188" s="721"/>
      <c r="J188" s="721"/>
    </row>
    <row r="189" spans="1:10" ht="42.75" customHeight="1">
      <c r="A189" s="722" t="s">
        <v>509</v>
      </c>
      <c r="B189" s="722"/>
      <c r="C189" s="722"/>
      <c r="D189" s="722" t="s">
        <v>510</v>
      </c>
      <c r="E189" s="722"/>
      <c r="F189" s="722"/>
      <c r="G189" s="669" t="s">
        <v>511</v>
      </c>
      <c r="H189" s="669"/>
      <c r="I189" s="669" t="s">
        <v>512</v>
      </c>
      <c r="J189" s="669"/>
    </row>
    <row r="190" spans="1:10" ht="18" customHeight="1">
      <c r="A190" s="705" t="s">
        <v>513</v>
      </c>
      <c r="B190" s="705"/>
      <c r="C190" s="705"/>
      <c r="D190" s="105">
        <v>1</v>
      </c>
      <c r="E190" s="97">
        <v>30</v>
      </c>
      <c r="F190" s="106">
        <f>E191</f>
        <v>1200</v>
      </c>
      <c r="G190" s="706">
        <v>0</v>
      </c>
      <c r="H190" s="706"/>
      <c r="I190" s="702">
        <f>G190/F190/E190</f>
        <v>0</v>
      </c>
      <c r="J190" s="702"/>
    </row>
    <row r="191" spans="1:10" ht="18" customHeight="1">
      <c r="A191" s="705" t="s">
        <v>514</v>
      </c>
      <c r="B191" s="705"/>
      <c r="C191" s="705"/>
      <c r="D191" s="105">
        <v>1</v>
      </c>
      <c r="E191" s="712">
        <f>'4. Cál. mão obra limpeza geral'!C8</f>
        <v>1200</v>
      </c>
      <c r="F191" s="712"/>
      <c r="G191" s="723">
        <f>J184</f>
        <v>4725.6244933373619</v>
      </c>
      <c r="H191" s="723"/>
      <c r="I191" s="702">
        <f>ROUND((D191/E191)*G191,2)</f>
        <v>3.94</v>
      </c>
      <c r="J191" s="702"/>
    </row>
    <row r="192" spans="1:10" ht="18" customHeight="1">
      <c r="A192" s="697" t="s">
        <v>515</v>
      </c>
      <c r="B192" s="697"/>
      <c r="C192" s="697"/>
      <c r="D192" s="697"/>
      <c r="E192" s="697"/>
      <c r="F192" s="697"/>
      <c r="G192" s="697"/>
      <c r="H192" s="697"/>
      <c r="I192" s="686">
        <f>SUM(I190+I191)</f>
        <v>3.94</v>
      </c>
      <c r="J192" s="686"/>
    </row>
    <row r="193" spans="1:10" ht="18" customHeight="1">
      <c r="A193" s="705" t="s">
        <v>516</v>
      </c>
      <c r="B193" s="705"/>
      <c r="C193" s="705"/>
      <c r="D193" s="105">
        <v>1</v>
      </c>
      <c r="E193" s="97">
        <v>30</v>
      </c>
      <c r="F193" s="106">
        <f>E194</f>
        <v>1200</v>
      </c>
      <c r="G193" s="706">
        <f>G190</f>
        <v>0</v>
      </c>
      <c r="H193" s="706"/>
      <c r="I193" s="702">
        <f>G193/F193/E193</f>
        <v>0</v>
      </c>
      <c r="J193" s="702"/>
    </row>
    <row r="194" spans="1:10" ht="18" customHeight="1">
      <c r="A194" s="705" t="s">
        <v>517</v>
      </c>
      <c r="B194" s="705"/>
      <c r="C194" s="705"/>
      <c r="D194" s="105">
        <v>1</v>
      </c>
      <c r="E194" s="712">
        <f>'4. Cál. mão obra limpeza geral'!C9</f>
        <v>1200</v>
      </c>
      <c r="F194" s="712"/>
      <c r="G194" s="706">
        <f>J184</f>
        <v>4725.6244933373619</v>
      </c>
      <c r="H194" s="706"/>
      <c r="I194" s="702">
        <f>ROUND((D194/E194)*G194,2)</f>
        <v>3.94</v>
      </c>
      <c r="J194" s="702"/>
    </row>
    <row r="195" spans="1:10" ht="18" customHeight="1">
      <c r="A195" s="697" t="s">
        <v>515</v>
      </c>
      <c r="B195" s="697"/>
      <c r="C195" s="697"/>
      <c r="D195" s="697"/>
      <c r="E195" s="697"/>
      <c r="F195" s="697"/>
      <c r="G195" s="697"/>
      <c r="H195" s="697"/>
      <c r="I195" s="686">
        <f>SUM(I193+I194)</f>
        <v>3.94</v>
      </c>
      <c r="J195" s="686"/>
    </row>
    <row r="196" spans="1:10" ht="18" customHeight="1">
      <c r="A196" s="705" t="s">
        <v>518</v>
      </c>
      <c r="B196" s="705"/>
      <c r="C196" s="705"/>
      <c r="D196" s="105">
        <v>1</v>
      </c>
      <c r="E196" s="97">
        <v>30</v>
      </c>
      <c r="F196" s="106">
        <f>E197</f>
        <v>450</v>
      </c>
      <c r="G196" s="706">
        <f>G190</f>
        <v>0</v>
      </c>
      <c r="H196" s="706"/>
      <c r="I196" s="702">
        <f>G196/F196/E196</f>
        <v>0</v>
      </c>
      <c r="J196" s="702"/>
    </row>
    <row r="197" spans="1:10" ht="18" customHeight="1">
      <c r="A197" s="705" t="s">
        <v>519</v>
      </c>
      <c r="B197" s="705"/>
      <c r="C197" s="705"/>
      <c r="D197" s="105">
        <v>1</v>
      </c>
      <c r="E197" s="712">
        <f>'4. Cál. mão obra limpeza geral'!C10</f>
        <v>450</v>
      </c>
      <c r="F197" s="712"/>
      <c r="G197" s="723">
        <f>J184</f>
        <v>4725.6244933373619</v>
      </c>
      <c r="H197" s="723"/>
      <c r="I197" s="702">
        <f>ROUND((D197/E197)*G197,2)</f>
        <v>10.5</v>
      </c>
      <c r="J197" s="702"/>
    </row>
    <row r="198" spans="1:10" ht="18" customHeight="1">
      <c r="A198" s="697" t="s">
        <v>515</v>
      </c>
      <c r="B198" s="697"/>
      <c r="C198" s="697"/>
      <c r="D198" s="697"/>
      <c r="E198" s="697"/>
      <c r="F198" s="697"/>
      <c r="G198" s="697"/>
      <c r="H198" s="697"/>
      <c r="I198" s="686">
        <f>SUM(I196+I197)</f>
        <v>10.5</v>
      </c>
      <c r="J198" s="686"/>
    </row>
    <row r="199" spans="1:10" ht="18" customHeight="1">
      <c r="A199" s="724" t="s">
        <v>520</v>
      </c>
      <c r="B199" s="724"/>
      <c r="C199" s="724"/>
      <c r="D199" s="97">
        <v>1</v>
      </c>
      <c r="E199" s="97">
        <v>30</v>
      </c>
      <c r="F199" s="106">
        <f>E200</f>
        <v>2500</v>
      </c>
      <c r="G199" s="706">
        <f>G190</f>
        <v>0</v>
      </c>
      <c r="H199" s="706"/>
      <c r="I199" s="702">
        <f>G199/F199/E199</f>
        <v>0</v>
      </c>
      <c r="J199" s="702"/>
    </row>
    <row r="200" spans="1:10" ht="18" customHeight="1">
      <c r="A200" s="724" t="s">
        <v>521</v>
      </c>
      <c r="B200" s="724"/>
      <c r="C200" s="724"/>
      <c r="D200" s="143">
        <v>1</v>
      </c>
      <c r="E200" s="712">
        <f>'4. Cál. mão obra limpeza geral'!C11</f>
        <v>2500</v>
      </c>
      <c r="F200" s="712"/>
      <c r="G200" s="723">
        <f>J184</f>
        <v>4725.6244933373619</v>
      </c>
      <c r="H200" s="723"/>
      <c r="I200" s="702">
        <f>ROUND((D200/E200)*G200,2)</f>
        <v>1.89</v>
      </c>
      <c r="J200" s="702"/>
    </row>
    <row r="201" spans="1:10" ht="18" customHeight="1">
      <c r="A201" s="697" t="s">
        <v>515</v>
      </c>
      <c r="B201" s="697"/>
      <c r="C201" s="697"/>
      <c r="D201" s="697"/>
      <c r="E201" s="697"/>
      <c r="F201" s="697"/>
      <c r="G201" s="697"/>
      <c r="H201" s="697"/>
      <c r="I201" s="686">
        <f>SUM(I199+I200)</f>
        <v>1.89</v>
      </c>
      <c r="J201" s="686"/>
    </row>
    <row r="202" spans="1:10" ht="18" customHeight="1">
      <c r="A202" s="705" t="s">
        <v>522</v>
      </c>
      <c r="B202" s="705"/>
      <c r="C202" s="705"/>
      <c r="D202" s="105">
        <v>1</v>
      </c>
      <c r="E202" s="97">
        <v>30</v>
      </c>
      <c r="F202" s="106">
        <f>E203</f>
        <v>1800</v>
      </c>
      <c r="G202" s="706">
        <f>G190</f>
        <v>0</v>
      </c>
      <c r="H202" s="706"/>
      <c r="I202" s="702">
        <f>G202/F202/E202</f>
        <v>0</v>
      </c>
      <c r="J202" s="702"/>
    </row>
    <row r="203" spans="1:10" ht="18" customHeight="1">
      <c r="A203" s="705" t="s">
        <v>523</v>
      </c>
      <c r="B203" s="705"/>
      <c r="C203" s="705"/>
      <c r="D203" s="105">
        <v>1</v>
      </c>
      <c r="E203" s="712">
        <f>'4. Cál. mão obra limpeza geral'!C12</f>
        <v>1800</v>
      </c>
      <c r="F203" s="712"/>
      <c r="G203" s="723">
        <f>J184</f>
        <v>4725.6244933373619</v>
      </c>
      <c r="H203" s="723"/>
      <c r="I203" s="702">
        <f>ROUND((D203/E203)*G203,2)</f>
        <v>2.63</v>
      </c>
      <c r="J203" s="702"/>
    </row>
    <row r="204" spans="1:10" ht="18" customHeight="1">
      <c r="A204" s="697" t="s">
        <v>515</v>
      </c>
      <c r="B204" s="697"/>
      <c r="C204" s="697"/>
      <c r="D204" s="697"/>
      <c r="E204" s="697"/>
      <c r="F204" s="697"/>
      <c r="G204" s="697"/>
      <c r="H204" s="697"/>
      <c r="I204" s="686">
        <f>SUM(I202+I203)</f>
        <v>2.63</v>
      </c>
      <c r="J204" s="686"/>
    </row>
    <row r="205" spans="1:10" ht="26.25" customHeight="1">
      <c r="A205" s="705" t="s">
        <v>524</v>
      </c>
      <c r="B205" s="705"/>
      <c r="C205" s="705"/>
      <c r="D205" s="97">
        <v>1</v>
      </c>
      <c r="E205" s="97">
        <v>30</v>
      </c>
      <c r="F205" s="106">
        <f>E206</f>
        <v>1500</v>
      </c>
      <c r="G205" s="706">
        <f>G190</f>
        <v>0</v>
      </c>
      <c r="H205" s="706"/>
      <c r="I205" s="702">
        <f>G205/F205/E205</f>
        <v>0</v>
      </c>
      <c r="J205" s="702"/>
    </row>
    <row r="206" spans="1:10" ht="26.25" customHeight="1">
      <c r="A206" s="705" t="s">
        <v>525</v>
      </c>
      <c r="B206" s="705"/>
      <c r="C206" s="705"/>
      <c r="D206" s="97">
        <v>1</v>
      </c>
      <c r="E206" s="712">
        <f>'4. Cál. mão obra limpeza geral'!C13</f>
        <v>1500</v>
      </c>
      <c r="F206" s="712"/>
      <c r="G206" s="723">
        <f>J184</f>
        <v>4725.6244933373619</v>
      </c>
      <c r="H206" s="723"/>
      <c r="I206" s="702">
        <f>ROUND((D206/E206)*G206,2)</f>
        <v>3.15</v>
      </c>
      <c r="J206" s="702"/>
    </row>
    <row r="207" spans="1:10" ht="18" customHeight="1">
      <c r="A207" s="697" t="s">
        <v>515</v>
      </c>
      <c r="B207" s="697"/>
      <c r="C207" s="697"/>
      <c r="D207" s="697"/>
      <c r="E207" s="697"/>
      <c r="F207" s="697"/>
      <c r="G207" s="697"/>
      <c r="H207" s="697"/>
      <c r="I207" s="686">
        <f>SUM(I205+I206)</f>
        <v>3.15</v>
      </c>
      <c r="J207" s="686"/>
    </row>
    <row r="208" spans="1:10" ht="18" customHeight="1">
      <c r="A208" s="705" t="s">
        <v>526</v>
      </c>
      <c r="B208" s="705"/>
      <c r="C208" s="705"/>
      <c r="D208" s="144">
        <v>1</v>
      </c>
      <c r="E208" s="107">
        <v>30</v>
      </c>
      <c r="F208" s="108">
        <f>E209</f>
        <v>1200</v>
      </c>
      <c r="G208" s="723">
        <f>G190</f>
        <v>0</v>
      </c>
      <c r="H208" s="723"/>
      <c r="I208" s="702">
        <f>G208/F208/E208</f>
        <v>0</v>
      </c>
      <c r="J208" s="702"/>
    </row>
    <row r="209" spans="1:26" ht="18" customHeight="1">
      <c r="A209" s="705" t="s">
        <v>527</v>
      </c>
      <c r="B209" s="705"/>
      <c r="C209" s="705"/>
      <c r="D209" s="144">
        <v>1</v>
      </c>
      <c r="E209" s="718">
        <f>'4. Cál. mão obra limpeza geral'!C14</f>
        <v>1200</v>
      </c>
      <c r="F209" s="718"/>
      <c r="G209" s="719">
        <f>J184</f>
        <v>4725.6244933373619</v>
      </c>
      <c r="H209" s="719"/>
      <c r="I209" s="702">
        <f>ROUND((D209/E209)*G209,2)</f>
        <v>3.94</v>
      </c>
      <c r="J209" s="702"/>
    </row>
    <row r="210" spans="1:26" ht="18" customHeight="1">
      <c r="A210" s="697" t="s">
        <v>528</v>
      </c>
      <c r="B210" s="697"/>
      <c r="C210" s="697"/>
      <c r="D210" s="697"/>
      <c r="E210" s="697"/>
      <c r="F210" s="697"/>
      <c r="G210" s="697"/>
      <c r="H210" s="697"/>
      <c r="I210" s="686">
        <f>SUM(I208:J209)</f>
        <v>3.94</v>
      </c>
      <c r="J210" s="686"/>
    </row>
    <row r="211" spans="1:26" ht="18" customHeight="1">
      <c r="A211" s="705" t="s">
        <v>529</v>
      </c>
      <c r="B211" s="705"/>
      <c r="C211" s="705"/>
      <c r="D211" s="107">
        <v>1</v>
      </c>
      <c r="E211" s="107">
        <v>30</v>
      </c>
      <c r="F211" s="108">
        <f>E212</f>
        <v>800</v>
      </c>
      <c r="G211" s="723">
        <f>G190</f>
        <v>0</v>
      </c>
      <c r="H211" s="723"/>
      <c r="I211" s="702">
        <f>G211/F211/E211</f>
        <v>0</v>
      </c>
      <c r="J211" s="702"/>
    </row>
    <row r="212" spans="1:26" ht="18" customHeight="1">
      <c r="A212" s="705" t="s">
        <v>530</v>
      </c>
      <c r="B212" s="705"/>
      <c r="C212" s="705"/>
      <c r="D212" s="107">
        <v>1</v>
      </c>
      <c r="E212" s="718">
        <f>'4. Cál. mão obra limpeza geral'!C15</f>
        <v>800</v>
      </c>
      <c r="F212" s="718"/>
      <c r="G212" s="719">
        <f>J184</f>
        <v>4725.6244933373619</v>
      </c>
      <c r="H212" s="719"/>
      <c r="I212" s="702">
        <f>ROUND((D212/E212)*G212,2)</f>
        <v>5.91</v>
      </c>
      <c r="J212" s="702"/>
    </row>
    <row r="213" spans="1:26" ht="18" customHeight="1">
      <c r="A213" s="697" t="s">
        <v>528</v>
      </c>
      <c r="B213" s="697"/>
      <c r="C213" s="697"/>
      <c r="D213" s="697"/>
      <c r="E213" s="697"/>
      <c r="F213" s="697"/>
      <c r="G213" s="697"/>
      <c r="H213" s="697"/>
      <c r="I213" s="686">
        <f>SUM(I211:J212)</f>
        <v>5.91</v>
      </c>
      <c r="J213" s="686"/>
    </row>
    <row r="214" spans="1:26" ht="18" customHeight="1">
      <c r="A214" s="705" t="s">
        <v>531</v>
      </c>
      <c r="B214" s="705"/>
      <c r="C214" s="705"/>
      <c r="D214" s="107">
        <v>1</v>
      </c>
      <c r="E214" s="107">
        <v>30</v>
      </c>
      <c r="F214" s="108">
        <f>E215</f>
        <v>450</v>
      </c>
      <c r="G214" s="723">
        <f>G190</f>
        <v>0</v>
      </c>
      <c r="H214" s="723"/>
      <c r="I214" s="702">
        <f>G214/F214/E214</f>
        <v>0</v>
      </c>
      <c r="J214" s="702"/>
    </row>
    <row r="215" spans="1:26" ht="18" customHeight="1">
      <c r="A215" s="705" t="s">
        <v>532</v>
      </c>
      <c r="B215" s="705"/>
      <c r="C215" s="705"/>
      <c r="D215" s="107">
        <v>1</v>
      </c>
      <c r="E215" s="718">
        <f>'4. Cál. mão obra limpeza geral'!C16</f>
        <v>450</v>
      </c>
      <c r="F215" s="718"/>
      <c r="G215" s="719">
        <f>J184</f>
        <v>4725.6244933373619</v>
      </c>
      <c r="H215" s="719"/>
      <c r="I215" s="702">
        <f>ROUND((D215/E215)*G215,2)</f>
        <v>10.5</v>
      </c>
      <c r="J215" s="702"/>
    </row>
    <row r="216" spans="1:26" ht="18" customHeight="1">
      <c r="A216" s="697" t="s">
        <v>533</v>
      </c>
      <c r="B216" s="697"/>
      <c r="C216" s="697"/>
      <c r="D216" s="697"/>
      <c r="E216" s="697"/>
      <c r="F216" s="697"/>
      <c r="G216" s="697"/>
      <c r="H216" s="697"/>
      <c r="I216" s="686">
        <f>SUM(I214:J215)</f>
        <v>10.5</v>
      </c>
      <c r="J216" s="686"/>
    </row>
    <row r="217" spans="1:26" ht="9.9499999999999993" customHeight="1">
      <c r="A217" s="720"/>
      <c r="B217" s="720"/>
      <c r="C217" s="720"/>
      <c r="D217" s="720"/>
      <c r="E217" s="720"/>
      <c r="F217" s="720"/>
      <c r="G217" s="720"/>
      <c r="H217" s="720"/>
      <c r="I217" s="720"/>
      <c r="J217" s="720"/>
      <c r="K217" s="53"/>
      <c r="L217" s="53"/>
      <c r="M217" s="53"/>
      <c r="N217" s="53"/>
      <c r="O217" s="53"/>
      <c r="P217" s="53"/>
      <c r="Q217" s="53"/>
      <c r="R217" s="53"/>
      <c r="S217" s="53"/>
      <c r="T217" s="53"/>
      <c r="U217" s="53"/>
      <c r="V217" s="53"/>
      <c r="W217" s="53"/>
      <c r="X217" s="53"/>
      <c r="Y217" s="53"/>
      <c r="Z217" s="53"/>
    </row>
    <row r="218" spans="1:26" ht="12.75" customHeight="1">
      <c r="A218" s="721" t="s">
        <v>534</v>
      </c>
      <c r="B218" s="721"/>
      <c r="C218" s="721"/>
      <c r="D218" s="721"/>
      <c r="E218" s="721"/>
      <c r="F218" s="721"/>
      <c r="G218" s="721"/>
      <c r="H218" s="721"/>
      <c r="I218" s="721"/>
      <c r="J218" s="721"/>
    </row>
    <row r="219" spans="1:26" ht="47.25" customHeight="1">
      <c r="A219" s="722" t="s">
        <v>535</v>
      </c>
      <c r="B219" s="722"/>
      <c r="C219" s="722"/>
      <c r="D219" s="722" t="s">
        <v>536</v>
      </c>
      <c r="E219" s="722"/>
      <c r="F219" s="722"/>
      <c r="G219" s="669" t="s">
        <v>537</v>
      </c>
      <c r="H219" s="669"/>
      <c r="I219" s="669" t="s">
        <v>512</v>
      </c>
      <c r="J219" s="669"/>
    </row>
    <row r="220" spans="1:26" ht="26.25" customHeight="1">
      <c r="A220" s="705" t="s">
        <v>538</v>
      </c>
      <c r="B220" s="705"/>
      <c r="C220" s="705"/>
      <c r="D220" s="145">
        <v>1</v>
      </c>
      <c r="E220" s="97" t="s">
        <v>539</v>
      </c>
      <c r="F220" s="106">
        <f>E221</f>
        <v>2700</v>
      </c>
      <c r="G220" s="706">
        <f>G190</f>
        <v>0</v>
      </c>
      <c r="H220" s="706"/>
      <c r="I220" s="702">
        <f>G220/F220/E220</f>
        <v>0</v>
      </c>
      <c r="J220" s="702"/>
    </row>
    <row r="221" spans="1:26" ht="26.25" customHeight="1">
      <c r="A221" s="705" t="s">
        <v>540</v>
      </c>
      <c r="B221" s="705"/>
      <c r="C221" s="705"/>
      <c r="D221" s="145">
        <v>1</v>
      </c>
      <c r="E221" s="712">
        <f>'4. Cál. mão obra limpeza geral'!C17</f>
        <v>2700</v>
      </c>
      <c r="F221" s="712"/>
      <c r="G221" s="706">
        <f>J184</f>
        <v>4725.6244933373619</v>
      </c>
      <c r="H221" s="706"/>
      <c r="I221" s="704">
        <f>ROUND((D221/E221)*G221,2)</f>
        <v>1.75</v>
      </c>
      <c r="J221" s="704"/>
    </row>
    <row r="222" spans="1:26" ht="17.25" customHeight="1">
      <c r="A222" s="697" t="s">
        <v>515</v>
      </c>
      <c r="B222" s="697"/>
      <c r="C222" s="697"/>
      <c r="D222" s="697"/>
      <c r="E222" s="697"/>
      <c r="F222" s="697"/>
      <c r="G222" s="697"/>
      <c r="H222" s="697"/>
      <c r="I222" s="711">
        <f>SUM(I220+I221)</f>
        <v>1.75</v>
      </c>
      <c r="J222" s="711"/>
    </row>
    <row r="223" spans="1:26" ht="17.25" customHeight="1">
      <c r="A223" s="713" t="s">
        <v>541</v>
      </c>
      <c r="B223" s="713"/>
      <c r="C223" s="713"/>
      <c r="D223" s="110">
        <v>1</v>
      </c>
      <c r="E223" s="110">
        <v>30</v>
      </c>
      <c r="F223" s="146">
        <f>E224</f>
        <v>800</v>
      </c>
      <c r="G223" s="714">
        <f>G220</f>
        <v>0</v>
      </c>
      <c r="H223" s="714"/>
      <c r="I223" s="715">
        <f>G223/F223/E223</f>
        <v>0</v>
      </c>
      <c r="J223" s="715"/>
      <c r="K223" s="53"/>
      <c r="L223" s="53"/>
      <c r="M223" s="53"/>
      <c r="N223" s="53"/>
      <c r="O223" s="53"/>
      <c r="P223" s="53"/>
      <c r="Q223" s="53"/>
      <c r="R223" s="53"/>
      <c r="S223" s="53"/>
      <c r="T223" s="53"/>
      <c r="U223" s="53"/>
      <c r="V223" s="53"/>
      <c r="W223" s="53"/>
      <c r="X223" s="53"/>
      <c r="Y223" s="53"/>
      <c r="Z223" s="53"/>
    </row>
    <row r="224" spans="1:26" ht="17.25" customHeight="1">
      <c r="A224" s="713" t="s">
        <v>542</v>
      </c>
      <c r="B224" s="713"/>
      <c r="C224" s="713"/>
      <c r="D224" s="110">
        <v>1</v>
      </c>
      <c r="E224" s="716">
        <f>'4. Cál. mão obra limpeza geral'!C18</f>
        <v>800</v>
      </c>
      <c r="F224" s="716"/>
      <c r="G224" s="717">
        <f>J184</f>
        <v>4725.6244933373619</v>
      </c>
      <c r="H224" s="717"/>
      <c r="I224" s="715">
        <f>ROUND((D224/E224)*G224,2)</f>
        <v>5.91</v>
      </c>
      <c r="J224" s="715"/>
      <c r="K224" s="53"/>
      <c r="L224" s="53"/>
      <c r="M224" s="53"/>
      <c r="N224" s="53"/>
      <c r="O224" s="53"/>
      <c r="P224" s="53"/>
      <c r="Q224" s="53"/>
      <c r="R224" s="53"/>
      <c r="S224" s="53"/>
      <c r="T224" s="53"/>
      <c r="U224" s="53"/>
      <c r="V224" s="53"/>
      <c r="W224" s="53"/>
      <c r="X224" s="53"/>
      <c r="Y224" s="53"/>
      <c r="Z224" s="53"/>
    </row>
    <row r="225" spans="1:26" ht="17.25" customHeight="1">
      <c r="A225" s="697" t="s">
        <v>515</v>
      </c>
      <c r="B225" s="697"/>
      <c r="C225" s="697"/>
      <c r="D225" s="697"/>
      <c r="E225" s="697"/>
      <c r="F225" s="697"/>
      <c r="G225" s="697"/>
      <c r="H225" s="697"/>
      <c r="I225" s="686">
        <f>SUM(I223:J224)</f>
        <v>5.91</v>
      </c>
      <c r="J225" s="686"/>
      <c r="K225" s="53"/>
      <c r="L225" s="53"/>
      <c r="M225" s="53"/>
      <c r="N225" s="53"/>
      <c r="O225" s="53"/>
      <c r="P225" s="53"/>
      <c r="Q225" s="53"/>
      <c r="R225" s="53"/>
      <c r="S225" s="53"/>
      <c r="T225" s="53"/>
      <c r="U225" s="53"/>
      <c r="V225" s="53"/>
      <c r="W225" s="53"/>
      <c r="X225" s="53"/>
      <c r="Y225" s="53"/>
      <c r="Z225" s="53"/>
    </row>
    <row r="226" spans="1:26" ht="17.25" customHeight="1">
      <c r="A226" s="713" t="s">
        <v>543</v>
      </c>
      <c r="B226" s="713"/>
      <c r="C226" s="713"/>
      <c r="D226" s="110">
        <v>1</v>
      </c>
      <c r="E226" s="110">
        <v>30</v>
      </c>
      <c r="F226" s="146">
        <f>E227</f>
        <v>450</v>
      </c>
      <c r="G226" s="714">
        <f>G190</f>
        <v>0</v>
      </c>
      <c r="H226" s="714"/>
      <c r="I226" s="715">
        <f>G226/F226/E226</f>
        <v>0</v>
      </c>
      <c r="J226" s="715"/>
      <c r="K226" s="53"/>
      <c r="L226" s="53"/>
      <c r="M226" s="53"/>
      <c r="N226" s="53"/>
      <c r="O226" s="53"/>
      <c r="P226" s="53"/>
      <c r="Q226" s="53"/>
      <c r="R226" s="53"/>
      <c r="S226" s="53"/>
      <c r="T226" s="53"/>
      <c r="U226" s="53"/>
      <c r="V226" s="53"/>
      <c r="W226" s="53"/>
      <c r="X226" s="53"/>
      <c r="Y226" s="53"/>
      <c r="Z226" s="53"/>
    </row>
    <row r="227" spans="1:26" ht="17.25" customHeight="1">
      <c r="A227" s="713" t="s">
        <v>544</v>
      </c>
      <c r="B227" s="713"/>
      <c r="C227" s="713"/>
      <c r="D227" s="110">
        <v>1</v>
      </c>
      <c r="E227" s="716">
        <f>'4. Cál. mão obra limpeza geral'!C19</f>
        <v>450</v>
      </c>
      <c r="F227" s="716"/>
      <c r="G227" s="717">
        <f>J184</f>
        <v>4725.6244933373619</v>
      </c>
      <c r="H227" s="717"/>
      <c r="I227" s="715">
        <f>ROUND((D227/E227)*G227,2)</f>
        <v>10.5</v>
      </c>
      <c r="J227" s="715"/>
      <c r="K227" s="53"/>
      <c r="L227" s="53"/>
      <c r="M227" s="53"/>
      <c r="N227" s="53"/>
      <c r="O227" s="53"/>
      <c r="P227" s="53"/>
      <c r="Q227" s="53"/>
      <c r="R227" s="53"/>
      <c r="S227" s="53"/>
      <c r="T227" s="53"/>
      <c r="U227" s="53"/>
      <c r="V227" s="53"/>
      <c r="W227" s="53"/>
      <c r="X227" s="53"/>
      <c r="Y227" s="53"/>
      <c r="Z227" s="53"/>
    </row>
    <row r="228" spans="1:26" ht="17.25" customHeight="1">
      <c r="A228" s="697" t="s">
        <v>515</v>
      </c>
      <c r="B228" s="697"/>
      <c r="C228" s="697"/>
      <c r="D228" s="697"/>
      <c r="E228" s="697"/>
      <c r="F228" s="697"/>
      <c r="G228" s="697"/>
      <c r="H228" s="697"/>
      <c r="I228" s="686">
        <f>SUM(I226:J227)</f>
        <v>10.5</v>
      </c>
      <c r="J228" s="686"/>
      <c r="K228" s="53"/>
      <c r="L228" s="53"/>
      <c r="M228" s="53"/>
      <c r="N228" s="53"/>
      <c r="O228" s="53"/>
      <c r="P228" s="53"/>
      <c r="Q228" s="53"/>
      <c r="R228" s="53"/>
      <c r="S228" s="53"/>
      <c r="T228" s="53"/>
      <c r="U228" s="53"/>
      <c r="V228" s="53"/>
      <c r="W228" s="53"/>
      <c r="X228" s="53"/>
      <c r="Y228" s="53"/>
      <c r="Z228" s="53"/>
    </row>
    <row r="229" spans="1:26" ht="17.25" customHeight="1">
      <c r="A229" s="705" t="s">
        <v>545</v>
      </c>
      <c r="B229" s="705"/>
      <c r="C229" s="705"/>
      <c r="D229" s="145">
        <v>1</v>
      </c>
      <c r="E229" s="97" t="s">
        <v>539</v>
      </c>
      <c r="F229" s="106">
        <f>E230</f>
        <v>9000</v>
      </c>
      <c r="G229" s="706">
        <f>G190</f>
        <v>0</v>
      </c>
      <c r="H229" s="706"/>
      <c r="I229" s="702">
        <f>G229/F229/E229</f>
        <v>0</v>
      </c>
      <c r="J229" s="702"/>
    </row>
    <row r="230" spans="1:26" ht="17.25" customHeight="1">
      <c r="A230" s="705" t="s">
        <v>546</v>
      </c>
      <c r="B230" s="705"/>
      <c r="C230" s="705"/>
      <c r="D230" s="145">
        <v>1</v>
      </c>
      <c r="E230" s="712">
        <f>'4. Cál. mão obra limpeza geral'!C20</f>
        <v>9000</v>
      </c>
      <c r="F230" s="712"/>
      <c r="G230" s="706">
        <f>J184</f>
        <v>4725.6244933373619</v>
      </c>
      <c r="H230" s="706"/>
      <c r="I230" s="704">
        <f>ROUND((D230/E230)*G230,2)</f>
        <v>0.53</v>
      </c>
      <c r="J230" s="704"/>
    </row>
    <row r="231" spans="1:26" ht="17.25" customHeight="1">
      <c r="A231" s="697" t="s">
        <v>515</v>
      </c>
      <c r="B231" s="697"/>
      <c r="C231" s="697"/>
      <c r="D231" s="697"/>
      <c r="E231" s="697"/>
      <c r="F231" s="697"/>
      <c r="G231" s="697"/>
      <c r="H231" s="697"/>
      <c r="I231" s="711">
        <f>SUM(I229+I230)</f>
        <v>0.53</v>
      </c>
      <c r="J231" s="711"/>
    </row>
    <row r="232" spans="1:26" ht="17.25" customHeight="1">
      <c r="A232" s="705" t="s">
        <v>547</v>
      </c>
      <c r="B232" s="705"/>
      <c r="C232" s="705"/>
      <c r="D232" s="145">
        <v>1</v>
      </c>
      <c r="E232" s="97" t="s">
        <v>539</v>
      </c>
      <c r="F232" s="106">
        <f>E233</f>
        <v>2700</v>
      </c>
      <c r="G232" s="706">
        <f>G190</f>
        <v>0</v>
      </c>
      <c r="H232" s="706"/>
      <c r="I232" s="702">
        <f>G232/F232/E232</f>
        <v>0</v>
      </c>
      <c r="J232" s="702"/>
    </row>
    <row r="233" spans="1:26" ht="27" customHeight="1">
      <c r="A233" s="705" t="s">
        <v>548</v>
      </c>
      <c r="B233" s="705"/>
      <c r="C233" s="705"/>
      <c r="D233" s="145">
        <v>1</v>
      </c>
      <c r="E233" s="712">
        <f>'4. Cál. mão obra limpeza geral'!C21</f>
        <v>2700</v>
      </c>
      <c r="F233" s="712"/>
      <c r="G233" s="706">
        <f>J184</f>
        <v>4725.6244933373619</v>
      </c>
      <c r="H233" s="706"/>
      <c r="I233" s="704">
        <f>ROUND((D233/E233)*G233,2)</f>
        <v>1.75</v>
      </c>
      <c r="J233" s="704"/>
    </row>
    <row r="234" spans="1:26" ht="17.25" customHeight="1">
      <c r="A234" s="697" t="s">
        <v>515</v>
      </c>
      <c r="B234" s="697"/>
      <c r="C234" s="697"/>
      <c r="D234" s="697"/>
      <c r="E234" s="697"/>
      <c r="F234" s="697"/>
      <c r="G234" s="697"/>
      <c r="H234" s="697"/>
      <c r="I234" s="711">
        <f>SUM(I232+I233)</f>
        <v>1.75</v>
      </c>
      <c r="J234" s="711"/>
    </row>
    <row r="235" spans="1:26" ht="25.5" customHeight="1">
      <c r="A235" s="705" t="s">
        <v>549</v>
      </c>
      <c r="B235" s="705"/>
      <c r="C235" s="705"/>
      <c r="D235" s="145">
        <v>1</v>
      </c>
      <c r="E235" s="97" t="s">
        <v>539</v>
      </c>
      <c r="F235" s="106">
        <f>E236</f>
        <v>2700</v>
      </c>
      <c r="G235" s="706">
        <f>G190</f>
        <v>0</v>
      </c>
      <c r="H235" s="706"/>
      <c r="I235" s="702">
        <f>G235/F235/E235</f>
        <v>0</v>
      </c>
      <c r="J235" s="702"/>
    </row>
    <row r="236" spans="1:26" ht="25.5" customHeight="1">
      <c r="A236" s="705" t="s">
        <v>550</v>
      </c>
      <c r="B236" s="705"/>
      <c r="C236" s="705"/>
      <c r="D236" s="145">
        <v>1</v>
      </c>
      <c r="E236" s="712">
        <f>'4. Cál. mão obra limpeza geral'!C22</f>
        <v>2700</v>
      </c>
      <c r="F236" s="712"/>
      <c r="G236" s="706">
        <f>J184</f>
        <v>4725.6244933373619</v>
      </c>
      <c r="H236" s="706"/>
      <c r="I236" s="702">
        <f>ROUND((D236/E236)*G236,2)</f>
        <v>1.75</v>
      </c>
      <c r="J236" s="702"/>
    </row>
    <row r="237" spans="1:26" ht="17.25" customHeight="1">
      <c r="A237" s="697" t="s">
        <v>515</v>
      </c>
      <c r="B237" s="697"/>
      <c r="C237" s="697"/>
      <c r="D237" s="697"/>
      <c r="E237" s="697"/>
      <c r="F237" s="697"/>
      <c r="G237" s="697"/>
      <c r="H237" s="697"/>
      <c r="I237" s="686">
        <f>SUM(I235+I236)</f>
        <v>1.75</v>
      </c>
      <c r="J237" s="686"/>
    </row>
    <row r="238" spans="1:26" ht="26.25" customHeight="1">
      <c r="A238" s="705" t="s">
        <v>551</v>
      </c>
      <c r="B238" s="705"/>
      <c r="C238" s="705"/>
      <c r="D238" s="145" t="s">
        <v>552</v>
      </c>
      <c r="E238" s="97" t="s">
        <v>539</v>
      </c>
      <c r="F238" s="106">
        <f>E239</f>
        <v>2700</v>
      </c>
      <c r="G238" s="706">
        <f>G190</f>
        <v>0</v>
      </c>
      <c r="H238" s="706"/>
      <c r="I238" s="702">
        <f>G238/F238/E238</f>
        <v>0</v>
      </c>
      <c r="J238" s="702"/>
    </row>
    <row r="239" spans="1:26" ht="26.25" customHeight="1">
      <c r="A239" s="705" t="s">
        <v>553</v>
      </c>
      <c r="B239" s="705"/>
      <c r="C239" s="705"/>
      <c r="D239" s="145">
        <v>1</v>
      </c>
      <c r="E239" s="712">
        <f>'4. Cál. mão obra limpeza geral'!C23</f>
        <v>2700</v>
      </c>
      <c r="F239" s="712"/>
      <c r="G239" s="706">
        <f>J184</f>
        <v>4725.6244933373619</v>
      </c>
      <c r="H239" s="706"/>
      <c r="I239" s="704">
        <f>ROUND((D239/E239)*G239,2)</f>
        <v>1.75</v>
      </c>
      <c r="J239" s="704"/>
    </row>
    <row r="240" spans="1:26" ht="17.25" customHeight="1">
      <c r="A240" s="697" t="s">
        <v>515</v>
      </c>
      <c r="B240" s="697"/>
      <c r="C240" s="697"/>
      <c r="D240" s="697"/>
      <c r="E240" s="697"/>
      <c r="F240" s="697"/>
      <c r="G240" s="697"/>
      <c r="H240" s="697"/>
      <c r="I240" s="686">
        <f>SUM(I238+I239)</f>
        <v>1.75</v>
      </c>
      <c r="J240" s="686"/>
    </row>
    <row r="241" spans="1:26" ht="26.25" customHeight="1">
      <c r="A241" s="705" t="s">
        <v>554</v>
      </c>
      <c r="B241" s="705"/>
      <c r="C241" s="705"/>
      <c r="D241" s="145" t="s">
        <v>552</v>
      </c>
      <c r="E241" s="97" t="s">
        <v>539</v>
      </c>
      <c r="F241" s="106">
        <f>E242</f>
        <v>100000</v>
      </c>
      <c r="G241" s="706">
        <f>G190</f>
        <v>0</v>
      </c>
      <c r="H241" s="706"/>
      <c r="I241" s="702">
        <f>G241/F241/E241</f>
        <v>0</v>
      </c>
      <c r="J241" s="702"/>
    </row>
    <row r="242" spans="1:26" ht="26.25" customHeight="1">
      <c r="A242" s="707" t="s">
        <v>555</v>
      </c>
      <c r="B242" s="707"/>
      <c r="C242" s="707"/>
      <c r="D242" s="147" t="s">
        <v>552</v>
      </c>
      <c r="E242" s="708">
        <f>'4. Cál. mão obra limpeza geral'!C24</f>
        <v>100000</v>
      </c>
      <c r="F242" s="708"/>
      <c r="G242" s="709">
        <f>J184</f>
        <v>4725.6244933373619</v>
      </c>
      <c r="H242" s="709"/>
      <c r="I242" s="710">
        <f>ROUND((D242/E242)*G242,2)</f>
        <v>0.05</v>
      </c>
      <c r="J242" s="710"/>
    </row>
    <row r="243" spans="1:26" ht="17.25" customHeight="1">
      <c r="A243" s="697" t="s">
        <v>515</v>
      </c>
      <c r="B243" s="697"/>
      <c r="C243" s="697"/>
      <c r="D243" s="697"/>
      <c r="E243" s="697"/>
      <c r="F243" s="697"/>
      <c r="G243" s="697"/>
      <c r="H243" s="697"/>
      <c r="I243" s="711">
        <f>SUM(I241+I242)</f>
        <v>0.05</v>
      </c>
      <c r="J243" s="711"/>
    </row>
    <row r="244" spans="1:26" ht="9.75" customHeight="1">
      <c r="A244" s="41"/>
      <c r="B244" s="41"/>
      <c r="C244" s="41"/>
      <c r="D244" s="41"/>
      <c r="E244" s="41"/>
      <c r="F244" s="41"/>
      <c r="G244" s="41"/>
      <c r="H244" s="41"/>
      <c r="I244" s="149"/>
      <c r="J244" s="41"/>
      <c r="K244" s="53"/>
      <c r="L244" s="53"/>
      <c r="M244" s="53"/>
      <c r="N244" s="53"/>
      <c r="O244" s="53"/>
      <c r="P244" s="53"/>
      <c r="Q244" s="53"/>
      <c r="R244" s="53"/>
      <c r="S244" s="53"/>
      <c r="T244" s="53"/>
      <c r="U244" s="53"/>
      <c r="V244" s="53"/>
      <c r="W244" s="53"/>
      <c r="X244" s="53"/>
      <c r="Y244" s="53"/>
      <c r="Z244" s="53"/>
    </row>
    <row r="245" spans="1:26">
      <c r="A245" s="684" t="s">
        <v>556</v>
      </c>
      <c r="B245" s="684"/>
      <c r="C245" s="684"/>
      <c r="D245" s="684"/>
      <c r="E245" s="684"/>
      <c r="F245" s="684"/>
      <c r="G245" s="684"/>
      <c r="H245" s="684"/>
      <c r="I245" s="684"/>
      <c r="J245" s="684"/>
    </row>
    <row r="246" spans="1:26">
      <c r="A246" s="684"/>
      <c r="B246" s="684"/>
      <c r="C246" s="684"/>
      <c r="D246" s="684"/>
      <c r="E246" s="684"/>
      <c r="F246" s="684"/>
      <c r="G246" s="684"/>
      <c r="H246" s="684"/>
      <c r="I246" s="684"/>
      <c r="J246" s="684"/>
    </row>
    <row r="247" spans="1:26" ht="42" customHeight="1">
      <c r="A247" s="669" t="s">
        <v>557</v>
      </c>
      <c r="B247" s="669"/>
      <c r="C247" s="669"/>
      <c r="D247" s="669" t="s">
        <v>510</v>
      </c>
      <c r="E247" s="669"/>
      <c r="F247" s="669"/>
      <c r="G247" s="669" t="s">
        <v>558</v>
      </c>
      <c r="H247" s="669"/>
      <c r="I247" s="669" t="s">
        <v>512</v>
      </c>
      <c r="J247" s="669"/>
    </row>
    <row r="248" spans="1:26">
      <c r="A248" s="700" t="s">
        <v>559</v>
      </c>
      <c r="B248" s="700"/>
      <c r="C248" s="700"/>
      <c r="D248" s="105">
        <v>1</v>
      </c>
      <c r="E248" s="105">
        <v>30</v>
      </c>
      <c r="F248" s="148">
        <f>E249</f>
        <v>450</v>
      </c>
      <c r="G248" s="701">
        <f>G190</f>
        <v>0</v>
      </c>
      <c r="H248" s="701"/>
      <c r="I248" s="702">
        <f>G248/F248/E248</f>
        <v>0</v>
      </c>
      <c r="J248" s="702"/>
    </row>
    <row r="249" spans="1:26">
      <c r="A249" s="700" t="s">
        <v>560</v>
      </c>
      <c r="B249" s="700"/>
      <c r="C249" s="700"/>
      <c r="D249" s="105">
        <v>1</v>
      </c>
      <c r="E249" s="703">
        <f>'4. Cál. mão obra limpeza geral'!C25</f>
        <v>450</v>
      </c>
      <c r="F249" s="703"/>
      <c r="G249" s="701">
        <f>J184</f>
        <v>4725.6244933373619</v>
      </c>
      <c r="H249" s="701"/>
      <c r="I249" s="704">
        <f>ROUND(D249/E249*G249,2)</f>
        <v>10.5</v>
      </c>
      <c r="J249" s="704"/>
    </row>
    <row r="250" spans="1:26" ht="12.75" customHeight="1">
      <c r="A250" s="697" t="s">
        <v>515</v>
      </c>
      <c r="B250" s="697"/>
      <c r="C250" s="697"/>
      <c r="D250" s="697"/>
      <c r="E250" s="697"/>
      <c r="F250" s="697"/>
      <c r="G250" s="697"/>
      <c r="H250" s="697"/>
      <c r="I250" s="686">
        <f>SUM(I248+I249)</f>
        <v>10.5</v>
      </c>
      <c r="J250" s="686"/>
    </row>
    <row r="251" spans="1:26" ht="50.25" customHeight="1">
      <c r="A251" s="698" t="s">
        <v>561</v>
      </c>
      <c r="B251" s="698"/>
      <c r="C251" s="698"/>
      <c r="D251" s="698"/>
      <c r="E251" s="698"/>
      <c r="F251" s="698"/>
      <c r="G251" s="698"/>
      <c r="H251" s="698"/>
      <c r="I251" s="698"/>
      <c r="J251" s="698"/>
    </row>
    <row r="252" spans="1:26" ht="15.75">
      <c r="A252" s="699" t="s">
        <v>562</v>
      </c>
      <c r="B252" s="699"/>
      <c r="C252" s="699"/>
      <c r="D252" s="699"/>
      <c r="E252" s="699"/>
      <c r="F252" s="699"/>
      <c r="G252" s="699"/>
      <c r="H252" s="699"/>
      <c r="I252" s="699"/>
      <c r="J252" s="699"/>
    </row>
    <row r="253" spans="1:26" ht="30.75" customHeight="1">
      <c r="A253" s="670" t="s">
        <v>21</v>
      </c>
      <c r="B253" s="670"/>
      <c r="C253" s="670"/>
      <c r="D253" s="670"/>
      <c r="E253" s="670"/>
      <c r="F253" s="669" t="s">
        <v>563</v>
      </c>
      <c r="G253" s="669"/>
      <c r="H253" s="42" t="s">
        <v>564</v>
      </c>
      <c r="I253" s="669" t="s">
        <v>565</v>
      </c>
      <c r="J253" s="669"/>
    </row>
    <row r="254" spans="1:26" ht="22.5" customHeight="1">
      <c r="A254" s="693" t="s">
        <v>345</v>
      </c>
      <c r="B254" s="693"/>
      <c r="C254" s="693"/>
      <c r="D254" s="693"/>
      <c r="E254" s="693"/>
      <c r="F254" s="689">
        <f>I192</f>
        <v>3.94</v>
      </c>
      <c r="G254" s="689"/>
      <c r="H254" s="100">
        <f t="shared" ref="H254:H272" si="0">I25</f>
        <v>3971.2366666666671</v>
      </c>
      <c r="I254" s="690">
        <f t="shared" ref="I254:I262" si="1">ROUND(F254*H254,2)</f>
        <v>15646.67</v>
      </c>
      <c r="J254" s="690"/>
    </row>
    <row r="255" spans="1:26" ht="22.5" customHeight="1">
      <c r="A255" s="693" t="s">
        <v>347</v>
      </c>
      <c r="B255" s="693"/>
      <c r="C255" s="693"/>
      <c r="D255" s="693"/>
      <c r="E255" s="693"/>
      <c r="F255" s="689">
        <f>I195</f>
        <v>3.94</v>
      </c>
      <c r="G255" s="689"/>
      <c r="H255" s="100">
        <f t="shared" si="0"/>
        <v>12988.157120833335</v>
      </c>
      <c r="I255" s="690">
        <f t="shared" si="1"/>
        <v>51173.34</v>
      </c>
      <c r="J255" s="690"/>
    </row>
    <row r="256" spans="1:26" ht="22.5" customHeight="1">
      <c r="A256" s="693" t="s">
        <v>348</v>
      </c>
      <c r="B256" s="693"/>
      <c r="C256" s="693"/>
      <c r="D256" s="693"/>
      <c r="E256" s="693"/>
      <c r="F256" s="689">
        <f>I198</f>
        <v>10.5</v>
      </c>
      <c r="G256" s="689"/>
      <c r="H256" s="100">
        <f t="shared" si="0"/>
        <v>1262.23</v>
      </c>
      <c r="I256" s="690">
        <f t="shared" si="1"/>
        <v>13253.42</v>
      </c>
      <c r="J256" s="690"/>
    </row>
    <row r="257" spans="1:10" ht="22.5" customHeight="1">
      <c r="A257" s="693" t="s">
        <v>349</v>
      </c>
      <c r="B257" s="693"/>
      <c r="C257" s="693"/>
      <c r="D257" s="693"/>
      <c r="E257" s="693"/>
      <c r="F257" s="689">
        <f>I201</f>
        <v>1.89</v>
      </c>
      <c r="G257" s="689"/>
      <c r="H257" s="100">
        <f t="shared" si="0"/>
        <v>62.404320833333337</v>
      </c>
      <c r="I257" s="690">
        <f t="shared" si="1"/>
        <v>117.94</v>
      </c>
      <c r="J257" s="690"/>
    </row>
    <row r="258" spans="1:10" ht="22.5" customHeight="1">
      <c r="A258" s="693" t="s">
        <v>350</v>
      </c>
      <c r="B258" s="693"/>
      <c r="C258" s="693"/>
      <c r="D258" s="693"/>
      <c r="E258" s="693"/>
      <c r="F258" s="689">
        <f>I204</f>
        <v>2.63</v>
      </c>
      <c r="G258" s="689"/>
      <c r="H258" s="100">
        <f t="shared" si="0"/>
        <v>586.84</v>
      </c>
      <c r="I258" s="690">
        <f t="shared" si="1"/>
        <v>1543.39</v>
      </c>
      <c r="J258" s="690"/>
    </row>
    <row r="259" spans="1:10" ht="22.5" customHeight="1">
      <c r="A259" s="694" t="s">
        <v>351</v>
      </c>
      <c r="B259" s="694"/>
      <c r="C259" s="694"/>
      <c r="D259" s="694"/>
      <c r="E259" s="694"/>
      <c r="F259" s="689">
        <f>I207</f>
        <v>3.15</v>
      </c>
      <c r="G259" s="689"/>
      <c r="H259" s="100">
        <f t="shared" si="0"/>
        <v>7158.9499999999989</v>
      </c>
      <c r="I259" s="690">
        <f t="shared" si="1"/>
        <v>22550.69</v>
      </c>
      <c r="J259" s="690"/>
    </row>
    <row r="260" spans="1:10" ht="22.5" customHeight="1">
      <c r="A260" s="694" t="s">
        <v>566</v>
      </c>
      <c r="B260" s="694"/>
      <c r="C260" s="694"/>
      <c r="D260" s="694"/>
      <c r="E260" s="694"/>
      <c r="F260" s="696">
        <f>I210</f>
        <v>3.94</v>
      </c>
      <c r="G260" s="696"/>
      <c r="H260" s="100">
        <f t="shared" si="0"/>
        <v>0</v>
      </c>
      <c r="I260" s="690">
        <f t="shared" si="1"/>
        <v>0</v>
      </c>
      <c r="J260" s="690"/>
    </row>
    <row r="261" spans="1:10" ht="22.5" customHeight="1">
      <c r="A261" s="694" t="s">
        <v>353</v>
      </c>
      <c r="B261" s="694"/>
      <c r="C261" s="694"/>
      <c r="D261" s="694"/>
      <c r="E261" s="694"/>
      <c r="F261" s="696">
        <f>I213</f>
        <v>5.91</v>
      </c>
      <c r="G261" s="696"/>
      <c r="H261" s="100">
        <f t="shared" si="0"/>
        <v>0</v>
      </c>
      <c r="I261" s="690">
        <f t="shared" si="1"/>
        <v>0</v>
      </c>
      <c r="J261" s="690"/>
    </row>
    <row r="262" spans="1:10" ht="22.5" customHeight="1">
      <c r="A262" s="694" t="s">
        <v>354</v>
      </c>
      <c r="B262" s="694"/>
      <c r="C262" s="694"/>
      <c r="D262" s="694"/>
      <c r="E262" s="694"/>
      <c r="F262" s="696">
        <f>I216</f>
        <v>10.5</v>
      </c>
      <c r="G262" s="696"/>
      <c r="H262" s="100">
        <f t="shared" si="0"/>
        <v>0</v>
      </c>
      <c r="I262" s="690">
        <f t="shared" si="1"/>
        <v>0</v>
      </c>
      <c r="J262" s="690"/>
    </row>
    <row r="263" spans="1:10" ht="22.5" customHeight="1">
      <c r="A263" s="685" t="s">
        <v>355</v>
      </c>
      <c r="B263" s="685"/>
      <c r="C263" s="685"/>
      <c r="D263" s="685"/>
      <c r="E263" s="685"/>
      <c r="F263" s="685"/>
      <c r="G263" s="685"/>
      <c r="H263" s="101">
        <f t="shared" si="0"/>
        <v>26029.818108333333</v>
      </c>
      <c r="I263" s="692">
        <f>SUM(I254:I262)</f>
        <v>104285.45</v>
      </c>
      <c r="J263" s="692"/>
    </row>
    <row r="264" spans="1:10" ht="22.5" customHeight="1">
      <c r="A264" s="694" t="s">
        <v>356</v>
      </c>
      <c r="B264" s="694"/>
      <c r="C264" s="694"/>
      <c r="D264" s="694"/>
      <c r="E264" s="694"/>
      <c r="F264" s="689">
        <f>I222</f>
        <v>1.75</v>
      </c>
      <c r="G264" s="689"/>
      <c r="H264" s="102">
        <f t="shared" si="0"/>
        <v>312.88166666666666</v>
      </c>
      <c r="I264" s="690">
        <f t="shared" ref="I264:I271" si="2">ROUND(F264*H264,2)</f>
        <v>547.54</v>
      </c>
      <c r="J264" s="690"/>
    </row>
    <row r="265" spans="1:10" ht="22.5" customHeight="1">
      <c r="A265" s="694" t="s">
        <v>357</v>
      </c>
      <c r="B265" s="694"/>
      <c r="C265" s="694"/>
      <c r="D265" s="694"/>
      <c r="E265" s="694"/>
      <c r="F265" s="689">
        <f>I225</f>
        <v>5.91</v>
      </c>
      <c r="G265" s="689"/>
      <c r="H265" s="102">
        <f t="shared" si="0"/>
        <v>0</v>
      </c>
      <c r="I265" s="690">
        <f t="shared" si="2"/>
        <v>0</v>
      </c>
      <c r="J265" s="690"/>
    </row>
    <row r="266" spans="1:10" ht="22.5" customHeight="1">
      <c r="A266" s="694" t="s">
        <v>358</v>
      </c>
      <c r="B266" s="694"/>
      <c r="C266" s="694"/>
      <c r="D266" s="694"/>
      <c r="E266" s="694"/>
      <c r="F266" s="689">
        <f>I228</f>
        <v>10.5</v>
      </c>
      <c r="G266" s="689"/>
      <c r="H266" s="102">
        <f t="shared" si="0"/>
        <v>0</v>
      </c>
      <c r="I266" s="690">
        <f t="shared" si="2"/>
        <v>0</v>
      </c>
      <c r="J266" s="690"/>
    </row>
    <row r="267" spans="1:10" ht="22.5" customHeight="1">
      <c r="A267" s="694" t="s">
        <v>567</v>
      </c>
      <c r="B267" s="694"/>
      <c r="C267" s="694"/>
      <c r="D267" s="694"/>
      <c r="E267" s="694"/>
      <c r="F267" s="689">
        <f>I231</f>
        <v>0.53</v>
      </c>
      <c r="G267" s="689"/>
      <c r="H267" s="102">
        <f t="shared" si="0"/>
        <v>784.33666666666659</v>
      </c>
      <c r="I267" s="690">
        <f t="shared" si="2"/>
        <v>415.7</v>
      </c>
      <c r="J267" s="690"/>
    </row>
    <row r="268" spans="1:10" ht="22.5" customHeight="1">
      <c r="A268" s="694" t="s">
        <v>568</v>
      </c>
      <c r="B268" s="694"/>
      <c r="C268" s="694"/>
      <c r="D268" s="694"/>
      <c r="E268" s="694"/>
      <c r="F268" s="689">
        <f>I234</f>
        <v>1.75</v>
      </c>
      <c r="G268" s="689"/>
      <c r="H268" s="102">
        <f t="shared" si="0"/>
        <v>0</v>
      </c>
      <c r="I268" s="690">
        <f t="shared" si="2"/>
        <v>0</v>
      </c>
      <c r="J268" s="690"/>
    </row>
    <row r="269" spans="1:10" ht="22.5" customHeight="1">
      <c r="A269" s="694" t="s">
        <v>569</v>
      </c>
      <c r="B269" s="694"/>
      <c r="C269" s="694"/>
      <c r="D269" s="694"/>
      <c r="E269" s="694"/>
      <c r="F269" s="689">
        <f>I237</f>
        <v>1.75</v>
      </c>
      <c r="G269" s="689"/>
      <c r="H269" s="102">
        <f t="shared" si="0"/>
        <v>0</v>
      </c>
      <c r="I269" s="690">
        <f t="shared" si="2"/>
        <v>0</v>
      </c>
      <c r="J269" s="690"/>
    </row>
    <row r="270" spans="1:10" ht="22.5" customHeight="1">
      <c r="A270" s="694" t="s">
        <v>570</v>
      </c>
      <c r="B270" s="694"/>
      <c r="C270" s="694"/>
      <c r="D270" s="694"/>
      <c r="E270" s="694"/>
      <c r="F270" s="689">
        <f>I240</f>
        <v>1.75</v>
      </c>
      <c r="G270" s="689"/>
      <c r="H270" s="102">
        <f t="shared" si="0"/>
        <v>0</v>
      </c>
      <c r="I270" s="690">
        <f t="shared" si="2"/>
        <v>0</v>
      </c>
      <c r="J270" s="690"/>
    </row>
    <row r="271" spans="1:10" ht="22.5" customHeight="1">
      <c r="A271" s="688" t="s">
        <v>571</v>
      </c>
      <c r="B271" s="688"/>
      <c r="C271" s="688"/>
      <c r="D271" s="688"/>
      <c r="E271" s="688"/>
      <c r="F271" s="689">
        <f>I243</f>
        <v>0.05</v>
      </c>
      <c r="G271" s="689"/>
      <c r="H271" s="102">
        <f t="shared" si="0"/>
        <v>0</v>
      </c>
      <c r="I271" s="690">
        <f t="shared" si="2"/>
        <v>0</v>
      </c>
      <c r="J271" s="690"/>
    </row>
    <row r="272" spans="1:10" ht="22.5" customHeight="1">
      <c r="A272" s="685" t="s">
        <v>364</v>
      </c>
      <c r="B272" s="685"/>
      <c r="C272" s="685"/>
      <c r="D272" s="685"/>
      <c r="E272" s="685"/>
      <c r="F272" s="685"/>
      <c r="G272" s="685"/>
      <c r="H272" s="103">
        <f t="shared" si="0"/>
        <v>1097.2183333333332</v>
      </c>
      <c r="I272" s="692">
        <f>SUM(I264:I271)</f>
        <v>963.24</v>
      </c>
      <c r="J272" s="692"/>
    </row>
    <row r="273" spans="1:26" ht="22.5" customHeight="1">
      <c r="A273" s="693" t="s">
        <v>365</v>
      </c>
      <c r="B273" s="693"/>
      <c r="C273" s="693"/>
      <c r="D273" s="693"/>
      <c r="E273" s="693"/>
      <c r="F273" s="689">
        <f>I250</f>
        <v>10.5</v>
      </c>
      <c r="G273" s="689"/>
      <c r="H273" s="100">
        <f>I45</f>
        <v>737.04</v>
      </c>
      <c r="I273" s="690">
        <f>ROUND(F273*H273,2)</f>
        <v>7738.92</v>
      </c>
      <c r="J273" s="690"/>
    </row>
    <row r="274" spans="1:26" ht="22.5" customHeight="1">
      <c r="A274" s="685" t="s">
        <v>572</v>
      </c>
      <c r="B274" s="685"/>
      <c r="C274" s="685"/>
      <c r="D274" s="685"/>
      <c r="E274" s="685"/>
      <c r="F274" s="685"/>
      <c r="G274" s="685"/>
      <c r="H274" s="101">
        <f>H273</f>
        <v>737.04</v>
      </c>
      <c r="I274" s="692">
        <f>I273</f>
        <v>7738.92</v>
      </c>
      <c r="J274" s="692"/>
    </row>
    <row r="275" spans="1:26" ht="22.5" customHeight="1">
      <c r="A275" s="694" t="s">
        <v>367</v>
      </c>
      <c r="B275" s="694"/>
      <c r="C275" s="694"/>
      <c r="D275" s="694"/>
      <c r="E275" s="694"/>
      <c r="F275" s="694"/>
      <c r="G275" s="694"/>
      <c r="H275" s="100">
        <f>I46</f>
        <v>0</v>
      </c>
      <c r="I275" s="695">
        <v>0</v>
      </c>
      <c r="J275" s="695"/>
    </row>
    <row r="276" spans="1:26" ht="22.5" customHeight="1">
      <c r="A276" s="685" t="s">
        <v>368</v>
      </c>
      <c r="B276" s="685"/>
      <c r="C276" s="685"/>
      <c r="D276" s="685"/>
      <c r="E276" s="685"/>
      <c r="F276" s="685"/>
      <c r="G276" s="685"/>
      <c r="H276" s="101">
        <f>H275</f>
        <v>0</v>
      </c>
      <c r="I276" s="686">
        <v>0</v>
      </c>
      <c r="J276" s="686"/>
    </row>
    <row r="277" spans="1:26" ht="22.5" customHeight="1">
      <c r="A277" s="685" t="s">
        <v>573</v>
      </c>
      <c r="B277" s="685"/>
      <c r="C277" s="685"/>
      <c r="D277" s="685"/>
      <c r="E277" s="685"/>
      <c r="F277" s="685"/>
      <c r="G277" s="685"/>
      <c r="H277" s="101">
        <f>ROUND(H263+H272+H274+H276,2)</f>
        <v>27864.080000000002</v>
      </c>
      <c r="I277" s="686">
        <f>SUM(I263+I272+I274+I276)</f>
        <v>112987.61</v>
      </c>
      <c r="J277" s="686"/>
    </row>
    <row r="278" spans="1:26" ht="22.5" customHeight="1">
      <c r="A278" s="687"/>
      <c r="B278" s="687"/>
      <c r="C278" s="687"/>
      <c r="D278" s="687"/>
      <c r="E278" s="687"/>
      <c r="F278" s="687"/>
      <c r="G278" s="687"/>
      <c r="H278" s="687"/>
      <c r="I278" s="687"/>
      <c r="J278" s="687"/>
      <c r="K278" s="53"/>
      <c r="L278" s="53"/>
      <c r="M278" s="53"/>
      <c r="N278" s="53"/>
      <c r="O278" s="53"/>
      <c r="P278" s="53"/>
      <c r="Q278" s="53"/>
      <c r="R278" s="53"/>
      <c r="S278" s="53"/>
      <c r="T278" s="53"/>
      <c r="U278" s="53"/>
      <c r="V278" s="53"/>
      <c r="W278" s="53"/>
      <c r="X278" s="53"/>
      <c r="Y278" s="53"/>
      <c r="Z278" s="53"/>
    </row>
    <row r="279" spans="1:26" ht="22.5" customHeight="1">
      <c r="A279" s="667" t="s">
        <v>574</v>
      </c>
      <c r="B279" s="667"/>
      <c r="C279" s="667"/>
      <c r="D279" s="667"/>
      <c r="E279" s="667"/>
      <c r="F279" s="667"/>
      <c r="G279" s="667"/>
      <c r="H279" s="667"/>
      <c r="I279" s="668">
        <f>I277</f>
        <v>112987.61</v>
      </c>
      <c r="J279" s="668"/>
    </row>
    <row r="280" spans="1:26" ht="22.5" customHeight="1">
      <c r="A280" s="667" t="s">
        <v>575</v>
      </c>
      <c r="B280" s="667"/>
      <c r="C280" s="667"/>
      <c r="D280" s="667"/>
      <c r="E280" s="667"/>
      <c r="F280" s="667"/>
      <c r="G280" s="667"/>
      <c r="H280" s="667"/>
      <c r="I280" s="691">
        <f>H21</f>
        <v>20</v>
      </c>
      <c r="J280" s="691"/>
    </row>
    <row r="281" spans="1:26" ht="22.5" customHeight="1">
      <c r="A281" s="667" t="s">
        <v>576</v>
      </c>
      <c r="B281" s="667"/>
      <c r="C281" s="667"/>
      <c r="D281" s="667"/>
      <c r="E281" s="667"/>
      <c r="F281" s="667"/>
      <c r="G281" s="667"/>
      <c r="H281" s="667"/>
      <c r="I281" s="668">
        <f>ROUND(I277*I280,2)</f>
        <v>2259752.2000000002</v>
      </c>
      <c r="J281" s="668"/>
    </row>
    <row r="282" spans="1:26" ht="22.5" customHeight="1">
      <c r="A282" s="669" t="s">
        <v>577</v>
      </c>
      <c r="B282" s="669"/>
      <c r="C282" s="669"/>
      <c r="D282" s="669"/>
      <c r="E282" s="669"/>
      <c r="F282" s="669"/>
      <c r="G282" s="669"/>
      <c r="H282" s="669"/>
      <c r="I282" s="669"/>
      <c r="J282" s="669"/>
    </row>
    <row r="283" spans="1:26" ht="22.5" customHeight="1">
      <c r="A283" s="670" t="s">
        <v>578</v>
      </c>
      <c r="B283" s="670"/>
      <c r="C283" s="670"/>
      <c r="D283" s="670"/>
      <c r="E283" s="670"/>
      <c r="F283" s="670"/>
      <c r="G283" s="670" t="s">
        <v>579</v>
      </c>
      <c r="H283" s="670"/>
      <c r="I283" s="670"/>
      <c r="J283" s="670"/>
    </row>
    <row r="284" spans="1:26" ht="22.5" customHeight="1">
      <c r="A284" s="671" t="s">
        <v>71</v>
      </c>
      <c r="B284" s="671"/>
      <c r="C284" s="671"/>
      <c r="D284" s="671"/>
      <c r="E284" s="671"/>
      <c r="F284" s="671"/>
      <c r="G284" s="672">
        <f>'4. Cál. mão obra limpeza geral'!$L$28</f>
        <v>23.902298279645063</v>
      </c>
      <c r="H284" s="672"/>
      <c r="I284" s="672"/>
      <c r="J284" s="672"/>
    </row>
    <row r="285" spans="1:26" ht="22.5" customHeight="1">
      <c r="A285" s="673" t="s">
        <v>580</v>
      </c>
      <c r="B285" s="673"/>
      <c r="C285" s="673"/>
      <c r="D285" s="673"/>
      <c r="E285" s="673"/>
      <c r="F285" s="673"/>
      <c r="G285" s="673"/>
      <c r="H285" s="673"/>
      <c r="I285" s="673"/>
      <c r="J285" s="673"/>
    </row>
    <row r="286" spans="1:26" ht="12.75" customHeight="1"/>
    <row r="287" spans="1:26" ht="12.75" customHeight="1"/>
    <row r="288" spans="1:26"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sheetData>
  <sheetProtection selectLockedCells="1" selectUnlockedCells="1"/>
  <mergeCells count="513">
    <mergeCell ref="A1:J1"/>
    <mergeCell ref="A2:J2"/>
    <mergeCell ref="A3:J3"/>
    <mergeCell ref="A4:J4"/>
    <mergeCell ref="A5:J5"/>
    <mergeCell ref="A7:J7"/>
    <mergeCell ref="D9:H9"/>
    <mergeCell ref="I9:J9"/>
    <mergeCell ref="D10:F10"/>
    <mergeCell ref="I10:J10"/>
    <mergeCell ref="A9:C10"/>
    <mergeCell ref="B11:C11"/>
    <mergeCell ref="E11:F11"/>
    <mergeCell ref="B12:G12"/>
    <mergeCell ref="I12:J12"/>
    <mergeCell ref="B13:D13"/>
    <mergeCell ref="F13:G13"/>
    <mergeCell ref="I13:J13"/>
    <mergeCell ref="A14:G14"/>
    <mergeCell ref="H14:J14"/>
    <mergeCell ref="A15:G15"/>
    <mergeCell ref="I15:J15"/>
    <mergeCell ref="A17:J17"/>
    <mergeCell ref="B18:G18"/>
    <mergeCell ref="H18:J18"/>
    <mergeCell ref="B19:G19"/>
    <mergeCell ref="H19:J19"/>
    <mergeCell ref="B20:G20"/>
    <mergeCell ref="H20:J20"/>
    <mergeCell ref="B21:G21"/>
    <mergeCell ref="H21:J21"/>
    <mergeCell ref="A23:J23"/>
    <mergeCell ref="A24:F24"/>
    <mergeCell ref="G24:H24"/>
    <mergeCell ref="I24:J24"/>
    <mergeCell ref="A25:F25"/>
    <mergeCell ref="G25:H25"/>
    <mergeCell ref="I25:J25"/>
    <mergeCell ref="A26:F26"/>
    <mergeCell ref="G26:H26"/>
    <mergeCell ref="I26:J26"/>
    <mergeCell ref="A27:F27"/>
    <mergeCell ref="G27:H27"/>
    <mergeCell ref="I27:J27"/>
    <mergeCell ref="A28:F28"/>
    <mergeCell ref="G28:H28"/>
    <mergeCell ref="I28:J28"/>
    <mergeCell ref="A29:F29"/>
    <mergeCell ref="G29:H29"/>
    <mergeCell ref="I29:J29"/>
    <mergeCell ref="A30:F30"/>
    <mergeCell ref="G30:H30"/>
    <mergeCell ref="I30:J30"/>
    <mergeCell ref="A31:F31"/>
    <mergeCell ref="G31:H31"/>
    <mergeCell ref="I31:J31"/>
    <mergeCell ref="A32:F32"/>
    <mergeCell ref="G32:H32"/>
    <mergeCell ref="I32:J32"/>
    <mergeCell ref="A33:F33"/>
    <mergeCell ref="G33:H33"/>
    <mergeCell ref="I33:J33"/>
    <mergeCell ref="A34:H34"/>
    <mergeCell ref="I34:J34"/>
    <mergeCell ref="A35:F35"/>
    <mergeCell ref="G35:H35"/>
    <mergeCell ref="I35:J35"/>
    <mergeCell ref="A36:F36"/>
    <mergeCell ref="G36:H36"/>
    <mergeCell ref="I36:J36"/>
    <mergeCell ref="A37:F37"/>
    <mergeCell ref="G37:H37"/>
    <mergeCell ref="I37:J37"/>
    <mergeCell ref="A38:F38"/>
    <mergeCell ref="G38:H38"/>
    <mergeCell ref="I38:J38"/>
    <mergeCell ref="A39:F39"/>
    <mergeCell ref="G39:H39"/>
    <mergeCell ref="I39:J39"/>
    <mergeCell ref="A40:F40"/>
    <mergeCell ref="G40:H40"/>
    <mergeCell ref="I40:J40"/>
    <mergeCell ref="A41:F41"/>
    <mergeCell ref="G41:H41"/>
    <mergeCell ref="I41:J41"/>
    <mergeCell ref="A42:F42"/>
    <mergeCell ref="G42:H42"/>
    <mergeCell ref="I42:J42"/>
    <mergeCell ref="A43:H43"/>
    <mergeCell ref="I43:J43"/>
    <mergeCell ref="A44:F44"/>
    <mergeCell ref="G44:H44"/>
    <mergeCell ref="I44:J44"/>
    <mergeCell ref="A45:H45"/>
    <mergeCell ref="I45:J45"/>
    <mergeCell ref="A46:F46"/>
    <mergeCell ref="G46:H46"/>
    <mergeCell ref="I46:J46"/>
    <mergeCell ref="A47:H47"/>
    <mergeCell ref="I47:J47"/>
    <mergeCell ref="A48:H48"/>
    <mergeCell ref="I48:J48"/>
    <mergeCell ref="A49:J49"/>
    <mergeCell ref="A50:J50"/>
    <mergeCell ref="A51:J51"/>
    <mergeCell ref="A52:J52"/>
    <mergeCell ref="B53:G53"/>
    <mergeCell ref="H53:J53"/>
    <mergeCell ref="B54:G54"/>
    <mergeCell ref="H54:J54"/>
    <mergeCell ref="B55:G55"/>
    <mergeCell ref="H55:J55"/>
    <mergeCell ref="B56:G56"/>
    <mergeCell ref="H56:J56"/>
    <mergeCell ref="B57:G57"/>
    <mergeCell ref="H57:J57"/>
    <mergeCell ref="B58:J58"/>
    <mergeCell ref="A60:J60"/>
    <mergeCell ref="B61:H61"/>
    <mergeCell ref="B62:D62"/>
    <mergeCell ref="G62:I62"/>
    <mergeCell ref="B63:C63"/>
    <mergeCell ref="D63:H63"/>
    <mergeCell ref="B75:J75"/>
    <mergeCell ref="B76:H76"/>
    <mergeCell ref="B77:H77"/>
    <mergeCell ref="B78:H78"/>
    <mergeCell ref="B79:D79"/>
    <mergeCell ref="B80:H80"/>
    <mergeCell ref="B81:H81"/>
    <mergeCell ref="B82:H82"/>
    <mergeCell ref="B64:I64"/>
    <mergeCell ref="A65:I65"/>
    <mergeCell ref="B66:J66"/>
    <mergeCell ref="A68:J68"/>
    <mergeCell ref="B69:I69"/>
    <mergeCell ref="B70:I70"/>
    <mergeCell ref="B71:I71"/>
    <mergeCell ref="A72:I72"/>
    <mergeCell ref="B73:J73"/>
    <mergeCell ref="B83:H83"/>
    <mergeCell ref="B84:H84"/>
    <mergeCell ref="A85:H85"/>
    <mergeCell ref="B86:J86"/>
    <mergeCell ref="B87:J87"/>
    <mergeCell ref="B89:J89"/>
    <mergeCell ref="B90:I90"/>
    <mergeCell ref="B91:I91"/>
    <mergeCell ref="B92:H92"/>
    <mergeCell ref="B93:H93"/>
    <mergeCell ref="B94:H94"/>
    <mergeCell ref="B95:H95"/>
    <mergeCell ref="B96:D96"/>
    <mergeCell ref="B97:H97"/>
    <mergeCell ref="B98:H98"/>
    <mergeCell ref="B99:H99"/>
    <mergeCell ref="B100:D100"/>
    <mergeCell ref="B101:I101"/>
    <mergeCell ref="A102:I102"/>
    <mergeCell ref="B103:J103"/>
    <mergeCell ref="B104:J104"/>
    <mergeCell ref="A106:J106"/>
    <mergeCell ref="B107:I107"/>
    <mergeCell ref="B108:I108"/>
    <mergeCell ref="B109:I109"/>
    <mergeCell ref="B110:I110"/>
    <mergeCell ref="A111:I111"/>
    <mergeCell ref="A113:J113"/>
    <mergeCell ref="B114:I114"/>
    <mergeCell ref="B115:I115"/>
    <mergeCell ref="B116:I116"/>
    <mergeCell ref="B117:I117"/>
    <mergeCell ref="B118:I118"/>
    <mergeCell ref="B119:I119"/>
    <mergeCell ref="B120:I120"/>
    <mergeCell ref="A121:I121"/>
    <mergeCell ref="A123:J123"/>
    <mergeCell ref="A124:J124"/>
    <mergeCell ref="A125:B125"/>
    <mergeCell ref="D125:E125"/>
    <mergeCell ref="G125:H125"/>
    <mergeCell ref="A126:F126"/>
    <mergeCell ref="G126:I126"/>
    <mergeCell ref="B128:I128"/>
    <mergeCell ref="B129:I129"/>
    <mergeCell ref="B130:I130"/>
    <mergeCell ref="B131:I131"/>
    <mergeCell ref="B132:I132"/>
    <mergeCell ref="B133:I133"/>
    <mergeCell ref="B134:I134"/>
    <mergeCell ref="A135:I135"/>
    <mergeCell ref="A136:J136"/>
    <mergeCell ref="B137:I137"/>
    <mergeCell ref="B138:I138"/>
    <mergeCell ref="A139:I139"/>
    <mergeCell ref="A140:J140"/>
    <mergeCell ref="A141:J141"/>
    <mergeCell ref="B142:I142"/>
    <mergeCell ref="B143:I143"/>
    <mergeCell ref="B144:I144"/>
    <mergeCell ref="A145:I145"/>
    <mergeCell ref="B146:J146"/>
    <mergeCell ref="A148:J148"/>
    <mergeCell ref="B149:I149"/>
    <mergeCell ref="B150:I150"/>
    <mergeCell ref="B151:I151"/>
    <mergeCell ref="B152:I152"/>
    <mergeCell ref="B153:I153"/>
    <mergeCell ref="A154:I154"/>
    <mergeCell ref="B155:J155"/>
    <mergeCell ref="A156:J156"/>
    <mergeCell ref="A157:J157"/>
    <mergeCell ref="B158:H158"/>
    <mergeCell ref="A159:I159"/>
    <mergeCell ref="B160:H160"/>
    <mergeCell ref="A161:I161"/>
    <mergeCell ref="B162:H162"/>
    <mergeCell ref="A163:I163"/>
    <mergeCell ref="B164:H164"/>
    <mergeCell ref="K164:L164"/>
    <mergeCell ref="F165:H165"/>
    <mergeCell ref="F166:H166"/>
    <mergeCell ref="B167:E167"/>
    <mergeCell ref="F167:H167"/>
    <mergeCell ref="B168:E168"/>
    <mergeCell ref="F168:H168"/>
    <mergeCell ref="A169:I169"/>
    <mergeCell ref="B170:J170"/>
    <mergeCell ref="D171:F173"/>
    <mergeCell ref="G171:H173"/>
    <mergeCell ref="J171:J173"/>
    <mergeCell ref="A175:J175"/>
    <mergeCell ref="A176:I176"/>
    <mergeCell ref="B177:I177"/>
    <mergeCell ref="B178:I178"/>
    <mergeCell ref="B179:I179"/>
    <mergeCell ref="B180:I180"/>
    <mergeCell ref="B181:I181"/>
    <mergeCell ref="A182:I182"/>
    <mergeCell ref="B183:I183"/>
    <mergeCell ref="A184:G184"/>
    <mergeCell ref="A186:J186"/>
    <mergeCell ref="A187:J187"/>
    <mergeCell ref="A188:J188"/>
    <mergeCell ref="A189:C189"/>
    <mergeCell ref="D189:F189"/>
    <mergeCell ref="G189:H189"/>
    <mergeCell ref="I189:J189"/>
    <mergeCell ref="A190:C190"/>
    <mergeCell ref="G190:H190"/>
    <mergeCell ref="I190:J190"/>
    <mergeCell ref="A191:C191"/>
    <mergeCell ref="E191:F191"/>
    <mergeCell ref="G191:H191"/>
    <mergeCell ref="I191:J191"/>
    <mergeCell ref="A192:H192"/>
    <mergeCell ref="I192:J192"/>
    <mergeCell ref="A193:C193"/>
    <mergeCell ref="G193:H193"/>
    <mergeCell ref="I193:J193"/>
    <mergeCell ref="A194:C194"/>
    <mergeCell ref="E194:F194"/>
    <mergeCell ref="G194:H194"/>
    <mergeCell ref="I194:J194"/>
    <mergeCell ref="A195:H195"/>
    <mergeCell ref="I195:J195"/>
    <mergeCell ref="A196:C196"/>
    <mergeCell ref="G196:H196"/>
    <mergeCell ref="I196:J196"/>
    <mergeCell ref="A197:C197"/>
    <mergeCell ref="E197:F197"/>
    <mergeCell ref="G197:H197"/>
    <mergeCell ref="I197:J197"/>
    <mergeCell ref="A198:H198"/>
    <mergeCell ref="I198:J198"/>
    <mergeCell ref="A199:C199"/>
    <mergeCell ref="G199:H199"/>
    <mergeCell ref="I199:J199"/>
    <mergeCell ref="A200:C200"/>
    <mergeCell ref="E200:F200"/>
    <mergeCell ref="G200:H200"/>
    <mergeCell ref="I200:J200"/>
    <mergeCell ref="A201:H201"/>
    <mergeCell ref="I201:J201"/>
    <mergeCell ref="A202:C202"/>
    <mergeCell ref="G202:H202"/>
    <mergeCell ref="I202:J202"/>
    <mergeCell ref="A203:C203"/>
    <mergeCell ref="E203:F203"/>
    <mergeCell ref="G203:H203"/>
    <mergeCell ref="I203:J203"/>
    <mergeCell ref="A204:H204"/>
    <mergeCell ref="I204:J204"/>
    <mergeCell ref="A205:C205"/>
    <mergeCell ref="G205:H205"/>
    <mergeCell ref="I205:J205"/>
    <mergeCell ref="A206:C206"/>
    <mergeCell ref="E206:F206"/>
    <mergeCell ref="G206:H206"/>
    <mergeCell ref="I206:J206"/>
    <mergeCell ref="A207:H207"/>
    <mergeCell ref="I207:J207"/>
    <mergeCell ref="A208:C208"/>
    <mergeCell ref="G208:H208"/>
    <mergeCell ref="I208:J208"/>
    <mergeCell ref="A209:C209"/>
    <mergeCell ref="E209:F209"/>
    <mergeCell ref="G209:H209"/>
    <mergeCell ref="I209:J209"/>
    <mergeCell ref="A210:H210"/>
    <mergeCell ref="I210:J210"/>
    <mergeCell ref="A211:C211"/>
    <mergeCell ref="G211:H211"/>
    <mergeCell ref="I211:J211"/>
    <mergeCell ref="A212:C212"/>
    <mergeCell ref="E212:F212"/>
    <mergeCell ref="G212:H212"/>
    <mergeCell ref="I212:J212"/>
    <mergeCell ref="A213:H213"/>
    <mergeCell ref="I213:J213"/>
    <mergeCell ref="A214:C214"/>
    <mergeCell ref="G214:H214"/>
    <mergeCell ref="I214:J214"/>
    <mergeCell ref="A215:C215"/>
    <mergeCell ref="E215:F215"/>
    <mergeCell ref="G215:H215"/>
    <mergeCell ref="I215:J215"/>
    <mergeCell ref="A216:H216"/>
    <mergeCell ref="I216:J216"/>
    <mergeCell ref="A217:J217"/>
    <mergeCell ref="A218:J218"/>
    <mergeCell ref="A219:C219"/>
    <mergeCell ref="D219:F219"/>
    <mergeCell ref="G219:H219"/>
    <mergeCell ref="I219:J219"/>
    <mergeCell ref="A220:C220"/>
    <mergeCell ref="G220:H220"/>
    <mergeCell ref="I220:J220"/>
    <mergeCell ref="A221:C221"/>
    <mergeCell ref="E221:F221"/>
    <mergeCell ref="G221:H221"/>
    <mergeCell ref="I221:J221"/>
    <mergeCell ref="A222:H222"/>
    <mergeCell ref="I222:J222"/>
    <mergeCell ref="A223:C223"/>
    <mergeCell ref="G223:H223"/>
    <mergeCell ref="I223:J223"/>
    <mergeCell ref="A224:C224"/>
    <mergeCell ref="E224:F224"/>
    <mergeCell ref="G224:H224"/>
    <mergeCell ref="I224:J224"/>
    <mergeCell ref="A225:H225"/>
    <mergeCell ref="I225:J225"/>
    <mergeCell ref="A226:C226"/>
    <mergeCell ref="G226:H226"/>
    <mergeCell ref="I226:J226"/>
    <mergeCell ref="A227:C227"/>
    <mergeCell ref="E227:F227"/>
    <mergeCell ref="G227:H227"/>
    <mergeCell ref="I227:J227"/>
    <mergeCell ref="A228:H228"/>
    <mergeCell ref="I228:J228"/>
    <mergeCell ref="A229:C229"/>
    <mergeCell ref="G229:H229"/>
    <mergeCell ref="I229:J229"/>
    <mergeCell ref="A230:C230"/>
    <mergeCell ref="E230:F230"/>
    <mergeCell ref="G230:H230"/>
    <mergeCell ref="I230:J230"/>
    <mergeCell ref="A231:H231"/>
    <mergeCell ref="I231:J231"/>
    <mergeCell ref="A232:C232"/>
    <mergeCell ref="G232:H232"/>
    <mergeCell ref="I232:J232"/>
    <mergeCell ref="A233:C233"/>
    <mergeCell ref="E233:F233"/>
    <mergeCell ref="G233:H233"/>
    <mergeCell ref="I233:J233"/>
    <mergeCell ref="A234:H234"/>
    <mergeCell ref="I234:J234"/>
    <mergeCell ref="A235:C235"/>
    <mergeCell ref="G235:H235"/>
    <mergeCell ref="I235:J235"/>
    <mergeCell ref="A236:C236"/>
    <mergeCell ref="E236:F236"/>
    <mergeCell ref="G236:H236"/>
    <mergeCell ref="I236:J236"/>
    <mergeCell ref="A237:H237"/>
    <mergeCell ref="I237:J237"/>
    <mergeCell ref="A238:C238"/>
    <mergeCell ref="G238:H238"/>
    <mergeCell ref="I238:J238"/>
    <mergeCell ref="A239:C239"/>
    <mergeCell ref="E239:F239"/>
    <mergeCell ref="G239:H239"/>
    <mergeCell ref="I239:J239"/>
    <mergeCell ref="A240:H240"/>
    <mergeCell ref="I240:J240"/>
    <mergeCell ref="A241:C241"/>
    <mergeCell ref="G241:H241"/>
    <mergeCell ref="I241:J241"/>
    <mergeCell ref="A242:C242"/>
    <mergeCell ref="E242:F242"/>
    <mergeCell ref="G242:H242"/>
    <mergeCell ref="I242:J242"/>
    <mergeCell ref="A243:H243"/>
    <mergeCell ref="I243:J243"/>
    <mergeCell ref="A247:C247"/>
    <mergeCell ref="D247:F247"/>
    <mergeCell ref="G247:H247"/>
    <mergeCell ref="I247:J247"/>
    <mergeCell ref="A248:C248"/>
    <mergeCell ref="G248:H248"/>
    <mergeCell ref="I248:J248"/>
    <mergeCell ref="A249:C249"/>
    <mergeCell ref="E249:F249"/>
    <mergeCell ref="G249:H249"/>
    <mergeCell ref="I249:J249"/>
    <mergeCell ref="A250:H250"/>
    <mergeCell ref="I250:J250"/>
    <mergeCell ref="A251:J251"/>
    <mergeCell ref="A252:J252"/>
    <mergeCell ref="A253:E253"/>
    <mergeCell ref="F253:G253"/>
    <mergeCell ref="I253:J253"/>
    <mergeCell ref="A254:E254"/>
    <mergeCell ref="F254:G254"/>
    <mergeCell ref="I254:J254"/>
    <mergeCell ref="A255:E255"/>
    <mergeCell ref="F255:G255"/>
    <mergeCell ref="I255:J255"/>
    <mergeCell ref="A256:E256"/>
    <mergeCell ref="F256:G256"/>
    <mergeCell ref="I256:J256"/>
    <mergeCell ref="A257:E257"/>
    <mergeCell ref="F257:G257"/>
    <mergeCell ref="I257:J257"/>
    <mergeCell ref="A258:E258"/>
    <mergeCell ref="F258:G258"/>
    <mergeCell ref="I258:J258"/>
    <mergeCell ref="A259:E259"/>
    <mergeCell ref="F259:G259"/>
    <mergeCell ref="I259:J259"/>
    <mergeCell ref="A260:E260"/>
    <mergeCell ref="F260:G260"/>
    <mergeCell ref="I260:J260"/>
    <mergeCell ref="A261:E261"/>
    <mergeCell ref="F261:G261"/>
    <mergeCell ref="I261:J261"/>
    <mergeCell ref="A262:E262"/>
    <mergeCell ref="F262:G262"/>
    <mergeCell ref="I262:J262"/>
    <mergeCell ref="A263:G263"/>
    <mergeCell ref="I263:J263"/>
    <mergeCell ref="A264:E264"/>
    <mergeCell ref="F264:G264"/>
    <mergeCell ref="I264:J264"/>
    <mergeCell ref="A265:E265"/>
    <mergeCell ref="F265:G265"/>
    <mergeCell ref="I265:J265"/>
    <mergeCell ref="A266:E266"/>
    <mergeCell ref="F266:G266"/>
    <mergeCell ref="I266:J266"/>
    <mergeCell ref="A267:E267"/>
    <mergeCell ref="F267:G267"/>
    <mergeCell ref="I267:J267"/>
    <mergeCell ref="A268:E268"/>
    <mergeCell ref="F268:G268"/>
    <mergeCell ref="I268:J268"/>
    <mergeCell ref="A269:E269"/>
    <mergeCell ref="F269:G269"/>
    <mergeCell ref="I269:J269"/>
    <mergeCell ref="A270:E270"/>
    <mergeCell ref="F270:G270"/>
    <mergeCell ref="I270:J270"/>
    <mergeCell ref="A271:E271"/>
    <mergeCell ref="F271:G271"/>
    <mergeCell ref="I271:J271"/>
    <mergeCell ref="A280:H280"/>
    <mergeCell ref="I280:J280"/>
    <mergeCell ref="A272:G272"/>
    <mergeCell ref="I272:J272"/>
    <mergeCell ref="A273:E273"/>
    <mergeCell ref="F273:G273"/>
    <mergeCell ref="I273:J273"/>
    <mergeCell ref="A274:G274"/>
    <mergeCell ref="I274:J274"/>
    <mergeCell ref="A275:G275"/>
    <mergeCell ref="I275:J275"/>
    <mergeCell ref="A281:H281"/>
    <mergeCell ref="I281:J281"/>
    <mergeCell ref="A282:J282"/>
    <mergeCell ref="A283:F283"/>
    <mergeCell ref="G283:J283"/>
    <mergeCell ref="A284:F284"/>
    <mergeCell ref="G284:J284"/>
    <mergeCell ref="A285:J285"/>
    <mergeCell ref="A91:A95"/>
    <mergeCell ref="A96:A99"/>
    <mergeCell ref="A165:A166"/>
    <mergeCell ref="A171:A173"/>
    <mergeCell ref="J91:J95"/>
    <mergeCell ref="J96:J99"/>
    <mergeCell ref="B165:E166"/>
    <mergeCell ref="B171:C173"/>
    <mergeCell ref="A245:J246"/>
    <mergeCell ref="A276:G276"/>
    <mergeCell ref="I276:J276"/>
    <mergeCell ref="A277:G277"/>
    <mergeCell ref="I277:J277"/>
    <mergeCell ref="A278:J278"/>
    <mergeCell ref="A279:H279"/>
    <mergeCell ref="I279:J279"/>
  </mergeCells>
  <conditionalFormatting sqref="A14:G14">
    <cfRule type="expression" dxfId="7" priority="2">
      <formula>LEN(TRIM(A14))&gt;0</formula>
    </cfRule>
  </conditionalFormatting>
  <conditionalFormatting sqref="H14:J14">
    <cfRule type="expression" dxfId="6" priority="3">
      <formula>LEN(TRIM(H14))&gt;0</formula>
    </cfRule>
  </conditionalFormatting>
  <printOptions horizontalCentered="1"/>
  <pageMargins left="0" right="0" top="0.39370078740157483" bottom="0" header="0" footer="0.51181102362204722"/>
  <pageSetup paperSize="9" scale="49" orientation="portrait" useFirstPageNumber="1" r:id="rId1"/>
  <headerFooter>
    <oddHeader>&amp;R&amp;P de &amp;N</oddHeader>
    <oddFooter>&amp;L&amp;F - &amp;A&amp;CPágina &amp;P de &amp;N</oddFooter>
  </headerFooter>
  <rowBreaks count="3" manualBreakCount="3">
    <brk id="73" max="9" man="1"/>
    <brk id="146" max="9" man="1"/>
    <brk id="216" max="9" man="1"/>
  </rowBreaks>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AMK994"/>
  <sheetViews>
    <sheetView showGridLines="0" topLeftCell="A44" zoomScaleNormal="100" workbookViewId="0">
      <selection activeCell="B19" sqref="B19:G19"/>
    </sheetView>
  </sheetViews>
  <sheetFormatPr defaultColWidth="9" defaultRowHeight="12.75"/>
  <cols>
    <col min="1" max="1" width="17.28515625" style="175" customWidth="1"/>
    <col min="2" max="2" width="8" style="175" customWidth="1"/>
    <col min="3" max="3" width="17.28515625" style="175" customWidth="1"/>
    <col min="4" max="7" width="15.42578125" style="175" customWidth="1"/>
    <col min="8" max="8" width="12.28515625" style="175" customWidth="1"/>
    <col min="9" max="9" width="20.42578125" style="175" customWidth="1"/>
    <col min="10" max="10" width="20.5703125" style="175" customWidth="1"/>
    <col min="11" max="11" width="12.5703125" style="175" customWidth="1"/>
    <col min="12" max="12" width="12.7109375" style="175" customWidth="1"/>
    <col min="13" max="26" width="8" style="175" customWidth="1"/>
    <col min="27" max="1025" width="14.42578125" style="175" customWidth="1"/>
    <col min="1026" max="16384" width="9" style="379"/>
  </cols>
  <sheetData>
    <row r="1" spans="1:26" ht="20.25">
      <c r="A1" s="842" t="s">
        <v>0</v>
      </c>
      <c r="B1" s="843"/>
      <c r="C1" s="843"/>
      <c r="D1" s="843"/>
      <c r="E1" s="843"/>
      <c r="F1" s="843"/>
      <c r="G1" s="843"/>
      <c r="H1" s="843"/>
      <c r="I1" s="843"/>
      <c r="J1" s="844"/>
    </row>
    <row r="2" spans="1:26" ht="18">
      <c r="A2" s="845" t="s">
        <v>1</v>
      </c>
      <c r="B2" s="846"/>
      <c r="C2" s="846"/>
      <c r="D2" s="846"/>
      <c r="E2" s="846"/>
      <c r="F2" s="846"/>
      <c r="G2" s="846"/>
      <c r="H2" s="846"/>
      <c r="I2" s="846"/>
      <c r="J2" s="847"/>
    </row>
    <row r="3" spans="1:26" ht="15.75">
      <c r="A3" s="848" t="s">
        <v>2</v>
      </c>
      <c r="B3" s="849"/>
      <c r="C3" s="849"/>
      <c r="D3" s="849"/>
      <c r="E3" s="849"/>
      <c r="F3" s="849"/>
      <c r="G3" s="849"/>
      <c r="H3" s="849"/>
      <c r="I3" s="849"/>
      <c r="J3" s="850"/>
    </row>
    <row r="4" spans="1:26" ht="15.75">
      <c r="A4" s="851" t="str">
        <f>'1. ABA DE CARREGAMENTO'!A4</f>
        <v>CAMPUS ALEGRETE</v>
      </c>
      <c r="B4" s="852"/>
      <c r="C4" s="852"/>
      <c r="D4" s="852"/>
      <c r="E4" s="852"/>
      <c r="F4" s="852"/>
      <c r="G4" s="852"/>
      <c r="H4" s="852"/>
      <c r="I4" s="852"/>
      <c r="J4" s="853"/>
    </row>
    <row r="5" spans="1:26" ht="20.25" customHeight="1">
      <c r="A5" s="651" t="s">
        <v>321</v>
      </c>
      <c r="B5" s="652"/>
      <c r="C5" s="652"/>
      <c r="D5" s="652"/>
      <c r="E5" s="652"/>
      <c r="F5" s="652"/>
      <c r="G5" s="652"/>
      <c r="H5" s="652"/>
      <c r="I5" s="652"/>
      <c r="J5" s="653"/>
    </row>
    <row r="6" spans="1:26" ht="9.9499999999999993" customHeight="1">
      <c r="A6" s="34"/>
      <c r="B6" s="34"/>
      <c r="C6" s="34"/>
      <c r="D6" s="34"/>
      <c r="E6" s="34"/>
      <c r="F6" s="34"/>
      <c r="G6" s="34"/>
      <c r="H6" s="34"/>
      <c r="I6" s="34"/>
      <c r="J6" s="34"/>
      <c r="K6" s="378"/>
      <c r="L6" s="378"/>
      <c r="M6" s="378"/>
      <c r="N6" s="378"/>
      <c r="O6" s="378"/>
      <c r="P6" s="378"/>
      <c r="Q6" s="378"/>
      <c r="R6" s="378"/>
      <c r="S6" s="378"/>
      <c r="T6" s="378"/>
      <c r="U6" s="378"/>
      <c r="V6" s="378"/>
      <c r="W6" s="378"/>
      <c r="X6" s="378"/>
      <c r="Y6" s="378"/>
      <c r="Z6" s="378"/>
    </row>
    <row r="7" spans="1:26" ht="20.25" customHeight="1">
      <c r="A7" s="792" t="str">
        <f>'7. Planilha área geral'!A7:J7</f>
        <v>IN/MPDG Nº 05/2017 - Anexo VII-D</v>
      </c>
      <c r="B7" s="792"/>
      <c r="C7" s="792"/>
      <c r="D7" s="792"/>
      <c r="E7" s="792"/>
      <c r="F7" s="792"/>
      <c r="G7" s="792"/>
      <c r="H7" s="792"/>
      <c r="I7" s="792"/>
      <c r="J7" s="792"/>
    </row>
    <row r="8" spans="1:26" ht="9.9499999999999993" customHeight="1">
      <c r="A8" s="854"/>
      <c r="B8" s="854"/>
      <c r="C8" s="854"/>
      <c r="D8" s="854"/>
      <c r="E8" s="854"/>
      <c r="F8" s="854"/>
      <c r="G8" s="854"/>
      <c r="H8" s="854"/>
      <c r="I8" s="854"/>
      <c r="J8" s="854"/>
      <c r="K8" s="378"/>
      <c r="L8" s="378"/>
      <c r="M8" s="378"/>
      <c r="N8" s="378"/>
      <c r="O8" s="378"/>
      <c r="P8" s="378"/>
      <c r="Q8" s="378"/>
      <c r="R8" s="378"/>
      <c r="S8" s="378"/>
      <c r="T8" s="378"/>
      <c r="U8" s="378"/>
      <c r="V8" s="378"/>
      <c r="W8" s="378"/>
      <c r="X8" s="378"/>
      <c r="Y8" s="378"/>
      <c r="Z8" s="378"/>
    </row>
    <row r="9" spans="1:26" ht="15" customHeight="1">
      <c r="A9" s="753" t="s">
        <v>581</v>
      </c>
      <c r="B9" s="753"/>
      <c r="C9" s="753"/>
      <c r="D9" s="793" t="s">
        <v>582</v>
      </c>
      <c r="E9" s="793"/>
      <c r="F9" s="793"/>
      <c r="G9" s="793"/>
      <c r="H9" s="793"/>
      <c r="I9" s="855" t="str">
        <f>'1. ABA DE CARREGAMENTO'!A4</f>
        <v>CAMPUS ALEGRETE</v>
      </c>
      <c r="J9" s="855"/>
    </row>
    <row r="10" spans="1:26" ht="15" customHeight="1">
      <c r="A10" s="753"/>
      <c r="B10" s="753"/>
      <c r="C10" s="753"/>
      <c r="D10" s="839" t="s">
        <v>324</v>
      </c>
      <c r="E10" s="839"/>
      <c r="F10" s="839"/>
      <c r="G10" s="376">
        <f>'5. Cálc. mão obra banheiros'!D11</f>
        <v>5641.7874124999989</v>
      </c>
      <c r="H10" s="36" t="s">
        <v>325</v>
      </c>
      <c r="I10" s="840" t="s">
        <v>326</v>
      </c>
      <c r="J10" s="840"/>
    </row>
    <row r="11" spans="1:26" ht="25.5">
      <c r="A11" s="37" t="s">
        <v>327</v>
      </c>
      <c r="B11" s="784" t="str">
        <f>'1. ABA DE CARREGAMENTO'!B11</f>
        <v>23243.000810/2021-41</v>
      </c>
      <c r="C11" s="784"/>
      <c r="D11" s="37" t="s">
        <v>328</v>
      </c>
      <c r="E11" s="785" t="str">
        <f>'1. ABA DE CARREGAMENTO'!B12</f>
        <v>33 / 2021</v>
      </c>
      <c r="F11" s="785"/>
      <c r="G11" s="37" t="s">
        <v>13</v>
      </c>
      <c r="H11" s="38">
        <f ca="1">'1. ABA DE CARREGAMENTO'!B13</f>
        <v>44609</v>
      </c>
      <c r="I11" s="54" t="s">
        <v>14</v>
      </c>
      <c r="J11" s="55" t="str">
        <f>'1. ABA DE CARREGAMENTO'!B14</f>
        <v>09h (Horário de Brasília - DF)</v>
      </c>
    </row>
    <row r="12" spans="1:26">
      <c r="A12" s="39" t="s">
        <v>15</v>
      </c>
      <c r="B12" s="786" t="str">
        <f>'1. ABA DE CARREGAMENTO'!B15</f>
        <v>IFFARROUPILHA (Planilha da Administração)</v>
      </c>
      <c r="C12" s="786"/>
      <c r="D12" s="786"/>
      <c r="E12" s="786"/>
      <c r="F12" s="786"/>
      <c r="G12" s="786"/>
      <c r="H12" s="40" t="s">
        <v>329</v>
      </c>
      <c r="I12" s="787" t="str">
        <f>'1. ABA DE CARREGAMENTO'!B16</f>
        <v>10.662.072/0001/58</v>
      </c>
      <c r="J12" s="787"/>
    </row>
    <row r="13" spans="1:26">
      <c r="A13" s="39" t="s">
        <v>330</v>
      </c>
      <c r="B13" s="786">
        <f>'1. ABA DE CARREGAMENTO'!B17</f>
        <v>0</v>
      </c>
      <c r="C13" s="786"/>
      <c r="D13" s="786"/>
      <c r="E13" s="39" t="s">
        <v>331</v>
      </c>
      <c r="F13" s="841">
        <f>'1. ABA DE CARREGAMENTO'!B18</f>
        <v>0</v>
      </c>
      <c r="G13" s="841"/>
      <c r="H13" s="39" t="s">
        <v>332</v>
      </c>
      <c r="I13" s="789">
        <f>'1. ABA DE CARREGAMENTO'!B19</f>
        <v>0</v>
      </c>
      <c r="J13" s="789"/>
    </row>
    <row r="14" spans="1:26">
      <c r="A14" s="790" t="str">
        <f>IF('1. ABA DE CARREGAMENTO'!B15="","PLANILHA CUSTOS E FORMAÇÃO DE PREÇOS DA ADMINISTRAÇÃO DO","")</f>
        <v/>
      </c>
      <c r="B14" s="790"/>
      <c r="C14" s="790"/>
      <c r="D14" s="790"/>
      <c r="E14" s="790"/>
      <c r="F14" s="790"/>
      <c r="G14" s="790"/>
      <c r="H14" s="791" t="str">
        <f>IF('1. ABA DE CARREGAMENTO'!B15="",'1. ABA DE CARREGAMENTO'!A4,"")</f>
        <v/>
      </c>
      <c r="I14" s="791"/>
      <c r="J14" s="791"/>
    </row>
    <row r="15" spans="1:26" ht="12.75" customHeight="1">
      <c r="A15" s="669" t="s">
        <v>722</v>
      </c>
      <c r="B15" s="669"/>
      <c r="C15" s="669"/>
      <c r="D15" s="669"/>
      <c r="E15" s="669"/>
      <c r="F15" s="669"/>
      <c r="G15" s="669"/>
      <c r="H15" s="317">
        <f>'1. ABA DE CARREGAMENTO'!B51</f>
        <v>1</v>
      </c>
      <c r="I15" s="781" t="str">
        <f>IF(H15=1,"LUCRO REAL",IF(H15=2,"LUCRO PRESUMIDO",IF(H15=3,"SIMPLES-Anexo III",IF(H15=4,"SIMPLES-Anexo IV",IF(H15=5,"LUCRO REAL - PIS/COFINS Não Cumulativo","RT Inválido")))))</f>
        <v>LUCRO REAL</v>
      </c>
      <c r="J15" s="781"/>
    </row>
    <row r="16" spans="1:26" ht="6.95" customHeight="1">
      <c r="A16" s="43"/>
      <c r="B16" s="43"/>
      <c r="C16" s="43"/>
      <c r="D16" s="43"/>
      <c r="E16" s="43"/>
      <c r="F16" s="43"/>
      <c r="G16" s="43"/>
      <c r="H16" s="43"/>
      <c r="I16" s="43"/>
      <c r="J16" s="43"/>
      <c r="K16" s="378"/>
      <c r="L16" s="378"/>
      <c r="M16" s="378"/>
      <c r="N16" s="378"/>
      <c r="O16" s="378"/>
      <c r="P16" s="378"/>
      <c r="Q16" s="378"/>
      <c r="R16" s="378"/>
      <c r="S16" s="378"/>
      <c r="T16" s="378"/>
      <c r="U16" s="378"/>
      <c r="V16" s="378"/>
      <c r="W16" s="378"/>
      <c r="X16" s="378"/>
      <c r="Y16" s="378"/>
      <c r="Z16" s="378"/>
    </row>
    <row r="17" spans="1:26" ht="15" customHeight="1">
      <c r="A17" s="753" t="s">
        <v>333</v>
      </c>
      <c r="B17" s="753"/>
      <c r="C17" s="753"/>
      <c r="D17" s="753"/>
      <c r="E17" s="753"/>
      <c r="F17" s="753"/>
      <c r="G17" s="753"/>
      <c r="H17" s="753"/>
      <c r="I17" s="753"/>
      <c r="J17" s="753"/>
    </row>
    <row r="18" spans="1:26" ht="16.5" customHeight="1">
      <c r="A18" s="44" t="s">
        <v>334</v>
      </c>
      <c r="B18" s="749" t="s">
        <v>335</v>
      </c>
      <c r="C18" s="749"/>
      <c r="D18" s="749"/>
      <c r="E18" s="749"/>
      <c r="F18" s="749"/>
      <c r="G18" s="749"/>
      <c r="H18" s="783">
        <f ca="1">'1. ABA DE CARREGAMENTO'!B54</f>
        <v>44609</v>
      </c>
      <c r="I18" s="783"/>
      <c r="J18" s="783"/>
    </row>
    <row r="19" spans="1:26" ht="16.5" customHeight="1">
      <c r="A19" s="44" t="s">
        <v>336</v>
      </c>
      <c r="B19" s="749" t="s">
        <v>60</v>
      </c>
      <c r="C19" s="749"/>
      <c r="D19" s="749"/>
      <c r="E19" s="749"/>
      <c r="F19" s="749"/>
      <c r="G19" s="749"/>
      <c r="H19" s="783" t="str">
        <f>'1. ABA DE CARREGAMENTO'!B55</f>
        <v>Alegrete/RS</v>
      </c>
      <c r="I19" s="783"/>
      <c r="J19" s="783"/>
    </row>
    <row r="20" spans="1:26" ht="25.5" customHeight="1">
      <c r="A20" s="44" t="s">
        <v>337</v>
      </c>
      <c r="B20" s="749" t="s">
        <v>338</v>
      </c>
      <c r="C20" s="749"/>
      <c r="D20" s="749"/>
      <c r="E20" s="749"/>
      <c r="F20" s="749"/>
      <c r="G20" s="749"/>
      <c r="H20" s="836" t="str">
        <f>'1. ABA DE CARREGAMENTO'!B56</f>
        <v xml:space="preserve">CCT Sindasseio 2022/2022 - Registro no MTE: RS005021/2022 </v>
      </c>
      <c r="I20" s="837"/>
      <c r="J20" s="838"/>
    </row>
    <row r="21" spans="1:26" ht="16.5" customHeight="1">
      <c r="A21" s="44" t="s">
        <v>339</v>
      </c>
      <c r="B21" s="749" t="s">
        <v>340</v>
      </c>
      <c r="C21" s="749"/>
      <c r="D21" s="749"/>
      <c r="E21" s="749"/>
      <c r="F21" s="749"/>
      <c r="G21" s="749"/>
      <c r="H21" s="779">
        <f>'1. ABA DE CARREGAMENTO'!B57</f>
        <v>20</v>
      </c>
      <c r="I21" s="779"/>
      <c r="J21" s="779"/>
    </row>
    <row r="22" spans="1:26" ht="6.95" customHeight="1">
      <c r="A22" s="43"/>
      <c r="B22" s="43"/>
      <c r="C22" s="43"/>
      <c r="D22" s="43"/>
      <c r="E22" s="43"/>
      <c r="F22" s="43"/>
      <c r="G22" s="43"/>
      <c r="H22" s="43"/>
      <c r="I22" s="43"/>
      <c r="J22" s="43"/>
      <c r="K22" s="378"/>
      <c r="L22" s="378"/>
      <c r="M22" s="378"/>
      <c r="N22" s="378"/>
      <c r="O22" s="378"/>
      <c r="P22" s="378"/>
      <c r="Q22" s="378"/>
      <c r="R22" s="378"/>
      <c r="S22" s="378"/>
      <c r="T22" s="378"/>
      <c r="U22" s="378"/>
      <c r="V22" s="378"/>
      <c r="W22" s="378"/>
      <c r="X22" s="378"/>
      <c r="Y22" s="378"/>
      <c r="Z22" s="378"/>
    </row>
    <row r="23" spans="1:26" ht="15" customHeight="1">
      <c r="A23" s="753" t="s">
        <v>341</v>
      </c>
      <c r="B23" s="753"/>
      <c r="C23" s="753"/>
      <c r="D23" s="753"/>
      <c r="E23" s="753"/>
      <c r="F23" s="753"/>
      <c r="G23" s="753"/>
      <c r="H23" s="753"/>
      <c r="I23" s="753"/>
      <c r="J23" s="753"/>
    </row>
    <row r="24" spans="1:26" ht="22.5" customHeight="1">
      <c r="A24" s="780" t="s">
        <v>342</v>
      </c>
      <c r="B24" s="780"/>
      <c r="C24" s="780"/>
      <c r="D24" s="780"/>
      <c r="E24" s="780"/>
      <c r="F24" s="780"/>
      <c r="G24" s="780" t="s">
        <v>343</v>
      </c>
      <c r="H24" s="780"/>
      <c r="I24" s="780" t="s">
        <v>344</v>
      </c>
      <c r="J24" s="780"/>
    </row>
    <row r="25" spans="1:26" ht="22.5" customHeight="1">
      <c r="A25" s="705" t="s">
        <v>583</v>
      </c>
      <c r="B25" s="705"/>
      <c r="C25" s="705"/>
      <c r="D25" s="705"/>
      <c r="E25" s="705"/>
      <c r="F25" s="705"/>
      <c r="G25" s="776" t="s">
        <v>346</v>
      </c>
      <c r="H25" s="776"/>
      <c r="I25" s="778">
        <f>'5. Cálc. mão obra banheiros'!D8</f>
        <v>4836.2599999999993</v>
      </c>
      <c r="J25" s="778"/>
    </row>
    <row r="26" spans="1:26" ht="22.5" customHeight="1">
      <c r="A26" s="705" t="s">
        <v>584</v>
      </c>
      <c r="B26" s="705"/>
      <c r="C26" s="705"/>
      <c r="D26" s="705"/>
      <c r="E26" s="705"/>
      <c r="F26" s="705"/>
      <c r="G26" s="776" t="s">
        <v>346</v>
      </c>
      <c r="H26" s="776"/>
      <c r="I26" s="778">
        <f>'5. Cálc. mão obra banheiros'!D9</f>
        <v>427.32048333333336</v>
      </c>
      <c r="J26" s="778"/>
    </row>
    <row r="27" spans="1:26" ht="22.5" customHeight="1">
      <c r="A27" s="705" t="s">
        <v>585</v>
      </c>
      <c r="B27" s="705"/>
      <c r="C27" s="705"/>
      <c r="D27" s="705"/>
      <c r="E27" s="705"/>
      <c r="F27" s="705"/>
      <c r="G27" s="776" t="s">
        <v>346</v>
      </c>
      <c r="H27" s="776"/>
      <c r="I27" s="778">
        <f>'5. Cálc. mão obra banheiros'!D10</f>
        <v>378.20692916666667</v>
      </c>
      <c r="J27" s="778"/>
    </row>
    <row r="28" spans="1:26" ht="22.5" customHeight="1">
      <c r="A28" s="772" t="s">
        <v>586</v>
      </c>
      <c r="B28" s="772"/>
      <c r="C28" s="772"/>
      <c r="D28" s="772"/>
      <c r="E28" s="772"/>
      <c r="F28" s="772"/>
      <c r="G28" s="772"/>
      <c r="H28" s="772"/>
      <c r="I28" s="771">
        <f>SUM(I25:J27)</f>
        <v>5641.7874124999989</v>
      </c>
      <c r="J28" s="771"/>
    </row>
    <row r="29" spans="1:26" ht="22.5" customHeight="1">
      <c r="A29" s="705" t="s">
        <v>367</v>
      </c>
      <c r="B29" s="705"/>
      <c r="C29" s="705"/>
      <c r="D29" s="705"/>
      <c r="E29" s="705"/>
      <c r="F29" s="705"/>
      <c r="G29" s="776" t="s">
        <v>346</v>
      </c>
      <c r="H29" s="776"/>
      <c r="I29" s="769">
        <v>0</v>
      </c>
      <c r="J29" s="769"/>
    </row>
    <row r="30" spans="1:26" ht="22.5" customHeight="1">
      <c r="A30" s="772" t="s">
        <v>368</v>
      </c>
      <c r="B30" s="772"/>
      <c r="C30" s="772"/>
      <c r="D30" s="772"/>
      <c r="E30" s="772"/>
      <c r="F30" s="772"/>
      <c r="G30" s="772"/>
      <c r="H30" s="772"/>
      <c r="I30" s="771">
        <v>0</v>
      </c>
      <c r="J30" s="771"/>
    </row>
    <row r="31" spans="1:26" ht="22.5" customHeight="1">
      <c r="A31" s="772" t="s">
        <v>587</v>
      </c>
      <c r="B31" s="772"/>
      <c r="C31" s="772"/>
      <c r="D31" s="772"/>
      <c r="E31" s="772"/>
      <c r="F31" s="772"/>
      <c r="G31" s="772"/>
      <c r="H31" s="772"/>
      <c r="I31" s="771">
        <f>I28+I30</f>
        <v>5641.7874124999989</v>
      </c>
      <c r="J31" s="771"/>
    </row>
    <row r="32" spans="1:26" ht="6.95" customHeight="1">
      <c r="A32" s="835"/>
      <c r="B32" s="835"/>
      <c r="C32" s="835"/>
      <c r="D32" s="835"/>
      <c r="E32" s="835"/>
      <c r="F32" s="835"/>
      <c r="G32" s="835"/>
      <c r="H32" s="835"/>
      <c r="I32" s="835"/>
      <c r="J32" s="835"/>
    </row>
    <row r="33" spans="1:10" ht="19.5" customHeight="1">
      <c r="A33" s="775" t="s">
        <v>370</v>
      </c>
      <c r="B33" s="775"/>
      <c r="C33" s="775"/>
      <c r="D33" s="775"/>
      <c r="E33" s="775"/>
      <c r="F33" s="775"/>
      <c r="G33" s="775"/>
      <c r="H33" s="775"/>
      <c r="I33" s="775"/>
      <c r="J33" s="775"/>
    </row>
    <row r="34" spans="1:10" ht="19.5" customHeight="1">
      <c r="A34" s="669" t="s">
        <v>371</v>
      </c>
      <c r="B34" s="669"/>
      <c r="C34" s="669"/>
      <c r="D34" s="669"/>
      <c r="E34" s="669"/>
      <c r="F34" s="669"/>
      <c r="G34" s="669"/>
      <c r="H34" s="669"/>
      <c r="I34" s="669"/>
      <c r="J34" s="669"/>
    </row>
    <row r="35" spans="1:10" ht="19.5" customHeight="1">
      <c r="A35" s="753" t="s">
        <v>372</v>
      </c>
      <c r="B35" s="753"/>
      <c r="C35" s="753"/>
      <c r="D35" s="753"/>
      <c r="E35" s="753"/>
      <c r="F35" s="753"/>
      <c r="G35" s="753"/>
      <c r="H35" s="753"/>
      <c r="I35" s="753"/>
      <c r="J35" s="753"/>
    </row>
    <row r="36" spans="1:10" ht="19.5" customHeight="1">
      <c r="A36" s="45">
        <v>1</v>
      </c>
      <c r="B36" s="760" t="s">
        <v>65</v>
      </c>
      <c r="C36" s="760"/>
      <c r="D36" s="760"/>
      <c r="E36" s="760"/>
      <c r="F36" s="760"/>
      <c r="G36" s="760"/>
      <c r="H36" s="766" t="str">
        <f>'1. ABA DE CARREGAMENTO'!B60</f>
        <v>Limpeza, Asseio e Conservação</v>
      </c>
      <c r="I36" s="766"/>
      <c r="J36" s="766"/>
    </row>
    <row r="37" spans="1:10" ht="19.5" customHeight="1">
      <c r="A37" s="45">
        <v>2</v>
      </c>
      <c r="B37" s="760" t="s">
        <v>67</v>
      </c>
      <c r="C37" s="760"/>
      <c r="D37" s="760"/>
      <c r="E37" s="760"/>
      <c r="F37" s="760"/>
      <c r="G37" s="760"/>
      <c r="H37" s="766">
        <f>'1. ABA DE CARREGAMENTO'!C61</f>
        <v>5143</v>
      </c>
      <c r="I37" s="766"/>
      <c r="J37" s="766"/>
    </row>
    <row r="38" spans="1:10" ht="19.5" customHeight="1">
      <c r="A38" s="45">
        <v>3</v>
      </c>
      <c r="B38" s="760" t="s">
        <v>69</v>
      </c>
      <c r="C38" s="760"/>
      <c r="D38" s="760"/>
      <c r="E38" s="760"/>
      <c r="F38" s="760"/>
      <c r="G38" s="760"/>
      <c r="H38" s="767">
        <f>'1. ABA DE CARREGAMENTO'!C63</f>
        <v>1314.09</v>
      </c>
      <c r="I38" s="767"/>
      <c r="J38" s="767"/>
    </row>
    <row r="39" spans="1:10" ht="19.5" customHeight="1">
      <c r="A39" s="45">
        <v>4</v>
      </c>
      <c r="B39" s="760" t="s">
        <v>70</v>
      </c>
      <c r="C39" s="760"/>
      <c r="D39" s="760"/>
      <c r="E39" s="760"/>
      <c r="F39" s="760"/>
      <c r="G39" s="760"/>
      <c r="H39" s="766" t="str">
        <f>'1. ABA DE CARREGAMENTO'!C64</f>
        <v>Servente de Limpeza</v>
      </c>
      <c r="I39" s="766"/>
      <c r="J39" s="766"/>
    </row>
    <row r="40" spans="1:10" ht="19.5" customHeight="1">
      <c r="A40" s="45">
        <v>5</v>
      </c>
      <c r="B40" s="760" t="s">
        <v>72</v>
      </c>
      <c r="C40" s="760"/>
      <c r="D40" s="760"/>
      <c r="E40" s="760"/>
      <c r="F40" s="760"/>
      <c r="G40" s="760"/>
      <c r="H40" s="761">
        <f>'1. ABA DE CARREGAMENTO'!C65</f>
        <v>44197</v>
      </c>
      <c r="I40" s="761"/>
      <c r="J40" s="761"/>
    </row>
    <row r="41" spans="1:10" ht="12.75" customHeight="1">
      <c r="A41" s="46" t="s">
        <v>373</v>
      </c>
      <c r="B41" s="834" t="s">
        <v>374</v>
      </c>
      <c r="C41" s="834"/>
      <c r="D41" s="834"/>
      <c r="E41" s="834"/>
      <c r="F41" s="834"/>
      <c r="G41" s="834"/>
      <c r="H41" s="834"/>
      <c r="I41" s="834"/>
      <c r="J41" s="834"/>
    </row>
    <row r="42" spans="1:10" ht="6.95" customHeight="1">
      <c r="A42" s="833"/>
      <c r="B42" s="833"/>
      <c r="C42" s="833"/>
      <c r="D42" s="833"/>
      <c r="E42" s="833"/>
      <c r="F42" s="833"/>
      <c r="G42" s="833"/>
      <c r="H42" s="833"/>
      <c r="I42" s="833"/>
      <c r="J42" s="833"/>
    </row>
    <row r="43" spans="1:10" ht="15" customHeight="1">
      <c r="A43" s="753" t="s">
        <v>375</v>
      </c>
      <c r="B43" s="753"/>
      <c r="C43" s="753"/>
      <c r="D43" s="753"/>
      <c r="E43" s="753"/>
      <c r="F43" s="753"/>
      <c r="G43" s="753"/>
      <c r="H43" s="753"/>
      <c r="I43" s="753"/>
      <c r="J43" s="753"/>
    </row>
    <row r="44" spans="1:10" ht="23.25" customHeight="1">
      <c r="A44" s="320">
        <v>1</v>
      </c>
      <c r="B44" s="753" t="s">
        <v>376</v>
      </c>
      <c r="C44" s="753"/>
      <c r="D44" s="753"/>
      <c r="E44" s="753"/>
      <c r="F44" s="753"/>
      <c r="G44" s="753"/>
      <c r="H44" s="753"/>
      <c r="I44" s="56" t="s">
        <v>377</v>
      </c>
      <c r="J44" s="320" t="s">
        <v>378</v>
      </c>
    </row>
    <row r="45" spans="1:10" ht="23.25" customHeight="1">
      <c r="A45" s="44" t="s">
        <v>334</v>
      </c>
      <c r="B45" s="749" t="s">
        <v>379</v>
      </c>
      <c r="C45" s="749"/>
      <c r="D45" s="749"/>
      <c r="E45" s="326">
        <f>'1. ABA DE CARREGAMENTO'!C68</f>
        <v>44</v>
      </c>
      <c r="F45" s="321" t="s">
        <v>380</v>
      </c>
      <c r="G45" s="763" t="str">
        <f>'1. ABA DE CARREGAMENTO'!B62</f>
        <v>Cláusula Quarta da CCT 2022/2022</v>
      </c>
      <c r="H45" s="763"/>
      <c r="I45" s="763"/>
      <c r="J45" s="380">
        <f>H38/44*'1. ABA DE CARREGAMENTO'!C68</f>
        <v>1314.09</v>
      </c>
    </row>
    <row r="46" spans="1:10" ht="23.25" customHeight="1">
      <c r="A46" s="44" t="s">
        <v>336</v>
      </c>
      <c r="B46" s="764" t="s">
        <v>381</v>
      </c>
      <c r="C46" s="764"/>
      <c r="D46" s="765" t="str">
        <f>'1. ABA DE CARREGAMENTO'!B69</f>
        <v>Cláusula Décima Sétima da CCT 2022/2022</v>
      </c>
      <c r="E46" s="765"/>
      <c r="F46" s="765"/>
      <c r="G46" s="765"/>
      <c r="H46" s="765"/>
      <c r="I46" s="381">
        <f>'1. ABA DE CARREGAMENTO'!C70</f>
        <v>0.4</v>
      </c>
      <c r="J46" s="380">
        <f>ROUND(I46*J45,2)</f>
        <v>525.64</v>
      </c>
    </row>
    <row r="47" spans="1:10" ht="23.25" customHeight="1">
      <c r="A47" s="44" t="s">
        <v>337</v>
      </c>
      <c r="B47" s="749" t="s">
        <v>382</v>
      </c>
      <c r="C47" s="749"/>
      <c r="D47" s="749"/>
      <c r="E47" s="749"/>
      <c r="F47" s="749"/>
      <c r="G47" s="749"/>
      <c r="H47" s="749"/>
      <c r="I47" s="749"/>
      <c r="J47" s="380">
        <v>0</v>
      </c>
    </row>
    <row r="48" spans="1:10" ht="23.25" customHeight="1">
      <c r="A48" s="697" t="s">
        <v>383</v>
      </c>
      <c r="B48" s="697"/>
      <c r="C48" s="697"/>
      <c r="D48" s="697"/>
      <c r="E48" s="697"/>
      <c r="F48" s="697"/>
      <c r="G48" s="697"/>
      <c r="H48" s="697"/>
      <c r="I48" s="697"/>
      <c r="J48" s="84">
        <f>SUM(J45:J47)</f>
        <v>1839.73</v>
      </c>
    </row>
    <row r="49" spans="1:10" ht="12.75" customHeight="1">
      <c r="A49" s="47" t="s">
        <v>384</v>
      </c>
      <c r="B49" s="755" t="s">
        <v>588</v>
      </c>
      <c r="C49" s="755"/>
      <c r="D49" s="755"/>
      <c r="E49" s="755"/>
      <c r="F49" s="755"/>
      <c r="G49" s="755"/>
      <c r="H49" s="755"/>
      <c r="I49" s="755"/>
      <c r="J49" s="755"/>
    </row>
    <row r="50" spans="1:10" ht="6.95" customHeight="1">
      <c r="A50" s="831"/>
      <c r="B50" s="831"/>
      <c r="C50" s="831"/>
      <c r="D50" s="831"/>
      <c r="E50" s="831"/>
      <c r="F50" s="831"/>
      <c r="G50" s="831"/>
      <c r="H50" s="831"/>
      <c r="I50" s="831"/>
      <c r="J50" s="831"/>
    </row>
    <row r="51" spans="1:10" ht="15" customHeight="1">
      <c r="A51" s="753" t="s">
        <v>386</v>
      </c>
      <c r="B51" s="753"/>
      <c r="C51" s="753"/>
      <c r="D51" s="753"/>
      <c r="E51" s="753"/>
      <c r="F51" s="753"/>
      <c r="G51" s="753"/>
      <c r="H51" s="753"/>
      <c r="I51" s="753"/>
      <c r="J51" s="753"/>
    </row>
    <row r="52" spans="1:10" ht="21" customHeight="1">
      <c r="A52" s="320" t="s">
        <v>387</v>
      </c>
      <c r="B52" s="753" t="s">
        <v>388</v>
      </c>
      <c r="C52" s="753"/>
      <c r="D52" s="753"/>
      <c r="E52" s="753"/>
      <c r="F52" s="753"/>
      <c r="G52" s="753"/>
      <c r="H52" s="753"/>
      <c r="I52" s="753"/>
      <c r="J52" s="320" t="s">
        <v>389</v>
      </c>
    </row>
    <row r="53" spans="1:10" ht="21" customHeight="1">
      <c r="A53" s="44" t="s">
        <v>334</v>
      </c>
      <c r="B53" s="749" t="s">
        <v>390</v>
      </c>
      <c r="C53" s="749"/>
      <c r="D53" s="749"/>
      <c r="E53" s="749"/>
      <c r="F53" s="749"/>
      <c r="G53" s="749"/>
      <c r="H53" s="749"/>
      <c r="I53" s="749"/>
      <c r="J53" s="80">
        <f>ROUND(J48/12,2)</f>
        <v>153.31</v>
      </c>
    </row>
    <row r="54" spans="1:10" ht="28.5" customHeight="1">
      <c r="A54" s="44" t="s">
        <v>336</v>
      </c>
      <c r="B54" s="749" t="s">
        <v>725</v>
      </c>
      <c r="C54" s="749"/>
      <c r="D54" s="749"/>
      <c r="E54" s="749"/>
      <c r="F54" s="749"/>
      <c r="G54" s="749"/>
      <c r="H54" s="749"/>
      <c r="I54" s="749"/>
      <c r="J54" s="80">
        <f>ROUND(J48*3.025%,2)</f>
        <v>55.65</v>
      </c>
    </row>
    <row r="55" spans="1:10" ht="21" customHeight="1">
      <c r="A55" s="697" t="s">
        <v>391</v>
      </c>
      <c r="B55" s="697"/>
      <c r="C55" s="697"/>
      <c r="D55" s="697"/>
      <c r="E55" s="697"/>
      <c r="F55" s="697"/>
      <c r="G55" s="697"/>
      <c r="H55" s="697"/>
      <c r="I55" s="697"/>
      <c r="J55" s="318">
        <f>SUM(J53:J54)</f>
        <v>208.96</v>
      </c>
    </row>
    <row r="56" spans="1:10" ht="12.75" customHeight="1">
      <c r="A56" s="47" t="s">
        <v>392</v>
      </c>
      <c r="B56" s="832" t="s">
        <v>688</v>
      </c>
      <c r="C56" s="755"/>
      <c r="D56" s="755"/>
      <c r="E56" s="755"/>
      <c r="F56" s="755"/>
      <c r="G56" s="755"/>
      <c r="H56" s="755"/>
      <c r="I56" s="755"/>
      <c r="J56" s="755"/>
    </row>
    <row r="57" spans="1:10" ht="9.9499999999999993" customHeight="1">
      <c r="A57" s="825"/>
      <c r="B57" s="825"/>
      <c r="C57" s="825"/>
      <c r="D57" s="825"/>
      <c r="E57" s="825"/>
      <c r="F57" s="825"/>
      <c r="G57" s="825"/>
      <c r="H57" s="825"/>
      <c r="I57" s="825"/>
      <c r="J57" s="382"/>
    </row>
    <row r="58" spans="1:10" ht="40.5" customHeight="1">
      <c r="A58" s="320" t="s">
        <v>394</v>
      </c>
      <c r="B58" s="753" t="s">
        <v>589</v>
      </c>
      <c r="C58" s="753"/>
      <c r="D58" s="753"/>
      <c r="E58" s="753"/>
      <c r="F58" s="753"/>
      <c r="G58" s="753"/>
      <c r="H58" s="753"/>
      <c r="I58" s="753"/>
      <c r="J58" s="753"/>
    </row>
    <row r="59" spans="1:10" ht="20.25" customHeight="1">
      <c r="A59" s="320"/>
      <c r="B59" s="753" t="s">
        <v>396</v>
      </c>
      <c r="C59" s="753"/>
      <c r="D59" s="753"/>
      <c r="E59" s="753"/>
      <c r="F59" s="753"/>
      <c r="G59" s="753"/>
      <c r="H59" s="753"/>
      <c r="I59" s="320" t="s">
        <v>377</v>
      </c>
      <c r="J59" s="320" t="s">
        <v>389</v>
      </c>
    </row>
    <row r="60" spans="1:10" ht="20.25" customHeight="1">
      <c r="A60" s="44" t="s">
        <v>334</v>
      </c>
      <c r="B60" s="749" t="s">
        <v>82</v>
      </c>
      <c r="C60" s="749"/>
      <c r="D60" s="749"/>
      <c r="E60" s="749"/>
      <c r="F60" s="749"/>
      <c r="G60" s="749"/>
      <c r="H60" s="749"/>
      <c r="I60" s="51">
        <f>'1. ABA DE CARREGAMENTO'!C78</f>
        <v>0.2</v>
      </c>
      <c r="J60" s="80">
        <f>ROUND((J48+J55)*I60,2)</f>
        <v>409.74</v>
      </c>
    </row>
    <row r="61" spans="1:10" ht="20.25" customHeight="1">
      <c r="A61" s="44" t="s">
        <v>336</v>
      </c>
      <c r="B61" s="749" t="s">
        <v>83</v>
      </c>
      <c r="C61" s="749"/>
      <c r="D61" s="749"/>
      <c r="E61" s="749"/>
      <c r="F61" s="749"/>
      <c r="G61" s="749"/>
      <c r="H61" s="749"/>
      <c r="I61" s="51">
        <f>IF($H$15=1,'1. ABA DE CARREGAMENTO'!C79,IF($H$15=2,'1. ABA DE CARREGAMENTO'!C79,0))</f>
        <v>2.5000000000000001E-2</v>
      </c>
      <c r="J61" s="80">
        <f>ROUND((J48+J55)*I61,2)</f>
        <v>51.22</v>
      </c>
    </row>
    <row r="62" spans="1:10" ht="20.25" customHeight="1">
      <c r="A62" s="44" t="s">
        <v>337</v>
      </c>
      <c r="B62" s="830" t="s">
        <v>84</v>
      </c>
      <c r="C62" s="830"/>
      <c r="D62" s="830"/>
      <c r="E62" s="323" t="s">
        <v>397</v>
      </c>
      <c r="F62" s="51">
        <f>'1. ABA DE CARREGAMENTO'!$B$74</f>
        <v>0.03</v>
      </c>
      <c r="G62" s="323" t="s">
        <v>398</v>
      </c>
      <c r="H62" s="52">
        <f>'1. ABA DE CARREGAMENTO'!$B$75</f>
        <v>1</v>
      </c>
      <c r="I62" s="51">
        <f>'1. ABA DE CARREGAMENTO'!C80</f>
        <v>0.03</v>
      </c>
      <c r="J62" s="80">
        <f>ROUND((J48+J55)*I62,2)</f>
        <v>61.46</v>
      </c>
    </row>
    <row r="63" spans="1:10" ht="20.25" customHeight="1">
      <c r="A63" s="44" t="s">
        <v>339</v>
      </c>
      <c r="B63" s="749" t="s">
        <v>85</v>
      </c>
      <c r="C63" s="749"/>
      <c r="D63" s="749"/>
      <c r="E63" s="749"/>
      <c r="F63" s="749"/>
      <c r="G63" s="749"/>
      <c r="H63" s="749"/>
      <c r="I63" s="51">
        <f>IF($H$15=1,'1. ABA DE CARREGAMENTO'!C81,IF($H$15=2,'1. ABA DE CARREGAMENTO'!C81,0))</f>
        <v>1.4999999999999999E-2</v>
      </c>
      <c r="J63" s="80">
        <f>ROUND((J48+J55)*I63,2)</f>
        <v>30.73</v>
      </c>
    </row>
    <row r="64" spans="1:10" ht="20.25" customHeight="1">
      <c r="A64" s="44" t="s">
        <v>399</v>
      </c>
      <c r="B64" s="749" t="s">
        <v>86</v>
      </c>
      <c r="C64" s="749"/>
      <c r="D64" s="749"/>
      <c r="E64" s="749"/>
      <c r="F64" s="749"/>
      <c r="G64" s="749"/>
      <c r="H64" s="749"/>
      <c r="I64" s="51">
        <f>IF($H$15=1,'1. ABA DE CARREGAMENTO'!C82,IF($H$15=2,'1. ABA DE CARREGAMENTO'!C82,0))</f>
        <v>0.01</v>
      </c>
      <c r="J64" s="80">
        <f>ROUND((J48+J55)*I64,2)</f>
        <v>20.49</v>
      </c>
    </row>
    <row r="65" spans="1:10" ht="20.25" customHeight="1">
      <c r="A65" s="44" t="s">
        <v>400</v>
      </c>
      <c r="B65" s="749" t="s">
        <v>87</v>
      </c>
      <c r="C65" s="749"/>
      <c r="D65" s="749"/>
      <c r="E65" s="749"/>
      <c r="F65" s="749"/>
      <c r="G65" s="749"/>
      <c r="H65" s="749"/>
      <c r="I65" s="51">
        <f>IF($H$15=1,'1. ABA DE CARREGAMENTO'!C83,IF($H$15=2,'1. ABA DE CARREGAMENTO'!C83,0))</f>
        <v>6.0000000000000001E-3</v>
      </c>
      <c r="J65" s="80">
        <f>ROUND((J48+J55)*I65,2)</f>
        <v>12.29</v>
      </c>
    </row>
    <row r="66" spans="1:10" ht="20.25" customHeight="1">
      <c r="A66" s="44" t="s">
        <v>401</v>
      </c>
      <c r="B66" s="749" t="s">
        <v>88</v>
      </c>
      <c r="C66" s="749"/>
      <c r="D66" s="749"/>
      <c r="E66" s="749"/>
      <c r="F66" s="749"/>
      <c r="G66" s="749"/>
      <c r="H66" s="749"/>
      <c r="I66" s="51">
        <f>IF($H$15=1,'1. ABA DE CARREGAMENTO'!C84,IF($H$15=2,'1. ABA DE CARREGAMENTO'!C84,0))</f>
        <v>2E-3</v>
      </c>
      <c r="J66" s="80">
        <f>ROUND((J48+J55)*I66,2)</f>
        <v>4.0999999999999996</v>
      </c>
    </row>
    <row r="67" spans="1:10" ht="20.25" customHeight="1">
      <c r="A67" s="44" t="s">
        <v>402</v>
      </c>
      <c r="B67" s="749" t="s">
        <v>89</v>
      </c>
      <c r="C67" s="749"/>
      <c r="D67" s="749"/>
      <c r="E67" s="749"/>
      <c r="F67" s="749"/>
      <c r="G67" s="749"/>
      <c r="H67" s="749"/>
      <c r="I67" s="51">
        <f>'1. ABA DE CARREGAMENTO'!C85</f>
        <v>0.08</v>
      </c>
      <c r="J67" s="80">
        <f>ROUND((J48+J55)*I67,2)</f>
        <v>163.9</v>
      </c>
    </row>
    <row r="68" spans="1:10" ht="20.25" customHeight="1">
      <c r="A68" s="697" t="s">
        <v>403</v>
      </c>
      <c r="B68" s="697"/>
      <c r="C68" s="697"/>
      <c r="D68" s="697"/>
      <c r="E68" s="697"/>
      <c r="F68" s="697"/>
      <c r="G68" s="697"/>
      <c r="H68" s="697"/>
      <c r="I68" s="383">
        <f>SUM(I60:I67)</f>
        <v>0.36800000000000005</v>
      </c>
      <c r="J68" s="318">
        <f>SUM(J60:J67)</f>
        <v>753.93000000000006</v>
      </c>
    </row>
    <row r="69" spans="1:10" ht="12.75" customHeight="1">
      <c r="A69" s="305" t="s">
        <v>393</v>
      </c>
      <c r="B69" s="755" t="s">
        <v>405</v>
      </c>
      <c r="C69" s="755"/>
      <c r="D69" s="755"/>
      <c r="E69" s="755"/>
      <c r="F69" s="755"/>
      <c r="G69" s="755"/>
      <c r="H69" s="755"/>
      <c r="I69" s="755"/>
      <c r="J69" s="755"/>
    </row>
    <row r="70" spans="1:10">
      <c r="A70" s="305" t="s">
        <v>404</v>
      </c>
      <c r="B70" s="755" t="s">
        <v>407</v>
      </c>
      <c r="C70" s="755"/>
      <c r="D70" s="755"/>
      <c r="E70" s="755"/>
      <c r="F70" s="755"/>
      <c r="G70" s="755"/>
      <c r="H70" s="755"/>
      <c r="I70" s="755"/>
      <c r="J70" s="755"/>
    </row>
    <row r="71" spans="1:10" ht="9.9499999999999993" customHeight="1">
      <c r="A71" s="68"/>
      <c r="B71" s="69"/>
      <c r="C71" s="69"/>
      <c r="D71" s="69"/>
      <c r="E71" s="69"/>
      <c r="F71" s="69"/>
      <c r="G71" s="69"/>
      <c r="H71" s="69"/>
      <c r="I71" s="69"/>
      <c r="J71" s="69"/>
    </row>
    <row r="72" spans="1:10" ht="15" customHeight="1">
      <c r="A72" s="65" t="s">
        <v>408</v>
      </c>
      <c r="B72" s="753" t="s">
        <v>409</v>
      </c>
      <c r="C72" s="753"/>
      <c r="D72" s="753"/>
      <c r="E72" s="753"/>
      <c r="F72" s="753"/>
      <c r="G72" s="753"/>
      <c r="H72" s="753"/>
      <c r="I72" s="753"/>
      <c r="J72" s="753"/>
    </row>
    <row r="73" spans="1:10" ht="15">
      <c r="A73" s="320"/>
      <c r="B73" s="753" t="s">
        <v>409</v>
      </c>
      <c r="C73" s="753"/>
      <c r="D73" s="753"/>
      <c r="E73" s="753"/>
      <c r="F73" s="753"/>
      <c r="G73" s="753"/>
      <c r="H73" s="753"/>
      <c r="I73" s="753"/>
      <c r="J73" s="320" t="s">
        <v>389</v>
      </c>
    </row>
    <row r="74" spans="1:10" ht="18" customHeight="1">
      <c r="A74" s="800" t="s">
        <v>334</v>
      </c>
      <c r="B74" s="749" t="s">
        <v>410</v>
      </c>
      <c r="C74" s="749"/>
      <c r="D74" s="749"/>
      <c r="E74" s="749"/>
      <c r="F74" s="749"/>
      <c r="G74" s="749"/>
      <c r="H74" s="749"/>
      <c r="I74" s="749"/>
      <c r="J74" s="803">
        <f>IF(ROUND((I77*I75*I76)-(J45*0.06),2)&lt;0,0,ROUND((I77*I75*I76)-(J45*0.06),2))*1+(I75*I76*21.726-0.06*J45)*0</f>
        <v>89.15</v>
      </c>
    </row>
    <row r="75" spans="1:10" ht="18" customHeight="1">
      <c r="A75" s="800"/>
      <c r="B75" s="756" t="s">
        <v>411</v>
      </c>
      <c r="C75" s="756"/>
      <c r="D75" s="756"/>
      <c r="E75" s="756"/>
      <c r="F75" s="756"/>
      <c r="G75" s="756"/>
      <c r="H75" s="756"/>
      <c r="I75" s="384">
        <f>'1. ABA DE CARREGAMENTO'!$B$88</f>
        <v>3.5</v>
      </c>
      <c r="J75" s="803"/>
    </row>
    <row r="76" spans="1:10" ht="18" customHeight="1">
      <c r="A76" s="800"/>
      <c r="B76" s="756" t="s">
        <v>412</v>
      </c>
      <c r="C76" s="756"/>
      <c r="D76" s="756"/>
      <c r="E76" s="756"/>
      <c r="F76" s="756"/>
      <c r="G76" s="756"/>
      <c r="H76" s="756"/>
      <c r="I76" s="385">
        <f>'1. ABA DE CARREGAMENTO'!$B$89</f>
        <v>2</v>
      </c>
      <c r="J76" s="803"/>
    </row>
    <row r="77" spans="1:10" ht="18" customHeight="1">
      <c r="A77" s="800"/>
      <c r="B77" s="756" t="s">
        <v>413</v>
      </c>
      <c r="C77" s="756"/>
      <c r="D77" s="756"/>
      <c r="E77" s="756"/>
      <c r="F77" s="756"/>
      <c r="G77" s="756"/>
      <c r="H77" s="756"/>
      <c r="I77" s="385">
        <f>'1. ABA DE CARREGAMENTO'!$B$90</f>
        <v>24</v>
      </c>
      <c r="J77" s="803"/>
    </row>
    <row r="78" spans="1:10" ht="18" customHeight="1">
      <c r="A78" s="800"/>
      <c r="B78" s="756" t="s">
        <v>414</v>
      </c>
      <c r="C78" s="756"/>
      <c r="D78" s="756"/>
      <c r="E78" s="756"/>
      <c r="F78" s="756"/>
      <c r="G78" s="756"/>
      <c r="H78" s="756"/>
      <c r="I78" s="386">
        <f>'1. ABA DE CARREGAMENTO'!B91</f>
        <v>0.06</v>
      </c>
      <c r="J78" s="803"/>
    </row>
    <row r="79" spans="1:10" ht="18" customHeight="1">
      <c r="A79" s="800" t="s">
        <v>336</v>
      </c>
      <c r="B79" s="827" t="s">
        <v>689</v>
      </c>
      <c r="C79" s="764"/>
      <c r="D79" s="764"/>
      <c r="E79" s="828" t="str">
        <f>'1. ABA DE CARREGAMENTO'!B94</f>
        <v xml:space="preserve">CCT Sindasseio 2022/2022 - Registro no MTE: RS005021/2022 </v>
      </c>
      <c r="F79" s="828"/>
      <c r="G79" s="828"/>
      <c r="H79" s="828"/>
      <c r="I79" s="829"/>
      <c r="J79" s="803">
        <f>ROUND((I80*I81)-((I80*I81)*I82),2)</f>
        <v>392.3</v>
      </c>
    </row>
    <row r="80" spans="1:10" ht="18" customHeight="1">
      <c r="A80" s="800"/>
      <c r="B80" s="756" t="s">
        <v>415</v>
      </c>
      <c r="C80" s="756"/>
      <c r="D80" s="756"/>
      <c r="E80" s="756"/>
      <c r="F80" s="756"/>
      <c r="G80" s="756"/>
      <c r="H80" s="756"/>
      <c r="I80" s="387">
        <f>'1. ABA DE CARREGAMENTO'!B95</f>
        <v>20.18</v>
      </c>
      <c r="J80" s="803"/>
    </row>
    <row r="81" spans="1:10" ht="18" customHeight="1">
      <c r="A81" s="800"/>
      <c r="B81" s="756" t="s">
        <v>416</v>
      </c>
      <c r="C81" s="756"/>
      <c r="D81" s="756"/>
      <c r="E81" s="756"/>
      <c r="F81" s="756"/>
      <c r="G81" s="756"/>
      <c r="H81" s="756"/>
      <c r="I81" s="385">
        <f>'1. ABA DE CARREGAMENTO'!B97</f>
        <v>24</v>
      </c>
      <c r="J81" s="803"/>
    </row>
    <row r="82" spans="1:10" ht="18" customHeight="1">
      <c r="A82" s="800"/>
      <c r="B82" s="756" t="s">
        <v>417</v>
      </c>
      <c r="C82" s="756"/>
      <c r="D82" s="756"/>
      <c r="E82" s="756"/>
      <c r="F82" s="756"/>
      <c r="G82" s="756"/>
      <c r="H82" s="756"/>
      <c r="I82" s="388">
        <f>'1. ABA DE CARREGAMENTO'!B96</f>
        <v>0.19</v>
      </c>
      <c r="J82" s="803"/>
    </row>
    <row r="83" spans="1:10" ht="18" customHeight="1">
      <c r="A83" s="44" t="s">
        <v>337</v>
      </c>
      <c r="B83" s="764" t="s">
        <v>418</v>
      </c>
      <c r="C83" s="764"/>
      <c r="D83" s="764"/>
      <c r="E83" s="828" t="str">
        <f>'1. ABA DE CARREGAMENTO'!B100</f>
        <v>Cláusula Vigésima Nona da CCT 2022/2022</v>
      </c>
      <c r="F83" s="828"/>
      <c r="G83" s="828"/>
      <c r="H83" s="828"/>
      <c r="I83" s="829"/>
      <c r="J83" s="389">
        <f>'1. ABA DE CARREGAMENTO'!C100</f>
        <v>17.32</v>
      </c>
    </row>
    <row r="84" spans="1:10" ht="18" customHeight="1">
      <c r="A84" s="44" t="s">
        <v>339</v>
      </c>
      <c r="B84" s="749" t="s">
        <v>419</v>
      </c>
      <c r="C84" s="749"/>
      <c r="D84" s="749"/>
      <c r="E84" s="749"/>
      <c r="F84" s="749"/>
      <c r="G84" s="749"/>
      <c r="H84" s="749"/>
      <c r="I84" s="749"/>
      <c r="J84" s="80">
        <v>0</v>
      </c>
    </row>
    <row r="85" spans="1:10" ht="18" customHeight="1">
      <c r="A85" s="697" t="s">
        <v>420</v>
      </c>
      <c r="B85" s="697"/>
      <c r="C85" s="697"/>
      <c r="D85" s="697"/>
      <c r="E85" s="697"/>
      <c r="F85" s="697"/>
      <c r="G85" s="697"/>
      <c r="H85" s="697"/>
      <c r="I85" s="697"/>
      <c r="J85" s="318">
        <f>SUM(J74:J83)</f>
        <v>498.77000000000004</v>
      </c>
    </row>
    <row r="86" spans="1:10">
      <c r="A86" s="305" t="s">
        <v>406</v>
      </c>
      <c r="B86" s="755" t="s">
        <v>422</v>
      </c>
      <c r="C86" s="755"/>
      <c r="D86" s="755"/>
      <c r="E86" s="755"/>
      <c r="F86" s="755"/>
      <c r="G86" s="755"/>
      <c r="H86" s="755"/>
      <c r="I86" s="755"/>
      <c r="J86" s="755"/>
    </row>
    <row r="87" spans="1:10" ht="12.75" customHeight="1">
      <c r="A87" s="305" t="s">
        <v>421</v>
      </c>
      <c r="B87" s="755" t="s">
        <v>424</v>
      </c>
      <c r="C87" s="755"/>
      <c r="D87" s="755"/>
      <c r="E87" s="755"/>
      <c r="F87" s="755"/>
      <c r="G87" s="755"/>
      <c r="H87" s="755"/>
      <c r="I87" s="755"/>
      <c r="J87" s="755"/>
    </row>
    <row r="88" spans="1:10" ht="9.9499999999999993" customHeight="1">
      <c r="A88" s="68"/>
      <c r="B88" s="69"/>
      <c r="C88" s="69"/>
      <c r="D88" s="69"/>
      <c r="E88" s="69"/>
      <c r="F88" s="69"/>
      <c r="G88" s="69"/>
      <c r="H88" s="69"/>
      <c r="I88" s="69"/>
      <c r="J88" s="69"/>
    </row>
    <row r="89" spans="1:10" ht="15.75" customHeight="1">
      <c r="A89" s="753" t="s">
        <v>425</v>
      </c>
      <c r="B89" s="753"/>
      <c r="C89" s="753"/>
      <c r="D89" s="753"/>
      <c r="E89" s="753"/>
      <c r="F89" s="753"/>
      <c r="G89" s="753"/>
      <c r="H89" s="753"/>
      <c r="I89" s="753"/>
      <c r="J89" s="753"/>
    </row>
    <row r="90" spans="1:10" ht="15.75" customHeight="1">
      <c r="A90" s="320" t="s">
        <v>426</v>
      </c>
      <c r="B90" s="753" t="s">
        <v>427</v>
      </c>
      <c r="C90" s="753"/>
      <c r="D90" s="753"/>
      <c r="E90" s="753"/>
      <c r="F90" s="753"/>
      <c r="G90" s="753"/>
      <c r="H90" s="753"/>
      <c r="I90" s="753"/>
      <c r="J90" s="320" t="s">
        <v>389</v>
      </c>
    </row>
    <row r="91" spans="1:10" ht="15.75" customHeight="1">
      <c r="A91" s="44" t="s">
        <v>428</v>
      </c>
      <c r="B91" s="756" t="s">
        <v>429</v>
      </c>
      <c r="C91" s="756"/>
      <c r="D91" s="756"/>
      <c r="E91" s="756"/>
      <c r="F91" s="756"/>
      <c r="G91" s="756"/>
      <c r="H91" s="756"/>
      <c r="I91" s="756"/>
      <c r="J91" s="80">
        <f>J55</f>
        <v>208.96</v>
      </c>
    </row>
    <row r="92" spans="1:10" ht="15.75" customHeight="1">
      <c r="A92" s="44" t="s">
        <v>394</v>
      </c>
      <c r="B92" s="756" t="s">
        <v>430</v>
      </c>
      <c r="C92" s="756"/>
      <c r="D92" s="756"/>
      <c r="E92" s="756"/>
      <c r="F92" s="756"/>
      <c r="G92" s="756"/>
      <c r="H92" s="756"/>
      <c r="I92" s="756"/>
      <c r="J92" s="80">
        <f>J68</f>
        <v>753.93000000000006</v>
      </c>
    </row>
    <row r="93" spans="1:10" ht="15.75" customHeight="1">
      <c r="A93" s="44" t="s">
        <v>431</v>
      </c>
      <c r="B93" s="756" t="s">
        <v>432</v>
      </c>
      <c r="C93" s="756"/>
      <c r="D93" s="756"/>
      <c r="E93" s="756"/>
      <c r="F93" s="756"/>
      <c r="G93" s="756"/>
      <c r="H93" s="756"/>
      <c r="I93" s="756"/>
      <c r="J93" s="80">
        <f>J85</f>
        <v>498.77000000000004</v>
      </c>
    </row>
    <row r="94" spans="1:10" ht="15.75" customHeight="1">
      <c r="A94" s="697" t="s">
        <v>433</v>
      </c>
      <c r="B94" s="697"/>
      <c r="C94" s="697"/>
      <c r="D94" s="697"/>
      <c r="E94" s="697"/>
      <c r="F94" s="697"/>
      <c r="G94" s="697"/>
      <c r="H94" s="697"/>
      <c r="I94" s="697"/>
      <c r="J94" s="318">
        <f>SUM(J91+J92+J93)</f>
        <v>1461.66</v>
      </c>
    </row>
    <row r="95" spans="1:10" ht="9.9499999999999993" customHeight="1">
      <c r="A95" s="70"/>
      <c r="B95" s="70"/>
      <c r="C95" s="70"/>
      <c r="D95" s="70"/>
      <c r="E95" s="70"/>
      <c r="F95" s="70"/>
      <c r="G95" s="70"/>
      <c r="H95" s="70"/>
      <c r="I95" s="70"/>
      <c r="J95" s="82"/>
    </row>
    <row r="96" spans="1:10" ht="15" customHeight="1">
      <c r="A96" s="753" t="s">
        <v>434</v>
      </c>
      <c r="B96" s="753"/>
      <c r="C96" s="753"/>
      <c r="D96" s="753"/>
      <c r="E96" s="753"/>
      <c r="F96" s="753"/>
      <c r="G96" s="753"/>
      <c r="H96" s="753"/>
      <c r="I96" s="753"/>
      <c r="J96" s="753"/>
    </row>
    <row r="97" spans="1:10" ht="17.25" customHeight="1">
      <c r="A97" s="320"/>
      <c r="B97" s="753" t="s">
        <v>427</v>
      </c>
      <c r="C97" s="753"/>
      <c r="D97" s="753"/>
      <c r="E97" s="753"/>
      <c r="F97" s="753"/>
      <c r="G97" s="753"/>
      <c r="H97" s="753"/>
      <c r="I97" s="753"/>
      <c r="J97" s="320" t="s">
        <v>435</v>
      </c>
    </row>
    <row r="98" spans="1:10" ht="17.25" customHeight="1">
      <c r="A98" s="44" t="s">
        <v>334</v>
      </c>
      <c r="B98" s="749" t="s">
        <v>436</v>
      </c>
      <c r="C98" s="749"/>
      <c r="D98" s="749"/>
      <c r="E98" s="749"/>
      <c r="F98" s="749"/>
      <c r="G98" s="749"/>
      <c r="H98" s="749"/>
      <c r="I98" s="749"/>
      <c r="J98" s="80">
        <f>ROUND((($J$48/12)+($J$53/12)+($J$48/12/12)+($J$54/12))*(30/30)*0.05,2)</f>
        <v>9.18</v>
      </c>
    </row>
    <row r="99" spans="1:10" ht="17.25" customHeight="1">
      <c r="A99" s="44" t="s">
        <v>336</v>
      </c>
      <c r="B99" s="749" t="s">
        <v>437</v>
      </c>
      <c r="C99" s="749"/>
      <c r="D99" s="749"/>
      <c r="E99" s="749"/>
      <c r="F99" s="749"/>
      <c r="G99" s="749"/>
      <c r="H99" s="749"/>
      <c r="I99" s="749"/>
      <c r="J99" s="80">
        <f>ROUND($J$98*I67,2)</f>
        <v>0.73</v>
      </c>
    </row>
    <row r="100" spans="1:10" ht="17.25" customHeight="1">
      <c r="A100" s="44" t="s">
        <v>337</v>
      </c>
      <c r="B100" s="749" t="s">
        <v>438</v>
      </c>
      <c r="C100" s="749"/>
      <c r="D100" s="749"/>
      <c r="E100" s="749"/>
      <c r="F100" s="749"/>
      <c r="G100" s="749"/>
      <c r="H100" s="749"/>
      <c r="I100" s="749"/>
      <c r="J100" s="80">
        <f>ROUND(0.08*0.4*($J$48+$J$53+$J$54)*0.05,2)</f>
        <v>3.28</v>
      </c>
    </row>
    <row r="101" spans="1:10" ht="17.25" customHeight="1">
      <c r="A101" s="44" t="s">
        <v>339</v>
      </c>
      <c r="B101" s="749" t="s">
        <v>439</v>
      </c>
      <c r="C101" s="749"/>
      <c r="D101" s="749"/>
      <c r="E101" s="749"/>
      <c r="F101" s="749"/>
      <c r="G101" s="749"/>
      <c r="H101" s="749"/>
      <c r="I101" s="749"/>
      <c r="J101" s="80">
        <f>ROUND(((($J$48/30)*7)/$H$21)*1,2)</f>
        <v>21.46</v>
      </c>
    </row>
    <row r="102" spans="1:10" ht="17.25" customHeight="1">
      <c r="A102" s="44" t="s">
        <v>399</v>
      </c>
      <c r="B102" s="749" t="s">
        <v>440</v>
      </c>
      <c r="C102" s="749"/>
      <c r="D102" s="749"/>
      <c r="E102" s="749"/>
      <c r="F102" s="749"/>
      <c r="G102" s="749"/>
      <c r="H102" s="749"/>
      <c r="I102" s="749"/>
      <c r="J102" s="80">
        <f>ROUND($I$68*J101,2)</f>
        <v>7.9</v>
      </c>
    </row>
    <row r="103" spans="1:10" ht="17.25" customHeight="1">
      <c r="A103" s="44" t="s">
        <v>400</v>
      </c>
      <c r="B103" s="749" t="s">
        <v>441</v>
      </c>
      <c r="C103" s="749"/>
      <c r="D103" s="749"/>
      <c r="E103" s="749"/>
      <c r="F103" s="749"/>
      <c r="G103" s="749"/>
      <c r="H103" s="749"/>
      <c r="I103" s="749"/>
      <c r="J103" s="80">
        <f>ROUND(0.08*0.4*($J$48+$J$53+$J$54)*0.9,2)</f>
        <v>59</v>
      </c>
    </row>
    <row r="104" spans="1:10" ht="17.25" customHeight="1">
      <c r="A104" s="697" t="s">
        <v>442</v>
      </c>
      <c r="B104" s="697"/>
      <c r="C104" s="697"/>
      <c r="D104" s="697"/>
      <c r="E104" s="697"/>
      <c r="F104" s="697"/>
      <c r="G104" s="697"/>
      <c r="H104" s="697"/>
      <c r="I104" s="697"/>
      <c r="J104" s="318">
        <f>SUM(J98:J103)</f>
        <v>101.55</v>
      </c>
    </row>
    <row r="105" spans="1:10" ht="6.95" customHeight="1">
      <c r="A105" s="70"/>
      <c r="B105" s="70"/>
      <c r="C105" s="70"/>
      <c r="D105" s="70"/>
      <c r="E105" s="70"/>
      <c r="F105" s="70"/>
      <c r="G105" s="70"/>
      <c r="H105" s="70"/>
      <c r="I105" s="70"/>
      <c r="J105" s="82"/>
    </row>
    <row r="106" spans="1:10" ht="15" customHeight="1">
      <c r="A106" s="753" t="s">
        <v>443</v>
      </c>
      <c r="B106" s="753"/>
      <c r="C106" s="753"/>
      <c r="D106" s="753"/>
      <c r="E106" s="753"/>
      <c r="F106" s="753"/>
      <c r="G106" s="753"/>
      <c r="H106" s="753"/>
      <c r="I106" s="753"/>
      <c r="J106" s="753"/>
    </row>
    <row r="107" spans="1:10" ht="15.75" customHeight="1">
      <c r="A107" s="753" t="s">
        <v>444</v>
      </c>
      <c r="B107" s="753"/>
      <c r="C107" s="753"/>
      <c r="D107" s="753"/>
      <c r="E107" s="753"/>
      <c r="F107" s="753"/>
      <c r="G107" s="753"/>
      <c r="H107" s="753"/>
      <c r="I107" s="753"/>
      <c r="J107" s="753"/>
    </row>
    <row r="108" spans="1:10" ht="15.75" customHeight="1">
      <c r="A108" s="753" t="s">
        <v>590</v>
      </c>
      <c r="B108" s="753"/>
      <c r="C108" s="71">
        <f>J48</f>
        <v>1839.73</v>
      </c>
      <c r="D108" s="753" t="s">
        <v>591</v>
      </c>
      <c r="E108" s="753"/>
      <c r="F108" s="71">
        <f>J94-J79-J74</f>
        <v>980.21000000000015</v>
      </c>
      <c r="G108" s="753" t="s">
        <v>447</v>
      </c>
      <c r="H108" s="753"/>
      <c r="I108" s="71">
        <f>J104</f>
        <v>101.55</v>
      </c>
      <c r="J108" s="83">
        <f>ROUND((J48+(J94-J79-J74)+J104),2)</f>
        <v>2921.49</v>
      </c>
    </row>
    <row r="109" spans="1:10" ht="15.75" customHeight="1">
      <c r="A109" s="753" t="s">
        <v>448</v>
      </c>
      <c r="B109" s="753"/>
      <c r="C109" s="753"/>
      <c r="D109" s="753"/>
      <c r="E109" s="753"/>
      <c r="F109" s="753"/>
      <c r="G109" s="753" t="s">
        <v>449</v>
      </c>
      <c r="H109" s="753"/>
      <c r="I109" s="753"/>
      <c r="J109" s="84">
        <f>ROUND(J108/30,2)</f>
        <v>97.38</v>
      </c>
    </row>
    <row r="110" spans="1:10" ht="15.75" customHeight="1">
      <c r="A110" s="324"/>
      <c r="B110" s="324"/>
      <c r="C110" s="324"/>
      <c r="D110" s="324"/>
      <c r="E110" s="324"/>
      <c r="F110" s="324"/>
      <c r="G110" s="324"/>
      <c r="H110" s="324"/>
      <c r="I110" s="324"/>
      <c r="J110" s="324"/>
    </row>
    <row r="111" spans="1:10" ht="15.75" customHeight="1">
      <c r="A111" s="320" t="s">
        <v>450</v>
      </c>
      <c r="B111" s="753" t="s">
        <v>451</v>
      </c>
      <c r="C111" s="753"/>
      <c r="D111" s="753"/>
      <c r="E111" s="753"/>
      <c r="F111" s="753"/>
      <c r="G111" s="753"/>
      <c r="H111" s="753"/>
      <c r="I111" s="753"/>
      <c r="J111" s="320" t="s">
        <v>389</v>
      </c>
    </row>
    <row r="112" spans="1:10" ht="27.75" customHeight="1">
      <c r="A112" s="44" t="s">
        <v>334</v>
      </c>
      <c r="B112" s="749" t="s">
        <v>726</v>
      </c>
      <c r="C112" s="749"/>
      <c r="D112" s="749"/>
      <c r="E112" s="749"/>
      <c r="F112" s="749"/>
      <c r="G112" s="749"/>
      <c r="H112" s="749"/>
      <c r="I112" s="749"/>
      <c r="J112" s="80">
        <f>ROUND(J48*9.075%,2)</f>
        <v>166.96</v>
      </c>
    </row>
    <row r="113" spans="1:10" ht="15.75" customHeight="1">
      <c r="A113" s="44" t="s">
        <v>336</v>
      </c>
      <c r="B113" s="749" t="s">
        <v>452</v>
      </c>
      <c r="C113" s="749"/>
      <c r="D113" s="749"/>
      <c r="E113" s="749"/>
      <c r="F113" s="749"/>
      <c r="G113" s="749"/>
      <c r="H113" s="749"/>
      <c r="I113" s="749"/>
      <c r="J113" s="380">
        <f>ROUND((($J$108/30)*1)/12,2)</f>
        <v>8.1199999999999992</v>
      </c>
    </row>
    <row r="114" spans="1:10" ht="15.75" customHeight="1">
      <c r="A114" s="44" t="s">
        <v>337</v>
      </c>
      <c r="B114" s="749" t="s">
        <v>453</v>
      </c>
      <c r="C114" s="749"/>
      <c r="D114" s="749"/>
      <c r="E114" s="749"/>
      <c r="F114" s="749"/>
      <c r="G114" s="749"/>
      <c r="H114" s="749"/>
      <c r="I114" s="749"/>
      <c r="J114" s="380">
        <f>ROUND((($J$108/30)*5)/12*0.015,2)</f>
        <v>0.61</v>
      </c>
    </row>
    <row r="115" spans="1:10" ht="15.75" customHeight="1">
      <c r="A115" s="44" t="s">
        <v>339</v>
      </c>
      <c r="B115" s="749" t="s">
        <v>454</v>
      </c>
      <c r="C115" s="749"/>
      <c r="D115" s="749"/>
      <c r="E115" s="749"/>
      <c r="F115" s="749"/>
      <c r="G115" s="749"/>
      <c r="H115" s="749"/>
      <c r="I115" s="749"/>
      <c r="J115" s="80">
        <f>ROUND(((($J$108/30)*15)/12)*0.0078,2)</f>
        <v>0.95</v>
      </c>
    </row>
    <row r="116" spans="1:10" ht="15.75" customHeight="1">
      <c r="A116" s="44" t="s">
        <v>399</v>
      </c>
      <c r="B116" s="749" t="s">
        <v>455</v>
      </c>
      <c r="C116" s="749"/>
      <c r="D116" s="749"/>
      <c r="E116" s="749"/>
      <c r="F116" s="749"/>
      <c r="G116" s="749"/>
      <c r="H116" s="749"/>
      <c r="I116" s="749"/>
      <c r="J116" s="80">
        <f>ROUND((((J48+J48/3)/12+(J68+J85-J79-J74+J104))*4/12)*0.02,2)</f>
        <v>7.18</v>
      </c>
    </row>
    <row r="117" spans="1:10" ht="15.75" customHeight="1">
      <c r="A117" s="44" t="s">
        <v>400</v>
      </c>
      <c r="B117" s="749" t="s">
        <v>456</v>
      </c>
      <c r="C117" s="749"/>
      <c r="D117" s="749"/>
      <c r="E117" s="749"/>
      <c r="F117" s="749"/>
      <c r="G117" s="749"/>
      <c r="H117" s="749"/>
      <c r="I117" s="749"/>
      <c r="J117" s="80">
        <f>ROUND(((($J$108/30)*5)/12),2)</f>
        <v>40.58</v>
      </c>
    </row>
    <row r="118" spans="1:10" ht="15.75" customHeight="1">
      <c r="A118" s="697" t="s">
        <v>457</v>
      </c>
      <c r="B118" s="697"/>
      <c r="C118" s="697"/>
      <c r="D118" s="697"/>
      <c r="E118" s="697"/>
      <c r="F118" s="697"/>
      <c r="G118" s="697"/>
      <c r="H118" s="697"/>
      <c r="I118" s="697"/>
      <c r="J118" s="318">
        <f>SUM(J112:J117)</f>
        <v>224.40000000000003</v>
      </c>
    </row>
    <row r="119" spans="1:10" ht="9.9499999999999993" customHeight="1">
      <c r="A119" s="390"/>
      <c r="B119" s="826"/>
      <c r="C119" s="826"/>
      <c r="D119" s="826"/>
      <c r="E119" s="826"/>
      <c r="F119" s="826"/>
      <c r="G119" s="826"/>
      <c r="H119" s="826"/>
      <c r="I119" s="826"/>
      <c r="J119" s="382"/>
    </row>
    <row r="120" spans="1:10" ht="17.25" customHeight="1">
      <c r="A120" s="320" t="s">
        <v>458</v>
      </c>
      <c r="B120" s="753" t="s">
        <v>459</v>
      </c>
      <c r="C120" s="753"/>
      <c r="D120" s="753"/>
      <c r="E120" s="753"/>
      <c r="F120" s="753"/>
      <c r="G120" s="753"/>
      <c r="H120" s="753"/>
      <c r="I120" s="753"/>
      <c r="J120" s="320" t="s">
        <v>389</v>
      </c>
    </row>
    <row r="121" spans="1:10" ht="17.25" customHeight="1">
      <c r="A121" s="44" t="s">
        <v>334</v>
      </c>
      <c r="B121" s="749" t="s">
        <v>460</v>
      </c>
      <c r="C121" s="749"/>
      <c r="D121" s="749"/>
      <c r="E121" s="749"/>
      <c r="F121" s="749"/>
      <c r="G121" s="749"/>
      <c r="H121" s="749"/>
      <c r="I121" s="749"/>
      <c r="J121" s="80">
        <v>0</v>
      </c>
    </row>
    <row r="122" spans="1:10" ht="17.25" customHeight="1">
      <c r="A122" s="697" t="s">
        <v>461</v>
      </c>
      <c r="B122" s="697"/>
      <c r="C122" s="697"/>
      <c r="D122" s="697"/>
      <c r="E122" s="697"/>
      <c r="F122" s="697"/>
      <c r="G122" s="697"/>
      <c r="H122" s="697"/>
      <c r="I122" s="697"/>
      <c r="J122" s="318">
        <f>SUM(J121)</f>
        <v>0</v>
      </c>
    </row>
    <row r="123" spans="1:10" ht="9.9499999999999993" customHeight="1">
      <c r="A123" s="825"/>
      <c r="B123" s="825"/>
      <c r="C123" s="825"/>
      <c r="D123" s="825"/>
      <c r="E123" s="825"/>
      <c r="F123" s="825"/>
      <c r="G123" s="825"/>
      <c r="H123" s="825"/>
      <c r="I123" s="825"/>
      <c r="J123" s="382"/>
    </row>
    <row r="124" spans="1:10" ht="18.75" customHeight="1">
      <c r="A124" s="753" t="s">
        <v>462</v>
      </c>
      <c r="B124" s="753"/>
      <c r="C124" s="753"/>
      <c r="D124" s="753"/>
      <c r="E124" s="753"/>
      <c r="F124" s="753"/>
      <c r="G124" s="753"/>
      <c r="H124" s="753"/>
      <c r="I124" s="753"/>
      <c r="J124" s="753"/>
    </row>
    <row r="125" spans="1:10" ht="18.75" customHeight="1">
      <c r="A125" s="320" t="s">
        <v>463</v>
      </c>
      <c r="B125" s="753" t="s">
        <v>427</v>
      </c>
      <c r="C125" s="753"/>
      <c r="D125" s="753"/>
      <c r="E125" s="753"/>
      <c r="F125" s="753"/>
      <c r="G125" s="753"/>
      <c r="H125" s="753"/>
      <c r="I125" s="753"/>
      <c r="J125" s="91" t="s">
        <v>389</v>
      </c>
    </row>
    <row r="126" spans="1:10" ht="18.75" customHeight="1">
      <c r="A126" s="44" t="s">
        <v>450</v>
      </c>
      <c r="B126" s="749" t="s">
        <v>451</v>
      </c>
      <c r="C126" s="749"/>
      <c r="D126" s="749"/>
      <c r="E126" s="749"/>
      <c r="F126" s="749"/>
      <c r="G126" s="749"/>
      <c r="H126" s="749"/>
      <c r="I126" s="749"/>
      <c r="J126" s="80">
        <f>J118</f>
        <v>224.40000000000003</v>
      </c>
    </row>
    <row r="127" spans="1:10" ht="18.75" customHeight="1">
      <c r="A127" s="44" t="s">
        <v>464</v>
      </c>
      <c r="B127" s="749" t="s">
        <v>459</v>
      </c>
      <c r="C127" s="749"/>
      <c r="D127" s="749"/>
      <c r="E127" s="749"/>
      <c r="F127" s="749"/>
      <c r="G127" s="749"/>
      <c r="H127" s="749"/>
      <c r="I127" s="749"/>
      <c r="J127" s="80">
        <f>J122</f>
        <v>0</v>
      </c>
    </row>
    <row r="128" spans="1:10" ht="18.75" customHeight="1">
      <c r="A128" s="697" t="s">
        <v>465</v>
      </c>
      <c r="B128" s="697"/>
      <c r="C128" s="697"/>
      <c r="D128" s="697"/>
      <c r="E128" s="697"/>
      <c r="F128" s="697"/>
      <c r="G128" s="697"/>
      <c r="H128" s="697"/>
      <c r="I128" s="697"/>
      <c r="J128" s="318">
        <f>SUM(J126+J127)</f>
        <v>224.40000000000003</v>
      </c>
    </row>
    <row r="129" spans="1:10" ht="21.75" customHeight="1">
      <c r="A129" s="305" t="s">
        <v>423</v>
      </c>
      <c r="B129" s="755" t="s">
        <v>467</v>
      </c>
      <c r="C129" s="755"/>
      <c r="D129" s="755"/>
      <c r="E129" s="755"/>
      <c r="F129" s="755"/>
      <c r="G129" s="755"/>
      <c r="H129" s="755"/>
      <c r="I129" s="755"/>
      <c r="J129" s="755"/>
    </row>
    <row r="130" spans="1:10" ht="9.9499999999999993" customHeight="1">
      <c r="A130" s="68"/>
      <c r="B130" s="69"/>
      <c r="C130" s="69"/>
      <c r="D130" s="69"/>
      <c r="E130" s="69"/>
      <c r="F130" s="69"/>
      <c r="G130" s="69"/>
      <c r="H130" s="69"/>
      <c r="I130" s="69"/>
      <c r="J130" s="69"/>
    </row>
    <row r="131" spans="1:10" ht="14.25" customHeight="1">
      <c r="A131" s="753" t="s">
        <v>468</v>
      </c>
      <c r="B131" s="753"/>
      <c r="C131" s="753"/>
      <c r="D131" s="753"/>
      <c r="E131" s="753"/>
      <c r="F131" s="753"/>
      <c r="G131" s="753"/>
      <c r="H131" s="753"/>
      <c r="I131" s="753"/>
      <c r="J131" s="753"/>
    </row>
    <row r="132" spans="1:10" ht="14.25" customHeight="1">
      <c r="A132" s="320"/>
      <c r="B132" s="753" t="s">
        <v>427</v>
      </c>
      <c r="C132" s="753"/>
      <c r="D132" s="753"/>
      <c r="E132" s="753"/>
      <c r="F132" s="753"/>
      <c r="G132" s="753"/>
      <c r="H132" s="753"/>
      <c r="I132" s="753"/>
      <c r="J132" s="320" t="s">
        <v>389</v>
      </c>
    </row>
    <row r="133" spans="1:10" ht="14.25" customHeight="1">
      <c r="A133" s="44" t="s">
        <v>334</v>
      </c>
      <c r="B133" s="749" t="s">
        <v>469</v>
      </c>
      <c r="C133" s="749"/>
      <c r="D133" s="749"/>
      <c r="E133" s="749"/>
      <c r="F133" s="749"/>
      <c r="G133" s="749"/>
      <c r="H133" s="749"/>
      <c r="I133" s="749"/>
      <c r="J133" s="322">
        <f>'2. INSUMOS'!F91</f>
        <v>69.038333333333341</v>
      </c>
    </row>
    <row r="134" spans="1:10" ht="14.25" customHeight="1">
      <c r="A134" s="44" t="s">
        <v>336</v>
      </c>
      <c r="B134" s="749" t="s">
        <v>470</v>
      </c>
      <c r="C134" s="749"/>
      <c r="D134" s="749"/>
      <c r="E134" s="749"/>
      <c r="F134" s="749"/>
      <c r="G134" s="749"/>
      <c r="H134" s="749"/>
      <c r="I134" s="749"/>
      <c r="J134" s="322">
        <f>'2. INSUMOS'!F87</f>
        <v>413.46755534575993</v>
      </c>
    </row>
    <row r="135" spans="1:10" ht="14.25" customHeight="1">
      <c r="A135" s="44" t="s">
        <v>337</v>
      </c>
      <c r="B135" s="749" t="s">
        <v>471</v>
      </c>
      <c r="C135" s="749"/>
      <c r="D135" s="749"/>
      <c r="E135" s="749"/>
      <c r="F135" s="749"/>
      <c r="G135" s="749"/>
      <c r="H135" s="749"/>
      <c r="I135" s="749"/>
      <c r="J135" s="322">
        <f>'2. INSUMOS'!F89</f>
        <v>0.35860465826950028</v>
      </c>
    </row>
    <row r="136" spans="1:10" ht="14.25" customHeight="1">
      <c r="A136" s="44" t="s">
        <v>339</v>
      </c>
      <c r="B136" s="749" t="s">
        <v>472</v>
      </c>
      <c r="C136" s="749"/>
      <c r="D136" s="749"/>
      <c r="E136" s="749"/>
      <c r="F136" s="749"/>
      <c r="G136" s="749"/>
      <c r="H136" s="749"/>
      <c r="I136" s="749"/>
      <c r="J136" s="322" t="s">
        <v>473</v>
      </c>
    </row>
    <row r="137" spans="1:10" ht="14.25" customHeight="1">
      <c r="A137" s="697" t="s">
        <v>592</v>
      </c>
      <c r="B137" s="697"/>
      <c r="C137" s="697"/>
      <c r="D137" s="697"/>
      <c r="E137" s="697"/>
      <c r="F137" s="697"/>
      <c r="G137" s="697"/>
      <c r="H137" s="697"/>
      <c r="I137" s="697"/>
      <c r="J137" s="98">
        <f>SUM(J133:J136)</f>
        <v>482.86449333736277</v>
      </c>
    </row>
    <row r="138" spans="1:10">
      <c r="A138" s="305" t="s">
        <v>466</v>
      </c>
      <c r="B138" s="755" t="s">
        <v>476</v>
      </c>
      <c r="C138" s="755"/>
      <c r="D138" s="755"/>
      <c r="E138" s="755"/>
      <c r="F138" s="755"/>
      <c r="G138" s="755"/>
      <c r="H138" s="755"/>
      <c r="I138" s="755"/>
      <c r="J138" s="755"/>
    </row>
    <row r="139" spans="1:10" ht="9.9499999999999993" customHeight="1">
      <c r="A139" s="824"/>
      <c r="B139" s="824"/>
      <c r="C139" s="824"/>
      <c r="D139" s="824"/>
      <c r="E139" s="824"/>
      <c r="F139" s="824"/>
      <c r="G139" s="824"/>
      <c r="H139" s="824"/>
      <c r="I139" s="824"/>
      <c r="J139" s="824"/>
    </row>
    <row r="140" spans="1:10" ht="19.5" customHeight="1">
      <c r="A140" s="753" t="s">
        <v>477</v>
      </c>
      <c r="B140" s="753"/>
      <c r="C140" s="753"/>
      <c r="D140" s="753"/>
      <c r="E140" s="753"/>
      <c r="F140" s="753"/>
      <c r="G140" s="753"/>
      <c r="H140" s="753"/>
      <c r="I140" s="753"/>
      <c r="J140" s="753"/>
    </row>
    <row r="141" spans="1:10" ht="19.5" customHeight="1">
      <c r="A141" s="320"/>
      <c r="B141" s="753" t="s">
        <v>478</v>
      </c>
      <c r="C141" s="753"/>
      <c r="D141" s="753"/>
      <c r="E141" s="753"/>
      <c r="F141" s="753"/>
      <c r="G141" s="753"/>
      <c r="H141" s="753"/>
      <c r="I141" s="320" t="s">
        <v>377</v>
      </c>
      <c r="J141" s="91" t="s">
        <v>389</v>
      </c>
    </row>
    <row r="142" spans="1:10" ht="37.5" customHeight="1">
      <c r="A142" s="749" t="s">
        <v>479</v>
      </c>
      <c r="B142" s="749"/>
      <c r="C142" s="749"/>
      <c r="D142" s="749"/>
      <c r="E142" s="749"/>
      <c r="F142" s="749"/>
      <c r="G142" s="749"/>
      <c r="H142" s="749"/>
      <c r="I142" s="749"/>
      <c r="J142" s="389">
        <f>SUM(J48+J94+J104+J128+J137)</f>
        <v>4110.2044933373636</v>
      </c>
    </row>
    <row r="143" spans="1:10" ht="19.5" customHeight="1">
      <c r="A143" s="391" t="s">
        <v>334</v>
      </c>
      <c r="B143" s="822" t="s">
        <v>480</v>
      </c>
      <c r="C143" s="822"/>
      <c r="D143" s="822"/>
      <c r="E143" s="822"/>
      <c r="F143" s="822"/>
      <c r="G143" s="822"/>
      <c r="H143" s="822"/>
      <c r="I143" s="392">
        <f>'1. ABA DE CARREGAMENTO'!$B$103</f>
        <v>0.06</v>
      </c>
      <c r="J143" s="318">
        <f>ROUND(I143*J142,2)</f>
        <v>246.61</v>
      </c>
    </row>
    <row r="144" spans="1:10" ht="36" customHeight="1">
      <c r="A144" s="749" t="s">
        <v>481</v>
      </c>
      <c r="B144" s="749"/>
      <c r="C144" s="749"/>
      <c r="D144" s="749"/>
      <c r="E144" s="749"/>
      <c r="F144" s="749"/>
      <c r="G144" s="749"/>
      <c r="H144" s="749"/>
      <c r="I144" s="749"/>
      <c r="J144" s="389">
        <f>SUM(J48+J94+J104+J128+J137+J143)</f>
        <v>4356.8144933373633</v>
      </c>
    </row>
    <row r="145" spans="1:12" ht="19.5" customHeight="1">
      <c r="A145" s="391" t="s">
        <v>336</v>
      </c>
      <c r="B145" s="822" t="s">
        <v>102</v>
      </c>
      <c r="C145" s="822"/>
      <c r="D145" s="822"/>
      <c r="E145" s="822"/>
      <c r="F145" s="822"/>
      <c r="G145" s="822"/>
      <c r="H145" s="822"/>
      <c r="I145" s="392">
        <f>'1. ABA DE CARREGAMENTO'!$B$104</f>
        <v>6.7900000000000002E-2</v>
      </c>
      <c r="J145" s="318">
        <f>ROUND(I145*J144,2)</f>
        <v>295.83</v>
      </c>
    </row>
    <row r="146" spans="1:12" ht="35.25" customHeight="1">
      <c r="A146" s="749" t="s">
        <v>482</v>
      </c>
      <c r="B146" s="749"/>
      <c r="C146" s="749"/>
      <c r="D146" s="749"/>
      <c r="E146" s="749"/>
      <c r="F146" s="749"/>
      <c r="G146" s="749"/>
      <c r="H146" s="749"/>
      <c r="I146" s="749"/>
      <c r="J146" s="389">
        <f>SUM(J48+J94+J104+J128+J137+J143+J145)</f>
        <v>4652.6444933373632</v>
      </c>
    </row>
    <row r="147" spans="1:12" ht="19.5" customHeight="1">
      <c r="A147" s="391" t="s">
        <v>337</v>
      </c>
      <c r="B147" s="822" t="s">
        <v>483</v>
      </c>
      <c r="C147" s="822"/>
      <c r="D147" s="822"/>
      <c r="E147" s="822"/>
      <c r="F147" s="822"/>
      <c r="G147" s="822"/>
      <c r="H147" s="822"/>
      <c r="I147" s="392">
        <f>SUM(I148:I151)</f>
        <v>0.1225</v>
      </c>
      <c r="J147" s="318">
        <f>SUM(J148:J151)</f>
        <v>649.51</v>
      </c>
      <c r="K147" s="823"/>
      <c r="L147" s="823"/>
    </row>
    <row r="148" spans="1:12" ht="19.5" customHeight="1">
      <c r="A148" s="800" t="s">
        <v>484</v>
      </c>
      <c r="B148" s="749" t="s">
        <v>485</v>
      </c>
      <c r="C148" s="749"/>
      <c r="D148" s="749"/>
      <c r="E148" s="749"/>
      <c r="F148" s="749" t="s">
        <v>104</v>
      </c>
      <c r="G148" s="749"/>
      <c r="H148" s="749"/>
      <c r="I148" s="51">
        <f>IF(H15=1,0.0165,IF(H15=2,0.0065,IF(H15=3,'1. ABA DE CARREGAMENTO'!B108,IF(H15=4,'1. ABA DE CARREGAMENTO'!B108,IF(H15=5,'1. ABA DE CARREGAMENTO'!B112,"RT Indefinido")))))</f>
        <v>1.6500000000000001E-2</v>
      </c>
      <c r="J148" s="389">
        <f>ROUND(($J$146/(1-$I$147))*I148,2)</f>
        <v>87.49</v>
      </c>
      <c r="K148" s="393"/>
      <c r="L148" s="394"/>
    </row>
    <row r="149" spans="1:12" ht="19.5" customHeight="1">
      <c r="A149" s="800"/>
      <c r="B149" s="749"/>
      <c r="C149" s="749"/>
      <c r="D149" s="749"/>
      <c r="E149" s="749"/>
      <c r="F149" s="749" t="s">
        <v>105</v>
      </c>
      <c r="G149" s="749"/>
      <c r="H149" s="749"/>
      <c r="I149" s="51">
        <f>IF(H15=1,0.076,IF(H15=2,0.03,IF(H15=3,'1. ABA DE CARREGAMENTO'!B109,IF(H15=4,'1. ABA DE CARREGAMENTO'!B109,IF(H15=5,'1. ABA DE CARREGAMENTO'!B113,"RT Indefinido")))))</f>
        <v>7.5999999999999998E-2</v>
      </c>
      <c r="J149" s="389">
        <f>ROUND(($J$146/(1-$I$147))*I149,2)</f>
        <v>402.96</v>
      </c>
      <c r="K149" s="393"/>
      <c r="L149" s="394"/>
    </row>
    <row r="150" spans="1:12" ht="19.5" customHeight="1">
      <c r="A150" s="44" t="s">
        <v>486</v>
      </c>
      <c r="B150" s="749" t="s">
        <v>487</v>
      </c>
      <c r="C150" s="749"/>
      <c r="D150" s="749"/>
      <c r="E150" s="749"/>
      <c r="F150" s="749" t="s">
        <v>488</v>
      </c>
      <c r="G150" s="749"/>
      <c r="H150" s="749"/>
      <c r="I150" s="51">
        <v>0</v>
      </c>
      <c r="J150" s="80">
        <v>0</v>
      </c>
      <c r="K150" s="393"/>
      <c r="L150" s="394"/>
    </row>
    <row r="151" spans="1:12" ht="19.5" customHeight="1">
      <c r="A151" s="44" t="s">
        <v>489</v>
      </c>
      <c r="B151" s="749" t="s">
        <v>490</v>
      </c>
      <c r="C151" s="749"/>
      <c r="D151" s="749"/>
      <c r="E151" s="749"/>
      <c r="F151" s="749" t="s">
        <v>491</v>
      </c>
      <c r="G151" s="749"/>
      <c r="H151" s="749"/>
      <c r="I151" s="51">
        <f>'1. ABA DE CARREGAMENTO'!$B$105</f>
        <v>0.03</v>
      </c>
      <c r="J151" s="389">
        <f>ROUND(($J$146/(1-$I$147))*I151,2)</f>
        <v>159.06</v>
      </c>
    </row>
    <row r="152" spans="1:12" ht="19.5" customHeight="1">
      <c r="A152" s="697" t="s">
        <v>492</v>
      </c>
      <c r="B152" s="697"/>
      <c r="C152" s="697"/>
      <c r="D152" s="697"/>
      <c r="E152" s="697"/>
      <c r="F152" s="697"/>
      <c r="G152" s="697"/>
      <c r="H152" s="697"/>
      <c r="I152" s="697"/>
      <c r="J152" s="318">
        <f>SUM(J143+J145+J147)</f>
        <v>1191.95</v>
      </c>
    </row>
    <row r="153" spans="1:12" s="395" customFormat="1" ht="11.25">
      <c r="A153" s="305" t="s">
        <v>475</v>
      </c>
      <c r="B153" s="755" t="s">
        <v>494</v>
      </c>
      <c r="C153" s="755"/>
      <c r="D153" s="755"/>
      <c r="E153" s="755"/>
      <c r="F153" s="755"/>
      <c r="G153" s="755"/>
      <c r="H153" s="755"/>
      <c r="I153" s="755"/>
      <c r="J153" s="755"/>
    </row>
    <row r="154" spans="1:12" s="395" customFormat="1" ht="12.75" customHeight="1">
      <c r="A154" s="801" t="s">
        <v>493</v>
      </c>
      <c r="B154" s="678" t="s">
        <v>495</v>
      </c>
      <c r="C154" s="679"/>
      <c r="D154" s="733" t="s">
        <v>699</v>
      </c>
      <c r="E154" s="734"/>
      <c r="F154" s="734"/>
      <c r="G154" s="813" t="s">
        <v>700</v>
      </c>
      <c r="H154" s="814"/>
      <c r="I154" s="396"/>
      <c r="J154" s="819"/>
    </row>
    <row r="155" spans="1:12" s="395" customFormat="1" ht="12.75" customHeight="1">
      <c r="A155" s="802"/>
      <c r="B155" s="680"/>
      <c r="C155" s="681"/>
      <c r="D155" s="735"/>
      <c r="E155" s="736"/>
      <c r="F155" s="736"/>
      <c r="G155" s="815"/>
      <c r="H155" s="816"/>
      <c r="I155" s="397"/>
      <c r="J155" s="820"/>
    </row>
    <row r="156" spans="1:12" s="395" customFormat="1" ht="12.75" customHeight="1">
      <c r="A156" s="802"/>
      <c r="B156" s="682"/>
      <c r="C156" s="683"/>
      <c r="D156" s="737"/>
      <c r="E156" s="738"/>
      <c r="F156" s="738"/>
      <c r="G156" s="817"/>
      <c r="H156" s="818"/>
      <c r="I156" s="398"/>
      <c r="J156" s="821"/>
    </row>
    <row r="157" spans="1:12" ht="9.9499999999999993" customHeight="1">
      <c r="A157" s="811"/>
      <c r="B157" s="811"/>
      <c r="C157" s="811"/>
      <c r="D157" s="811"/>
      <c r="E157" s="811"/>
      <c r="F157" s="811"/>
      <c r="G157" s="811"/>
      <c r="H157" s="811"/>
      <c r="I157" s="811"/>
      <c r="J157" s="811"/>
    </row>
    <row r="158" spans="1:12" ht="24.75" customHeight="1">
      <c r="A158" s="812" t="s">
        <v>701</v>
      </c>
      <c r="B158" s="812"/>
      <c r="C158" s="812"/>
      <c r="D158" s="812"/>
      <c r="E158" s="812"/>
      <c r="F158" s="812"/>
      <c r="G158" s="812"/>
      <c r="H158" s="812"/>
      <c r="I158" s="812"/>
      <c r="J158" s="812"/>
    </row>
    <row r="159" spans="1:12" ht="21.75" customHeight="1">
      <c r="A159" s="728" t="s">
        <v>497</v>
      </c>
      <c r="B159" s="728"/>
      <c r="C159" s="728"/>
      <c r="D159" s="728"/>
      <c r="E159" s="728"/>
      <c r="F159" s="728"/>
      <c r="G159" s="728"/>
      <c r="H159" s="728"/>
      <c r="I159" s="728"/>
      <c r="J159" s="317" t="s">
        <v>389</v>
      </c>
    </row>
    <row r="160" spans="1:12" ht="21.75" customHeight="1">
      <c r="A160" s="90" t="s">
        <v>334</v>
      </c>
      <c r="B160" s="729" t="s">
        <v>498</v>
      </c>
      <c r="C160" s="729"/>
      <c r="D160" s="729"/>
      <c r="E160" s="729"/>
      <c r="F160" s="729"/>
      <c r="G160" s="729"/>
      <c r="H160" s="729"/>
      <c r="I160" s="729"/>
      <c r="J160" s="80">
        <f>J48</f>
        <v>1839.73</v>
      </c>
    </row>
    <row r="161" spans="1:10" ht="21.75" customHeight="1">
      <c r="A161" s="90" t="s">
        <v>336</v>
      </c>
      <c r="B161" s="729" t="s">
        <v>499</v>
      </c>
      <c r="C161" s="729"/>
      <c r="D161" s="729"/>
      <c r="E161" s="729"/>
      <c r="F161" s="729"/>
      <c r="G161" s="729"/>
      <c r="H161" s="729"/>
      <c r="I161" s="729"/>
      <c r="J161" s="80">
        <f>J94</f>
        <v>1461.66</v>
      </c>
    </row>
    <row r="162" spans="1:10" ht="21.75" customHeight="1">
      <c r="A162" s="90" t="s">
        <v>337</v>
      </c>
      <c r="B162" s="729" t="s">
        <v>500</v>
      </c>
      <c r="C162" s="729"/>
      <c r="D162" s="729"/>
      <c r="E162" s="729"/>
      <c r="F162" s="729"/>
      <c r="G162" s="729"/>
      <c r="H162" s="729"/>
      <c r="I162" s="729"/>
      <c r="J162" s="80">
        <f>J104</f>
        <v>101.55</v>
      </c>
    </row>
    <row r="163" spans="1:10" ht="21.75" customHeight="1">
      <c r="A163" s="90" t="s">
        <v>339</v>
      </c>
      <c r="B163" s="729" t="s">
        <v>501</v>
      </c>
      <c r="C163" s="729"/>
      <c r="D163" s="729"/>
      <c r="E163" s="729"/>
      <c r="F163" s="729"/>
      <c r="G163" s="729"/>
      <c r="H163" s="729"/>
      <c r="I163" s="729"/>
      <c r="J163" s="80">
        <f>J128</f>
        <v>224.40000000000003</v>
      </c>
    </row>
    <row r="164" spans="1:10" ht="21.75" customHeight="1">
      <c r="A164" s="90" t="s">
        <v>399</v>
      </c>
      <c r="B164" s="729" t="s">
        <v>502</v>
      </c>
      <c r="C164" s="729"/>
      <c r="D164" s="729"/>
      <c r="E164" s="729"/>
      <c r="F164" s="729"/>
      <c r="G164" s="729"/>
      <c r="H164" s="729"/>
      <c r="I164" s="729"/>
      <c r="J164" s="80">
        <f>J137</f>
        <v>482.86449333736277</v>
      </c>
    </row>
    <row r="165" spans="1:10" ht="21.75" customHeight="1">
      <c r="A165" s="730" t="s">
        <v>503</v>
      </c>
      <c r="B165" s="730"/>
      <c r="C165" s="730"/>
      <c r="D165" s="730"/>
      <c r="E165" s="730"/>
      <c r="F165" s="730"/>
      <c r="G165" s="730"/>
      <c r="H165" s="730"/>
      <c r="I165" s="730"/>
      <c r="J165" s="318">
        <f>SUM(J160:J164)</f>
        <v>4110.2044933373636</v>
      </c>
    </row>
    <row r="166" spans="1:10" ht="21.75" customHeight="1">
      <c r="A166" s="90" t="s">
        <v>400</v>
      </c>
      <c r="B166" s="729" t="s">
        <v>504</v>
      </c>
      <c r="C166" s="729"/>
      <c r="D166" s="729"/>
      <c r="E166" s="729"/>
      <c r="F166" s="729"/>
      <c r="G166" s="729"/>
      <c r="H166" s="729"/>
      <c r="I166" s="729"/>
      <c r="J166" s="80">
        <f>J152</f>
        <v>1191.95</v>
      </c>
    </row>
    <row r="167" spans="1:10" ht="21.75" customHeight="1">
      <c r="A167" s="725" t="s">
        <v>505</v>
      </c>
      <c r="B167" s="725"/>
      <c r="C167" s="725"/>
      <c r="D167" s="725"/>
      <c r="E167" s="725"/>
      <c r="F167" s="725"/>
      <c r="G167" s="725"/>
      <c r="H167" s="304">
        <f>'1. ABA DE CARREGAMENTO'!C68</f>
        <v>44</v>
      </c>
      <c r="I167" s="95" t="s">
        <v>380</v>
      </c>
      <c r="J167" s="318">
        <f>SUM(J165:J166)</f>
        <v>5302.1544933373634</v>
      </c>
    </row>
    <row r="168" spans="1:10" ht="9.9499999999999993" customHeight="1">
      <c r="A168" s="96"/>
      <c r="B168" s="96"/>
      <c r="C168" s="96"/>
      <c r="D168" s="96"/>
      <c r="E168" s="96"/>
      <c r="F168" s="96"/>
      <c r="G168" s="96"/>
      <c r="H168" s="96"/>
      <c r="I168" s="96"/>
      <c r="J168" s="82"/>
    </row>
    <row r="169" spans="1:10" ht="25.5" customHeight="1">
      <c r="A169" s="810" t="s">
        <v>506</v>
      </c>
      <c r="B169" s="810"/>
      <c r="C169" s="810"/>
      <c r="D169" s="810"/>
      <c r="E169" s="810"/>
      <c r="F169" s="810"/>
      <c r="G169" s="810"/>
      <c r="H169" s="810"/>
      <c r="I169" s="810"/>
      <c r="J169" s="810"/>
    </row>
    <row r="170" spans="1:10" ht="25.5" customHeight="1">
      <c r="A170" s="726" t="s">
        <v>507</v>
      </c>
      <c r="B170" s="726"/>
      <c r="C170" s="726"/>
      <c r="D170" s="726"/>
      <c r="E170" s="726"/>
      <c r="F170" s="726"/>
      <c r="G170" s="726"/>
      <c r="H170" s="726"/>
      <c r="I170" s="726"/>
      <c r="J170" s="726"/>
    </row>
    <row r="171" spans="1:10" ht="25.5" customHeight="1">
      <c r="A171" s="721" t="s">
        <v>593</v>
      </c>
      <c r="B171" s="721"/>
      <c r="C171" s="721"/>
      <c r="D171" s="721"/>
      <c r="E171" s="721"/>
      <c r="F171" s="721"/>
      <c r="G171" s="721"/>
      <c r="H171" s="721"/>
      <c r="I171" s="721"/>
      <c r="J171" s="721"/>
    </row>
    <row r="172" spans="1:10" ht="36.75" customHeight="1">
      <c r="A172" s="722" t="s">
        <v>509</v>
      </c>
      <c r="B172" s="722"/>
      <c r="C172" s="722"/>
      <c r="D172" s="722" t="s">
        <v>510</v>
      </c>
      <c r="E172" s="722"/>
      <c r="F172" s="722"/>
      <c r="G172" s="669" t="s">
        <v>511</v>
      </c>
      <c r="H172" s="669"/>
      <c r="I172" s="669" t="s">
        <v>512</v>
      </c>
      <c r="J172" s="669"/>
    </row>
    <row r="173" spans="1:10" ht="25.5" customHeight="1">
      <c r="A173" s="705" t="s">
        <v>594</v>
      </c>
      <c r="B173" s="705"/>
      <c r="C173" s="705"/>
      <c r="D173" s="107">
        <v>1</v>
      </c>
      <c r="E173" s="107">
        <v>30</v>
      </c>
      <c r="F173" s="319">
        <f>E174</f>
        <v>300</v>
      </c>
      <c r="G173" s="723">
        <v>0</v>
      </c>
      <c r="H173" s="723"/>
      <c r="I173" s="702">
        <f>G173/F173/E173</f>
        <v>0</v>
      </c>
      <c r="J173" s="702"/>
    </row>
    <row r="174" spans="1:10" ht="25.5" customHeight="1">
      <c r="A174" s="705" t="s">
        <v>595</v>
      </c>
      <c r="B174" s="705"/>
      <c r="C174" s="705"/>
      <c r="D174" s="107">
        <v>1</v>
      </c>
      <c r="E174" s="718">
        <f>'5. Cálc. mão obra banheiros'!$C$8</f>
        <v>300</v>
      </c>
      <c r="F174" s="718"/>
      <c r="G174" s="723">
        <f>J167</f>
        <v>5302.1544933373634</v>
      </c>
      <c r="H174" s="723"/>
      <c r="I174" s="702">
        <f>ROUND((D174/E174)*G174,2)</f>
        <v>17.670000000000002</v>
      </c>
      <c r="J174" s="702"/>
    </row>
    <row r="175" spans="1:10" ht="25.5" customHeight="1">
      <c r="A175" s="697" t="s">
        <v>515</v>
      </c>
      <c r="B175" s="697"/>
      <c r="C175" s="697"/>
      <c r="D175" s="697"/>
      <c r="E175" s="697"/>
      <c r="F175" s="697"/>
      <c r="G175" s="697"/>
      <c r="H175" s="697"/>
      <c r="I175" s="686">
        <f>SUM(I173+I174)</f>
        <v>17.670000000000002</v>
      </c>
      <c r="J175" s="686"/>
    </row>
    <row r="176" spans="1:10" ht="25.5" customHeight="1">
      <c r="A176" s="70"/>
      <c r="B176" s="70"/>
      <c r="C176" s="70"/>
      <c r="D176" s="70"/>
      <c r="E176" s="70"/>
      <c r="F176" s="70"/>
      <c r="G176" s="70"/>
      <c r="H176" s="70"/>
      <c r="I176" s="109"/>
      <c r="J176" s="109"/>
    </row>
    <row r="177" spans="1:10" ht="25.5" customHeight="1">
      <c r="A177" s="705" t="s">
        <v>596</v>
      </c>
      <c r="B177" s="705"/>
      <c r="C177" s="705"/>
      <c r="D177" s="107">
        <v>1</v>
      </c>
      <c r="E177" s="107">
        <v>30</v>
      </c>
      <c r="F177" s="319">
        <f>E178</f>
        <v>800</v>
      </c>
      <c r="G177" s="723">
        <f>G173</f>
        <v>0</v>
      </c>
      <c r="H177" s="723"/>
      <c r="I177" s="702">
        <f>G177/F177/E177</f>
        <v>0</v>
      </c>
      <c r="J177" s="702"/>
    </row>
    <row r="178" spans="1:10" ht="25.5" customHeight="1">
      <c r="A178" s="705" t="s">
        <v>597</v>
      </c>
      <c r="B178" s="705"/>
      <c r="C178" s="705"/>
      <c r="D178" s="107">
        <v>1</v>
      </c>
      <c r="E178" s="718">
        <f>'5. Cálc. mão obra banheiros'!C9</f>
        <v>800</v>
      </c>
      <c r="F178" s="718"/>
      <c r="G178" s="719">
        <f>J167</f>
        <v>5302.1544933373634</v>
      </c>
      <c r="H178" s="719"/>
      <c r="I178" s="702">
        <f>ROUND((D178/E178)*G178,2)</f>
        <v>6.63</v>
      </c>
      <c r="J178" s="702"/>
    </row>
    <row r="179" spans="1:10" ht="25.5" customHeight="1">
      <c r="A179" s="697" t="s">
        <v>515</v>
      </c>
      <c r="B179" s="697"/>
      <c r="C179" s="697"/>
      <c r="D179" s="697"/>
      <c r="E179" s="697"/>
      <c r="F179" s="697"/>
      <c r="G179" s="697"/>
      <c r="H179" s="697"/>
      <c r="I179" s="686">
        <f>SUM(I177:J178)</f>
        <v>6.63</v>
      </c>
      <c r="J179" s="686"/>
    </row>
    <row r="180" spans="1:10" ht="25.5" customHeight="1">
      <c r="A180" s="70"/>
      <c r="B180" s="70"/>
      <c r="C180" s="70"/>
      <c r="D180" s="70"/>
      <c r="E180" s="70"/>
      <c r="F180" s="70"/>
      <c r="G180" s="70"/>
      <c r="H180" s="70"/>
      <c r="I180" s="109"/>
      <c r="J180" s="109"/>
    </row>
    <row r="181" spans="1:10" ht="25.5" customHeight="1">
      <c r="A181" s="705" t="s">
        <v>598</v>
      </c>
      <c r="B181" s="705"/>
      <c r="C181" s="705"/>
      <c r="D181" s="107">
        <v>1</v>
      </c>
      <c r="E181" s="107">
        <v>30</v>
      </c>
      <c r="F181" s="319">
        <f>E182</f>
        <v>450</v>
      </c>
      <c r="G181" s="723">
        <f>G173</f>
        <v>0</v>
      </c>
      <c r="H181" s="723"/>
      <c r="I181" s="702">
        <f>G181/F181/E181</f>
        <v>0</v>
      </c>
      <c r="J181" s="702"/>
    </row>
    <row r="182" spans="1:10" ht="25.5" customHeight="1">
      <c r="A182" s="705" t="s">
        <v>599</v>
      </c>
      <c r="B182" s="705"/>
      <c r="C182" s="705"/>
      <c r="D182" s="107">
        <v>1</v>
      </c>
      <c r="E182" s="718">
        <f>'5. Cálc. mão obra banheiros'!C10</f>
        <v>450</v>
      </c>
      <c r="F182" s="718"/>
      <c r="G182" s="719">
        <f>J167</f>
        <v>5302.1544933373634</v>
      </c>
      <c r="H182" s="719"/>
      <c r="I182" s="702">
        <f>ROUND((D182/E182)*G182,2)</f>
        <v>11.78</v>
      </c>
      <c r="J182" s="702"/>
    </row>
    <row r="183" spans="1:10" ht="25.5" customHeight="1">
      <c r="A183" s="697" t="s">
        <v>515</v>
      </c>
      <c r="B183" s="697"/>
      <c r="C183" s="697"/>
      <c r="D183" s="697"/>
      <c r="E183" s="697"/>
      <c r="F183" s="697"/>
      <c r="G183" s="697"/>
      <c r="H183" s="697"/>
      <c r="I183" s="686">
        <f>SUM(I181:J182)</f>
        <v>11.78</v>
      </c>
      <c r="J183" s="686"/>
    </row>
    <row r="184" spans="1:10" ht="46.5" customHeight="1">
      <c r="A184" s="698" t="s">
        <v>600</v>
      </c>
      <c r="B184" s="698"/>
      <c r="C184" s="698"/>
      <c r="D184" s="698"/>
      <c r="E184" s="698"/>
      <c r="F184" s="698"/>
      <c r="G184" s="698"/>
      <c r="H184" s="698"/>
      <c r="I184" s="698"/>
      <c r="J184" s="698"/>
    </row>
    <row r="185" spans="1:10" ht="9.9499999999999993" customHeight="1">
      <c r="A185" s="809"/>
      <c r="B185" s="809"/>
      <c r="C185" s="809"/>
      <c r="D185" s="809"/>
      <c r="E185" s="809"/>
      <c r="F185" s="809"/>
      <c r="G185" s="809"/>
      <c r="H185" s="809"/>
      <c r="I185" s="809"/>
      <c r="J185" s="809"/>
    </row>
    <row r="186" spans="1:10" ht="15.75">
      <c r="A186" s="810" t="s">
        <v>562</v>
      </c>
      <c r="B186" s="810"/>
      <c r="C186" s="810"/>
      <c r="D186" s="810"/>
      <c r="E186" s="810"/>
      <c r="F186" s="810"/>
      <c r="G186" s="810"/>
      <c r="H186" s="810"/>
      <c r="I186" s="810"/>
      <c r="J186" s="810"/>
    </row>
    <row r="187" spans="1:10" ht="22.5" customHeight="1">
      <c r="A187" s="669" t="s">
        <v>21</v>
      </c>
      <c r="B187" s="669"/>
      <c r="C187" s="669"/>
      <c r="D187" s="669"/>
      <c r="E187" s="669"/>
      <c r="F187" s="669" t="s">
        <v>563</v>
      </c>
      <c r="G187" s="669"/>
      <c r="H187" s="317" t="s">
        <v>564</v>
      </c>
      <c r="I187" s="669" t="s">
        <v>565</v>
      </c>
      <c r="J187" s="669"/>
    </row>
    <row r="188" spans="1:10" ht="22.5" customHeight="1">
      <c r="A188" s="726" t="s">
        <v>601</v>
      </c>
      <c r="B188" s="726"/>
      <c r="C188" s="726"/>
      <c r="D188" s="726"/>
      <c r="E188" s="726"/>
      <c r="F188" s="807">
        <f>I175</f>
        <v>17.670000000000002</v>
      </c>
      <c r="G188" s="807"/>
      <c r="H188" s="399">
        <f>I25</f>
        <v>4836.2599999999993</v>
      </c>
      <c r="I188" s="690">
        <f>ROUND(F188*H188,2)</f>
        <v>85456.71</v>
      </c>
      <c r="J188" s="690"/>
    </row>
    <row r="189" spans="1:10" ht="22.5" customHeight="1">
      <c r="A189" s="726" t="s">
        <v>602</v>
      </c>
      <c r="B189" s="726"/>
      <c r="C189" s="726"/>
      <c r="D189" s="726"/>
      <c r="E189" s="726"/>
      <c r="F189" s="807">
        <f>I179</f>
        <v>6.63</v>
      </c>
      <c r="G189" s="807"/>
      <c r="H189" s="399">
        <f>I26</f>
        <v>427.32048333333336</v>
      </c>
      <c r="I189" s="690">
        <f>ROUND(F189*H189,2)</f>
        <v>2833.13</v>
      </c>
      <c r="J189" s="690"/>
    </row>
    <row r="190" spans="1:10" ht="22.5" customHeight="1">
      <c r="A190" s="726" t="s">
        <v>603</v>
      </c>
      <c r="B190" s="726"/>
      <c r="C190" s="726"/>
      <c r="D190" s="726"/>
      <c r="E190" s="726"/>
      <c r="F190" s="807">
        <f>I183</f>
        <v>11.78</v>
      </c>
      <c r="G190" s="807"/>
      <c r="H190" s="399">
        <f>I27</f>
        <v>378.20692916666667</v>
      </c>
      <c r="I190" s="690">
        <f>ROUND(F190*H190,2)</f>
        <v>4455.28</v>
      </c>
      <c r="J190" s="690"/>
    </row>
    <row r="191" spans="1:10" ht="22.5" customHeight="1">
      <c r="A191" s="697" t="s">
        <v>604</v>
      </c>
      <c r="B191" s="697"/>
      <c r="C191" s="697"/>
      <c r="D191" s="697"/>
      <c r="E191" s="697"/>
      <c r="F191" s="697"/>
      <c r="G191" s="697"/>
      <c r="H191" s="400">
        <f>SUM(H188:H190)</f>
        <v>5641.7874124999989</v>
      </c>
      <c r="I191" s="692">
        <f>SUM(I188:J190)</f>
        <v>92745.12000000001</v>
      </c>
      <c r="J191" s="692"/>
    </row>
    <row r="192" spans="1:10" ht="22.5" customHeight="1">
      <c r="A192" s="808" t="s">
        <v>605</v>
      </c>
      <c r="B192" s="808"/>
      <c r="C192" s="808"/>
      <c r="D192" s="808"/>
      <c r="E192" s="808"/>
      <c r="F192" s="807">
        <v>0</v>
      </c>
      <c r="G192" s="807"/>
      <c r="H192" s="399">
        <f>I29</f>
        <v>0</v>
      </c>
      <c r="I192" s="690">
        <v>0</v>
      </c>
      <c r="J192" s="690"/>
    </row>
    <row r="193" spans="1:26" ht="22.5" customHeight="1">
      <c r="A193" s="697" t="s">
        <v>368</v>
      </c>
      <c r="B193" s="697"/>
      <c r="C193" s="697"/>
      <c r="D193" s="697"/>
      <c r="E193" s="697"/>
      <c r="F193" s="697"/>
      <c r="G193" s="697"/>
      <c r="H193" s="400">
        <f>H192</f>
        <v>0</v>
      </c>
      <c r="I193" s="692">
        <v>0</v>
      </c>
      <c r="J193" s="692"/>
    </row>
    <row r="194" spans="1:26" ht="22.5" customHeight="1">
      <c r="A194" s="697" t="s">
        <v>606</v>
      </c>
      <c r="B194" s="697"/>
      <c r="C194" s="697"/>
      <c r="D194" s="697"/>
      <c r="E194" s="697"/>
      <c r="F194" s="697"/>
      <c r="G194" s="697"/>
      <c r="H194" s="400">
        <f>ROUND(H191+H193,2)</f>
        <v>5641.79</v>
      </c>
      <c r="I194" s="692">
        <f>SUM(I191+I193)</f>
        <v>92745.12000000001</v>
      </c>
      <c r="J194" s="692"/>
    </row>
    <row r="195" spans="1:26" ht="22.5" customHeight="1">
      <c r="A195" s="804" t="s">
        <v>574</v>
      </c>
      <c r="B195" s="804"/>
      <c r="C195" s="804"/>
      <c r="D195" s="804"/>
      <c r="E195" s="804"/>
      <c r="F195" s="804"/>
      <c r="G195" s="804"/>
      <c r="H195" s="804"/>
      <c r="I195" s="805">
        <f>I194</f>
        <v>92745.12000000001</v>
      </c>
      <c r="J195" s="805"/>
    </row>
    <row r="196" spans="1:26" ht="22.5" customHeight="1">
      <c r="A196" s="804" t="s">
        <v>575</v>
      </c>
      <c r="B196" s="804"/>
      <c r="C196" s="804"/>
      <c r="D196" s="804"/>
      <c r="E196" s="804"/>
      <c r="F196" s="804"/>
      <c r="G196" s="804"/>
      <c r="H196" s="804"/>
      <c r="I196" s="806">
        <f>H21</f>
        <v>20</v>
      </c>
      <c r="J196" s="806"/>
    </row>
    <row r="197" spans="1:26" ht="22.5" customHeight="1">
      <c r="A197" s="804" t="s">
        <v>576</v>
      </c>
      <c r="B197" s="804"/>
      <c r="C197" s="804"/>
      <c r="D197" s="804"/>
      <c r="E197" s="804"/>
      <c r="F197" s="804"/>
      <c r="G197" s="804"/>
      <c r="H197" s="804"/>
      <c r="I197" s="805">
        <f>ROUND(I194*I196,2)</f>
        <v>1854902.4</v>
      </c>
      <c r="J197" s="805"/>
    </row>
    <row r="198" spans="1:26" ht="22.5" customHeight="1">
      <c r="A198" s="797"/>
      <c r="B198" s="797"/>
      <c r="C198" s="797"/>
      <c r="D198" s="797"/>
      <c r="E198" s="797"/>
      <c r="F198" s="797"/>
      <c r="G198" s="797"/>
      <c r="H198" s="797"/>
      <c r="I198" s="797"/>
      <c r="J198" s="797"/>
      <c r="K198" s="378"/>
      <c r="L198" s="378"/>
      <c r="M198" s="378"/>
      <c r="N198" s="378"/>
      <c r="O198" s="378"/>
      <c r="P198" s="378"/>
      <c r="Q198" s="378"/>
      <c r="R198" s="378"/>
      <c r="S198" s="378"/>
      <c r="T198" s="378"/>
      <c r="U198" s="378"/>
      <c r="V198" s="378"/>
      <c r="W198" s="378"/>
      <c r="X198" s="378"/>
      <c r="Y198" s="378"/>
      <c r="Z198" s="378"/>
    </row>
    <row r="199" spans="1:26" ht="22.5" customHeight="1">
      <c r="A199" s="721" t="s">
        <v>577</v>
      </c>
      <c r="B199" s="721"/>
      <c r="C199" s="721"/>
      <c r="D199" s="721"/>
      <c r="E199" s="721"/>
      <c r="F199" s="721"/>
      <c r="G199" s="721"/>
      <c r="H199" s="721"/>
      <c r="I199" s="721"/>
      <c r="J199" s="721"/>
    </row>
    <row r="200" spans="1:26" ht="22.5" customHeight="1">
      <c r="A200" s="669" t="s">
        <v>578</v>
      </c>
      <c r="B200" s="669"/>
      <c r="C200" s="669"/>
      <c r="D200" s="669"/>
      <c r="E200" s="669"/>
      <c r="F200" s="669"/>
      <c r="G200" s="669" t="s">
        <v>579</v>
      </c>
      <c r="H200" s="669"/>
      <c r="I200" s="669"/>
      <c r="J200" s="669"/>
    </row>
    <row r="201" spans="1:26" ht="22.5" customHeight="1">
      <c r="A201" s="798" t="s">
        <v>71</v>
      </c>
      <c r="B201" s="798"/>
      <c r="C201" s="798"/>
      <c r="D201" s="798"/>
      <c r="E201" s="798"/>
      <c r="F201" s="798"/>
      <c r="G201" s="799">
        <f>'5. Cálc. mão obra banheiros'!$L$13</f>
        <v>17.495477113425924</v>
      </c>
      <c r="H201" s="799"/>
      <c r="I201" s="799"/>
      <c r="J201" s="799"/>
    </row>
    <row r="202" spans="1:26" ht="9.9499999999999993" customHeight="1">
      <c r="A202" s="687"/>
      <c r="B202" s="687"/>
      <c r="C202" s="687"/>
      <c r="D202" s="687"/>
      <c r="E202" s="687"/>
      <c r="F202" s="687"/>
      <c r="G202" s="687"/>
      <c r="H202" s="687"/>
      <c r="I202" s="687"/>
      <c r="J202" s="687"/>
      <c r="K202" s="378"/>
      <c r="L202" s="378"/>
      <c r="M202" s="378"/>
      <c r="N202" s="378"/>
      <c r="O202" s="378"/>
      <c r="P202" s="378"/>
      <c r="Q202" s="378"/>
      <c r="R202" s="378"/>
      <c r="S202" s="378"/>
      <c r="T202" s="378"/>
      <c r="U202" s="378"/>
      <c r="V202" s="378"/>
      <c r="W202" s="378"/>
      <c r="X202" s="378"/>
      <c r="Y202" s="378"/>
      <c r="Z202" s="378"/>
    </row>
    <row r="203" spans="1:26" ht="12.75" customHeight="1">
      <c r="A203" s="673" t="s">
        <v>607</v>
      </c>
      <c r="B203" s="673"/>
      <c r="C203" s="673"/>
      <c r="D203" s="673"/>
      <c r="E203" s="673"/>
      <c r="F203" s="673"/>
      <c r="G203" s="673"/>
      <c r="H203" s="673"/>
      <c r="I203" s="673"/>
      <c r="J203" s="673"/>
    </row>
    <row r="204" spans="1:26" ht="12.75" customHeight="1"/>
    <row r="205" spans="1:26" ht="12.75" customHeight="1"/>
    <row r="206" spans="1:26" ht="12.75" customHeight="1"/>
    <row r="207" spans="1:26" ht="12.75" customHeight="1"/>
    <row r="208" spans="1:26"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sheetData>
  <sheetProtection selectLockedCells="1" selectUnlockedCells="1"/>
  <mergeCells count="279">
    <mergeCell ref="A1:J1"/>
    <mergeCell ref="A2:J2"/>
    <mergeCell ref="A3:J3"/>
    <mergeCell ref="A4:J4"/>
    <mergeCell ref="A5:J5"/>
    <mergeCell ref="A7:J7"/>
    <mergeCell ref="A8:J8"/>
    <mergeCell ref="D9:H9"/>
    <mergeCell ref="I9:J9"/>
    <mergeCell ref="D10:F10"/>
    <mergeCell ref="I10:J10"/>
    <mergeCell ref="B11:C11"/>
    <mergeCell ref="E11:F11"/>
    <mergeCell ref="B12:G12"/>
    <mergeCell ref="I12:J12"/>
    <mergeCell ref="B13:D13"/>
    <mergeCell ref="F13:G13"/>
    <mergeCell ref="I13:J13"/>
    <mergeCell ref="A9:C10"/>
    <mergeCell ref="A14:G14"/>
    <mergeCell ref="H14:J14"/>
    <mergeCell ref="A15:G15"/>
    <mergeCell ref="I15:J15"/>
    <mergeCell ref="A17:J17"/>
    <mergeCell ref="B18:G18"/>
    <mergeCell ref="H18:J18"/>
    <mergeCell ref="B19:G19"/>
    <mergeCell ref="H19:J19"/>
    <mergeCell ref="B20:G20"/>
    <mergeCell ref="H20:J20"/>
    <mergeCell ref="B21:G21"/>
    <mergeCell ref="H21:J21"/>
    <mergeCell ref="A23:J23"/>
    <mergeCell ref="A24:F24"/>
    <mergeCell ref="G24:H24"/>
    <mergeCell ref="I24:J24"/>
    <mergeCell ref="A25:F25"/>
    <mergeCell ref="G25:H25"/>
    <mergeCell ref="I25:J25"/>
    <mergeCell ref="A26:F26"/>
    <mergeCell ref="G26:H26"/>
    <mergeCell ref="I26:J26"/>
    <mergeCell ref="A27:F27"/>
    <mergeCell ref="G27:H27"/>
    <mergeCell ref="I27:J27"/>
    <mergeCell ref="A28:H28"/>
    <mergeCell ref="I28:J28"/>
    <mergeCell ref="A29:F29"/>
    <mergeCell ref="G29:H29"/>
    <mergeCell ref="I29:J29"/>
    <mergeCell ref="A30:H30"/>
    <mergeCell ref="I30:J30"/>
    <mergeCell ref="A31:H31"/>
    <mergeCell ref="I31:J31"/>
    <mergeCell ref="A32:J32"/>
    <mergeCell ref="A33:J33"/>
    <mergeCell ref="A34:J34"/>
    <mergeCell ref="A35:J35"/>
    <mergeCell ref="B36:G36"/>
    <mergeCell ref="H36:J36"/>
    <mergeCell ref="B37:G37"/>
    <mergeCell ref="H37:J37"/>
    <mergeCell ref="B38:G38"/>
    <mergeCell ref="H38:J38"/>
    <mergeCell ref="B39:G39"/>
    <mergeCell ref="H39:J39"/>
    <mergeCell ref="B40:G40"/>
    <mergeCell ref="H40:J40"/>
    <mergeCell ref="B41:J41"/>
    <mergeCell ref="B49:J49"/>
    <mergeCell ref="A50:J50"/>
    <mergeCell ref="A51:J51"/>
    <mergeCell ref="B52:I52"/>
    <mergeCell ref="B53:I53"/>
    <mergeCell ref="B54:I54"/>
    <mergeCell ref="A55:I55"/>
    <mergeCell ref="B56:J56"/>
    <mergeCell ref="A42:J42"/>
    <mergeCell ref="A43:J43"/>
    <mergeCell ref="B44:H44"/>
    <mergeCell ref="B45:D45"/>
    <mergeCell ref="G45:I45"/>
    <mergeCell ref="B46:C46"/>
    <mergeCell ref="D46:H46"/>
    <mergeCell ref="B47:I47"/>
    <mergeCell ref="A48:I48"/>
    <mergeCell ref="A57:I57"/>
    <mergeCell ref="B58:J58"/>
    <mergeCell ref="B59:H59"/>
    <mergeCell ref="B60:H60"/>
    <mergeCell ref="B61:H61"/>
    <mergeCell ref="B62:D62"/>
    <mergeCell ref="B63:H63"/>
    <mergeCell ref="B64:H64"/>
    <mergeCell ref="B65:H65"/>
    <mergeCell ref="B66:H66"/>
    <mergeCell ref="B67:H67"/>
    <mergeCell ref="A68:H68"/>
    <mergeCell ref="B69:J69"/>
    <mergeCell ref="B70:J70"/>
    <mergeCell ref="B72:J72"/>
    <mergeCell ref="B73:I73"/>
    <mergeCell ref="B74:I74"/>
    <mergeCell ref="B75:H75"/>
    <mergeCell ref="B76:H76"/>
    <mergeCell ref="B77:H77"/>
    <mergeCell ref="B78:H78"/>
    <mergeCell ref="B79:D79"/>
    <mergeCell ref="B80:H80"/>
    <mergeCell ref="B81:H81"/>
    <mergeCell ref="B82:H82"/>
    <mergeCell ref="B83:D83"/>
    <mergeCell ref="B84:I84"/>
    <mergeCell ref="E79:I79"/>
    <mergeCell ref="E83:I83"/>
    <mergeCell ref="A85:I85"/>
    <mergeCell ref="B86:J86"/>
    <mergeCell ref="B87:J87"/>
    <mergeCell ref="A89:J89"/>
    <mergeCell ref="B90:I90"/>
    <mergeCell ref="B91:I91"/>
    <mergeCell ref="B92:I92"/>
    <mergeCell ref="B93:I93"/>
    <mergeCell ref="A94:I94"/>
    <mergeCell ref="A96:J96"/>
    <mergeCell ref="B97:I97"/>
    <mergeCell ref="B98:I98"/>
    <mergeCell ref="B99:I99"/>
    <mergeCell ref="B100:I100"/>
    <mergeCell ref="B101:I101"/>
    <mergeCell ref="B102:I102"/>
    <mergeCell ref="B103:I103"/>
    <mergeCell ref="A104:I104"/>
    <mergeCell ref="A106:J106"/>
    <mergeCell ref="A107:J107"/>
    <mergeCell ref="A108:B108"/>
    <mergeCell ref="D108:E108"/>
    <mergeCell ref="G108:H108"/>
    <mergeCell ref="A109:F109"/>
    <mergeCell ref="G109:I109"/>
    <mergeCell ref="B111:I111"/>
    <mergeCell ref="B112:I112"/>
    <mergeCell ref="B113:I113"/>
    <mergeCell ref="B114:I114"/>
    <mergeCell ref="B115:I115"/>
    <mergeCell ref="B116:I116"/>
    <mergeCell ref="B117:I117"/>
    <mergeCell ref="A118:I118"/>
    <mergeCell ref="B119:I119"/>
    <mergeCell ref="B120:I120"/>
    <mergeCell ref="B121:I121"/>
    <mergeCell ref="A122:I122"/>
    <mergeCell ref="A123:I123"/>
    <mergeCell ref="A124:J124"/>
    <mergeCell ref="B125:I125"/>
    <mergeCell ref="B126:I126"/>
    <mergeCell ref="B127:I127"/>
    <mergeCell ref="A128:I128"/>
    <mergeCell ref="B129:J129"/>
    <mergeCell ref="A131:J131"/>
    <mergeCell ref="B132:I132"/>
    <mergeCell ref="B133:I133"/>
    <mergeCell ref="B134:I134"/>
    <mergeCell ref="B135:I135"/>
    <mergeCell ref="B136:I136"/>
    <mergeCell ref="A137:I137"/>
    <mergeCell ref="B138:J138"/>
    <mergeCell ref="A139:J139"/>
    <mergeCell ref="A140:J140"/>
    <mergeCell ref="B141:H141"/>
    <mergeCell ref="A142:I142"/>
    <mergeCell ref="B143:H143"/>
    <mergeCell ref="A144:I144"/>
    <mergeCell ref="B145:H145"/>
    <mergeCell ref="A146:I146"/>
    <mergeCell ref="B147:H147"/>
    <mergeCell ref="K147:L147"/>
    <mergeCell ref="F148:H148"/>
    <mergeCell ref="F149:H149"/>
    <mergeCell ref="B150:E150"/>
    <mergeCell ref="F150:H150"/>
    <mergeCell ref="B151:E151"/>
    <mergeCell ref="F151:H151"/>
    <mergeCell ref="A152:I152"/>
    <mergeCell ref="B153:J153"/>
    <mergeCell ref="D154:F156"/>
    <mergeCell ref="G154:H156"/>
    <mergeCell ref="J154:J156"/>
    <mergeCell ref="A157:J157"/>
    <mergeCell ref="A158:J158"/>
    <mergeCell ref="A159:I159"/>
    <mergeCell ref="B160:I160"/>
    <mergeCell ref="B161:I161"/>
    <mergeCell ref="B162:I162"/>
    <mergeCell ref="B163:I163"/>
    <mergeCell ref="B164:I164"/>
    <mergeCell ref="A165:I165"/>
    <mergeCell ref="B166:I166"/>
    <mergeCell ref="A167:G167"/>
    <mergeCell ref="A169:J169"/>
    <mergeCell ref="A170:J170"/>
    <mergeCell ref="A171:J171"/>
    <mergeCell ref="A172:C172"/>
    <mergeCell ref="D172:F172"/>
    <mergeCell ref="G172:H172"/>
    <mergeCell ref="I172:J172"/>
    <mergeCell ref="A173:C173"/>
    <mergeCell ref="G173:H173"/>
    <mergeCell ref="I173:J173"/>
    <mergeCell ref="A174:C174"/>
    <mergeCell ref="E174:F174"/>
    <mergeCell ref="G174:H174"/>
    <mergeCell ref="I174:J174"/>
    <mergeCell ref="A175:H175"/>
    <mergeCell ref="I175:J175"/>
    <mergeCell ref="A177:C177"/>
    <mergeCell ref="G177:H177"/>
    <mergeCell ref="I177:J177"/>
    <mergeCell ref="A178:C178"/>
    <mergeCell ref="E178:F178"/>
    <mergeCell ref="G178:H178"/>
    <mergeCell ref="I178:J178"/>
    <mergeCell ref="A179:H179"/>
    <mergeCell ref="I179:J179"/>
    <mergeCell ref="A181:C181"/>
    <mergeCell ref="G181:H181"/>
    <mergeCell ref="I181:J181"/>
    <mergeCell ref="A182:C182"/>
    <mergeCell ref="E182:F182"/>
    <mergeCell ref="G182:H182"/>
    <mergeCell ref="I182:J182"/>
    <mergeCell ref="A183:H183"/>
    <mergeCell ref="I183:J183"/>
    <mergeCell ref="A184:J184"/>
    <mergeCell ref="A185:J185"/>
    <mergeCell ref="A186:J186"/>
    <mergeCell ref="A187:E187"/>
    <mergeCell ref="F187:G187"/>
    <mergeCell ref="I187:J187"/>
    <mergeCell ref="A188:E188"/>
    <mergeCell ref="F188:G188"/>
    <mergeCell ref="I188:J188"/>
    <mergeCell ref="A197:H197"/>
    <mergeCell ref="I197:J197"/>
    <mergeCell ref="A189:E189"/>
    <mergeCell ref="F189:G189"/>
    <mergeCell ref="I189:J189"/>
    <mergeCell ref="A190:E190"/>
    <mergeCell ref="F190:G190"/>
    <mergeCell ref="I190:J190"/>
    <mergeCell ref="A191:G191"/>
    <mergeCell ref="I191:J191"/>
    <mergeCell ref="A192:E192"/>
    <mergeCell ref="F192:G192"/>
    <mergeCell ref="I192:J192"/>
    <mergeCell ref="A198:J198"/>
    <mergeCell ref="A199:J199"/>
    <mergeCell ref="A200:F200"/>
    <mergeCell ref="G200:J200"/>
    <mergeCell ref="A201:F201"/>
    <mergeCell ref="G201:J201"/>
    <mergeCell ref="A202:J202"/>
    <mergeCell ref="A203:J203"/>
    <mergeCell ref="A74:A78"/>
    <mergeCell ref="A79:A82"/>
    <mergeCell ref="A148:A149"/>
    <mergeCell ref="A154:A156"/>
    <mergeCell ref="J74:J78"/>
    <mergeCell ref="J79:J82"/>
    <mergeCell ref="B148:E149"/>
    <mergeCell ref="B154:C156"/>
    <mergeCell ref="A193:G193"/>
    <mergeCell ref="I193:J193"/>
    <mergeCell ref="A194:G194"/>
    <mergeCell ref="I194:J194"/>
    <mergeCell ref="A195:H195"/>
    <mergeCell ref="I195:J195"/>
    <mergeCell ref="A196:H196"/>
    <mergeCell ref="I196:J196"/>
  </mergeCells>
  <conditionalFormatting sqref="A14:G14">
    <cfRule type="expression" dxfId="5" priority="2">
      <formula>LEN(TRIM(A14))&gt;0</formula>
    </cfRule>
  </conditionalFormatting>
  <conditionalFormatting sqref="H14:J14">
    <cfRule type="expression" dxfId="4" priority="3">
      <formula>LEN(TRIM(H14))&gt;0</formula>
    </cfRule>
  </conditionalFormatting>
  <printOptions horizontalCentered="1"/>
  <pageMargins left="0" right="0" top="0.39370078740157483" bottom="0" header="0" footer="0.51181102362204722"/>
  <pageSetup paperSize="9" scale="56" pageOrder="overThenDown" orientation="portrait" useFirstPageNumber="1" r:id="rId1"/>
  <headerFooter>
    <oddHeader>&amp;R&amp;P de &amp;N</oddHeader>
    <oddFooter>&amp;L&amp;F - &amp;A&amp;CPágina &amp;P de &amp;N</oddFooter>
  </headerFooter>
  <rowBreaks count="2" manualBreakCount="2">
    <brk id="78" max="9" man="1"/>
    <brk id="146" max="9" man="1"/>
  </rowBreaks>
  <colBreaks count="1" manualBreakCount="1">
    <brk id="12"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13</vt:i4>
      </vt:variant>
      <vt:variant>
        <vt:lpstr>Intervalos nomeados</vt:lpstr>
      </vt:variant>
      <vt:variant>
        <vt:i4>17</vt:i4>
      </vt:variant>
    </vt:vector>
  </HeadingPairs>
  <TitlesOfParts>
    <vt:vector size="30" baseType="lpstr">
      <vt:lpstr>Planilha1</vt:lpstr>
      <vt:lpstr>1. ABA DE CARREGAMENTO</vt:lpstr>
      <vt:lpstr>2. INSUMOS</vt:lpstr>
      <vt:lpstr>3. Áreas AL</vt:lpstr>
      <vt:lpstr>4. Cál. mão obra limpeza geral</vt:lpstr>
      <vt:lpstr>5. Cálc. mão obra banheiros</vt:lpstr>
      <vt:lpstr>6. Cálc. mão obra esq. e fach.</vt:lpstr>
      <vt:lpstr>7. Planilha área geral</vt:lpstr>
      <vt:lpstr>8. Planilha área Banheiros</vt:lpstr>
      <vt:lpstr>9. Pl. Área Esquad e Fachadas</vt:lpstr>
      <vt:lpstr>10. Planilha Encarregado</vt:lpstr>
      <vt:lpstr>11. Resumo da Proposta</vt:lpstr>
      <vt:lpstr>Plan1</vt:lpstr>
      <vt:lpstr>'1. ABA DE CARREGAMENTO'!Area_de_impressao</vt:lpstr>
      <vt:lpstr>'10. Planilha Encarregado'!Area_de_impressao</vt:lpstr>
      <vt:lpstr>'11. Resumo da Proposta'!Area_de_impressao</vt:lpstr>
      <vt:lpstr>'2. INSUMOS'!Area_de_impressao</vt:lpstr>
      <vt:lpstr>'4. Cál. mão obra limpeza geral'!Area_de_impressao</vt:lpstr>
      <vt:lpstr>'5. Cálc. mão obra banheiros'!Area_de_impressao</vt:lpstr>
      <vt:lpstr>'6. Cálc. mão obra esq. e fach.'!Area_de_impressao</vt:lpstr>
      <vt:lpstr>'7. Planilha área geral'!Area_de_impressao</vt:lpstr>
      <vt:lpstr>'8. Planilha área Banheiros'!Area_de_impressao</vt:lpstr>
      <vt:lpstr>'9. Pl. Área Esquad e Fachadas'!Area_de_impressao</vt:lpstr>
      <vt:lpstr>'1. ABA DE CARREGAMENTO'!Titulos_de_impressao</vt:lpstr>
      <vt:lpstr>'10. Planilha Encarregado'!Titulos_de_impressao</vt:lpstr>
      <vt:lpstr>'2. INSUMOS'!Titulos_de_impressao</vt:lpstr>
      <vt:lpstr>'4. Cál. mão obra limpeza geral'!Titulos_de_impressao</vt:lpstr>
      <vt:lpstr>'7. Planilha área geral'!Titulos_de_impressao</vt:lpstr>
      <vt:lpstr>'8. Planilha área Banheiros'!Titulos_de_impressao</vt:lpstr>
      <vt:lpstr>'9. Pl. Área Esquad e Fachadas'!Titulos_de_impressao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Servidor</dc:creator>
  <cp:lastModifiedBy>thome</cp:lastModifiedBy>
  <cp:revision>1</cp:revision>
  <cp:lastPrinted>2022-01-26T11:10:58Z</cp:lastPrinted>
  <dcterms:created xsi:type="dcterms:W3CDTF">2018-01-29T11:38:00Z</dcterms:created>
  <dcterms:modified xsi:type="dcterms:W3CDTF">2022-02-17T17:26:32Z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E27AB97421A44FFBA09B4D7F6FEB8BEB</vt:lpwstr>
  </property>
  <property fmtid="{D5CDD505-2E9C-101B-9397-08002B2CF9AE}" pid="3" name="KSOProductBuildVer">
    <vt:lpwstr>1046-11.2.0.10323</vt:lpwstr>
  </property>
</Properties>
</file>